
<file path=[Content_Types].xml><?xml version="1.0" encoding="utf-8"?>
<Types xmlns="http://schemas.openxmlformats.org/package/2006/content-types">
  <Default Extension="xml" ContentType="application/vnd.ms-excel.sheet.macroEnabled.main+xml"/>
  <Default Extension="png" ContentType="image/png"/>
  <Default Extension="rels" ContentType="application/vnd.openxmlformats-package.relationships+xml"/>
  <Override PartName="/xl/styles.xml" ContentType="application/vnd.openxmlformats-officedocument.spreadsheetml.styles+xml"/>
  <Override PartName="/xl/theme/theme1.xml" ContentType="application/vnd.openxmlformats-officedocument.theme+xml"/>
  <Override PartName="/xl/metadata1.xml" ContentType="application/vnd.openxmlformats-officedocument.spreadsheetml.sheetMetadata+xml"/>
  <Override PartName="/xl/sharedStrings.xml" ContentType="application/vnd.openxmlformats-officedocument.spreadsheetml.sharedStrings+xml"/>
  <Override PartName="/xl/worksheets/sheet1.xml" ContentType="application/vnd.openxmlformats-officedocument.spreadsheetml.worksheet+xml"/>
  <Override PartName="/xl/drawings/drawing1.xml" ContentType="application/vnd.openxmlformats-officedocument.drawing+xml"/>
  <Override PartName="/xl/drawings/charts/chart1.xml" ContentType="application/vnd.openxmlformats-officedocument.drawingml.chart+xml"/>
  <Override PartName="/xl/drawings/charts/chart2.xml" ContentType="application/vnd.openxmlformats-officedocument.drawingml.chart+xml"/>
  <Override PartName="/xl/drawings/charts/chart3.xml" ContentType="application/vnd.openxmlformats-officedocument.drawingml.chart+xml"/>
  <Override PartName="/xl/drawings/charts/chart4.xml" ContentType="application/vnd.openxmlformats-officedocument.drawingml.chart+xml"/>
  <Override PartName="/xl/drawings/charts/chart5.xml" ContentType="application/vnd.openxmlformats-officedocument.drawingml.chart+xml"/>
  <Override PartName="/xl/drawings/charts/chart6.xml" ContentType="application/vnd.openxmlformats-officedocument.drawingml.chart+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drawings/drawing3.xml" ContentType="application/vnd.openxmlformats-officedocument.drawing+xml"/>
  <Override PartName="/xl/drawings/charts/chart7.xml" ContentType="application/vnd.openxmlformats-officedocument.drawingml.chart+xml"/>
  <Override PartName="/xl/drawings/charts/chart8.xml" ContentType="application/vnd.openxmlformats-officedocument.drawingml.chart+xml"/>
  <Override PartName="/xl/worksheets/sheet5.xml" ContentType="application/vnd.openxmlformats-officedocument.spreadsheetml.worksheet+xml"/>
  <Override PartName="/xl/drawings/drawing4.xml" ContentType="application/vnd.openxmlformats-officedocument.drawing+xml"/>
  <Override PartName="/xl/drawings/charts/chart9.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5.xml" ContentType="application/vnd.openxmlformats-officedocument.drawing+xml"/>
  <Override PartName="/xl/drawings/charts/chart10.xml" ContentType="application/vnd.openxmlformats-officedocument.drawingml.chart+xml"/>
  <Override PartName="/xl/drawings/charts/chart11.xml" ContentType="application/vnd.openxmlformats-officedocument.drawingml.chart+xml"/>
  <Override PartName="/xl/drawings/charts/chart12.xml" ContentType="application/vnd.openxmlformats-officedocument.drawingml.chart+xml"/>
  <Override PartName="/xl/drawings/charts/chart13.xml" ContentType="application/vnd.openxmlformats-officedocument.drawingml.chart+xml"/>
  <Override PartName="/xl/drawings/charts/chart14.xml" ContentType="application/vnd.openxmlformats-officedocument.drawingml.chart+xml"/>
  <Override PartName="/xl/drawings/charts/chart15.xml" ContentType="application/vnd.openxmlformats-officedocument.drawingml.char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Default Extension="bin" ContentType="application/vnd.ms-office.vbaProject"/>
</Types>
</file>

<file path=_rels/.rels>&#65279;<?xml version="1.0" encoding="utf-8"?><Relationships xmlns="http://schemas.openxmlformats.org/package/2006/relationships"><Relationship Type="http://schemas.openxmlformats.org/officeDocument/2006/relationships/officeDocument" Target="/xl/workbook.xml" Id="Racf29b0e64f8420b" /></Relationships>
</file>

<file path=xl/workbook.xml><?xml version="1.0" encoding="utf-8"?>
<workbook xmlns="http://schemas.openxmlformats.org/spreadsheetml/2006/main">
  <sheets>
    <sheet xmlns:r="http://schemas.openxmlformats.org/officeDocument/2006/relationships" name="Summary" sheetId="1" r:id="Rfa4e5017650846cd"/>
    <sheet xmlns:r="http://schemas.openxmlformats.org/officeDocument/2006/relationships" name="Underwriting" sheetId="2" r:id="R0c4b69156ee74e14"/>
    <sheet xmlns:r="http://schemas.openxmlformats.org/officeDocument/2006/relationships" name="Annual Cash Flow" sheetId="3" r:id="R5c5303fc980c4259"/>
    <sheet xmlns:r="http://schemas.openxmlformats.org/officeDocument/2006/relationships" name="Tenant Report" sheetId="4" r:id="R6bc56ae138254ae8"/>
    <sheet xmlns:r="http://schemas.openxmlformats.org/officeDocument/2006/relationships" name="Data" sheetId="5" r:id="Re83b6a0dc60a488d"/>
    <sheet xmlns:r="http://schemas.openxmlformats.org/officeDocument/2006/relationships" name="Financial Statements" sheetId="6" r:id="R8f7b54dd0c2c438c"/>
    <sheet xmlns:r="http://schemas.openxmlformats.org/officeDocument/2006/relationships" name="VALUATION &amp; RETURNS" sheetId="7" r:id="R34eccd76a17b47d1"/>
    <sheet xmlns:r="http://schemas.openxmlformats.org/officeDocument/2006/relationships" name="INVESTOR REPORT" sheetId="8" r:id="R8c654b1ebc814c67"/>
    <sheet xmlns:r="http://schemas.openxmlformats.org/officeDocument/2006/relationships" name="DEBT" sheetId="9" r:id="R3567d5a9edfa4d8c"/>
    <sheet xmlns:r="http://schemas.openxmlformats.org/officeDocument/2006/relationships" name="DATA MAP" sheetId="10" r:id="R3b7cf406ca684eb7"/>
    <sheet xmlns:r="http://schemas.openxmlformats.org/officeDocument/2006/relationships" name="FUNDING &amp; CAP TABLE" sheetId="11" r:id="Rfe8e731e8f824c45"/>
    <sheet xmlns:r="http://schemas.openxmlformats.org/officeDocument/2006/relationships" name="PROJECTS" sheetId="12" r:id="R5dc3d2aa65b44259"/>
    <sheet xmlns:r="http://schemas.openxmlformats.org/officeDocument/2006/relationships" name="PROJECTS ARCHIVE" sheetId="13" r:id="R41861f6fc4a94d26"/>
    <sheet xmlns:r="http://schemas.openxmlformats.org/officeDocument/2006/relationships" name="OPERATING FORECAST" sheetId="14" r:id="R6c3edab2413241d6"/>
  </sheets>
  <definedNames>
    <definedName name="_InvestorSelectorList" hidden="1">'VALUATION &amp; RETURNS'!$B$26:$B$33</definedName>
    <definedName name="CF_Report?">Summary!$A$37</definedName>
    <definedName name="ConstDebt_Payoff">Underwriting!$E$75</definedName>
    <definedName name="CU?">Underwriting!$EQ$207</definedName>
    <definedName name="Dbl_Promote?">Underwriting!$A$220</definedName>
    <definedName name="Debt_LTC_Actual">Underwriting!$F$61</definedName>
    <definedName name="Debt_LTC_Target">Underwriting!$C$61</definedName>
    <definedName name="Debt_Total">Underwriting!$I$61</definedName>
    <definedName name="Dev_Spread">Underwriting!$I$5</definedName>
    <definedName name="EGR_0">Underwriting!$L$130</definedName>
    <definedName name="Equity_Total">Underwriting!$I$60</definedName>
    <definedName name="Fixed_Variable">Underwriting!$A$62</definedName>
    <definedName name="Interest_Const_Loan">Underwriting!$E$65</definedName>
    <definedName name="Interest_Mezz_Loan">Underwriting!$E$66</definedName>
    <definedName name="Investment_Name">Underwriting!$E$9</definedName>
    <definedName name="Items_Hard_Costs">Underwriting!$ER$38</definedName>
    <definedName name="Items_Industrial_Tenants">Underwriting!$I$91</definedName>
    <definedName name="Items_Land_Costs">Underwriting!$ER$31</definedName>
    <definedName name="Items_Opex">Underwriting!$ER$138</definedName>
    <definedName name="Items_Soft_Costs">Underwriting!$ER$47</definedName>
    <definedName name="Land_Value">Underwriting!$I$27</definedName>
    <definedName name="LeaseUp_Formula">Underwriting!$L$89</definedName>
    <definedName name="Mgmt_Fee_0">Underwriting!$L$135</definedName>
    <definedName name="Mgmt_Fee_Pct">Underwriting!$G$135</definedName>
    <definedName name="Nav_Development_CF">Underwriting!$B$23:$I$85</definedName>
    <definedName name="Nav_Industrial_Expenses">Underwriting!$B$132:$I$141</definedName>
    <definedName name="Nav_Industrial_Reserves">Underwriting!$B$142:$I$151</definedName>
    <definedName name="Nav_Investment_Description">Underwriting!$B$8:$I$21</definedName>
    <definedName name="Nav_Operating_CF">Underwriting!$B$86:$I$158</definedName>
    <definedName name="Nav_Operating_Expenses_Summary">Underwriting!$B$152:$I$155</definedName>
    <definedName name="Nav_Residual_CF">Underwriting!$B$159:$I$193</definedName>
    <definedName name="Nav_Sensitivity">Underwriting!$B$269:$I$286</definedName>
    <definedName name="Nav_Waterfall_CF">Underwriting!$B$194:$I$246</definedName>
    <definedName name="OpEx_6">Underwriting!$I$152</definedName>
    <definedName name="OpEx_7">Underwriting!$I$153</definedName>
    <definedName name="OpEx_Ins">Underwriting!$I$155</definedName>
    <definedName name="OpEx_MgtFee">Underwriting!$I$154</definedName>
    <definedName name="Perm_Debt?">Underwriting!$A$79</definedName>
    <definedName name="PermDebt_Fund">Underwriting!$C$82</definedName>
    <definedName name="PermDebt_Payoff">Underwriting!$C$83</definedName>
    <definedName name="Project_Cost_Total">Underwriting!$I$57</definedName>
    <definedName name="Proxy_Fee">Underwriting!$G$290</definedName>
    <definedName name="Range_Building_Type">Data!$B$25:INDEX(Data!$B$25:$B$46,COUNTA(Data!$B$25:$B$46))</definedName>
    <definedName name="Range_Debt">Underwriting!$L$75:INDEX(Underwriting!$L$75:$EN$75,1,Timing_Reversion_Month+1)</definedName>
    <definedName name="Range_Equity">Underwriting!$L$69:INDEX(Underwriting!$L$69:$EN$69,1,Timing_Reversion_Month+1)</definedName>
    <definedName name="Range_LeaseUp">Underwriting!$M$89:$EN$89</definedName>
    <definedName name="Range_Levered_CF">Underwriting!$L$212:INDEX(Underwriting!$L$212:$EN$212,1,Timing_Reversion_Month+1)</definedName>
    <definedName name="Range_Months">Underwriting!$L$86:INDEX(Underwriting!$L$86:$EN$86,1,Timing_Reversion_Month+1)</definedName>
    <definedName name="Range_NOI">Underwriting!$L$140:INDEX(Underwriting!$L$140:$EN$140,1,Timing_Reversion_Month+1)</definedName>
    <definedName name="Range_PermDebt">Underwriting!$80:$84</definedName>
    <definedName name="Range_PermDS">Underwriting!$156:$157</definedName>
    <definedName name="Range_Tenant_Type">Data!$D$25:INDEX(Data!$D$25:$D$46,COUNTA(Data!$D$25:$D$46))</definedName>
    <definedName name="Range_Total_Cost">Underwriting!$L$57:INDEX(Underwriting!$L$57:$EN$57,1,Timing_Reversion_Month+1)</definedName>
    <definedName name="Recalc?">Underwriting!$C$292</definedName>
    <definedName name="Recalc_Const">Underwriting!$C$290</definedName>
    <definedName name="Recalc_Mgmt">Underwriting!$C$291</definedName>
    <definedName name="Rel_2nd_Promote">Underwriting!$A$247:$A$267</definedName>
    <definedName name="Rel_Calc">Underwriting!$EP$1:$JX$1</definedName>
    <definedName name="Rel_EGR_ProForma">Underwriting!$I$130</definedName>
    <definedName name="Rel_End">Underwriting!$A$287</definedName>
    <definedName name="Rel_Hard_Costs">Underwriting!$A$38</definedName>
    <definedName name="Rel_Industrial_Base">Underwriting!$A$105</definedName>
    <definedName name="Rel_Industrial_Income_ProForma">Underwriting!$A$178</definedName>
    <definedName name="Rel_Industrial_Recovery_Income">Underwriting!$A$120</definedName>
    <definedName name="Rel_Land_Costs">Underwriting!$A$31</definedName>
    <definedName name="Rel_Mgmt_Fee_All">Underwriting!$L$135:$EN$135</definedName>
    <definedName name="REL_Mgmt_Fee_Proforma">Underwriting!$I$135</definedName>
    <definedName name="Rel_OpEx">Underwriting!$A$133</definedName>
    <definedName name="Rel_OpEx_Annual">'Annual Cash Flow'!$A$28</definedName>
    <definedName name="Rel_OpEx_Annual_Mo">'Annual Cash Flow'!$A$68</definedName>
    <definedName name="Rel_Opex_Rev">Underwriting!$A$172</definedName>
    <definedName name="Rel_PermDebtPayoff">Underwriting!$207:$207</definedName>
    <definedName name="Rel_PermDS">Underwriting!$203:$203</definedName>
    <definedName name="Rel_PermFunding">Underwriting!$200:$200</definedName>
    <definedName name="Rel_Reversion_Other_Income">Underwriting!$A$177</definedName>
    <definedName name="Rel_Sensitivity">Underwriting!$A$269</definedName>
    <definedName name="Rel_Soft_Costs">Underwriting!$A$47</definedName>
    <definedName name="Scurve_Dist">Data!$E$4</definedName>
    <definedName name="Show_Calc?">Underwriting!$EO$5</definedName>
    <definedName name="Stabilization_1st_Month">Underwriting!$D$89</definedName>
    <definedName name="Tenant_Report?">Summary!$A$19</definedName>
    <definedName name="Timing_Actuals_Cutoff">PROJECTS!$AP$257</definedName>
    <definedName name="Timing_Analysis_End_Month">Underwriting!$I$16</definedName>
    <definedName name="Timing_Construction_End">Underwriting!$E$57</definedName>
    <definedName name="Timing_Growth_Begin_Income">Underwriting!$E$89</definedName>
    <definedName name="Timing_Operation_Begin_Month">Underwriting!$D$88</definedName>
    <definedName name="Timing_Period_Status">Underwriting!$L$4:$EN$4</definedName>
    <definedName name="Timing_Reversion_Month">Underwriting!$D$164</definedName>
    <definedName name="Unit_Type">Underwriting!$I$8</definedName>
    <definedName name="Units">Underwriting!$E$105</definedName>
    <definedName name="Units_Ind">Units</definedName>
    <definedName name="Units_SF_M2">Underwriting!$I$18</definedName>
    <definedName name="Valuation_Reversion">Underwriting!$I$191</definedName>
    <definedName name="Valuation_Trended">Underwriting!$H$191</definedName>
    <definedName name="Valuation_Untrended">Underwriting!$G$191</definedName>
  </definedNames>
</workbook>
</file>

<file path=xl/metadata1.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extLst>
    </bk>
  </futureMetadata>
  <cellMetadata count="1">
    <bk>
      <rc t="1" v="0"/>
    </bk>
  </cellMetadata>
</metadata>
</file>

<file path=xl/sharedStrings.xml><?xml version="1.0" encoding="utf-8"?>
<sst xmlns="http://schemas.openxmlformats.org/spreadsheetml/2006/main">
  <si>
    <t xml:space="preserve">INVESTMENT DESCRIPTION</t>
  </si>
  <si>
    <t xml:space="preserve">Run Residual Land Value Tool</t>
  </si>
  <si>
    <t xml:space="preserve">Address</t>
  </si>
  <si>
    <t xml:space="preserve">STRENGTHS</t>
  </si>
  <si>
    <t xml:space="preserve">MODEL GOVERNANCE &amp; CONTROL STATUS</t>
  </si>
  <si>
    <t xml:space="preserve">Large Fishermans Bend urban-renewal location</t>
  </si>
  <si>
    <t xml:space="preserve">Purpose</t>
  </si>
  <si>
    <t xml:space="preserve">Integrated development, debt, valuation and investor-return model for The Bend Precinct.</t>
  </si>
  <si>
    <t xml:space="preserve">Land Area</t>
  </si>
  <si>
    <t xml:space="preserve">Diversified leisure, PBSA and ancillary uses</t>
  </si>
  <si>
    <t xml:space="preserve">Audience</t>
  </si>
  <si>
    <t xml:space="preserve">Management, prospective investors and lenders; not a substitute for legal, tax, valuation or lender advice.</t>
  </si>
  <si>
    <t xml:space="preserve">Retail Type</t>
  </si>
  <si>
    <t xml:space="preserve">Integrated property and operating schedules</t>
  </si>
  <si>
    <t xml:space="preserve">Version</t>
  </si>
  <si>
    <t xml:space="preserve"># of Retail Buildings</t>
  </si>
  <si>
    <t xml:space="preserve">Livehouse is quick to market operation.</t>
  </si>
  <si>
    <t xml:space="preserve">Input hub</t>
  </si>
  <si>
    <t xml:space="preserve">Parking (Surfaces + Structured)</t>
  </si>
  <si>
    <t xml:space="preserve">Reduced single-use concentration risk</t>
  </si>
  <si>
    <t xml:space="preserve">Scenario control</t>
  </si>
  <si>
    <t xml:space="preserve">Analysis Start</t>
  </si>
  <si>
    <t xml:space="preserve">Sustainability and green-building objectives</t>
  </si>
  <si>
    <t xml:space="preserve">Period status</t>
  </si>
  <si>
    <t xml:space="preserve">Forecast-only base model. Explicit Actual / Forecast classification is shown at Underwriting!L4:EN4.</t>
  </si>
  <si>
    <t xml:space="preserve">Construction Start</t>
  </si>
  <si>
    <t xml:space="preserve">WEAKNESSES</t>
  </si>
  <si>
    <t xml:space="preserve">Balance sheet control</t>
  </si>
  <si>
    <t xml:space="preserve">Construction End</t>
  </si>
  <si>
    <t xml:space="preserve">Commercial assumptions remain provisional</t>
  </si>
  <si>
    <t xml:space="preserve">Sources and uses control</t>
  </si>
  <si>
    <t xml:space="preserve">Operation Begin</t>
  </si>
  <si>
    <t xml:space="preserve">Independent valuation evidence required</t>
  </si>
  <si>
    <t xml:space="preserve">Debt roll-forward control</t>
  </si>
  <si>
    <t xml:space="preserve">Stabilization</t>
  </si>
  <si>
    <t xml:space="preserve">Executed lender terms remain outstanding</t>
  </si>
  <si>
    <t xml:space="preserve">Macros / calculation</t>
  </si>
  <si>
    <t xml:space="preserve">Existing VBA retained. The Operating module performs iterative management-fee solving; the workbook is set to automatic full recalculation on open.</t>
  </si>
  <si>
    <t xml:space="preserve">Sale Date</t>
  </si>
  <si>
    <t xml:space="preserve">Final QS scope and cost sign-off required</t>
  </si>
  <si>
    <t xml:space="preserve">Macro modules</t>
  </si>
  <si>
    <t xml:space="preserve">ThisWorkbook; Sheet modules; General; Budget; Sensitivity; Returns; Operating; PermDebt.</t>
  </si>
  <si>
    <t xml:space="preserve">Tax, GST and depreciation assumptions require specialist advice</t>
  </si>
  <si>
    <t xml:space="preserve">Tax and GST assumptions require specialist advice</t>
  </si>
  <si>
    <t xml:space="preserve">Open commercial items</t>
  </si>
  <si>
    <t xml:space="preserve">Returns remain sensitive to cost, timing, stabilisation and exit-yield assumptions</t>
  </si>
  <si>
    <t xml:space="preserve">Exit yield remains a material sensitivity</t>
  </si>
  <si>
    <t xml:space="preserve">Governance record</t>
  </si>
  <si>
    <t xml:space="preserve">KEY ASSUMPTIONS &amp; RETURN METRICS</t>
  </si>
  <si>
    <t xml:space="preserve">TENANT ANALYSIS REPORT: </t>
  </si>
  <si>
    <t xml:space="preserve">Hide</t>
  </si>
  <si>
    <t xml:space="preserve">Show</t>
  </si>
  <si>
    <t xml:space="preserve">Growth Rates - Income / Expense</t>
  </si>
  <si>
    <t xml:space="preserve">PRO FORMA</t>
  </si>
  <si>
    <t xml:space="preserve">PARTNERSHIP RETURNS</t>
  </si>
  <si>
    <t xml:space="preserve">ROI</t>
  </si>
  <si>
    <t xml:space="preserve">EMx </t>
  </si>
  <si>
    <t xml:space="preserve">IRR</t>
  </si>
  <si>
    <t xml:space="preserve">Effective Gross Revenue</t>
  </si>
  <si>
    <t xml:space="preserve">Limited Partners</t>
  </si>
  <si>
    <t xml:space="preserve">General Vacancy &amp; Credit Loss</t>
  </si>
  <si>
    <t xml:space="preserve">- Operating Expenses</t>
  </si>
  <si>
    <t xml:space="preserve">General Partner / Sponsor</t>
  </si>
  <si>
    <t xml:space="preserve">Expense Recovery Ratio</t>
  </si>
  <si>
    <t xml:space="preserve">Net Operating Income</t>
  </si>
  <si>
    <t xml:space="preserve">CapEx Reserve % of NOI</t>
  </si>
  <si>
    <t xml:space="preserve">- Capital Expenditures</t>
  </si>
  <si>
    <t xml:space="preserve">PROPERTY RETURNS</t>
  </si>
  <si>
    <t xml:space="preserve">Cash Flow from Operations</t>
  </si>
  <si>
    <t xml:space="preserve">Unlevered</t>
  </si>
  <si>
    <t xml:space="preserve">Cap Rate</t>
  </si>
  <si>
    <t xml:space="preserve">Levered</t>
  </si>
  <si>
    <t xml:space="preserve">Reversion Net Proceeds (After Selling Costs)</t>
  </si>
  <si>
    <t xml:space="preserve">Valuation</t>
  </si>
  <si>
    <t xml:space="preserve">DEVELOPMENT RETURNS</t>
  </si>
  <si>
    <t xml:space="preserve">% of Total Project Cost</t>
  </si>
  <si>
    <t xml:space="preserve">Equity Proceeds from Sale</t>
  </si>
  <si>
    <t xml:space="preserve">SOURCES</t>
  </si>
  <si>
    <t xml:space="preserve">%</t>
  </si>
  <si>
    <t xml:space="preserve">/Unit</t>
  </si>
  <si>
    <t xml:space="preserve">Amount</t>
  </si>
  <si>
    <t xml:space="preserve">USES</t>
  </si>
  <si>
    <t xml:space="preserve">SENSITIVITY</t>
  </si>
  <si>
    <t xml:space="preserve">Exit Cap Rate</t>
  </si>
  <si>
    <t xml:space="preserve">Total Uses</t>
  </si>
  <si>
    <t xml:space="preserve">PROPERTY-LEVEL CASH FLOW</t>
  </si>
  <si>
    <t xml:space="preserve">ANNUAL CASH FLOW REPORT: </t>
  </si>
  <si>
    <t xml:space="preserve">Mayabay Active (Melbourne) Pty Ltd</t>
  </si>
  <si>
    <t xml:space="preserve">Analysis Year</t>
  </si>
  <si>
    <t xml:space="preserve">Analysis Month</t>
  </si>
  <si>
    <t xml:space="preserve">Actual / Forecast Status</t>
  </si>
  <si>
    <t xml:space="preserve">Levered IRR</t>
  </si>
  <si>
    <t xml:space="preserve">Levered EMx:</t>
  </si>
  <si>
    <t xml:space="preserve">Development Spread (Untrended)</t>
  </si>
  <si>
    <t xml:space="preserve">Hide Calc</t>
  </si>
  <si>
    <t xml:space="preserve">Show Calc</t>
  </si>
  <si>
    <t xml:space="preserve">M2</t>
  </si>
  <si>
    <t xml:space="preserve">Name</t>
  </si>
  <si>
    <t xml:space="preserve">County</t>
  </si>
  <si>
    <t xml:space="preserve">[County]</t>
  </si>
  <si>
    <t xml:space="preserve">State</t>
  </si>
  <si>
    <t xml:space="preserve">City</t>
  </si>
  <si>
    <t xml:space="preserve">Zip Code</t>
  </si>
  <si>
    <t xml:space="preserve">[Zip Code]</t>
  </si>
  <si>
    <t xml:space="preserve">Analysis Begin Date</t>
  </si>
  <si>
    <t xml:space="preserve">Country</t>
  </si>
  <si>
    <t xml:space="preserve">Retail Building Type</t>
  </si>
  <si>
    <t xml:space="preserve">Neighborhood Center</t>
  </si>
  <si>
    <t xml:space="preserve">Leasing Strategy</t>
  </si>
  <si>
    <t xml:space="preserve">Speculative</t>
  </si>
  <si>
    <t xml:space="preserve">Analysis Period</t>
  </si>
  <si>
    <t xml:space="preserve">Suites/Tenants</t>
  </si>
  <si>
    <t xml:space="preserve"># of Buildings</t>
  </si>
  <si>
    <t xml:space="preserve">Building Coverage (Assumes one-story bldgs)</t>
  </si>
  <si>
    <t xml:space="preserve">Surface Parking Spaces</t>
  </si>
  <si>
    <t xml:space="preserve">Efficiency Ratio</t>
  </si>
  <si>
    <t xml:space="preserve">Structured Parking Spaces</t>
  </si>
  <si>
    <t xml:space="preserve">INVESTMENT PERIOD CASH FLOWS</t>
  </si>
  <si>
    <t xml:space="preserve">S-CURVE CALCULATION</t>
  </si>
  <si>
    <t xml:space="preserve">GROWTH/DECLINE CALCULATION</t>
  </si>
  <si>
    <t xml:space="preserve">SOURCES AND USES</t>
  </si>
  <si>
    <t xml:space="preserve">Analysis Date</t>
  </si>
  <si>
    <t xml:space="preserve">Start Period</t>
  </si>
  <si>
    <t xml:space="preserve">End Period</t>
  </si>
  <si>
    <t xml:space="preserve">Months</t>
  </si>
  <si>
    <t xml:space="preserve">Timing</t>
  </si>
  <si>
    <t xml:space="preserve">StDev</t>
  </si>
  <si>
    <t xml:space="preserve">START</t>
  </si>
  <si>
    <t xml:space="preserve">END</t>
  </si>
  <si>
    <t xml:space="preserve">METHOD</t>
  </si>
  <si>
    <t xml:space="preserve">AMOUNT</t>
  </si>
  <si>
    <t xml:space="preserve">Cum. Spent %</t>
  </si>
  <si>
    <t xml:space="preserve">Start</t>
  </si>
  <si>
    <t xml:space="preserve">End</t>
  </si>
  <si>
    <t xml:space="preserve">Length</t>
  </si>
  <si>
    <t xml:space="preserve">Land Costs</t>
  </si>
  <si>
    <t xml:space="preserve">Spent %</t>
  </si>
  <si>
    <t xml:space="preserve">Straight-Line</t>
  </si>
  <si>
    <t xml:space="preserve">Interim site acquisition lease deposit</t>
  </si>
  <si>
    <t xml:space="preserve">Other acquisition costs</t>
  </si>
  <si>
    <t xml:space="preserve">ARENA grant / development incentive</t>
  </si>
  <si>
    <t xml:space="preserve">Total Land Costs</t>
  </si>
  <si>
    <t xml:space="preserve"># of Land Cost Items</t>
  </si>
  <si>
    <t xml:space="preserve">S-Curve</t>
  </si>
  <si>
    <t xml:space="preserve">Net infrastructure fund</t>
  </si>
  <si>
    <t xml:space="preserve">Development-period operating adjustments</t>
  </si>
  <si>
    <t xml:space="preserve">Staged operating funding sources</t>
  </si>
  <si>
    <t xml:space="preserve">Total Hard Costs</t>
  </si>
  <si>
    <t xml:space="preserve"># of Hard Cost Items</t>
  </si>
  <si>
    <t xml:space="preserve">Included in detailed component CAPEX</t>
  </si>
  <si>
    <t xml:space="preserve">Total Soft Costs</t>
  </si>
  <si>
    <t xml:space="preserve"># of Soft Cost Items</t>
  </si>
  <si>
    <t xml:space="preserve">SOURCES AND USES CALCULATIONS</t>
  </si>
  <si>
    <t xml:space="preserve">Total</t>
  </si>
  <si>
    <t xml:space="preserve">Total Development Costs (before Carry Costs)</t>
  </si>
  <si>
    <t xml:space="preserve">Carry Costs</t>
  </si>
  <si>
    <t xml:space="preserve">CASH FLOW BY SOURCE</t>
  </si>
  <si>
    <t xml:space="preserve">Equity</t>
  </si>
  <si>
    <t xml:space="preserve">Debt w/o interest</t>
  </si>
  <si>
    <t xml:space="preserve">Debt Interest Reserve</t>
  </si>
  <si>
    <t xml:space="preserve">LTC</t>
  </si>
  <si>
    <t xml:space="preserve">FUNDING ORDER</t>
  </si>
  <si>
    <t xml:space="preserve">ANNUAL RATE</t>
  </si>
  <si>
    <t xml:space="preserve">% OF SOURCES</t>
  </si>
  <si>
    <t xml:space="preserve">Debt Operating Shortfall Reserve</t>
  </si>
  <si>
    <t xml:space="preserve">Error Check</t>
  </si>
  <si>
    <t xml:space="preserve">See Waterfall</t>
  </si>
  <si>
    <t xml:space="preserve">Funding (Construction Loan vs. Mezzanine Loan)</t>
  </si>
  <si>
    <t xml:space="preserve">Total Cash Flow by Source</t>
  </si>
  <si>
    <t xml:space="preserve">Construction Debt</t>
  </si>
  <si>
    <t xml:space="preserve">Gross Construction Interest</t>
  </si>
  <si>
    <t xml:space="preserve">Total Sources</t>
  </si>
  <si>
    <t xml:space="preserve">Lease-up Income Available to Pay Construction Interest</t>
  </si>
  <si>
    <t xml:space="preserve">/RENTABLE SF</t>
  </si>
  <si>
    <t xml:space="preserve">/UNIT</t>
  </si>
  <si>
    <t xml:space="preserve">Construction Loan</t>
  </si>
  <si>
    <t xml:space="preserve">One</t>
  </si>
  <si>
    <t xml:space="preserve">Mezzanine Loan</t>
  </si>
  <si>
    <t xml:space="preserve">Two</t>
  </si>
  <si>
    <t xml:space="preserve">Blended Interest Rate</t>
  </si>
  <si>
    <t xml:space="preserve">Fixed</t>
  </si>
  <si>
    <t xml:space="preserve">Variable</t>
  </si>
  <si>
    <t xml:space="preserve">Construction Loan Interest Rate</t>
  </si>
  <si>
    <t xml:space="preserve">CASH FLOW OF SOURCES</t>
  </si>
  <si>
    <t xml:space="preserve">BALANCE TRACKING</t>
  </si>
  <si>
    <t xml:space="preserve">Mezzanine Loan Interest Rate</t>
  </si>
  <si>
    <t xml:space="preserve">Total Equity</t>
  </si>
  <si>
    <t xml:space="preserve">Available</t>
  </si>
  <si>
    <t xml:space="preserve">Debt interest reserve</t>
  </si>
  <si>
    <t xml:space="preserve">Construction Debt before Reserves</t>
  </si>
  <si>
    <t xml:space="preserve">Debt with Operating Shortfall</t>
  </si>
  <si>
    <t xml:space="preserve">Interest Reserve</t>
  </si>
  <si>
    <t xml:space="preserve">Outstanding</t>
  </si>
  <si>
    <t xml:space="preserve">Operating Shortfall Reserve</t>
  </si>
  <si>
    <t xml:space="preserve">PAYOFF MONTH</t>
  </si>
  <si>
    <t xml:space="preserve">Total Construction Debt</t>
  </si>
  <si>
    <t xml:space="preserve">First Loan Draw</t>
  </si>
  <si>
    <t xml:space="preserve">No Perm. Debt</t>
  </si>
  <si>
    <t xml:space="preserve">Perm. Debt</t>
  </si>
  <si>
    <t xml:space="preserve">% of Stab. Value (LTV)</t>
  </si>
  <si>
    <t xml:space="preserve">% OF COST</t>
  </si>
  <si>
    <t xml:space="preserve">INTEREST-ONLY?</t>
  </si>
  <si>
    <t xml:space="preserve">AMORT.</t>
  </si>
  <si>
    <t xml:space="preserve">PAYMENT</t>
  </si>
  <si>
    <t xml:space="preserve">Permanent Debt</t>
  </si>
  <si>
    <t xml:space="preserve">Yes</t>
  </si>
  <si>
    <t xml:space="preserve">Loan Funding</t>
  </si>
  <si>
    <t xml:space="preserve">Loan Fees + Closing Costs</t>
  </si>
  <si>
    <t xml:space="preserve">Loan Payoff</t>
  </si>
  <si>
    <t xml:space="preserve">Share</t>
  </si>
  <si>
    <t xml:space="preserve">Amount w/o Int</t>
  </si>
  <si>
    <t xml:space="preserve">OPERATING PERIOD CASH FLOWS</t>
  </si>
  <si>
    <t xml:space="preserve">Construction Loan Balance (w/o interest)</t>
  </si>
  <si>
    <t xml:space="preserve">RETAIL INCOME</t>
  </si>
  <si>
    <t xml:space="preserve">PROPERTY TAX PHASE IN (% OF FULL TAX BY OPERATING YEAR)</t>
  </si>
  <si>
    <t xml:space="preserve">Mezzanine Loan Balance (w/o interest)</t>
  </si>
  <si>
    <t xml:space="preserve">Operation Begin Month</t>
  </si>
  <si>
    <t xml:space="preserve">EOY 1 of Op</t>
  </si>
  <si>
    <t xml:space="preserve">EOY 3 of Op</t>
  </si>
  <si>
    <t xml:space="preserve">Schedule</t>
  </si>
  <si>
    <t xml:space="preserve">Share of Required Debt Funding</t>
  </si>
  <si>
    <t xml:space="preserve">1st Stabilized Month</t>
  </si>
  <si>
    <t xml:space="preserve">EOY 2 of Op</t>
  </si>
  <si>
    <t xml:space="preserve">EOY 4 of Op</t>
  </si>
  <si>
    <t xml:space="preserve">Leased %</t>
  </si>
  <si>
    <t xml:space="preserve">RETAIL BASE RENTAL INCOME</t>
  </si>
  <si>
    <t xml:space="preserve">Operation Mo</t>
  </si>
  <si>
    <t xml:space="preserve">SUITE</t>
  </si>
  <si>
    <t xml:space="preserve">TENANT</t>
  </si>
  <si>
    <t xml:space="preserve">LEASE START</t>
  </si>
  <si>
    <t xml:space="preserve">RENT START</t>
  </si>
  <si>
    <t xml:space="preserve">RENT GROWTH %</t>
  </si>
  <si>
    <t xml:space="preserve">ANNUAL RENT (YR 1)</t>
  </si>
  <si>
    <t xml:space="preserve">RENT STEPS</t>
  </si>
  <si>
    <t xml:space="preserve">OCCUPANCY</t>
  </si>
  <si>
    <t xml:space="preserve">SF</t>
  </si>
  <si>
    <t xml:space="preserve">RENT</t>
  </si>
  <si>
    <t xml:space="preserve">Frequency</t>
  </si>
  <si>
    <t xml:space="preserve">URWLD</t>
  </si>
  <si>
    <t xml:space="preserve">Annual</t>
  </si>
  <si>
    <t xml:space="preserve">Student Accommodation</t>
  </si>
  <si>
    <t xml:space="preserve">Macquarie/IGLU; Brookfield/Journal</t>
  </si>
  <si>
    <t xml:space="preserve">LiveHouse</t>
  </si>
  <si>
    <t xml:space="preserve">Flexible Retail/F&amp;B</t>
  </si>
  <si>
    <t xml:space="preserve">Food Truck Park</t>
  </si>
  <si>
    <t xml:space="preserve">Genesis Health &amp; Fitness</t>
  </si>
  <si>
    <t xml:space="preserve">Car Park</t>
  </si>
  <si>
    <t xml:space="preserve">Secure (Preferred)</t>
  </si>
  <si>
    <t xml:space="preserve">Snowtunnel</t>
  </si>
  <si>
    <t xml:space="preserve">Go Kart</t>
  </si>
  <si>
    <t xml:space="preserve">Funtime Group</t>
  </si>
  <si>
    <t xml:space="preserve">Landscape-Based Attraction</t>
  </si>
  <si>
    <t xml:space="preserve">Operating Group</t>
  </si>
  <si>
    <t xml:space="preserve">Self-Storage Facility</t>
  </si>
  <si>
    <t xml:space="preserve">Storage King</t>
  </si>
  <si>
    <t xml:space="preserve">Convenience Store / Laundromat</t>
  </si>
  <si>
    <t xml:space="preserve">7-Eleven / App Automation</t>
  </si>
  <si>
    <t xml:space="preserve">eBike / eScooter Storage</t>
  </si>
  <si>
    <t xml:space="preserve">App Automation</t>
  </si>
  <si>
    <t xml:space="preserve">TOTAL RENTAL INCOME</t>
  </si>
  <si>
    <t xml:space="preserve">Total Rental Income</t>
  </si>
  <si>
    <t xml:space="preserve">RECOVERY INCOME</t>
  </si>
  <si>
    <t xml:space="preserve">STATUS</t>
  </si>
  <si>
    <t xml:space="preserve">TENANT TYPE</t>
  </si>
  <si>
    <t xml:space="preserve">RECOVERY START</t>
  </si>
  <si>
    <t xml:space="preserve">RECOVERY %</t>
  </si>
  <si>
    <t xml:space="preserve">PRO RATA SHARE</t>
  </si>
  <si>
    <t xml:space="preserve">AMOUNT/YR</t>
  </si>
  <si>
    <t xml:space="preserve">Signed LOI</t>
  </si>
  <si>
    <t xml:space="preserve">Anchor</t>
  </si>
  <si>
    <t xml:space="preserve">Discussion</t>
  </si>
  <si>
    <t xml:space="preserve">Inline</t>
  </si>
  <si>
    <t xml:space="preserve">Spec</t>
  </si>
  <si>
    <t xml:space="preserve">Outparcel</t>
  </si>
  <si>
    <t xml:space="preserve">TOTAL RECOVERY INCOME</t>
  </si>
  <si>
    <t xml:space="preserve">OTHER INCOME</t>
  </si>
  <si>
    <t xml:space="preserve">% FIXED</t>
  </si>
  <si>
    <t xml:space="preserve">ANN. GROWTH</t>
  </si>
  <si>
    <t xml:space="preserve">% OF RENTAL INC.</t>
  </si>
  <si>
    <t xml:space="preserve">Parking and ancillary revenue</t>
  </si>
  <si>
    <t xml:space="preserve">Storage revenue</t>
  </si>
  <si>
    <t xml:space="preserve">Management operating forecast adjustment</t>
  </si>
  <si>
    <t xml:space="preserve">Total other revenue</t>
  </si>
  <si>
    <t xml:space="preserve">Gross operating revenue</t>
  </si>
  <si>
    <t xml:space="preserve">Vacancy and credit loss</t>
  </si>
  <si>
    <t xml:space="preserve">Effective gross revenue</t>
  </si>
  <si>
    <t xml:space="preserve">EXP. GROWTH</t>
  </si>
  <si>
    <t xml:space="preserve">% OF EGR</t>
  </si>
  <si>
    <t xml:space="preserve">Operation Year</t>
  </si>
  <si>
    <t xml:space="preserve">Mill Rate</t>
  </si>
  <si>
    <t xml:space="preserve">Property Tax Phase In %</t>
  </si>
  <si>
    <t xml:space="preserve">Operating Expenses</t>
  </si>
  <si>
    <t xml:space="preserve"># of OpEx Items</t>
  </si>
  <si>
    <t xml:space="preserve">CAPITAL EXPENDITURES</t>
  </si>
  <si>
    <t xml:space="preserve">ASSUMPTIONS</t>
  </si>
  <si>
    <t xml:space="preserve">New Lease</t>
  </si>
  <si>
    <t xml:space="preserve">Renewal Lease</t>
  </si>
  <si>
    <t xml:space="preserve">CALCULATION</t>
  </si>
  <si>
    <t xml:space="preserve">Renewal Probability</t>
  </si>
  <si>
    <t xml:space="preserve">Average Retail Market Rent</t>
  </si>
  <si>
    <t xml:space="preserve">Tenant Improvements</t>
  </si>
  <si>
    <t xml:space="preserve">Leasing Commissions</t>
  </si>
  <si>
    <t xml:space="preserve">Total Leasing Costs</t>
  </si>
  <si>
    <t xml:space="preserve">Lease Term</t>
  </si>
  <si>
    <t xml:space="preserve">Leasing Cost/Yr</t>
  </si>
  <si>
    <t xml:space="preserve">Downtime + Free Rent</t>
  </si>
  <si>
    <t xml:space="preserve">Growth Rate</t>
  </si>
  <si>
    <t xml:space="preserve">Leasing Cost Reserve</t>
  </si>
  <si>
    <t xml:space="preserve">CapEx Reserve</t>
  </si>
  <si>
    <t xml:space="preserve">TOTAL CAPITAL EXPENDITURES</t>
  </si>
  <si>
    <t xml:space="preserve">Capital Expenditures</t>
  </si>
  <si>
    <t xml:space="preserve">CASH FLOW FROM OPERATIONS</t>
  </si>
  <si>
    <t xml:space="preserve">Debt Service (Permanent Debt)</t>
  </si>
  <si>
    <t xml:space="preserve">CASH FLOW AFTER FINANCING</t>
  </si>
  <si>
    <t xml:space="preserve">Cash Flow after Financing</t>
  </si>
  <si>
    <t xml:space="preserve">REVERSION (SALE) CASH FLOWS</t>
  </si>
  <si>
    <t xml:space="preserve">TIMING</t>
  </si>
  <si>
    <t xml:space="preserve">Detailed Sale/Valuation?</t>
  </si>
  <si>
    <t xml:space="preserve">No</t>
  </si>
  <si>
    <t xml:space="preserve">REVERSION (SALE) ASSUMPTIONS</t>
  </si>
  <si>
    <t xml:space="preserve">DETAILED SALE/VALUATION</t>
  </si>
  <si>
    <t xml:space="preserve">Sale Month:</t>
  </si>
  <si>
    <t xml:space="preserve">Market Cap Rate Today</t>
  </si>
  <si>
    <t xml:space="preserve">Portion</t>
  </si>
  <si>
    <t xml:space="preserve">Untrended NOI</t>
  </si>
  <si>
    <t xml:space="preserve">Sale NOI</t>
  </si>
  <si>
    <t xml:space="preserve">Stab. Cap</t>
  </si>
  <si>
    <t xml:space="preserve">Terminal Cap</t>
  </si>
  <si>
    <t xml:space="preserve">Stabilized (Untrended)</t>
  </si>
  <si>
    <t xml:space="preserve">Sale </t>
  </si>
  <si>
    <t xml:space="preserve">Cap Rate at Sale (Terminal Cap)</t>
  </si>
  <si>
    <t xml:space="preserve">Remaining Portion</t>
  </si>
  <si>
    <t xml:space="preserve">Selling Costs</t>
  </si>
  <si>
    <t xml:space="preserve">Sale Month</t>
  </si>
  <si>
    <t xml:space="preserve">STABILIZED (UNTRENDED)</t>
  </si>
  <si>
    <t xml:space="preserve">SALE</t>
  </si>
  <si>
    <t xml:space="preserve">Rental Income</t>
  </si>
  <si>
    <t xml:space="preserve">Inline Space</t>
  </si>
  <si>
    <t xml:space="preserve">Recovery Income</t>
  </si>
  <si>
    <t xml:space="preserve">Other Income</t>
  </si>
  <si>
    <t xml:space="preserve">[Portion]</t>
  </si>
  <si>
    <t xml:space="preserve">POTENTIAL GROSS INCOME</t>
  </si>
  <si>
    <t xml:space="preserve">- Retail Vacancy and Credit Loss</t>
  </si>
  <si>
    <t xml:space="preserve">EFFECTIVE GROSS REVENUE</t>
  </si>
  <si>
    <t xml:space="preserve">Error Check:</t>
  </si>
  <si>
    <t xml:space="preserve">Stabilized</t>
  </si>
  <si>
    <t xml:space="preserve">Sale</t>
  </si>
  <si>
    <t xml:space="preserve">TOTAL OPERATING EXPENSES</t>
  </si>
  <si>
    <t xml:space="preserve">NET OPERATING INCOME</t>
  </si>
  <si>
    <t xml:space="preserve">Retail Leasing Reserve</t>
  </si>
  <si>
    <t xml:space="preserve">SALE PROCEEDS</t>
  </si>
  <si>
    <t xml:space="preserve">VALUATION</t>
  </si>
  <si>
    <t xml:space="preserve">Gross Sale Proceeds (Direct Cap)</t>
  </si>
  <si>
    <t xml:space="preserve">Net Sale Proceeds</t>
  </si>
  <si>
    <t xml:space="preserve">PROJECT COST</t>
  </si>
  <si>
    <t xml:space="preserve">NOI</t>
  </si>
  <si>
    <t xml:space="preserve">Stabilized Value</t>
  </si>
  <si>
    <t xml:space="preserve">RETURNS</t>
  </si>
  <si>
    <t xml:space="preserve">PARTNERSHIP WATERFALL</t>
  </si>
  <si>
    <t xml:space="preserve">PROPERTY-LEVEL CASH FLOWS</t>
  </si>
  <si>
    <t xml:space="preserve">Asset Management Fee</t>
  </si>
  <si>
    <t xml:space="preserve">Total Project Cost (Before Carry Costs)</t>
  </si>
  <si>
    <t xml:space="preserve">DISTRIBUTIONS TO GP AND LP</t>
  </si>
  <si>
    <t xml:space="preserve">Adjusted Net Levered Cash Flow</t>
  </si>
  <si>
    <t xml:space="preserve">Total Construction Loan Interest (Before Lease-up Income)</t>
  </si>
  <si>
    <t xml:space="preserve">RETURN OF CAPITAL &amp;</t>
  </si>
  <si>
    <t xml:space="preserve">Beginning Balance (LP Capital Account)</t>
  </si>
  <si>
    <t xml:space="preserve">Total Construction Loan Draws</t>
  </si>
  <si>
    <t xml:space="preserve">HURDLE 1 DISTRIBUTION</t>
  </si>
  <si>
    <t xml:space="preserve">Req'd Return by LP (Pref)</t>
  </si>
  <si>
    <t xml:space="preserve">Permanent Loan Funding</t>
  </si>
  <si>
    <t xml:space="preserve">Hurdle</t>
  </si>
  <si>
    <t xml:space="preserve">Contributions from LP</t>
  </si>
  <si>
    <t xml:space="preserve">Distributions to LP (Hurdle 1)</t>
  </si>
  <si>
    <t xml:space="preserve">Ending Balance (LP Capital Account)</t>
  </si>
  <si>
    <t xml:space="preserve">Permanent Loan Debt Service</t>
  </si>
  <si>
    <t xml:space="preserve">IRR Check</t>
  </si>
  <si>
    <t xml:space="preserve">Beginning Balance (GP Capital Account)</t>
  </si>
  <si>
    <t xml:space="preserve">Req'd Return by GP (Pref)</t>
  </si>
  <si>
    <t xml:space="preserve">- Construction Loan Payoff</t>
  </si>
  <si>
    <t xml:space="preserve">Contributions from GP</t>
  </si>
  <si>
    <t xml:space="preserve">- Permanent Loan Payoff</t>
  </si>
  <si>
    <t xml:space="preserve">Catch Up?</t>
  </si>
  <si>
    <t xml:space="preserve">Distributions to GP (Hurdle 1)</t>
  </si>
  <si>
    <t xml:space="preserve">Equity Proceeds from Capital Event(s)</t>
  </si>
  <si>
    <t xml:space="preserve">Ending Balance (GP Capital Account)</t>
  </si>
  <si>
    <t xml:space="preserve">EQUITY MULTIPLE</t>
  </si>
  <si>
    <t xml:space="preserve">NET PROFIT</t>
  </si>
  <si>
    <t xml:space="preserve">Developer Fee to GP + AUM Fee</t>
  </si>
  <si>
    <t xml:space="preserve">Net Unlevered Cash Flow</t>
  </si>
  <si>
    <t xml:space="preserve">Total Distributions (Hurdle 1)</t>
  </si>
  <si>
    <t xml:space="preserve">Net Levered Cash Flow</t>
  </si>
  <si>
    <t xml:space="preserve">Cash Flow Remaining</t>
  </si>
  <si>
    <t xml:space="preserve">HURDLE 2 DISTRIBUTION</t>
  </si>
  <si>
    <t xml:space="preserve">Yield-on-Cost</t>
  </si>
  <si>
    <t xml:space="preserve">Market Cap Rate</t>
  </si>
  <si>
    <t xml:space="preserve">Prior Distributions</t>
  </si>
  <si>
    <t xml:space="preserve">Development Spread</t>
  </si>
  <si>
    <t xml:space="preserve">Distributions to LP (Hurdle 2)</t>
  </si>
  <si>
    <t xml:space="preserve">PARTNERSHIP-LEVEL CASH FLOWS</t>
  </si>
  <si>
    <t xml:space="preserve">Sgl. Promote</t>
  </si>
  <si>
    <t xml:space="preserve">Dbl. Promote</t>
  </si>
  <si>
    <t xml:space="preserve">Include Dev. Fee?</t>
  </si>
  <si>
    <t xml:space="preserve">Distribution to GP</t>
  </si>
  <si>
    <t xml:space="preserve">AUM Fee:</t>
  </si>
  <si>
    <t xml:space="preserve">% of Project Cost</t>
  </si>
  <si>
    <t xml:space="preserve">AUM Fee Starts:</t>
  </si>
  <si>
    <t xml:space="preserve">AUM Fee %:</t>
  </si>
  <si>
    <t xml:space="preserve">RETURNS SUMMARY</t>
  </si>
  <si>
    <t xml:space="preserve">Contributions</t>
  </si>
  <si>
    <t xml:space="preserve">Net Profit</t>
  </si>
  <si>
    <t xml:space="preserve">Total Distributions (Hurdle 2)</t>
  </si>
  <si>
    <t xml:space="preserve">HURDLE 3 DISTRIBUTION</t>
  </si>
  <si>
    <t xml:space="preserve">GP-LP CONTRIBUTIONS</t>
  </si>
  <si>
    <t xml:space="preserve">Distributions to LP (Hurdle 3)</t>
  </si>
  <si>
    <t xml:space="preserve">GP</t>
  </si>
  <si>
    <t xml:space="preserve">LP</t>
  </si>
  <si>
    <t xml:space="preserve">Total Distributions (Hurdle 3)</t>
  </si>
  <si>
    <t xml:space="preserve">DISTRIBUTION WATERFALL</t>
  </si>
  <si>
    <t xml:space="preserve">IRR Hurdle</t>
  </si>
  <si>
    <t xml:space="preserve">GP Promote</t>
  </si>
  <si>
    <t xml:space="preserve">Dist. % to GP</t>
  </si>
  <si>
    <t xml:space="preserve">Dist. % to LP</t>
  </si>
  <si>
    <t xml:space="preserve">Pref. Return</t>
  </si>
  <si>
    <t xml:space="preserve">GP Catch Up?</t>
  </si>
  <si>
    <t xml:space="preserve">up to</t>
  </si>
  <si>
    <t xml:space="preserve">HURDLE 4 DISTRIBUTION</t>
  </si>
  <si>
    <t xml:space="preserve">Distribution to LP</t>
  </si>
  <si>
    <t xml:space="preserve">2nd Tier</t>
  </si>
  <si>
    <t xml:space="preserve">3rd Tier</t>
  </si>
  <si>
    <t xml:space="preserve">Total Distributions (Hurdle 4)</t>
  </si>
  <si>
    <t xml:space="preserve">4th Tier</t>
  </si>
  <si>
    <t xml:space="preserve">above</t>
  </si>
  <si>
    <t xml:space="preserve">Net Levered GP Cash Flow (before Dev. Fee)</t>
  </si>
  <si>
    <t xml:space="preserve">DISTRIBUTIONS TO GP 1 AND GP 2</t>
  </si>
  <si>
    <t xml:space="preserve">GP-LP DISTRIBUTIONS</t>
  </si>
  <si>
    <t xml:space="preserve">Beginning Balance (GP 2 Capital Account)</t>
  </si>
  <si>
    <t xml:space="preserve">Req'd Return by GP 2 (Pref)</t>
  </si>
  <si>
    <t xml:space="preserve">Contributions from GP 2</t>
  </si>
  <si>
    <t xml:space="preserve">Distributions to GP 2 (Hurdle 1)</t>
  </si>
  <si>
    <t xml:space="preserve">Ending Balance (GP 2 Capital Account)</t>
  </si>
  <si>
    <t xml:space="preserve">GP-LP NET CASH FLOW</t>
  </si>
  <si>
    <t xml:space="preserve">Distribution to GP 1</t>
  </si>
  <si>
    <t xml:space="preserve">2ND WATERFALL (GP 1 AND GP 2)</t>
  </si>
  <si>
    <t xml:space="preserve">CO-GP CONTRIBUTIONS</t>
  </si>
  <si>
    <t xml:space="preserve">Share of Dev. Fee</t>
  </si>
  <si>
    <t xml:space="preserve">Share of Equity</t>
  </si>
  <si>
    <t xml:space="preserve">Equity Amount</t>
  </si>
  <si>
    <t xml:space="preserve">GP 1</t>
  </si>
  <si>
    <t xml:space="preserve">[General Partner 1 Name]</t>
  </si>
  <si>
    <t xml:space="preserve">GP 2</t>
  </si>
  <si>
    <t xml:space="preserve">[General Partner 2 Name]</t>
  </si>
  <si>
    <t xml:space="preserve">Distributions to GP 2 (Hurdle 2)</t>
  </si>
  <si>
    <t xml:space="preserve">Distributions to GP 2 (Hurdle 3)</t>
  </si>
  <si>
    <t xml:space="preserve">Distribution to GP 2</t>
  </si>
  <si>
    <t xml:space="preserve">SENSITIVITY ANALYSIS</t>
  </si>
  <si>
    <t xml:space="preserve">SENSITIVITY #1</t>
  </si>
  <si>
    <t xml:space="preserve">SENSITIVITY #2</t>
  </si>
  <si>
    <t xml:space="preserve">Vacancy</t>
  </si>
  <si>
    <t xml:space="preserve">Dev. Spread</t>
  </si>
  <si>
    <t xml:space="preserve">Levered EMx</t>
  </si>
  <si>
    <t xml:space="preserve">Base Case</t>
  </si>
  <si>
    <t xml:space="preserve">Downside #1</t>
  </si>
  <si>
    <t xml:space="preserve">Downside #2</t>
  </si>
  <si>
    <t xml:space="preserve">Downside #3</t>
  </si>
  <si>
    <t xml:space="preserve">Downside #4</t>
  </si>
  <si>
    <t xml:space="preserve">Downside #5</t>
  </si>
  <si>
    <t xml:space="preserve">SENSITIVITY #3</t>
  </si>
  <si>
    <t xml:space="preserve">SENSITIVITY #4</t>
  </si>
  <si>
    <t xml:space="preserve">Inc. Growth</t>
  </si>
  <si>
    <t xml:space="preserve">Exp. Growth</t>
  </si>
  <si>
    <t xml:space="preserve">Recalculate Module</t>
  </si>
  <si>
    <t xml:space="preserve">Complete</t>
  </si>
  <si>
    <t xml:space="preserve">Mgmt Fee Calculate</t>
  </si>
  <si>
    <t xml:space="preserve">ProForma</t>
  </si>
  <si>
    <t xml:space="preserve">Mgmt Fee</t>
  </si>
  <si>
    <t xml:space="preserve">Target</t>
  </si>
  <si>
    <t xml:space="preserve">Recalculate Complete?</t>
  </si>
  <si>
    <t xml:space="preserve">Actual</t>
  </si>
  <si>
    <t xml:space="preserve">ANNUAL CASH FLOW</t>
  </si>
  <si>
    <t xml:space="preserve">Period Ending</t>
  </si>
  <si>
    <t xml:space="preserve">ANNUAL DEVELOPMENT CASH FLOWS</t>
  </si>
  <si>
    <t xml:space="preserve">Hard Costs / Development Adjustments</t>
  </si>
  <si>
    <t xml:space="preserve">Soft Costs</t>
  </si>
  <si>
    <t xml:space="preserve">TOTAL PROJECT COST BEFORE FINANCING</t>
  </si>
  <si>
    <t xml:space="preserve">TOTAL PROJECT COST</t>
  </si>
  <si>
    <t xml:space="preserve">FUNDING TIMING / ELIGIBILITY BRIDGE</t>
  </si>
  <si>
    <t xml:space="preserve">SOURCES LESS USES LESS BRIDGE (CHECK)</t>
  </si>
  <si>
    <t xml:space="preserve">ANNUAL OPERATING CASH FLOWS</t>
  </si>
  <si>
    <t xml:space="preserve">TOTAL POTENTIAL INCOME</t>
  </si>
  <si>
    <t xml:space="preserve">- General Vacancy and Credit Loss</t>
  </si>
  <si>
    <t xml:space="preserve">OPERATING EXPENSES</t>
  </si>
  <si>
    <t xml:space="preserve">ANNUAL PROPERTY-LEVEL CASH FLOWS</t>
  </si>
  <si>
    <t xml:space="preserve">ANALYSIS YEAR</t>
  </si>
  <si>
    <t xml:space="preserve">MONTHLY DEVELOPMENT CASH FLOWS</t>
  </si>
  <si>
    <t xml:space="preserve">MONTH END</t>
  </si>
  <si>
    <t xml:space="preserve">GROSS SOURCES</t>
  </si>
  <si>
    <t xml:space="preserve">GROSS SOURCES LESS USES (TIMING / ELIGIBILITY BRIDGE)</t>
  </si>
  <si>
    <t xml:space="preserve">MONTHLY OPERATING CASH FLOWS</t>
  </si>
  <si>
    <t xml:space="preserve">MONTHLY PROPERTY-LEVEL CASH FLOWS</t>
  </si>
  <si>
    <t xml:space="preserve">Total Loan Draws</t>
  </si>
  <si>
    <t xml:space="preserve">Financing Costs</t>
  </si>
  <si>
    <t xml:space="preserve">- Loan Payoff</t>
  </si>
  <si>
    <t xml:space="preserve">TENANT &amp; LEASE REGISTER</t>
  </si>
  <si>
    <t xml:space="preserve">PORTFOLIO LEASE-UP PROFILE</t>
  </si>
  <si>
    <t xml:space="preserve">New NRA Leased</t>
  </si>
  <si>
    <t xml:space="preserve">% of NRA Leased</t>
  </si>
  <si>
    <t xml:space="preserve">Cumulative % of NRA Leased</t>
  </si>
  <si>
    <t xml:space="preserve">PORTFOLIO SUMMARY</t>
  </si>
  <si>
    <t xml:space="preserve">Total linked NRA</t>
  </si>
  <si>
    <t xml:space="preserve">sqm</t>
  </si>
  <si>
    <t xml:space="preserve">Source lease schedule GLA</t>
  </si>
  <si>
    <t xml:space="preserve">Source / linked area variance</t>
  </si>
  <si>
    <t xml:space="preserve">Area reconciliation status</t>
  </si>
  <si>
    <t xml:space="preserve">Annual lease rent — Year 1</t>
  </si>
  <si>
    <t xml:space="preserve">A$m</t>
  </si>
  <si>
    <t xml:space="preserve">Weighted average lease rent</t>
  </si>
  <si>
    <t xml:space="preserve">A$/sqm p.a.</t>
  </si>
  <si>
    <t xml:space="preserve">Standard rental escalation</t>
  </si>
  <si>
    <t xml:space="preserve">Committed occupancy</t>
  </si>
  <si>
    <t xml:space="preserve">First model lease start</t>
  </si>
  <si>
    <t xml:space="preserve">month</t>
  </si>
  <si>
    <t xml:space="preserve">First model rent start</t>
  </si>
  <si>
    <t xml:space="preserve">Lease-based components</t>
  </si>
  <si>
    <t xml:space="preserve">count</t>
  </si>
  <si>
    <t xml:space="preserve">Operating-revenue components</t>
  </si>
  <si>
    <t xml:space="preserve">TENANT RENT ROLL — LINKED TO UNDERWRITING</t>
  </si>
  <si>
    <t xml:space="preserve">Component</t>
  </si>
  <si>
    <t xml:space="preserve">Current Model Tenant / Operator</t>
  </si>
  <si>
    <t xml:space="preserve">Commercial Basis</t>
  </si>
  <si>
    <t xml:space="preserve">Linked GLA (sqm)</t>
  </si>
  <si>
    <t xml:space="preserve">GLA %</t>
  </si>
  <si>
    <t xml:space="preserve">Lease Start (Mo.)</t>
  </si>
  <si>
    <t xml:space="preserve">Rent Start (Mo.)</t>
  </si>
  <si>
    <t xml:space="preserve">Base Rent ($/sqm p.a.)</t>
  </si>
  <si>
    <t xml:space="preserve">Annual Rent — Yr 1 (A$m)</t>
  </si>
  <si>
    <t xml:space="preserve">Escalation</t>
  </si>
  <si>
    <t xml:space="preserve">Rent Step</t>
  </si>
  <si>
    <t xml:space="preserve">Source GLA (sqm)</t>
  </si>
  <si>
    <t xml:space="preserve">Source Area Variance (sqm)</t>
  </si>
  <si>
    <t xml:space="preserve">Source 2029 Lease / Revenue (A$m)</t>
  </si>
  <si>
    <t xml:space="preserve">Model Status / Basis</t>
  </si>
  <si>
    <t xml:space="preserve">Control Note</t>
  </si>
  <si>
    <t xml:space="preserve">Lease</t>
  </si>
  <si>
    <t xml:space="preserve">Modelled / committed assumption</t>
  </si>
  <si>
    <t xml:space="preserve">Source model identifies Mayabay as operator; 30-year term plus options.</t>
  </si>
  <si>
    <t xml:space="preserve">Operating revenue</t>
  </si>
  <si>
    <t xml:space="preserve">Revenue-after-expenses basis; no lease terms or definitive counterparty in the source workbook.</t>
  </si>
  <si>
    <t xml:space="preserve">20-year lease input. Commencement and 18-month fit-out chronology requires validation.</t>
  </si>
  <si>
    <t xml:space="preserve">Food Truck Park with 8 stalls; 3-year lease input; no abatement in source label.</t>
  </si>
  <si>
    <t xml:space="preserve">5-year term with extensions; 6-month fit-out and 50% abatement.</t>
  </si>
  <si>
    <t xml:space="preserve">Operating-income component; source model also states 800 spaces.</t>
  </si>
  <si>
    <t xml:space="preserve">10-year term with options; 9-month fit-out and 50% abatement.</t>
  </si>
  <si>
    <t xml:space="preserve">5-year term with options; abatement duration conflicts across source sheets.</t>
  </si>
  <si>
    <t xml:space="preserve">Source label says no abatement, but source inputs include 25%; reconcile.</t>
  </si>
  <si>
    <t xml:space="preserve">Operating-revenue component; no contractual lease terms in the source schedule.</t>
  </si>
  <si>
    <t xml:space="preserve">Source GLA is 2,000 sqm versus 64 sqm linked in Underwriting; reconcile.</t>
  </si>
  <si>
    <t xml:space="preserve">Source GLA is 120 sqm versus 48 sqm linked in Underwriting; reconcile.</t>
  </si>
  <si>
    <t xml:space="preserve">TOTAL / WEIGHTED AVERAGE</t>
  </si>
  <si>
    <t xml:space="preserve">100% committed model assumption</t>
  </si>
  <si>
    <t xml:space="preserve">Source GLA and linked model NRA do not reconcile; see controls below.</t>
  </si>
  <si>
    <t xml:space="preserve">LEASE TERMS &amp; INCENTIVES — SOURCE WORKBOOK</t>
  </si>
  <si>
    <t xml:space="preserve">Payment Frequency</t>
  </si>
  <si>
    <t xml:space="preserve">GST Included</t>
  </si>
  <si>
    <t xml:space="preserve">Market Review (Yr)</t>
  </si>
  <si>
    <t xml:space="preserve">Lease Term (Yr)</t>
  </si>
  <si>
    <t xml:space="preserve">Extensions (Yr)</t>
  </si>
  <si>
    <t xml:space="preserve">Further Options (Yr)</t>
  </si>
  <si>
    <t xml:space="preserve">Site Works / Access</t>
  </si>
  <si>
    <t xml:space="preserve">Lease Commencement / Outgoings</t>
  </si>
  <si>
    <t xml:space="preserve">Fit-out Rent-Free (Months)</t>
  </si>
  <si>
    <t xml:space="preserve">Rent Abatement (Years)</t>
  </si>
  <si>
    <t xml:space="preserve">Abatement Level</t>
  </si>
  <si>
    <t xml:space="preserve">Abatement Treatment</t>
  </si>
  <si>
    <t xml:space="preserve">Source Cells</t>
  </si>
  <si>
    <t xml:space="preserve">Open Item / Control</t>
  </si>
  <si>
    <t xml:space="preserve">Current Model Link</t>
  </si>
  <si>
    <t xml:space="preserve">Monthly</t>
  </si>
  <si>
    <t xml:space="preserve">NO</t>
  </si>
  <si>
    <t xml:space="preserve">May-2027</t>
  </si>
  <si>
    <t xml:space="preserve">Mar-2028</t>
  </si>
  <si>
    <t xml:space="preserve">50% for first 4 years</t>
  </si>
  <si>
    <t xml:space="preserve">LTA!B9:Q9 | LAM!D8:F8</t>
  </si>
  <si>
    <t xml:space="preserve">Terms appear internally consistent; executed lease not supplied.</t>
  </si>
  <si>
    <t xml:space="preserve">No abatement / revenue basis</t>
  </si>
  <si>
    <t xml:space="preserve">LTA!B10:Q10 | LAM!D9:F9</t>
  </si>
  <si>
    <t xml:space="preserve">No lease-term assumptions supplied; operating-revenue basis.</t>
  </si>
  <si>
    <t xml:space="preserve">Jun-2027</t>
  </si>
  <si>
    <t xml:space="preserve">LTA!B11:Q11 | LAM!D10:F10</t>
  </si>
  <si>
    <t xml:space="preserve">Source commencement is Jun-2027 while fit-out rent-free is 18 months; verify chronology.</t>
  </si>
  <si>
    <t xml:space="preserve">No abatement</t>
  </si>
  <si>
    <t xml:space="preserve">LTA!B12:Q12 | LAM!D11:F11</t>
  </si>
  <si>
    <t xml:space="preserve">No site-access or commencement dates supplied.</t>
  </si>
  <si>
    <t xml:space="preserve">LTA!B13:Q13 | LAM!D12:F12</t>
  </si>
  <si>
    <t xml:space="preserve">Definitive lease documentation not supplied.</t>
  </si>
  <si>
    <t xml:space="preserve">LTA!B14:Q14 | LAM!D13:F13</t>
  </si>
  <si>
    <t xml:space="preserve">LTA!B15:Q15 | LAM!D14:F14</t>
  </si>
  <si>
    <t xml:space="preserve">Lease terms: 2 years; abatement model: 4 years</t>
  </si>
  <si>
    <t xml:space="preserve">LTA!B16:Q16 | LAM!D15:F15</t>
  </si>
  <si>
    <t xml:space="preserve">Abatement-period conflict between source sheets.</t>
  </si>
  <si>
    <t xml:space="preserve">Label says no abatement; inputs show 25% and conflicting duration</t>
  </si>
  <si>
    <t xml:space="preserve">LTA!B17:Q17 | LAM!D16:F16</t>
  </si>
  <si>
    <t xml:space="preserve">Abatement label, percentage and duration conflict within source workbook.</t>
  </si>
  <si>
    <t xml:space="preserve">LTA!B18:Q18 | LAM!D17:F17</t>
  </si>
  <si>
    <t xml:space="preserve">LTA!B19:Q19 | LAM!D18:F18</t>
  </si>
  <si>
    <t xml:space="preserve">Area conflicts with linked model and prior project detail.</t>
  </si>
  <si>
    <t xml:space="preserve">LTA!B20:Q20 | LAM!D19:F19</t>
  </si>
  <si>
    <t xml:space="preserve">CONTROL SUMMARY</t>
  </si>
  <si>
    <t xml:space="preserve">Lease terms populated</t>
  </si>
  <si>
    <t xml:space="preserve">Area variance rows</t>
  </si>
  <si>
    <t xml:space="preserve">Abatement conflicts</t>
  </si>
  <si>
    <t xml:space="preserve">Missing lease terms</t>
  </si>
  <si>
    <t xml:space="preserve">Status</t>
  </si>
  <si>
    <t xml:space="preserve">RECONCILIATION REQUIRED</t>
  </si>
  <si>
    <t xml:space="preserve">KEY CONTROLS &amp; OPEN ITEMS</t>
  </si>
  <si>
    <t xml:space="preserve">1. Source hierarchy: lease terms are taken from 20260724_BENDPRECINCT_INSTITUTIONAL_MODEL_EXECUTIVE_DASHBOARD_V1.11. LTA = LEASE_TERMS_ASSUMPTIONS; LAM = LEASE ABATEMENT MODEL.</t>
  </si>
  <si>
    <t xml:space="preserve">2. Model linkage: component names, current tenant/operator labels, GLA, lease-start months, rent-start months, base rent, annual rent, escalation and rent-step frequency link directly to Underwriting rows 93–104.</t>
  </si>
  <si>
    <t xml:space="preserve">3. Occupancy: the source model assumes 100% committed occupancy and no vacancy allowance. This is a modelling assumption, not confirmation of executed lease documentation.</t>
  </si>
  <si>
    <t xml:space="preserve">4. Area reconciliation: source lease-schedule GLA is 80,320.38 sqm versus linked model NRA of 78,312.38 sqm. The 2,008 sqm variance is driven by Convenience Store/Laundromat and eBike/eScooter inputs.</t>
  </si>
  <si>
    <t xml:space="preserve">5. Abatement reconciliation: Go Kart and Landscape-Based Attraction contain conflicting abatement duration or labelling across the source worksheets. No silent correction has been made.</t>
  </si>
  <si>
    <t xml:space="preserve">6. Operating components: Student Accommodation, Car Park, Self-Storage, Convenience Store/Laundromat and eBike/eScooter are shown as operating-revenue components rather than contractual base-rent lines.</t>
  </si>
  <si>
    <t xml:space="preserve">7. Finalisation: executed leases, HOAs, commencement certificates, fit-out handover dates, guarantees, deposits, outgoings recoveries and definitive counterparties should replace working assumptions when available.</t>
  </si>
  <si>
    <t xml:space="preserve">BACKEND SETTINGS</t>
  </si>
  <si>
    <t xml:space="preserve">Example</t>
  </si>
  <si>
    <t xml:space="preserve">S-Curve Steepness</t>
  </si>
  <si>
    <t xml:space="preserve">Mo</t>
  </si>
  <si>
    <t xml:space="preserve">Type</t>
  </si>
  <si>
    <t xml:space="preserve">Std</t>
  </si>
  <si>
    <t xml:space="preserve">1 (Flat)</t>
  </si>
  <si>
    <t xml:space="preserve">Sensitivity Metrics</t>
  </si>
  <si>
    <t xml:space="preserve">DATA VALIDATION</t>
  </si>
  <si>
    <t xml:space="preserve">Rent Inc. Frequency</t>
  </si>
  <si>
    <t xml:space="preserve">Building Type</t>
  </si>
  <si>
    <t xml:space="preserve">Tenant Type</t>
  </si>
  <si>
    <t xml:space="preserve">Auto Repair/Parts</t>
  </si>
  <si>
    <t xml:space="preserve">Every 2 Years</t>
  </si>
  <si>
    <t xml:space="preserve">Bank</t>
  </si>
  <si>
    <t xml:space="preserve">Jr. Anchor</t>
  </si>
  <si>
    <t xml:space="preserve">Every 3 Years</t>
  </si>
  <si>
    <t xml:space="preserve">Convenience Store</t>
  </si>
  <si>
    <t xml:space="preserve">Every 4 Years</t>
  </si>
  <si>
    <t xml:space="preserve">Day Care/Nursery</t>
  </si>
  <si>
    <t xml:space="preserve">Every 5 Years</t>
  </si>
  <si>
    <t xml:space="preserve">QSR/Fast Food</t>
  </si>
  <si>
    <t xml:space="preserve">Other</t>
  </si>
  <si>
    <t xml:space="preserve">Every 6 Years</t>
  </si>
  <si>
    <t xml:space="preserve">Gas Station</t>
  </si>
  <si>
    <t xml:space="preserve">Every 7 Years</t>
  </si>
  <si>
    <t xml:space="preserve">Grocery Store</t>
  </si>
  <si>
    <t xml:space="preserve">Every 8 Years</t>
  </si>
  <si>
    <t xml:space="preserve">Pharmacy/Drug</t>
  </si>
  <si>
    <t xml:space="preserve">Every 9 Years</t>
  </si>
  <si>
    <t xml:space="preserve">Every 10 Years</t>
  </si>
  <si>
    <t xml:space="preserve">Restaurant/Bar</t>
  </si>
  <si>
    <t xml:space="preserve">Community Center</t>
  </si>
  <si>
    <t xml:space="preserve">Regional Mall</t>
  </si>
  <si>
    <t xml:space="preserve">Super-Regional Mall</t>
  </si>
  <si>
    <t xml:space="preserve">Fashion / Specialty Center</t>
  </si>
  <si>
    <t xml:space="preserve">Power Center</t>
  </si>
  <si>
    <t xml:space="preserve">Outlet Center</t>
  </si>
  <si>
    <t xml:space="preserve">THE BEND PRECINCT</t>
  </si>
  <si>
    <t xml:space="preserve">Port Melbourne, Victoria</t>
  </si>
  <si>
    <t xml:space="preserve">FINANCIAL STATEMENTS</t>
  </si>
  <si>
    <t xml:space="preserve">Wind-up</t>
  </si>
  <si>
    <t xml:space="preserve">STATEMENT OF PROFIT OR LOSS (MODEL BASIS)</t>
  </si>
  <si>
    <t xml:space="preserve">TOTAL REVENUE</t>
  </si>
  <si>
    <t xml:space="preserve">- Vacancy and Credit Loss</t>
  </si>
  <si>
    <t xml:space="preserve">Common Area Maintenance</t>
  </si>
  <si>
    <t xml:space="preserve">Management Fee</t>
  </si>
  <si>
    <t xml:space="preserve">Insurance</t>
  </si>
  <si>
    <t xml:space="preserve">Property Taxes</t>
  </si>
  <si>
    <t xml:space="preserve">Finance Costs</t>
  </si>
  <si>
    <t xml:space="preserve">OPERATING PROFIT / (LOSS) AFTER FINANCE COSTS</t>
  </si>
  <si>
    <t xml:space="preserve">Gain / (Loss) on Sale (Net Proceeds less Model Cost Basis)</t>
  </si>
  <si>
    <t xml:space="preserve">NET PROFIT / (LOSS) BEFORE TAX</t>
  </si>
  <si>
    <t xml:space="preserve">Model basis: Build &amp; Sell through the 2031 sale and wind-up. Monthly GST, cash-tax, tax-loss and working-capital schedules are maintained in DEBT and included in lender CFADS; specialist advice remains required.</t>
  </si>
  <si>
    <t xml:space="preserve">STATEMENT OF FINANCIAL POSITION</t>
  </si>
  <si>
    <t xml:space="preserve">ASSETS</t>
  </si>
  <si>
    <t xml:space="preserve">Cash</t>
  </si>
  <si>
    <t xml:space="preserve">Development Property and Capitalised Project Costs</t>
  </si>
  <si>
    <t xml:space="preserve">TOTAL ASSETS</t>
  </si>
  <si>
    <t xml:space="preserve">LIABILITIES</t>
  </si>
  <si>
    <t xml:space="preserve">TOTAL LIABILITIES</t>
  </si>
  <si>
    <t xml:space="preserve">EQUITY</t>
  </si>
  <si>
    <t xml:space="preserve">Contributed Equity</t>
  </si>
  <si>
    <t xml:space="preserve">Cumulative Accumulated Profit / (Loss)</t>
  </si>
  <si>
    <t xml:space="preserve">Cumulative Distributions to Equity</t>
  </si>
  <si>
    <t xml:space="preserve">TOTAL EQUITY</t>
  </si>
  <si>
    <t xml:space="preserve">TOTAL LIABILITIES AND EQUITY</t>
  </si>
  <si>
    <t xml:space="preserve">BALANCE SHEET CHECK</t>
  </si>
  <si>
    <t xml:space="preserve">Assets less Liabilities and Equity</t>
  </si>
  <si>
    <t xml:space="preserve">Closing Cash per Cash Flow Statement</t>
  </si>
  <si>
    <t xml:space="preserve">TOTAL CHECK</t>
  </si>
  <si>
    <t xml:space="preserve">BALANCE SHEET STATUS</t>
  </si>
  <si>
    <t xml:space="preserve">CASH ROLL-FORWARD STATUS</t>
  </si>
  <si>
    <t xml:space="preserve">EQUITY / RETAINED EARNINGS STATUS</t>
  </si>
  <si>
    <t xml:space="preserve">STATEMENT OF CASH FLOWS</t>
  </si>
  <si>
    <t xml:space="preserve">OPERATING ACTIVITIES</t>
  </si>
  <si>
    <t xml:space="preserve">Net Cash from Operating Activities</t>
  </si>
  <si>
    <t xml:space="preserve">INVESTING ACTIVITIES</t>
  </si>
  <si>
    <t xml:space="preserve">Development Property and Project Costs</t>
  </si>
  <si>
    <t xml:space="preserve">Net Cash from Investing Activities</t>
  </si>
  <si>
    <t xml:space="preserve">FINANCING ACTIVITIES</t>
  </si>
  <si>
    <t xml:space="preserve">Construction Debt Draws</t>
  </si>
  <si>
    <t xml:space="preserve">Construction Debt Repayment</t>
  </si>
  <si>
    <t xml:space="preserve">Finance Costs Paid</t>
  </si>
  <si>
    <t xml:space="preserve">Equity Contributions</t>
  </si>
  <si>
    <t xml:space="preserve">Distributions to Equity</t>
  </si>
  <si>
    <t xml:space="preserve">Net Cash from Financing Activities</t>
  </si>
  <si>
    <t xml:space="preserve">NET CHANGE IN CASH</t>
  </si>
  <si>
    <t xml:space="preserve">Opening Cash Balance</t>
  </si>
  <si>
    <t xml:space="preserve">Closing Cash Balance</t>
  </si>
  <si>
    <t xml:space="preserve">Cash Flow Statement Check</t>
  </si>
  <si>
    <t xml:space="preserve">STATEMENT OF CHANGES IN EQUITY</t>
  </si>
  <si>
    <t xml:space="preserve">Opening Equity Balance</t>
  </si>
  <si>
    <t xml:space="preserve">Net Profit / (Loss)</t>
  </si>
  <si>
    <t xml:space="preserve">Closing Equity Balance</t>
  </si>
  <si>
    <t xml:space="preserve">Closing Equity per Statement of Financial Position</t>
  </si>
  <si>
    <t xml:space="preserve">EQUITY CHECK</t>
  </si>
  <si>
    <t xml:space="preserve">PROJECT VALUATION, SCENARIOS &amp; INVESTOR RETURNS</t>
  </si>
  <si>
    <t xml:space="preserve">VALUATIONS | PROPERTY, COMPANY, PROJECT &amp; INVESTOR RETURNS</t>
  </si>
  <si>
    <t xml:space="preserve">Dynamic formula-linked schedule. Amounts are A$m unless noted. Yellow/blue assumptions are illustrative and require confirmation.</t>
  </si>
  <si>
    <t xml:space="preserve">PROJECT VALUATION INPUTS &amp; LINKED RETURNS</t>
  </si>
  <si>
    <t xml:space="preserve">KEY VALUATION ASSUMPTIONS</t>
  </si>
  <si>
    <t xml:space="preserve">PROPERTY VALUATION SUMMARY</t>
  </si>
  <si>
    <t xml:space="preserve">Stabilised NOI</t>
  </si>
  <si>
    <t xml:space="preserve">A$m p.a.</t>
  </si>
  <si>
    <t xml:space="preserve">Underwriting!H190</t>
  </si>
  <si>
    <t xml:space="preserve">Base gross project value</t>
  </si>
  <si>
    <t xml:space="preserve">Capitalised stabilised NOI at the current model cap rate.</t>
  </si>
  <si>
    <t xml:space="preserve">Selected valuation case</t>
  </si>
  <si>
    <t xml:space="preserve">Downside / Base / Upside</t>
  </si>
  <si>
    <t xml:space="preserve">Completed property value at stabilisation date (capitalised)</t>
  </si>
  <si>
    <t xml:space="preserve">Selected scenario capitalised terminal NOI.</t>
  </si>
  <si>
    <t xml:space="preserve">Current capitalisation rate</t>
  </si>
  <si>
    <t xml:space="preserve">Underwriting!H189</t>
  </si>
  <si>
    <t xml:space="preserve">Base selling costs</t>
  </si>
  <si>
    <t xml:space="preserve">Linked selling-cost percentage applied to gross value.</t>
  </si>
  <si>
    <t xml:space="preserve">Discount rate</t>
  </si>
  <si>
    <t xml:space="preserve">Completed property value (base, untrended)</t>
  </si>
  <si>
    <t xml:space="preserve">Selling cost rate</t>
  </si>
  <si>
    <t xml:space="preserve">Underwriting!I163</t>
  </si>
  <si>
    <t xml:space="preserve">Base net sale proceeds</t>
  </si>
  <si>
    <t xml:space="preserve">Gross value less selling costs.</t>
  </si>
  <si>
    <t xml:space="preserve">Required developer profit on cost</t>
  </si>
  <si>
    <t xml:space="preserve">Current / as-is value</t>
  </si>
  <si>
    <t xml:space="preserve">Debt at valuation date</t>
  </si>
  <si>
    <t xml:space="preserve">Underwriting!E191</t>
  </si>
  <si>
    <t xml:space="preserve">Base net equity value</t>
  </si>
  <si>
    <t xml:space="preserve">Net sale proceeds less debt repayment.</t>
  </si>
  <si>
    <t xml:space="preserve">OpCo EBITDA margin</t>
  </si>
  <si>
    <t xml:space="preserve">Stabilised NOI at exit</t>
  </si>
  <si>
    <t xml:space="preserve">Total project cost</t>
  </si>
  <si>
    <t xml:space="preserve">Underwriting!I57</t>
  </si>
  <si>
    <t xml:space="preserve">Development profit vs cost</t>
  </si>
  <si>
    <t xml:space="preserve">Net sale proceeds less total project cost.</t>
  </si>
  <si>
    <t xml:space="preserve">OpCo valuation multiple</t>
  </si>
  <si>
    <t xml:space="preserve">Capitalisation rate</t>
  </si>
  <si>
    <t xml:space="preserve">Current model equity requirement</t>
  </si>
  <si>
    <t xml:space="preserve">Underwriting!I69</t>
  </si>
  <si>
    <t xml:space="preserve">Development margin on cost</t>
  </si>
  <si>
    <t xml:space="preserve">Development profit divided by total project cost.</t>
  </si>
  <si>
    <t xml:space="preserve">Fully diluted dilution</t>
  </si>
  <si>
    <t xml:space="preserve">Cross-check current DCF value (present value)</t>
  </si>
  <si>
    <t xml:space="preserve">Pre-terminal unlevered cash flows plus one discounted terminal value.</t>
  </si>
  <si>
    <t xml:space="preserve">Net rentable area</t>
  </si>
  <si>
    <t xml:space="preserve">Underwriting!I18</t>
  </si>
  <si>
    <t xml:space="preserve">Yield on cost</t>
  </si>
  <si>
    <t xml:space="preserve">Stabilised NOI divided by total project cost.</t>
  </si>
  <si>
    <t xml:space="preserve">Ownership units / shares</t>
  </si>
  <si>
    <t xml:space="preserve">Terminal value</t>
  </si>
  <si>
    <t xml:space="preserve">Valuation / realisation date</t>
  </si>
  <si>
    <t xml:space="preserve">date</t>
  </si>
  <si>
    <t xml:space="preserve">Underwriting!I15</t>
  </si>
  <si>
    <t xml:space="preserve">Loan-to-value</t>
  </si>
  <si>
    <t xml:space="preserve">Debt divided by gross project value.</t>
  </si>
  <si>
    <t xml:space="preserve">Shareholder loans</t>
  </si>
  <si>
    <t xml:space="preserve">Residual land value</t>
  </si>
  <si>
    <t xml:space="preserve">Net GDV solved for land after non-land costs and target profit.</t>
  </si>
  <si>
    <t xml:space="preserve">Current model levered MOIC</t>
  </si>
  <si>
    <t xml:space="preserve">x</t>
  </si>
  <si>
    <t xml:space="preserve">Existing levered project cash-flow output; named investor returns below use the investor register.</t>
  </si>
  <si>
    <t xml:space="preserve">Other liabilities</t>
  </si>
  <si>
    <t xml:space="preserve">Total development cost</t>
  </si>
  <si>
    <t xml:space="preserve">Linked: Financial Statements!K33</t>
  </si>
  <si>
    <t xml:space="preserve">Development profit</t>
  </si>
  <si>
    <t xml:space="preserve">PROJECT VALUATION SCENARIOS</t>
  </si>
  <si>
    <t xml:space="preserve">Selected investor</t>
  </si>
  <si>
    <t xml:space="preserve">Linked: Underwriting GP/LP waterfall</t>
  </si>
  <si>
    <t xml:space="preserve">Profit on cost</t>
  </si>
  <si>
    <t xml:space="preserve">Scenario</t>
  </si>
  <si>
    <t xml:space="preserve">Capitalisation Rate</t>
  </si>
  <si>
    <t xml:space="preserve">Gross Project Value (A$m)</t>
  </si>
  <si>
    <t xml:space="preserve">Selling Costs (A$m)</t>
  </si>
  <si>
    <t xml:space="preserve">Net Sale Proceeds (A$m)</t>
  </si>
  <si>
    <t xml:space="preserve">Debt (A$m)</t>
  </si>
  <si>
    <t xml:space="preserve">Net Equity Value (A$m)</t>
  </si>
  <si>
    <t xml:space="preserve">Profit vs Cost (A$m)</t>
  </si>
  <si>
    <t xml:space="preserve">Development Margin</t>
  </si>
  <si>
    <t xml:space="preserve">LTV</t>
  </si>
  <si>
    <t xml:space="preserve">Value / sqm (A$)</t>
  </si>
  <si>
    <t xml:space="preserve">Investor Register MOIC</t>
  </si>
  <si>
    <t xml:space="preserve">Model Equity MOIC</t>
  </si>
  <si>
    <t xml:space="preserve">Support</t>
  </si>
  <si>
    <t xml:space="preserve">Basis / Limitation</t>
  </si>
  <si>
    <t xml:space="preserve">VALUATION BRIDGE | EXIT VALUE TO CURRENT DCF</t>
  </si>
  <si>
    <t xml:space="preserve">Profit on value</t>
  </si>
  <si>
    <t xml:space="preserve">Cost cross-check</t>
  </si>
  <si>
    <t xml:space="preserve">n.a.</t>
  </si>
  <si>
    <t xml:space="preserve">Headline completed property value at exit</t>
  </si>
  <si>
    <t xml:space="preserve">Selected scenario capitalised terminal NOI at the exit date.</t>
  </si>
  <si>
    <t xml:space="preserve">Downside</t>
  </si>
  <si>
    <t xml:space="preserve">Less: selling costs</t>
  </si>
  <si>
    <t xml:space="preserve">Selling costs applied once to the exit value.</t>
  </si>
  <si>
    <t xml:space="preserve">Exit yield</t>
  </si>
  <si>
    <t xml:space="preserve">Base</t>
  </si>
  <si>
    <t xml:space="preserve">Less: time-value discount to present</t>
  </si>
  <si>
    <t xml:space="preserve">Discounts net terminal value from exit date to the current valuation date.</t>
  </si>
  <si>
    <t xml:space="preserve">Value creation</t>
  </si>
  <si>
    <t xml:space="preserve">Upside</t>
  </si>
  <si>
    <t xml:space="preserve">Add: PV of pre-terminal and other terminal cash flows</t>
  </si>
  <si>
    <t xml:space="preserve">Actual pre-terminal cash flows plus other terminal cash flow, discounted on actual dates.</t>
  </si>
  <si>
    <t xml:space="preserve">Component property value</t>
  </si>
  <si>
    <t xml:space="preserve">Reconciles to the property portion of the component SOTP.</t>
  </si>
  <si>
    <t xml:space="preserve">Cross-check current DCF value</t>
  </si>
  <si>
    <t xml:space="preserve">Residual</t>
  </si>
  <si>
    <t xml:space="preserve">INVESTOR RETURNS — FUNDED ORDINARY EQUITY, PRO RATA</t>
  </si>
  <si>
    <t xml:space="preserve">SUM-OF-THE-PARTS | PROPERTY &amp; OPERATING BUSINESSES</t>
  </si>
  <si>
    <t xml:space="preserve">Investor</t>
  </si>
  <si>
    <t xml:space="preserve">Funded Draw (A$m)</t>
  </si>
  <si>
    <t xml:space="preserve">Shareholder Loans (A$m)</t>
  </si>
  <si>
    <t xml:space="preserve">Other Funded Equity (A$m)</t>
  </si>
  <si>
    <t xml:space="preserve">Total Invested (A$m)</t>
  </si>
  <si>
    <t xml:space="preserve">Ownership</t>
  </si>
  <si>
    <t xml:space="preserve">Downside Value (A$m)</t>
  </si>
  <si>
    <t xml:space="preserve">Base Value (A$m)</t>
  </si>
  <si>
    <t xml:space="preserve">Upside Value (A$m)</t>
  </si>
  <si>
    <t xml:space="preserve">Base Profit / (Loss) (A$m)</t>
  </si>
  <si>
    <t xml:space="preserve">Base MOIC</t>
  </si>
  <si>
    <t xml:space="preserve">Base XIRR</t>
  </si>
  <si>
    <t xml:space="preserve">Security / Rights</t>
  </si>
  <si>
    <t xml:space="preserve">Basis / Note</t>
  </si>
  <si>
    <t xml:space="preserve">Method</t>
  </si>
  <si>
    <t xml:space="preserve">GLA (sqm)</t>
  </si>
  <si>
    <t xml:space="preserve">Model Rent (A$m)</t>
  </si>
  <si>
    <t xml:space="preserve">Allocated NOI (A$m)</t>
  </si>
  <si>
    <t xml:space="preserve">Property Value (A$m)</t>
  </si>
  <si>
    <t xml:space="preserve">Linked OpCo Revenue (A$m)</t>
  </si>
  <si>
    <t xml:space="preserve">EBITDA Margin</t>
  </si>
  <si>
    <t xml:space="preserve">EBITDA (A$m)</t>
  </si>
  <si>
    <t xml:space="preserve">Multiple</t>
  </si>
  <si>
    <t xml:space="preserve">OpCo Value (A$m)</t>
  </si>
  <si>
    <t xml:space="preserve">Total Value (A$m)</t>
  </si>
  <si>
    <t xml:space="preserve">Basis / Status</t>
  </si>
  <si>
    <t xml:space="preserve">Ordinary shares + pro-rata right</t>
  </si>
  <si>
    <t xml:space="preserve">PROJECT CASH FLOW!E104/F104. Funded ordinary equity; legal rights and dates require confirmation.</t>
  </si>
  <si>
    <t xml:space="preserve">PROJECT CASH FLOW!E103/F103. Funded ordinary equity; legal rights and dates require confirmation.</t>
  </si>
  <si>
    <t xml:space="preserve">PROJECT CASH FLOW!E105/F105. Funded ordinary equity; legal rights and dates require confirmation.</t>
  </si>
  <si>
    <t xml:space="preserve">PROJECT CASH FLOW!E106/F106. Funded ordinary equity; legal rights and dates require confirmation.</t>
  </si>
  <si>
    <t xml:space="preserve">PROJECT CASH FLOW!E107/F107. Funded ordinary equity; legal rights and dates require confirmation.</t>
  </si>
  <si>
    <t xml:space="preserve">PROJECT CASH FLOW!E108/F108. Funded ordinary equity; legal rights and dates require confirmation.</t>
  </si>
  <si>
    <t xml:space="preserve">PROJECT CASH FLOW!E109/F109. Funded ordinary equity; legal rights and dates require confirmation.</t>
  </si>
  <si>
    <t xml:space="preserve">PROJECT CASH FLOW!E110/F110 + CEO direction. Funded ordinary equity; legal rights and dates require confirmation.</t>
  </si>
  <si>
    <t xml:space="preserve">Ordinary equity assumption</t>
  </si>
  <si>
    <t xml:space="preserve">All named investors; amounts and legal terms remain subject to confirmation.</t>
  </si>
  <si>
    <t xml:space="preserve">FUNDING RECONCILIATION, TIMING &amp; CONTROLS</t>
  </si>
  <si>
    <t xml:space="preserve">Linked to the current industrial development model.</t>
  </si>
  <si>
    <t xml:space="preserve">Primary valuation method</t>
  </si>
  <si>
    <t xml:space="preserve">Stabilised NOI capitalised at the current model cap rate.</t>
  </si>
  <si>
    <t xml:space="preserve">TOTAL COMPONENT SOTP</t>
  </si>
  <si>
    <t xml:space="preserve">Property and OpCo values are mutually exclusive by component to prevent double counting.</t>
  </si>
  <si>
    <t xml:space="preserve">Investor register total</t>
  </si>
  <si>
    <t xml:space="preserve">Named investor amounts sourced from the investor register workbook.</t>
  </si>
  <si>
    <t xml:space="preserve">Equity value bridge</t>
  </si>
  <si>
    <t xml:space="preserve">Gross project value less selling costs and debt repayment.</t>
  </si>
  <si>
    <t xml:space="preserve">Operating-business value is applied only where the source Underwriting schedule has zero base rent; project return cash flows remain the model's actual property cash flows.</t>
  </si>
  <si>
    <t xml:space="preserve">Excess / (shortfall) vs model</t>
  </si>
  <si>
    <t xml:space="preserve">A material difference means investor funding and project funding are not yet reconciled.</t>
  </si>
  <si>
    <t xml:space="preserve">Investor allocation</t>
  </si>
  <si>
    <t xml:space="preserve">Pro-rata ownership based on total invested across the named investor register.</t>
  </si>
  <si>
    <t xml:space="preserve">Ownership check</t>
  </si>
  <si>
    <t xml:space="preserve">Must equal 100.0%.</t>
  </si>
  <si>
    <t xml:space="preserve">Return metrics</t>
  </si>
  <si>
    <t xml:space="preserve">Value, profit / loss, MOIC, XIRR, XNPV and payback from dated cash flows.</t>
  </si>
  <si>
    <t xml:space="preserve">COMPANY VALUATION | ENTERPRISE VALUE TO EQUITY VALUE</t>
  </si>
  <si>
    <t xml:space="preserve">PROJECT RETURNS | ACTUAL MONTHLY CASH FLOWS</t>
  </si>
  <si>
    <t xml:space="preserve">Reconciliation status</t>
  </si>
  <si>
    <t xml:space="preserve">760</t>
  </si>
  <si>
    <t xml:space="preserve">Named investor returns should not be treated as final until funding reconciles.</t>
  </si>
  <si>
    <t xml:space="preserve">Not modelled</t>
  </si>
  <si>
    <t xml:space="preserve">Tax, fees, promote, preferences, anti-dilution, interim distributions or special rights.</t>
  </si>
  <si>
    <t xml:space="preserve">Property value</t>
  </si>
  <si>
    <t xml:space="preserve">Project IRR (annualised)</t>
  </si>
  <si>
    <t xml:space="preserve">Periodic IRR annualised from actual monthly unlevered cash flows.</t>
  </si>
  <si>
    <t xml:space="preserve">Initial / pre-construction funding date</t>
  </si>
  <si>
    <t xml:space="preserve">Linked to the model analysis start date.</t>
  </si>
  <si>
    <t xml:space="preserve">Critical control</t>
  </si>
  <si>
    <t xml:space="preserve">The investor register materially exceeds the equity requirement in the current model.</t>
  </si>
  <si>
    <t xml:space="preserve">Operating-business value</t>
  </si>
  <si>
    <t xml:space="preserve">Project XIRR</t>
  </si>
  <si>
    <t xml:space="preserve">Future development funding date</t>
  </si>
  <si>
    <t xml:space="preserve">Assumed midpoint of the 18-month construction programme; replace when the final capital-call schedule is available.</t>
  </si>
  <si>
    <t xml:space="preserve">Valuation cross-check</t>
  </si>
  <si>
    <t xml:space="preserve">Cost is shown as a cross-check only and should not be interpreted as market value.</t>
  </si>
  <si>
    <t xml:space="preserve">Enterprise value</t>
  </si>
  <si>
    <t xml:space="preserve">Property SOTP plus OpCo value.</t>
  </si>
  <si>
    <t xml:space="preserve">Project NPV</t>
  </si>
  <si>
    <t xml:space="preserve">Periodic NPV using the monthly equivalent discount rate and the same actual unlevered cash-flow series.</t>
  </si>
  <si>
    <t xml:space="preserve">Linked to the model sale date.</t>
  </si>
  <si>
    <t xml:space="preserve">Finalisation required</t>
  </si>
  <si>
    <t xml:space="preserve">Replace provisional investor names, funding dates and legal economics when confirmed.</t>
  </si>
  <si>
    <t xml:space="preserve">Project XNPV</t>
  </si>
  <si>
    <t xml:space="preserve">Date-based XNPV using the same actual unlevered cash-flow series.</t>
  </si>
  <si>
    <t xml:space="preserve">Initial-to-exit holding period</t>
  </si>
  <si>
    <t xml:space="preserve">years</t>
  </si>
  <si>
    <t xml:space="preserve">Simple elapsed period from initial funding date to the selected valuation date.</t>
  </si>
  <si>
    <t xml:space="preserve">Current waterfall</t>
  </si>
  <si>
    <t xml:space="preserve">The generic GP / LP waterfall in Underwriting is not applied to named investors.</t>
  </si>
  <si>
    <t xml:space="preserve">Gross asset value</t>
  </si>
  <si>
    <t xml:space="preserve">Equity IRR (annualised)</t>
  </si>
  <si>
    <t xml:space="preserve">Periodic IRR annualised from actual monthly levered cash flows.</t>
  </si>
  <si>
    <t xml:space="preserve">Less: debt</t>
  </si>
  <si>
    <t xml:space="preserve">Equity XIRR</t>
  </si>
  <si>
    <t xml:space="preserve">Less: shareholder loans</t>
  </si>
  <si>
    <t xml:space="preserve">Equity NPV</t>
  </si>
  <si>
    <t xml:space="preserve">VALUATION &amp; RETURN METHODOLOGY</t>
  </si>
  <si>
    <t xml:space="preserve">Less: other liabilities</t>
  </si>
  <si>
    <t xml:space="preserve">Equity XNPV</t>
  </si>
  <si>
    <t xml:space="preserve">Property value is primarily derived using the income approach: stabilised net operating income divided by a capitalisation rate. This is consistent with standard investment-method practice.</t>
  </si>
  <si>
    <t xml:space="preserve">Less: selling / realisation costs</t>
  </si>
  <si>
    <t xml:space="preserve">Equity MOIC</t>
  </si>
  <si>
    <t xml:space="preserve">The cost cross-check is not a market valuation. It is included to compare market value with the modelled development cost and to identify development profit or loss.</t>
  </si>
  <si>
    <t xml:space="preserve">Net asset value</t>
  </si>
  <si>
    <t xml:space="preserve">Cash-on-cash return</t>
  </si>
  <si>
    <t xml:space="preserve">Named investor returns are valuation outcomes rather than guaranteed cash payments. They assume ordinary shares with equal economics and a pro-rata allocation of net equity value.</t>
  </si>
  <si>
    <t xml:space="preserve">Equity value</t>
  </si>
  <si>
    <t xml:space="preserve">EV + cash − debt − shareholder loans − other liabilities − selling costs.</t>
  </si>
  <si>
    <t xml:space="preserve">Simple payback period</t>
  </si>
  <si>
    <t xml:space="preserve">months</t>
  </si>
  <si>
    <t xml:space="preserve">First month cumulative cash flow is non-negative.</t>
  </si>
  <si>
    <t xml:space="preserve">The investor register and the current model equity requirement do not presently reconcile. This control must be resolved before the return table is used as a final investor representation.</t>
  </si>
  <si>
    <t xml:space="preserve">Fully diluted equity value</t>
  </si>
  <si>
    <t xml:space="preserve">Discounted payback period</t>
  </si>
  <si>
    <t xml:space="preserve">Investor XIRRs and XNPVs use the dated named-investor contributions and scenario-specific exit values. Replace the provisional funding dates when the executed capital-call schedule is available.</t>
  </si>
  <si>
    <t xml:space="preserve">Value per current unit</t>
  </si>
  <si>
    <t xml:space="preserve">A$m / unit</t>
  </si>
  <si>
    <t xml:space="preserve">Peak equity</t>
  </si>
  <si>
    <t xml:space="preserve">Value per fully diluted unit</t>
  </si>
  <si>
    <t xml:space="preserve">Peak debt</t>
  </si>
  <si>
    <t xml:space="preserve">INVESTOR DATED RETURN ANALYTICS — PRO RATA ORDINARY EQUITY</t>
  </si>
  <si>
    <t xml:space="preserve">Loan-to-cost</t>
  </si>
  <si>
    <t xml:space="preserve">Total invested (A$m)</t>
  </si>
  <si>
    <t xml:space="preserve">Current ownership</t>
  </si>
  <si>
    <t xml:space="preserve">Fully diluted ownership</t>
  </si>
  <si>
    <t xml:space="preserve">Current attributable value (A$m)</t>
  </si>
  <si>
    <t xml:space="preserve">Downside exit (A$m)</t>
  </si>
  <si>
    <t xml:space="preserve">Base exit (A$m)</t>
  </si>
  <si>
    <t xml:space="preserve">Upside exit (A$m)</t>
  </si>
  <si>
    <t xml:space="preserve">Base gain / (loss) (A$m)</t>
  </si>
  <si>
    <t xml:space="preserve">Downside XIRR</t>
  </si>
  <si>
    <t xml:space="preserve">Upside XIRR</t>
  </si>
  <si>
    <t xml:space="preserve">Base XNPV (A$m)</t>
  </si>
  <si>
    <t xml:space="preserve">Payback (months)</t>
  </si>
  <si>
    <t xml:space="preserve">NPV / XNPV consistency</t>
  </si>
  <si>
    <t xml:space="preserve">Same cash flows; 5% tolerance for monthly-periodic versus actual-date discounting.</t>
  </si>
  <si>
    <t xml:space="preserve">INDIVIDUAL INVESTOR VALUATION | FUNDED ORDINARY EQUITY</t>
  </si>
  <si>
    <t xml:space="preserve">Total Investment</t>
  </si>
  <si>
    <t xml:space="preserve">Shareholder Loans</t>
  </si>
  <si>
    <t xml:space="preserve">Current Ownership</t>
  </si>
  <si>
    <t xml:space="preserve">Fully Diluted Ownership</t>
  </si>
  <si>
    <t xml:space="preserve">Distributions</t>
  </si>
  <si>
    <t xml:space="preserve">Current Attributable Value</t>
  </si>
  <si>
    <t xml:space="preserve">Exit Value</t>
  </si>
  <si>
    <t xml:space="preserve">Gain / (Loss)</t>
  </si>
  <si>
    <t xml:space="preserve">XIRR</t>
  </si>
  <si>
    <t xml:space="preserve">NPV</t>
  </si>
  <si>
    <t xml:space="preserve">MOIC</t>
  </si>
  <si>
    <t xml:space="preserve">Payback</t>
  </si>
  <si>
    <t xml:space="preserve">Model Source / Basis</t>
  </si>
  <si>
    <t xml:space="preserve">Underwriting rows 228, 239 and 244; selected case adjusts terminal value only.</t>
  </si>
  <si>
    <t xml:space="preserve">Underwriting rows 229, 240 and 245; selected case adjusts terminal value only.</t>
  </si>
  <si>
    <t xml:space="preserve">Current ownership sums to 100%; fully diluted ownership reflects the dilution input.</t>
  </si>
  <si>
    <t xml:space="preserve">TOTAL NAMED INVESTORS</t>
  </si>
  <si>
    <t xml:space="preserve">Investment</t>
  </si>
  <si>
    <t xml:space="preserve">Current value</t>
  </si>
  <si>
    <t xml:space="preserve">Exit value</t>
  </si>
  <si>
    <t xml:space="preserve">Gain / (loss)</t>
  </si>
  <si>
    <t xml:space="preserve">DOWNSIDE / BASE / UPSIDE VALUATION &amp; RETURNS</t>
  </si>
  <si>
    <t xml:space="preserve">Case</t>
  </si>
  <si>
    <t xml:space="preserve">NOI Factor</t>
  </si>
  <si>
    <t xml:space="preserve">Terminal NOI</t>
  </si>
  <si>
    <t xml:space="preserve">Exit Yield</t>
  </si>
  <si>
    <t xml:space="preserve">Property Value</t>
  </si>
  <si>
    <t xml:space="preserve">Enterprise Value</t>
  </si>
  <si>
    <t xml:space="preserve">Equity Value</t>
  </si>
  <si>
    <t xml:space="preserve">Selected Investor XIRR</t>
  </si>
  <si>
    <t xml:space="preserve">Basis</t>
  </si>
  <si>
    <t xml:space="preserve">Detailed data-book NOI and scenario exit yield; selling costs and debt deducted once.</t>
  </si>
  <si>
    <t xml:space="preserve">VALUATION ENGINE | UNIQUE SUPPORTING OUTPUTS</t>
  </si>
  <si>
    <t xml:space="preserve">The detailed scenario and named-investor schedules above remain authoritative. The sections below add only the unique valuation bridge, company/project returns, sensitivities and engine controls from the consolidated valuation model.</t>
  </si>
  <si>
    <t xml:space="preserve">Scenario project and equity returns include scenario-specific cost, operating-ramp, value and funding effects. The downside also delays post-completion cash flows and exit by six months.</t>
  </si>
  <si>
    <t xml:space="preserve">EXIT VALUE TO CURRENT DCF BRIDGE | A$ MILLION</t>
  </si>
  <si>
    <t xml:space="preserve">COMPANY VALUATION | ENTERPRISE TO EQUITY</t>
  </si>
  <si>
    <t xml:space="preserve">Bridge line</t>
  </si>
  <si>
    <t xml:space="preserve">Unit</t>
  </si>
  <si>
    <t xml:space="preserve">Interpretation</t>
  </si>
  <si>
    <t xml:space="preserve">Metric</t>
  </si>
  <si>
    <t xml:space="preserve">SENSITIVITY | NOI VS EXIT YIELD (PROPERTY VALUE A$m)</t>
  </si>
  <si>
    <t xml:space="preserve">SENSITIVITY | DISCOUNT RATE VS EXIT YIELD (PROPERTY DCF A$m)</t>
  </si>
  <si>
    <t xml:space="preserve">Headline completed property value</t>
  </si>
  <si>
    <t xml:space="preserve">Selected terminal value at exit</t>
  </si>
  <si>
    <t xml:space="preserve">Property SOTP</t>
  </si>
  <si>
    <t xml:space="preserve">NOI / Exit Yield</t>
  </si>
  <si>
    <t xml:space="preserve">Discount / Exit Yield</t>
  </si>
  <si>
    <t xml:space="preserve">Applied once</t>
  </si>
  <si>
    <t xml:space="preserve">Zero-rent operating components only</t>
  </si>
  <si>
    <t xml:space="preserve">Less: time-value discount</t>
  </si>
  <si>
    <t xml:space="preserve">Exit to present value</t>
  </si>
  <si>
    <t xml:space="preserve">Property plus OpCo</t>
  </si>
  <si>
    <t xml:space="preserve">PV pre-terminal and other terminal cash flows</t>
  </si>
  <si>
    <t xml:space="preserve">Actual cash flows discounted on actual dates</t>
  </si>
  <si>
    <t xml:space="preserve">Debt at valuation</t>
  </si>
  <si>
    <t xml:space="preserve">Current DCF value</t>
  </si>
  <si>
    <t xml:space="preserve">Present-value cross-check</t>
  </si>
  <si>
    <t xml:space="preserve">Realisation costs</t>
  </si>
  <si>
    <t xml:space="preserve">Net asset / equity value</t>
  </si>
  <si>
    <t xml:space="preserve">EV less senior claims and costs</t>
  </si>
  <si>
    <t xml:space="preserve">Debt / cost</t>
  </si>
  <si>
    <t xml:space="preserve">Debt / value</t>
  </si>
  <si>
    <t xml:space="preserve">SENSITIVITY | DEVELOPMENT COST VS COMPLETED VALUE (MARGIN)</t>
  </si>
  <si>
    <t xml:space="preserve">SENSITIVITY | EBITDA VS VALUATION MULTIPLE (OPCO VALUE A$m)</t>
  </si>
  <si>
    <t xml:space="preserve">PROJECT &amp; EQUITY RETURNS | ACTUAL MONTHLY CASH FLOWS</t>
  </si>
  <si>
    <t xml:space="preserve">SELECTED SENSITIVITY ANCHORS</t>
  </si>
  <si>
    <t xml:space="preserve">TDC / Value Factor</t>
  </si>
  <si>
    <t xml:space="preserve">EBITDA / Multiple</t>
  </si>
  <si>
    <t xml:space="preserve">Return metric</t>
  </si>
  <si>
    <t xml:space="preserve">Output</t>
  </si>
  <si>
    <t xml:space="preserve">Sensitivity</t>
  </si>
  <si>
    <t xml:space="preserve">Base / Mid</t>
  </si>
  <si>
    <t xml:space="preserve">Monthly unlevered cash flows</t>
  </si>
  <si>
    <t xml:space="preserve">Property value: NOI 80% / 100% / 120% at 6.8% yield</t>
  </si>
  <si>
    <t xml:space="preserve">Actual-date cash flows</t>
  </si>
  <si>
    <t xml:space="preserve">Investor IRR: exit value 80% / 100% / 120%</t>
  </si>
  <si>
    <t xml:space="preserve">Actual-date discounted value</t>
  </si>
  <si>
    <t xml:space="preserve">Monthly levered cash flows</t>
  </si>
  <si>
    <t xml:space="preserve">Full sensitivity matrices remain retained in the hidden valuation engine support columns CQ:GC.</t>
  </si>
  <si>
    <t xml:space="preserve">Total inflows / outflows</t>
  </si>
  <si>
    <t xml:space="preserve">Cash yield</t>
  </si>
  <si>
    <t xml:space="preserve">SENSITIVITY | EXIT VALUE VS SELECTED INVESTOR IRR</t>
  </si>
  <si>
    <t xml:space="preserve">Simple payback</t>
  </si>
  <si>
    <t xml:space="preserve">First non-negative cumulative month</t>
  </si>
  <si>
    <t xml:space="preserve">Exit Value Factor</t>
  </si>
  <si>
    <t xml:space="preserve">Exit Value (A$m)</t>
  </si>
  <si>
    <t xml:space="preserve">Investor IRR</t>
  </si>
  <si>
    <t xml:space="preserve">Selected investor from B17; genuine contribution/distribution timing with terminal value adjusted.</t>
  </si>
  <si>
    <t xml:space="preserve">VALUATION ENGINE CONTROLS</t>
  </si>
  <si>
    <t xml:space="preserve">Control</t>
  </si>
  <si>
    <t xml:space="preserve">Result</t>
  </si>
  <si>
    <t xml:space="preserve">Component values sum to property value</t>
  </si>
  <si>
    <t xml:space="preserve">Engine retention check</t>
  </si>
  <si>
    <t xml:space="preserve">2,468 populated cells / 2,116 formulas</t>
  </si>
  <si>
    <t xml:space="preserve">Enterprise value reconciles to equity value</t>
  </si>
  <si>
    <t xml:space="preserve">Engine contains no Excel errors</t>
  </si>
  <si>
    <t xml:space="preserve">Full hidden engine</t>
  </si>
  <si>
    <t xml:space="preserve">Investor ownership sums to 100%</t>
  </si>
  <si>
    <t xml:space="preserve">Visible merged report contains no Excel errors</t>
  </si>
  <si>
    <t xml:space="preserve">Rows 2:118</t>
  </si>
  <si>
    <t xml:space="preserve">Investor values sum to total equity value</t>
  </si>
  <si>
    <t xml:space="preserve">VALUATION CONTROL CHECKS</t>
  </si>
  <si>
    <t xml:space="preserve">Debt and cash reconcile to model</t>
  </si>
  <si>
    <t xml:space="preserve">Check</t>
  </si>
  <si>
    <t xml:space="preserve">Evidence / Exception</t>
  </si>
  <si>
    <t xml:space="preserve">Terminal value included only once</t>
  </si>
  <si>
    <t xml:space="preserve">Component values sum to total property value</t>
  </si>
  <si>
    <t xml:space="preserve">SUM(G26:G37) compared with the selected property value.</t>
  </si>
  <si>
    <t xml:space="preserve">No asset double counted</t>
  </si>
  <si>
    <t xml:space="preserve">No circular references introduced</t>
  </si>
  <si>
    <t xml:space="preserve">Funded ordinary-equity ownership in FUNDING &amp; CAP TABLE.</t>
  </si>
  <si>
    <t xml:space="preserve">No external links added</t>
  </si>
  <si>
    <t xml:space="preserve">Named-investor values reconcile to the selected scenario equity value.</t>
  </si>
  <si>
    <t xml:space="preserve">No formula errors in valuation engine</t>
  </si>
  <si>
    <t xml:space="preserve">Debt and cash reconcile to the model</t>
  </si>
  <si>
    <t xml:space="preserve">Debt: Underwriting!I75. Cash: Financial Statements!K33.</t>
  </si>
  <si>
    <t xml:space="preserve">Selected investor exists in live register</t>
  </si>
  <si>
    <t xml:space="preserve">Terminal value is included only once</t>
  </si>
  <si>
    <t xml:space="preserve">Base scenario project cash flows reconcile to the model's unlevered cash flows.</t>
  </si>
  <si>
    <t xml:space="preserve">Selected scenario flows to investor value</t>
  </si>
  <si>
    <t xml:space="preserve">No asset is double counted</t>
  </si>
  <si>
    <t xml:space="preserve">OpCo value is applied only where allocated property NOI is zero.</t>
  </si>
  <si>
    <t xml:space="preserve">Selected investor cash-flow signs valid</t>
  </si>
  <si>
    <t xml:space="preserve">No circular references were introduced</t>
  </si>
  <si>
    <t xml:space="preserve">Static dependency scan of 63,392 formulas found no formula cycles; key valuation ranges remain formula-error controlled and iteration remains disabled.</t>
  </si>
  <si>
    <t xml:space="preserve">No external links were added</t>
  </si>
  <si>
    <t xml:space="preserve">OK</t>
  </si>
  <si>
    <t xml:space="preserve">Release-package QA: no externalLink parts were introduced.</t>
  </si>
  <si>
    <t xml:space="preserve">No formula errors in hidden valuation engine</t>
  </si>
  <si>
    <t xml:space="preserve">ISERROR scan over visible valuation outputs.</t>
  </si>
  <si>
    <t xml:space="preserve">Investor identities and legal economics confirmed</t>
  </si>
  <si>
    <t xml:space="preserve">OWNER DECISION — investor legal documents</t>
  </si>
  <si>
    <t xml:space="preserve">Technical allocation reconciles; executed subscription, shareholder, dilution and priority-rights documents remain required.</t>
  </si>
  <si>
    <t xml:space="preserve">Illustrative valuation assumptions confirmed</t>
  </si>
  <si>
    <t xml:space="preserve">OWNER DECISION — independent valuation evidence</t>
  </si>
  <si>
    <t xml:space="preserve">An independent valuation report and approved market assumptions must be received, reviewed and retained.</t>
  </si>
  <si>
    <t xml:space="preserve">Selected investor cash-flow sign validity</t>
  </si>
  <si>
    <t xml:space="preserve">Operating businesses: linked revenue is sourced from Tenant Report!O34:O45 only for components with zero Underwriting base rent. EBITDA margin and multiple are illustrative inputs requiring confirmation.</t>
  </si>
  <si>
    <t xml:space="preserve">Project and equity returns: genuine monthly cash flows and dates are sourced from Underwriting!L211:BC212 and L195:BC195. IRR is annualised; XIRR/XNPV use actual dates.</t>
  </si>
  <si>
    <t xml:space="preserve">Investor returns: genuine GP/LP contributions and distributions are sourced from Underwriting rows 228:245. Scenario analysis changes terminal value, not historical contributions.</t>
  </si>
  <si>
    <t xml:space="preserve">The provisional investor register above is preserved for traceability but is not used by the live engine because it does not reconcile to the model equity requirement. No external market data was added.</t>
  </si>
  <si>
    <t xml:space="preserve">BUILD &amp; HOLD | INDEPENDENT POST-STABILISATION STRATEGY</t>
  </si>
  <si>
    <t xml:space="preserve">Assumption</t>
  </si>
  <si>
    <t xml:space="preserve">Selected</t>
  </si>
  <si>
    <t xml:space="preserve">Unit / source</t>
  </si>
  <si>
    <t xml:space="preserve">Hold period</t>
  </si>
  <si>
    <t xml:space="preserve">Starting NOI</t>
  </si>
  <si>
    <t xml:space="preserve">A$m; selected scenario</t>
  </si>
  <si>
    <t xml:space="preserve">Annual NOI growth</t>
  </si>
  <si>
    <t xml:space="preserve">% p.a.; selected scenario</t>
  </si>
  <si>
    <t xml:space="preserve">Lifecycle capex reserve</t>
  </si>
  <si>
    <t xml:space="preserve">% of NOI</t>
  </si>
  <si>
    <t xml:space="preserve">Selling costs</t>
  </si>
  <si>
    <t xml:space="preserve">Gross term debt</t>
  </si>
  <si>
    <t xml:space="preserve">A$m; debt-capacity sized</t>
  </si>
  <si>
    <t xml:space="preserve">Equity requirement</t>
  </si>
  <si>
    <t xml:space="preserve">A$m; scenario sources and uses</t>
  </si>
  <si>
    <t xml:space="preserve">Term debt rate</t>
  </si>
  <si>
    <t xml:space="preserve">Year</t>
  </si>
  <si>
    <t xml:space="preserve">Date</t>
  </si>
  <si>
    <t xml:space="preserve">Lifecycle capex</t>
  </si>
  <si>
    <t xml:space="preserve">Cash tax</t>
  </si>
  <si>
    <t xml:space="preserve">Unlevered cash flow</t>
  </si>
  <si>
    <t xml:space="preserve">Opening term debt</t>
  </si>
  <si>
    <t xml:space="preserve">Cash interest</t>
  </si>
  <si>
    <t xml:space="preserve">Scheduled principal / bullet</t>
  </si>
  <si>
    <t xml:space="preserve">Closing term debt</t>
  </si>
  <si>
    <t xml:space="preserve">Equity cash flow</t>
  </si>
  <si>
    <t xml:space="preserve">Equity XIRR / MOIC</t>
  </si>
  <si>
    <t xml:space="preserve">Build &amp; Hold cash flows are independent of Build &amp; Sell</t>
  </si>
  <si>
    <t xml:space="preserve">Separate ten-year NOI, capex, tax, terminal value and debt-amortisation series.</t>
  </si>
  <si>
    <t xml:space="preserve">Build &amp; Hold debt repays by exit</t>
  </si>
  <si>
    <t xml:space="preserve">Closing term debt in the terminal year must be zero.</t>
  </si>
  <si>
    <t xml:space="preserve">THE BEND | INVESTMENT SUMMARY</t>
  </si>
  <si>
    <t xml:space="preserve">SELECT INVESTOR</t>
  </si>
  <si>
    <t xml:space="preserve">David Gifford</t>
  </si>
  <si>
    <t xml:space="preserve">SELECT SCENARIO</t>
  </si>
  <si>
    <t xml:space="preserve">VALUATION DATE</t>
  </si>
  <si>
    <t xml:space="preserve">LEGAL HOLDER</t>
  </si>
  <si>
    <t xml:space="preserve">MODEL STATUS</t>
  </si>
  <si>
    <t xml:space="preserve">SECURITY / RIGHTS</t>
  </si>
  <si>
    <t xml:space="preserve">1. SELECTED INVESTOR — INVESTMENT AND RETURN SUMMARY</t>
  </si>
  <si>
    <t xml:space="preserve">TOTAL INVESTED</t>
  </si>
  <si>
    <t xml:space="preserve">OWNERSHIP</t>
  </si>
  <si>
    <t xml:space="preserve">SCENARIO VALUATION RANGE</t>
  </si>
  <si>
    <t xml:space="preserve">SELECTED SCENARIO VALUE</t>
  </si>
  <si>
    <t xml:space="preserve">RETURN</t>
  </si>
  <si>
    <t xml:space="preserve">Initial → fully diluted</t>
  </si>
  <si>
    <t xml:space="preserve">Alternative valuation methods</t>
  </si>
  <si>
    <t xml:space="preserve">Detailed return decomposition, capital deployment, project economics, debt, operating support, revenue mix, valuation readiness and investor protections are included below in this consolidated report.</t>
  </si>
  <si>
    <t xml:space="preserve">VALUATION METHOD â€” SELECTED INVESTOR RETURN RANGE</t>
  </si>
  <si>
    <t xml:space="preserve">Valuation approach</t>
  </si>
  <si>
    <t xml:space="preserve">Gross project value</t>
  </si>
  <si>
    <t xml:space="preserve">Investor total value</t>
  </si>
  <si>
    <t xml:space="preserve">Gain</t>
  </si>
  <si>
    <t xml:space="preserve">Base income-capitalisation case</t>
  </si>
  <si>
    <t xml:space="preserve">Modelled</t>
  </si>
  <si>
    <t xml:space="preserve">Downside income-capitalisation case</t>
  </si>
  <si>
    <t xml:space="preserve">Upside income-capitalisation case</t>
  </si>
  <si>
    <t xml:space="preserve">Cost cross-check (not market value)</t>
  </si>
  <si>
    <t xml:space="preserve">Model cost</t>
  </si>
  <si>
    <t xml:space="preserve">Cross-check</t>
  </si>
  <si>
    <t xml:space="preserve">Property DCF cross-check</t>
  </si>
  <si>
    <t xml:space="preserve">SELECTED INVESTOR VALUE BY PROJECT STAGE</t>
  </si>
  <si>
    <t xml:space="preserve">Stage</t>
  </si>
  <si>
    <t xml:space="preserve">Gross value</t>
  </si>
  <si>
    <t xml:space="preserve">Debt</t>
  </si>
  <si>
    <t xml:space="preserve">Net equity</t>
  </si>
  <si>
    <t xml:space="preserve">Investor value</t>
  </si>
  <si>
    <t xml:space="preserve">Current / as-is</t>
  </si>
  <si>
    <t xml:space="preserve">Analysis start / pre-DA</t>
  </si>
  <si>
    <t xml:space="preserve">Practical completion</t>
  </si>
  <si>
    <t xml:space="preserve">Stabilised operations</t>
  </si>
  <si>
    <t xml:space="preserve">Selected scenario valuation date</t>
  </si>
  <si>
    <t xml:space="preserve">Debt final repayment</t>
  </si>
  <si>
    <t xml:space="preserve">*Net equity equals gross project value less debt and other senior liabilities plus modelled surplus cash. Investor value includes cumulative distributions, if any.</t>
  </si>
  <si>
    <t xml:space="preserve">LAND VALUE, CAPITAL STRUCTURE AND STRATEGIC UPSIDE</t>
  </si>
  <si>
    <t xml:space="preserve">LAND VALUE AT KEY JUNCTURES AND NEAREST MODELLED INVESTOR VALUE</t>
  </si>
  <si>
    <t xml:space="preserve">Juncture</t>
  </si>
  <si>
    <t xml:space="preserve">Indicative date</t>
  </si>
  <si>
    <t xml:space="preserve">Land-only estimate</t>
  </si>
  <si>
    <t xml:space="preserve">A$/sqm</t>
  </si>
  <si>
    <t xml:space="preserve">Remediation initiation</t>
  </si>
  <si>
    <t xml:space="preserve">Model land cost only; not a market-value conclusion.</t>
  </si>
  <si>
    <t xml:space="preserve">SSD planning approval</t>
  </si>
  <si>
    <t xml:space="preserve">Clean audit &amp; settlement</t>
  </si>
  <si>
    <t xml:space="preserve">Precinct completion</t>
  </si>
  <si>
    <t xml:space="preserve">Mature operations</t>
  </si>
  <si>
    <t xml:space="preserve">Long-term land view</t>
  </si>
  <si>
    <t xml:space="preserve">Land values above are limited to the live modelled land cost. No planning, remediation or market uplift is booked without independent valuation evidence.</t>
  </si>
  <si>
    <t xml:space="preserve">Institutional investment</t>
  </si>
  <si>
    <t xml:space="preserve">Total shares</t>
  </si>
  <si>
    <t xml:space="preserve">Selected ownership</t>
  </si>
  <si>
    <t xml:space="preserve">Selected value</t>
  </si>
  <si>
    <t xml:space="preserve">Funding condition</t>
  </si>
  <si>
    <t xml:space="preserve">A$0m</t>
  </si>
  <si>
    <t xml:space="preserve">Replacement funding required</t>
  </si>
  <si>
    <t xml:space="preserve">A$50m</t>
  </si>
  <si>
    <t xml:space="preserve">A$100m</t>
  </si>
  <si>
    <t xml:space="preserve">Base — A$136m</t>
  </si>
  <si>
    <t xml:space="preserve">Current model assumption</t>
  </si>
  <si>
    <t xml:space="preserve">A$150m</t>
  </si>
  <si>
    <t xml:space="preserve">Incremental dilution</t>
  </si>
  <si>
    <t xml:space="preserve">A$200m</t>
  </si>
  <si>
    <t xml:space="preserve">IPO AND MULTI-SITE UPSIDE. Management anticipates that a successful Bend launch could support further Australian and international sites, with The Bend operating as the flagship precinct. A future group roll-up or IPO could create value beyond the Bend-only return shown above through platform scale, brand licensing, development fees and ownership of multiple sites. This upside is not included in the current selected BAU value and would accrue to David Gifford only if the final investment documents provide an economic interest in the relevant holding company, future-site vehicles or an agreed rollover / conversion into the IPO entity.</t>
  </si>
  <si>
    <t xml:space="preserve">IMPORTANT INFORMATION AND DISCLAIMER</t>
  </si>
  <si>
    <t xml:space="preserve">Preliminary and confidential | The Bend, Fishermans Bend, Victoria | Model as at 20 Jul 2026
High-level initial analysis only — no promise of returns. This page forms part of the dashboard and should be read with every valuation, ownership and returns figure above.</t>
  </si>
  <si>
    <t xml:space="preserve">1. STATUS AND PURPOSE</t>
  </si>
  <si>
    <t xml:space="preserve">4. AUSTRALIAN REGULATORY STATUS AND NO ADVICE</t>
  </si>
  <si>
    <t xml:space="preserve">This dashboard is not a prospectus, product disclosure statement or other disclosure document for the purposes of the Corporations Act 2001 (Cth), has not been lodged with the Australian Securities and Investments Commission (ASIC), and must not be used to make an offer where regulated disclosure is required. Any actual offer must be made separately, in accordance with applicable Australian law and only to a person lawfully eligible to receive it.
Nothing in this dashboard constitutes financial product advice, personal advice, legal advice, tax advice or a recommendation to acquire, hold or dispose of any security or financial product.</t>
  </si>
  <si>
    <t xml:space="preserve">2. PRELIMINARY MODEL, VALUATION AND RETURNS</t>
  </si>
  <si>
    <t xml:space="preserve">5. FORWARD-LOOKING STATEMENTS AND STRATEGIC UPSIDE</t>
  </si>
  <si>
    <t xml:space="preserve">All land values, project values, ownership outcomes, MOICs and annualised returns are illustrative model outputs—not promises, forecasts or guaranteed outcomes. The analysis has not been independently audited or valued. It relies on preliminary assumptions concerning the site acquisition cost, planning and environmental outcomes, development cost, financing, dilution, tenant terms, operating performance, retained cash and exit valuation.
Land-only estimates are management estimates and are not treated as NewCo value unless the legal and economic interest in the land is established and supported by an independent valuation. Alternative methods are cross-checks at a common assumed date and must not be added together.</t>
  </si>
  <si>
    <t xml:space="preserve">Statements about planning approval, construction, operations, land appreciation, income, refinancing, valuation, additional sites, a group roll-up or an IPO are forward-looking and depend on assumptions and events outside the control of the project parties. Actual timing, costs, ownership and returns may differ materially. No representation is made that an IPO, liquidity event, additional site or management valuation target will occur.
The selected BAU value is a Bend-only model output. IPO and multi-site potential is unquantified and would benefit David Gifford only if final documents provide an enforceable economic interest in the relevant holding company, future-site vehicles or an agreed rollover or conversion into an IPO entity.</t>
  </si>
  <si>
    <t xml:space="preserve">3. PROJECT-SPECIFIC UNCERTAINTIES</t>
  </si>
  <si>
    <t xml:space="preserve">6. INDEPENDENT REVIEW, RELIANCE AND CONFIDENTIALITY</t>
  </si>
  <si>
    <t xml:space="preserve">Material uncertainties include site control and acquisition; lease, deposit and bank-guarantee terms; SSD/DA pathway and permitted uses; contamination, asbestos, remediation and clean-audit outcomes; Fishermans Bend infrastructure contributions; design development; construction cost, programme and completion risk; grant availability; debt capacity, interest rates, covenants and refinancing; tenant commitments, incentives, occupancy and revenue; operating costs, maintenance capex and working capital; valuation yields; future equity pricing and dilution; liquidity; and changes in law, tax or market conditions.
An investment in an unlisted development company is illiquid and involves risk, including delay, dilution, loss of income and loss of some or all invested capital.</t>
  </si>
  <si>
    <t xml:space="preserve">David Gifford should undertake independent commercial, legal, financial, tax, accounting, property, planning, environmental and technical due diligence and obtain independent professional advice before making any decision. Particular attention should be given to the cap table, future issue pricing, pre-emptive and anti-dilution rights, information rights, reserved matters, funding obligations, security, distributions, transfer rights, exit rights and treatment on any group reorganisation or IPO.
No representation or warranty, express or implied, is made as to the accuracy, completeness or reasonableness of this dashboard or its assumptions. To the maximum extent permitted by law, the project parties and their representatives accept no liability arising from reliance on it; nothing excludes liability that cannot lawfully be excluded. The dashboard is confidential, intended only for its selected recipient, may not be reproduced or distributed without consent, and may be amended or withdrawn without notice.</t>
  </si>
  <si>
    <t xml:space="preserve">KEY POINT: the figures in this dashboard illustrate possible outcomes under preliminary assumptions. They are not promised returns and should not be relied upon as the basis for an investment decision.</t>
  </si>
  <si>
    <t xml:space="preserve">DETAILED INVESTOR ANALYTICS | UNIQUE SUPPORTING INFORMATION</t>
  </si>
  <si>
    <t xml:space="preserve">RETURN VALUE COMPOSITION</t>
  </si>
  <si>
    <t xml:space="preserve">Return component</t>
  </si>
  <si>
    <t xml:space="preserve">% value</t>
  </si>
  <si>
    <t xml:space="preserve">Invested capital</t>
  </si>
  <si>
    <t xml:space="preserve">Property equity at selected valuation â€” ex retained cash</t>
  </si>
  <si>
    <t xml:space="preserve">Retained cash at selected valuation</t>
  </si>
  <si>
    <t xml:space="preserve">Cash distributions through selected valuation</t>
  </si>
  <si>
    <t xml:space="preserve">Selected scenario total value</t>
  </si>
  <si>
    <t xml:space="preserve">Gross gain</t>
  </si>
  <si>
    <t xml:space="preserve">CAPITAL DEPLOYMENT AND DILUTION</t>
  </si>
  <si>
    <t xml:space="preserve">Funding round</t>
  </si>
  <si>
    <t xml:space="preserve">Investor cash</t>
  </si>
  <si>
    <t xml:space="preserve">Issue price</t>
  </si>
  <si>
    <t xml:space="preserve">Shares</t>
  </si>
  <si>
    <t xml:space="preserve">% capital</t>
  </si>
  <si>
    <t xml:space="preserve">Initial NewCo close</t>
  </si>
  <si>
    <t xml:space="preserve">Pre-construction equity</t>
  </si>
  <si>
    <t xml:space="preserve">Future development equity</t>
  </si>
  <si>
    <t xml:space="preserve">PROJECT ECONOMICS, DEBT AND OPERATING SUPPORT</t>
  </si>
  <si>
    <t xml:space="preserve">PROJECT VALUE CREATION</t>
  </si>
  <si>
    <t xml:space="preserve">SELECTED SCENARIO GROSS VALUE</t>
  </si>
  <si>
    <t xml:space="preserve">GROSS VALUE UPLIFT</t>
  </si>
  <si>
    <t xml:space="preserve">VALUE / COST</t>
  </si>
  <si>
    <t xml:space="preserve">BAU LTV</t>
  </si>
  <si>
    <t xml:space="preserve">Total cash uses incl. financing</t>
  </si>
  <si>
    <t xml:space="preserve">Selected valuation method</t>
  </si>
  <si>
    <t xml:space="preserve">BAU gross value less project cost</t>
  </si>
  <si>
    <t xml:space="preserve">Gross project value multiple</t>
  </si>
  <si>
    <t xml:space="preserve">Debt / gross project value</t>
  </si>
  <si>
    <t xml:space="preserve">DEBT QUALITY AND DELEVERAGING</t>
  </si>
  <si>
    <t xml:space="preserve">Credit metric</t>
  </si>
  <si>
    <t xml:space="preserve">Peak construction debt</t>
  </si>
  <si>
    <t xml:space="preserve">Peak debt exposure</t>
  </si>
  <si>
    <t xml:space="preserve">Debt outstanding at selected value date</t>
  </si>
  <si>
    <t xml:space="preserve">Debt paydown to valuation date</t>
  </si>
  <si>
    <t xml:space="preserve">Peak debt less BAU debt</t>
  </si>
  <si>
    <t xml:space="preserve">Minimum DSCR</t>
  </si>
  <si>
    <t xml:space="preserve">Minimum modelled debt-service cover</t>
  </si>
  <si>
    <t xml:space="preserve">Average DSCR</t>
  </si>
  <si>
    <t xml:space="preserve">Average modelled debt-service cover</t>
  </si>
  <si>
    <t xml:space="preserve">Annual debt service</t>
  </si>
  <si>
    <t xml:space="preserve">Illustrative annuity payment</t>
  </si>
  <si>
    <t xml:space="preserve">Debt fully repaid</t>
  </si>
  <si>
    <t xml:space="preserve">Illustrative 15-year amortisation</t>
  </si>
  <si>
    <t xml:space="preserve">OPERATING TRAJECTORY SUPPORTING THE VALUATION</t>
  </si>
  <si>
    <t xml:space="preserve">Year 1</t>
  </si>
  <si>
    <t xml:space="preserve">Year 5</t>
  </si>
  <si>
    <t xml:space="preserve">Sale year</t>
  </si>
  <si>
    <t xml:space="preserve">Growth / change</t>
  </si>
  <si>
    <t xml:space="preserve">Gross revenue incl. recoveries</t>
  </si>
  <si>
    <t xml:space="preserve">Core revenue excl. recoveries</t>
  </si>
  <si>
    <t xml:space="preserve">EBITDA / NOI proxy</t>
  </si>
  <si>
    <t xml:space="preserve">CFADS</t>
  </si>
  <si>
    <t xml:space="preserve">Scheduled debt service</t>
  </si>
  <si>
    <t xml:space="preserve">DSCR</t>
  </si>
  <si>
    <t xml:space="preserve">Cash to equity before distributions</t>
  </si>
  <si>
    <t xml:space="preserve">Closing debt</t>
  </si>
  <si>
    <t xml:space="preserve">Closing retained cash</t>
  </si>
  <si>
    <t xml:space="preserve">REASONABLENESS ANCHORS</t>
  </si>
  <si>
    <t xml:space="preserve">Stabilised gross revenue per sqm</t>
  </si>
  <si>
    <t xml:space="preserve">Stabilised NOI per sqm</t>
  </si>
  <si>
    <t xml:space="preserve">SELECTED OPERATING REVENUE MIX</t>
  </si>
  <si>
    <t xml:space="preserve">SOURCE REQUIRED</t>
  </si>
  <si>
    <t xml:space="preserve">Event days and attendance are not supplied in the current data book.</t>
  </si>
  <si>
    <t xml:space="preserve">REVENUE MIX, VALUATION ASSUMPTIONS AND FUNDING CONTEXT</t>
  </si>
  <si>
    <t xml:space="preserve">8. SELECTED OPERATING REVENUE MIX</t>
  </si>
  <si>
    <t xml:space="preserve">Revenue category</t>
  </si>
  <si>
    <t xml:space="preserve">% total</t>
  </si>
  <si>
    <t xml:space="preserve">PBSA / student accommodation</t>
  </si>
  <si>
    <t xml:space="preserve">Genesis</t>
  </si>
  <si>
    <t xml:space="preserve">Parking</t>
  </si>
  <si>
    <t xml:space="preserve">Other commercial and leisure</t>
  </si>
  <si>
    <t xml:space="preserve">VALUATION ASSUMPTIONS AND MODEL READINESS</t>
  </si>
  <si>
    <t xml:space="preserve">9. VALUATION ASSUMPTIONS AND MODEL READINESS</t>
  </si>
  <si>
    <t xml:space="preserve">Valuation / model item</t>
  </si>
  <si>
    <t xml:space="preserve">Selected assumption</t>
  </si>
  <si>
    <t xml:space="preserve">Status / interpretation</t>
  </si>
  <si>
    <t xml:space="preserve">Selected-case capitalisation rate</t>
  </si>
  <si>
    <t xml:space="preserve">Working assumption</t>
  </si>
  <si>
    <t xml:space="preserve">OpCo EBITDA / NOI multiple</t>
  </si>
  <si>
    <t xml:space="preserve">DCF discount rate</t>
  </si>
  <si>
    <t xml:space="preserve">Chosen rate: 7.00% cap rate + 2.50% terminal growth; cross-checked to current AU 10Y bond yield and property return outlook</t>
  </si>
  <si>
    <t xml:space="preserve">Maintenance capex schedule</t>
  </si>
  <si>
    <t xml:space="preserve">Required for decision-grade CFADS</t>
  </si>
  <si>
    <t xml:space="preserve">Working-capital schedule</t>
  </si>
  <si>
    <t xml:space="preserve">FUNDING AND INVESTOR PROTECTION CONTEXT</t>
  </si>
  <si>
    <t xml:space="preserve">10. FUNDING AND INVESTOR PROTECTION CONTEXT</t>
  </si>
  <si>
    <t xml:space="preserve">INVESTOR DOCUMENTATION PRIORITIES
• Final issue price and fully diluted cap table
• Pre-emptive and anti-dilution rights
• Information and consent rights
• Funding obligations and default consequences
• Distribution and retained-cash policy
• Exit, transfer and tag/drag rights
• Treatment in any future-site roll-up or IPO</t>
  </si>
  <si>
    <t xml:space="preserve">DEBT | CONSTRUCTION, WORKING CAPITAL, TERM REFINANCING &amp; CASH WATERFALL</t>
  </si>
  <si>
    <t xml:space="preserve">CONSTRUCTION FACILITY | ASSUMPTIONS &amp; EXISTING MODEL LINKS</t>
  </si>
  <si>
    <t xml:space="preserve">KEY DEBT METRICS | SELECTED SCENARIO</t>
  </si>
  <si>
    <t xml:space="preserve">Selected scenario</t>
  </si>
  <si>
    <t xml:space="preserve">Linked: VALUATION &amp; RETURNS selected scenario</t>
  </si>
  <si>
    <t xml:space="preserve">Total debt commitments</t>
  </si>
  <si>
    <t xml:space="preserve">$</t>
  </si>
  <si>
    <t xml:space="preserve">Funding selection</t>
  </si>
  <si>
    <t xml:space="preserve">Editable: Equity First / Pro Rata / Debt Last</t>
  </si>
  <si>
    <t xml:space="preserve">Minimum equity contribution</t>
  </si>
  <si>
    <t xml:space="preserve">Linked: existing equity funding</t>
  </si>
  <si>
    <t xml:space="preserve">Peak working-capital debt</t>
  </si>
  <si>
    <t xml:space="preserve">Maximum facility commitment</t>
  </si>
  <si>
    <t xml:space="preserve">Linked: existing construction debt less operating-shortfall reserve</t>
  </si>
  <si>
    <t xml:space="preserve">Term debt at conversion</t>
  </si>
  <si>
    <t xml:space="preserve">Loan-to-cost limit</t>
  </si>
  <si>
    <t xml:space="preserve">Linked: existing LTC target</t>
  </si>
  <si>
    <t xml:space="preserve">Total capitalised interest</t>
  </si>
  <si>
    <t xml:space="preserve">Loan-to-value limit</t>
  </si>
  <si>
    <t xml:space="preserve">Illustrative; lender confirmation required</t>
  </si>
  <si>
    <t xml:space="preserve">Total cash interest</t>
  </si>
  <si>
    <t xml:space="preserve">Construction base rate</t>
  </si>
  <si>
    <t xml:space="preserve">Illustrative split; source model provides all-in rate only</t>
  </si>
  <si>
    <t xml:space="preserve">Total financing fees</t>
  </si>
  <si>
    <t xml:space="preserve">Construction margin</t>
  </si>
  <si>
    <t xml:space="preserve">Linked proxy: existing all-in construction rate</t>
  </si>
  <si>
    <t xml:space="preserve">Weighted-average interest rate</t>
  </si>
  <si>
    <t xml:space="preserve">Commitment fee</t>
  </si>
  <si>
    <t xml:space="preserve">Establishment fee</t>
  </si>
  <si>
    <t xml:space="preserve">Linked: existing financing fee</t>
  </si>
  <si>
    <t xml:space="preserve">Line fee</t>
  </si>
  <si>
    <t xml:space="preserve">Debt yield</t>
  </si>
  <si>
    <t xml:space="preserve">Interest calculation basis</t>
  </si>
  <si>
    <t xml:space="preserve">Linked: central day-count convention</t>
  </si>
  <si>
    <t xml:space="preserve">Practical completion date</t>
  </si>
  <si>
    <t xml:space="preserve">Linked: construction end month</t>
  </si>
  <si>
    <t xml:space="preserve">Facility maturity</t>
  </si>
  <si>
    <t xml:space="preserve">Illustrative: 12 months after practical completion</t>
  </si>
  <si>
    <t xml:space="preserve">Minimum interest-cover ratio</t>
  </si>
  <si>
    <t xml:space="preserve">Longstop date</t>
  </si>
  <si>
    <t xml:space="preserve">Illustrative: 6 months after practical completion</t>
  </si>
  <si>
    <t xml:space="preserve">Debt-service reserve requirement</t>
  </si>
  <si>
    <t xml:space="preserve">Covenant drawstop enabled</t>
  </si>
  <si>
    <t xml:space="preserve">Editable: Yes / No</t>
  </si>
  <si>
    <t xml:space="preserve">Final repayment date</t>
  </si>
  <si>
    <t xml:space="preserve">Term-debt maturity</t>
  </si>
  <si>
    <t xml:space="preserve">WORKING-CAPITAL FACILITY | ASSUMPTIONS</t>
  </si>
  <si>
    <t xml:space="preserve">Balloon amount</t>
  </si>
  <si>
    <t xml:space="preserve">Working-capital facility limit</t>
  </si>
  <si>
    <t xml:space="preserve">Linked: existing operating-shortfall reserve</t>
  </si>
  <si>
    <t xml:space="preserve">Refinance requirement</t>
  </si>
  <si>
    <t xml:space="preserve">Working-capital base rate</t>
  </si>
  <si>
    <t xml:space="preserve">Illustrative split; confirm</t>
  </si>
  <si>
    <t xml:space="preserve">Refinance shortfall</t>
  </si>
  <si>
    <t xml:space="preserve">Working-capital margin</t>
  </si>
  <si>
    <t xml:space="preserve">Equity funding requirement</t>
  </si>
  <si>
    <t xml:space="preserve">Minimum cash balance</t>
  </si>
  <si>
    <t xml:space="preserve">Illustrative; confirm</t>
  </si>
  <si>
    <t xml:space="preserve">Minimum undrawn facility headroom</t>
  </si>
  <si>
    <t xml:space="preserve">Unused-line fee</t>
  </si>
  <si>
    <t xml:space="preserve">Working-capital maturity</t>
  </si>
  <si>
    <t xml:space="preserve">Illustrative: 12 months after stabilisation</t>
  </si>
  <si>
    <t xml:space="preserve">SCENARIOS | INPUT IMPACTS (ILLUSTRATIVE; CONFIRM)</t>
  </si>
  <si>
    <t xml:space="preserve">Eligible use</t>
  </si>
  <si>
    <t xml:space="preserve">Operating / pre-opening liquidity only</t>
  </si>
  <si>
    <t xml:space="preserve">Construction expenditure excluded</t>
  </si>
  <si>
    <t xml:space="preserve">Cost overrun</t>
  </si>
  <si>
    <t xml:space="preserve">Delay (mths)</t>
  </si>
  <si>
    <t xml:space="preserve">Rate shock</t>
  </si>
  <si>
    <t xml:space="preserve">Op. ramp</t>
  </si>
  <si>
    <t xml:space="preserve">Value</t>
  </si>
  <si>
    <t xml:space="preserve">Refi proceeds</t>
  </si>
  <si>
    <t xml:space="preserve">LTC / LTV adj.</t>
  </si>
  <si>
    <t xml:space="preserve">TERM DEBT | CONVERSION, REPAYMENT &amp; COVENANTS</t>
  </si>
  <si>
    <t xml:space="preserve">Conversion trigger</t>
  </si>
  <si>
    <t xml:space="preserve">Editable: Practical Completion / Stabilisation / Manual Date</t>
  </si>
  <si>
    <t xml:space="preserve">Manual conversion date</t>
  </si>
  <si>
    <t xml:space="preserve">Used only when Manual Date is selected</t>
  </si>
  <si>
    <t xml:space="preserve">Calculated conversion date</t>
  </si>
  <si>
    <t xml:space="preserve">Includes selected scenario delay</t>
  </si>
  <si>
    <t xml:space="preserve">SCENARIO DEBT OUTCOMES | INDICATIVE SIZING</t>
  </si>
  <si>
    <t xml:space="preserve">Working-capital debt may refinance</t>
  </si>
  <si>
    <t xml:space="preserve">Capitalised interest</t>
  </si>
  <si>
    <t xml:space="preserve">Term debt</t>
  </si>
  <si>
    <t xml:space="preserve">Repayment date</t>
  </si>
  <si>
    <t xml:space="preserve">Refi shortfall</t>
  </si>
  <si>
    <t xml:space="preserve">Term-debt facility limit</t>
  </si>
  <si>
    <t xml:space="preserve">Linked: existing potential permanent debt</t>
  </si>
  <si>
    <t xml:space="preserve">Term-debt LTV limit</t>
  </si>
  <si>
    <t xml:space="preserve">Term-debt base rate</t>
  </si>
  <si>
    <t xml:space="preserve">Illustrative split; source provides all-in rate only</t>
  </si>
  <si>
    <t xml:space="preserve">Term-debt margin</t>
  </si>
  <si>
    <t xml:space="preserve">Linked proxy: existing permanent-debt rate</t>
  </si>
  <si>
    <t xml:space="preserve">Term</t>
  </si>
  <si>
    <t xml:space="preserve">Illustrative years; confirm</t>
  </si>
  <si>
    <t xml:space="preserve">Amortisation period</t>
  </si>
  <si>
    <t xml:space="preserve">Linked: existing permanent-debt assumption</t>
  </si>
  <si>
    <t xml:space="preserve">Interest-only period</t>
  </si>
  <si>
    <t xml:space="preserve">Illustrative months; confirm</t>
  </si>
  <si>
    <t xml:space="preserve">Repayment profile</t>
  </si>
  <si>
    <t xml:space="preserve">Editable; sculpting uses model CFADS</t>
  </si>
  <si>
    <t xml:space="preserve">Bullet percentage</t>
  </si>
  <si>
    <t xml:space="preserve">Illustrative; applies to partial-amortisation profile</t>
  </si>
  <si>
    <t xml:space="preserve">Cash-sweep percentage</t>
  </si>
  <si>
    <t xml:space="preserve">Refinancing fee</t>
  </si>
  <si>
    <t xml:space="preserve">Linked: existing permanent-debt fee</t>
  </si>
  <si>
    <t xml:space="preserve">Minimum DSCR covenant</t>
  </si>
  <si>
    <t xml:space="preserve">Minimum debt yield</t>
  </si>
  <si>
    <t xml:space="preserve">Debt-service reserve</t>
  </si>
  <si>
    <t xml:space="preserve">Calculated from conversion date and term</t>
  </si>
  <si>
    <t xml:space="preserve">Tax / working-capital source gap</t>
  </si>
  <si>
    <t xml:space="preserve">Tax / GST / working-capital assumptions</t>
  </si>
  <si>
    <t xml:space="preserve">Provisional schedules are formula-linked below; tax adviser, lender and management confirmation remains required</t>
  </si>
  <si>
    <t xml:space="preserve">MONTHLY DEBT SCHEDULE | SELECTED CASE</t>
  </si>
  <si>
    <t xml:space="preserve">Facility / cash-waterfall line</t>
  </si>
  <si>
    <t xml:space="preserve">Units</t>
  </si>
  <si>
    <t xml:space="preserve">Source / calculation convention</t>
  </si>
  <si>
    <t xml:space="preserve">TIMELINE &amp; TRIGGERS</t>
  </si>
  <si>
    <t xml:space="preserve">Period</t>
  </si>
  <si>
    <t xml:space="preserve">Underwriting monthly timeline</t>
  </si>
  <si>
    <t xml:space="preserve">Underwriting row 24</t>
  </si>
  <si>
    <t xml:space="preserve">Days in period</t>
  </si>
  <si>
    <t xml:space="preserve">days</t>
  </si>
  <si>
    <t xml:space="preserve">Actual days / selected basis</t>
  </si>
  <si>
    <t xml:space="preserve">Phase</t>
  </si>
  <si>
    <t xml:space="preserve">status</t>
  </si>
  <si>
    <t xml:space="preserve">Construction / stabilisation / operations</t>
  </si>
  <si>
    <t xml:space="preserve">Practical-completion flag</t>
  </si>
  <si>
    <t xml:space="preserve">0 / 1</t>
  </si>
  <si>
    <t xml:space="preserve">Scenario-adjusted</t>
  </si>
  <si>
    <t xml:space="preserve">Stabilisation flag</t>
  </si>
  <si>
    <t xml:space="preserve">Term-debt conversion flag</t>
  </si>
  <si>
    <t xml:space="preserve">Selected trigger</t>
  </si>
  <si>
    <t xml:space="preserve">Sale / mandatory-repayment flag</t>
  </si>
  <si>
    <t xml:space="preserve">Underwriting reversion month</t>
  </si>
  <si>
    <t xml:space="preserve">CONSTRUCTION FACILITY</t>
  </si>
  <si>
    <t xml:space="preserve">Opening commitment</t>
  </si>
  <si>
    <t xml:space="preserve">Facility limit roll-forward</t>
  </si>
  <si>
    <t xml:space="preserve">Opening drawn balance</t>
  </si>
  <si>
    <t xml:space="preserve">Prior closing balance</t>
  </si>
  <si>
    <t xml:space="preserve">Eligible development expenditure</t>
  </si>
  <si>
    <t xml:space="preserve">Underwriting row 196</t>
  </si>
  <si>
    <t xml:space="preserve">Scenario cost overrun / (saving)</t>
  </si>
  <si>
    <t xml:space="preserve">Selected scenario factor</t>
  </si>
  <si>
    <t xml:space="preserve">Total eligible expenditure</t>
  </si>
  <si>
    <t xml:space="preserve">Development spend + overrun + establishment fee</t>
  </si>
  <si>
    <t xml:space="preserve">Equity-funded expenditure</t>
  </si>
  <si>
    <t xml:space="preserve">Residual eligible expenditure</t>
  </si>
  <si>
    <t xml:space="preserve">Construction debt request</t>
  </si>
  <si>
    <t xml:space="preserve">Funding method</t>
  </si>
  <si>
    <t xml:space="preserve">Permitted draw</t>
  </si>
  <si>
    <t xml:space="preserve">Commitment, LTC, LTV, maturity and drawstop</t>
  </si>
  <si>
    <t xml:space="preserve">Construction drawdown</t>
  </si>
  <si>
    <t xml:space="preserve">Permitted lender advance</t>
  </si>
  <si>
    <t xml:space="preserve">Average-balance, non-circular</t>
  </si>
  <si>
    <t xml:space="preserve">Accrued construction interest</t>
  </si>
  <si>
    <t xml:space="preserve">Average-balance interest</t>
  </si>
  <si>
    <t xml:space="preserve">Construction cash interest</t>
  </si>
  <si>
    <t xml:space="preserve">Accrued less capitalised</t>
  </si>
  <si>
    <t xml:space="preserve">Undrawn commitment</t>
  </si>
  <si>
    <t xml:space="preserve">Opening commitment less debt and draw</t>
  </si>
  <si>
    <t xml:space="preserve">Average undrawn commitment</t>
  </si>
  <si>
    <t xml:space="preserve">Linked existing financing fee</t>
  </si>
  <si>
    <t xml:space="preserve">Closing drawn balance</t>
  </si>
  <si>
    <t xml:space="preserve">Scheduled principal repayment</t>
  </si>
  <si>
    <t xml:space="preserve">Interest-only construction period</t>
  </si>
  <si>
    <t xml:space="preserve">Refinancing repayment</t>
  </si>
  <si>
    <t xml:space="preserve">Term-debt proceeds</t>
  </si>
  <si>
    <t xml:space="preserve">Mandatory repayment</t>
  </si>
  <si>
    <t xml:space="preserve">Sale / maturity</t>
  </si>
  <si>
    <t xml:space="preserve">Debt roll-forward</t>
  </si>
  <si>
    <t xml:space="preserve">Closing commitment</t>
  </si>
  <si>
    <t xml:space="preserve">Zero after conversion / maturity</t>
  </si>
  <si>
    <t xml:space="preserve">Available headroom</t>
  </si>
  <si>
    <t xml:space="preserve">Commitment less drawn balance</t>
  </si>
  <si>
    <t xml:space="preserve">Construction LTC</t>
  </si>
  <si>
    <t xml:space="preserve">Closing balance / cumulative eligible uses</t>
  </si>
  <si>
    <t xml:space="preserve">Construction LTV</t>
  </si>
  <si>
    <t xml:space="preserve">Closing balance / scenario property value</t>
  </si>
  <si>
    <t xml:space="preserve">Covenant / drawstop status</t>
  </si>
  <si>
    <t xml:space="preserve">Selected LTC, LTV, maturity and longstop</t>
  </si>
  <si>
    <t xml:space="preserve">Construction roll-forward check</t>
  </si>
  <si>
    <t xml:space="preserve">Must equal zero</t>
  </si>
  <si>
    <t xml:space="preserve">WORKING-CAPITAL FACILITY</t>
  </si>
  <si>
    <t xml:space="preserve">Opening working-capital balance</t>
  </si>
  <si>
    <t xml:space="preserve">Linked assumption</t>
  </si>
  <si>
    <t xml:space="preserve">Operating cash requirement</t>
  </si>
  <si>
    <t xml:space="preserve">Liquidity needed to minimum cash</t>
  </si>
  <si>
    <t xml:space="preserve">Minimum cash requirement</t>
  </si>
  <si>
    <t xml:space="preserve">Editable lender assumption</t>
  </si>
  <si>
    <t xml:space="preserve">Permitted working-capital draw</t>
  </si>
  <si>
    <t xml:space="preserve">Eligible liquidity need only</t>
  </si>
  <si>
    <t xml:space="preserve">Working-capital drawdown</t>
  </si>
  <si>
    <t xml:space="preserve">Revolver advance</t>
  </si>
  <si>
    <t xml:space="preserve">Working-capital repayments</t>
  </si>
  <si>
    <t xml:space="preserve">Refinance plus surplus cash</t>
  </si>
  <si>
    <t xml:space="preserve">Working-capital cash interest</t>
  </si>
  <si>
    <t xml:space="preserve">Opening-balance interest</t>
  </si>
  <si>
    <t xml:space="preserve">Working-capital fees</t>
  </si>
  <si>
    <t xml:space="preserve">Closing working-capital balance</t>
  </si>
  <si>
    <t xml:space="preserve">Revolver roll-forward</t>
  </si>
  <si>
    <t xml:space="preserve">Unused working-capital capacity</t>
  </si>
  <si>
    <t xml:space="preserve">Facility limit less closing balance</t>
  </si>
  <si>
    <t xml:space="preserve">Working-capital maturity flag</t>
  </si>
  <si>
    <t xml:space="preserve">Maturity compliance</t>
  </si>
  <si>
    <t xml:space="preserve">Working-capital roll-forward check</t>
  </si>
  <si>
    <t xml:space="preserve">TERM-DEBT CONVERSION &amp; AMORTISATION</t>
  </si>
  <si>
    <t xml:space="preserve">Opening term-debt balance</t>
  </si>
  <si>
    <t xml:space="preserve">Construction debt refinanced</t>
  </si>
  <si>
    <t xml:space="preserve">Conversion proceeds after fee</t>
  </si>
  <si>
    <t xml:space="preserve">Working-capital debt refinanced</t>
  </si>
  <si>
    <t xml:space="preserve">Only when permitted</t>
  </si>
  <si>
    <t xml:space="preserve">Refinancing fees</t>
  </si>
  <si>
    <t xml:space="preserve">Linked fee rate</t>
  </si>
  <si>
    <t xml:space="preserve">Gross term-debt funding</t>
  </si>
  <si>
    <t xml:space="preserve">Facility, LTV and proceeds cap</t>
  </si>
  <si>
    <t xml:space="preserve">Equity cure / refinance shortfall</t>
  </si>
  <si>
    <t xml:space="preserve">Requirement less term proceeds</t>
  </si>
  <si>
    <t xml:space="preserve">Effective term interest rate</t>
  </si>
  <si>
    <t xml:space="preserve">Base + margin + scenario shock</t>
  </si>
  <si>
    <t xml:space="preserve">Term-debt cash interest</t>
  </si>
  <si>
    <t xml:space="preserve">Scheduled term principal</t>
  </si>
  <si>
    <t xml:space="preserve">Selected repayment profile</t>
  </si>
  <si>
    <t xml:space="preserve">Mandatory term repayment</t>
  </si>
  <si>
    <t xml:space="preserve">Asset sale</t>
  </si>
  <si>
    <t xml:space="preserve">Term-debt cash sweep</t>
  </si>
  <si>
    <t xml:space="preserve">Surplus CFADS after scheduled service</t>
  </si>
  <si>
    <t xml:space="preserve">Bullet repayment</t>
  </si>
  <si>
    <t xml:space="preserve">At term maturity</t>
  </si>
  <si>
    <t xml:space="preserve">Closing term-debt balance</t>
  </si>
  <si>
    <t xml:space="preserve">Maturity balance / balloon</t>
  </si>
  <si>
    <t xml:space="preserve">Balance immediately before maturity bullet</t>
  </si>
  <si>
    <t xml:space="preserve">Selected months of term debt service</t>
  </si>
  <si>
    <t xml:space="preserve">CFADS / total debt service</t>
  </si>
  <si>
    <t xml:space="preserve">Interest-cover ratio</t>
  </si>
  <si>
    <t xml:space="preserve">CFADS / cash interest</t>
  </si>
  <si>
    <t xml:space="preserve">Annualised NOI / total debt</t>
  </si>
  <si>
    <t xml:space="preserve">Term-debt LTV</t>
  </si>
  <si>
    <t xml:space="preserve">Total debt / scenario property value</t>
  </si>
  <si>
    <t xml:space="preserve">Term-debt maturity status</t>
  </si>
  <si>
    <t xml:space="preserve">Term-debt roll-forward check</t>
  </si>
  <si>
    <t xml:space="preserve">DEBT SERVICE &amp; CASH WATERFALL</t>
  </si>
  <si>
    <t xml:space="preserve">Operating cash receipts</t>
  </si>
  <si>
    <t xml:space="preserve">Underwriting effective gross revenue</t>
  </si>
  <si>
    <t xml:space="preserve">Operating expenses</t>
  </si>
  <si>
    <t xml:space="preserve">Underwriting operating expenses</t>
  </si>
  <si>
    <t xml:space="preserve">Taxes</t>
  </si>
  <si>
    <t xml:space="preserve">No reliable monthly schedule; zero pending confirmation</t>
  </si>
  <si>
    <t xml:space="preserve">Maintenance &amp; lifecycle capex</t>
  </si>
  <si>
    <t xml:space="preserve">Underwriting capital expenditure</t>
  </si>
  <si>
    <t xml:space="preserve">Movement in working capital</t>
  </si>
  <si>
    <t xml:space="preserve">Cash flow available for debt service</t>
  </si>
  <si>
    <t xml:space="preserve">Receipts less operating uses</t>
  </si>
  <si>
    <t xml:space="preserve">Working-capital interest &amp; fees</t>
  </si>
  <si>
    <t xml:space="preserve">Cash interest plus unused fee</t>
  </si>
  <si>
    <t xml:space="preserve">Construction / term-debt interest &amp; fees</t>
  </si>
  <si>
    <t xml:space="preserve">Cash interest, commitment and line fees</t>
  </si>
  <si>
    <t xml:space="preserve">Scheduled principal</t>
  </si>
  <si>
    <t xml:space="preserve">Construction plus term principal</t>
  </si>
  <si>
    <t xml:space="preserve">Mandatory repayments</t>
  </si>
  <si>
    <t xml:space="preserve">Surplus cash / sale repayments</t>
  </si>
  <si>
    <t xml:space="preserve">Cash sweep</t>
  </si>
  <si>
    <t xml:space="preserve">Selected term-debt sweep</t>
  </si>
  <si>
    <t xml:space="preserve">Minimum cash reserve</t>
  </si>
  <si>
    <t xml:space="preserve">Required closing liquidity</t>
  </si>
  <si>
    <t xml:space="preserve">Equity liquidity support</t>
  </si>
  <si>
    <t xml:space="preserve">Cure after permitted revolver draw</t>
  </si>
  <si>
    <t xml:space="preserve">Blocked when reserve or covenant test fails</t>
  </si>
  <si>
    <t xml:space="preserve">Closing cash</t>
  </si>
  <si>
    <t xml:space="preserve">Waterfall closing balance</t>
  </si>
  <si>
    <t xml:space="preserve">Distribution / covenant status</t>
  </si>
  <si>
    <t xml:space="preserve">Distributions blocked on breach</t>
  </si>
  <si>
    <t xml:space="preserve">Cash waterfall check</t>
  </si>
  <si>
    <t xml:space="preserve">Eligible-use funding check</t>
  </si>
  <si>
    <t xml:space="preserve">Eligible use less construction and working-capital funding; must equal zero</t>
  </si>
  <si>
    <t xml:space="preserve">CFADS linkage check</t>
  </si>
  <si>
    <t xml:space="preserve">Calculated CFADS less linked operating receipts and uses; must equal zero</t>
  </si>
  <si>
    <t xml:space="preserve">CONTROLS | EACH TEST RETURNS OK OR A CLEAR EXCEPTION</t>
  </si>
  <si>
    <t xml:space="preserve">Construction debt roll-forward</t>
  </si>
  <si>
    <t xml:space="preserve">Formula: opening + draws + capitalised interest − repayments = closing</t>
  </si>
  <si>
    <t xml:space="preserve">Construction draws within commitment</t>
  </si>
  <si>
    <t xml:space="preserve">Draw compared with contemporaneous available commitment</t>
  </si>
  <si>
    <t xml:space="preserve">Closing revolver balance versus limit</t>
  </si>
  <si>
    <t xml:space="preserve">No construction / working-capital double funding</t>
  </si>
  <si>
    <t xml:space="preserve">Eligible development spend equals equity plus construction debt</t>
  </si>
  <si>
    <t xml:space="preserve">Debt-funded uses reconcile to sources and uses</t>
  </si>
  <si>
    <t xml:space="preserve">Construction sources and eligible uses</t>
  </si>
  <si>
    <t xml:space="preserve">Capitalised interest included once</t>
  </si>
  <si>
    <t xml:space="preserve">Interest increases debt but is excluded from eligible cost rows</t>
  </si>
  <si>
    <t xml:space="preserve">Refinancing proceeds reconciliation</t>
  </si>
  <si>
    <t xml:space="preserve">Term debt plus equity cure equals refinanced debt plus fees</t>
  </si>
  <si>
    <t xml:space="preserve">Term debt activates after selected trigger</t>
  </si>
  <si>
    <t xml:space="preserve">No term funding before conversion date</t>
  </si>
  <si>
    <t xml:space="preserve">Debt service links to model cash flow</t>
  </si>
  <si>
    <t xml:space="preserve">CFADS derives from linked operating receipts and uses</t>
  </si>
  <si>
    <t xml:space="preserve">Closing cash meets minimum requirement</t>
  </si>
  <si>
    <t xml:space="preserve">Equity liquidity support follows permitted WC draw</t>
  </si>
  <si>
    <t xml:space="preserve">LTC and LTV definitions</t>
  </si>
  <si>
    <t xml:space="preserve">Debt and value definitions reconcile to selected-case metrics</t>
  </si>
  <si>
    <t xml:space="preserve">Investor distributions blocked on breach</t>
  </si>
  <si>
    <t xml:space="preserve">No distribution when debt service, cash or covenants fail</t>
  </si>
  <si>
    <t xml:space="preserve">Static dependency scan found no formula cycles; iteration remains disabled.</t>
  </si>
  <si>
    <t xml:space="preserve">Average/opening balance interest avoids circularity</t>
  </si>
  <si>
    <t xml:space="preserve">Release-package QA: no externalLink parts and no newly introduced external workbook references.</t>
  </si>
  <si>
    <t xml:space="preserve">All formulas point to this workbook</t>
  </si>
  <si>
    <t xml:space="preserve">No formula errors</t>
  </si>
  <si>
    <t xml:space="preserve">Selected schedule error scan</t>
  </si>
  <si>
    <t xml:space="preserve">Debt-yield exception status</t>
  </si>
  <si>
    <t xml:space="preserve">Flags any negative post-conversion debt-yield period; the underlying row remains visible.</t>
  </si>
  <si>
    <t xml:space="preserve">Capitalised-interest / eligible-use check</t>
  </si>
  <si>
    <t xml:space="preserve">Eligible uses less development costs, capitalised fees and recoverable GST; must equal zero</t>
  </si>
  <si>
    <t xml:space="preserve">SENSITIVITY | CAPITALISED INTEREST: DELAY vs RATE SHOCK</t>
  </si>
  <si>
    <t xml:space="preserve">SENSITIVITY | REFINANCE SHORTFALL: VALUE vs REFI PROCEEDS</t>
  </si>
  <si>
    <t xml:space="preserve">Delay (months)</t>
  </si>
  <si>
    <t xml:space="preserve">Value factor</t>
  </si>
  <si>
    <t xml:space="preserve">Average-balance approximation; selected monthly schedule above remains the authoritative case.</t>
  </si>
  <si>
    <t xml:space="preserve">Tests valuation and available refinancing-proceeds constraints against the selected-case peak debt.</t>
  </si>
  <si>
    <t xml:space="preserve">TAX, GST &amp; WORKING-CAPITAL SUPPORTING SCHEDULES</t>
  </si>
  <si>
    <t xml:space="preserve">Input GST on eligible development spend</t>
  </si>
  <si>
    <t xml:space="preserve">Eligible base capex multiplied by GST rate</t>
  </si>
  <si>
    <t xml:space="preserve">GST recovery</t>
  </si>
  <si>
    <t xml:space="preserve">Input GST recovered after the selected lag</t>
  </si>
  <si>
    <t xml:space="preserve">Net GST funding / (recovery)</t>
  </si>
  <si>
    <t xml:space="preserve">Positive amounts are eligible construction uses; recoveries repay debt</t>
  </si>
  <si>
    <t xml:space="preserve">Opening tax-loss carryforward</t>
  </si>
  <si>
    <t xml:space="preserve">Prior-period closing tax losses</t>
  </si>
  <si>
    <t xml:space="preserve">Taxable income / (loss) before carryforwards</t>
  </si>
  <si>
    <t xml:space="preserve">Operating cash margin less interest and tax depreciation proxy</t>
  </si>
  <si>
    <t xml:space="preserve">Tax losses utilised</t>
  </si>
  <si>
    <t xml:space="preserve">Limited to opening losses and current positive taxable income</t>
  </si>
  <si>
    <t xml:space="preserve">Closing tax-loss carryforward</t>
  </si>
  <si>
    <t xml:space="preserve">Opening losses plus current loss less utilisation</t>
  </si>
  <si>
    <t xml:space="preserve">Cash income tax</t>
  </si>
  <si>
    <t xml:space="preserve">Corporate tax on taxable income after loss utilisation</t>
  </si>
  <si>
    <t xml:space="preserve">Operating working-capital target</t>
  </si>
  <si>
    <t xml:space="preserve">Selected percentage of annualised operating revenue</t>
  </si>
  <si>
    <t xml:space="preserve">DATA MAP | SOURCE-TO-TARGET TRACEABILITY &amp; ISSUE REGISTER</t>
  </si>
  <si>
    <t xml:space="preserve">The target detailed model controls where scope conflicts exist. No conflict has been silently resolved. Source values are shown in their native units unless the comment records a conversion.</t>
  </si>
  <si>
    <t xml:space="preserve">Source review refreshed on 28 Jul 2026 using PROJECTS register book(4).xlsm: all 29 sheets and populated cells were reviewed; no populated-cell changes were identified versus the previously migrated data-book version.</t>
  </si>
  <si>
    <t xml:space="preserve">Field ID</t>
  </si>
  <si>
    <t xml:space="preserve">Description</t>
  </si>
  <si>
    <t xml:space="preserve">Source Sheet</t>
  </si>
  <si>
    <t xml:space="preserve">Source Cell/Range</t>
  </si>
  <si>
    <t xml:space="preserve">Source Value</t>
  </si>
  <si>
    <t xml:space="preserve">Target Sheet</t>
  </si>
  <si>
    <t xml:space="preserve">Target Cell/Range</t>
  </si>
  <si>
    <t xml:space="preserve">Update Method</t>
  </si>
  <si>
    <t xml:space="preserve">Source Conflict? (Yes / No)</t>
  </si>
  <si>
    <t xml:space="preserve">Comment</t>
  </si>
  <si>
    <t xml:space="preserve">Source Workbook</t>
  </si>
  <si>
    <t xml:space="preserve">Owner Action Required</t>
  </si>
  <si>
    <t xml:space="preserve">PRJ-001</t>
  </si>
  <si>
    <t xml:space="preserve">Project | Project name</t>
  </si>
  <si>
    <t xml:space="preserve">MODEL DESIGN</t>
  </si>
  <si>
    <t xml:space="preserve">C8</t>
  </si>
  <si>
    <t xml:space="preserve">THE BEND Entertainment Precinct</t>
  </si>
  <si>
    <t xml:space="preserve">Underwriting</t>
  </si>
  <si>
    <t xml:space="preserve">E9</t>
  </si>
  <si>
    <t xml:space="preserve">Formula link</t>
  </si>
  <si>
    <t xml:space="preserve">Mapped</t>
  </si>
  <si>
    <t xml:space="preserve">Target wording retained; source wording is consistent.</t>
  </si>
  <si>
    <t xml:space="preserve">PROJECTS register book(4).xlsm</t>
  </si>
  <si>
    <t xml:space="preserve">None — technical mapping complete.</t>
  </si>
  <si>
    <t xml:space="preserve">PRJ-002</t>
  </si>
  <si>
    <t xml:space="preserve">Project | Street address</t>
  </si>
  <si>
    <t xml:space="preserve">Target: Underwriting</t>
  </si>
  <si>
    <t xml:space="preserve">E10</t>
  </si>
  <si>
    <t xml:space="preserve">349 Bridge Street</t>
  </si>
  <si>
    <t xml:space="preserve">No equivalent street address identified in the data book.</t>
  </si>
  <si>
    <t xml:space="preserve">Target model</t>
  </si>
  <si>
    <t xml:space="preserve">PRJ-003</t>
  </si>
  <si>
    <t xml:space="preserve">Project | Suburb / municipality</t>
  </si>
  <si>
    <t xml:space="preserve">C9</t>
  </si>
  <si>
    <t xml:space="preserve">Port Melbourne</t>
  </si>
  <si>
    <t xml:space="preserve">E11</t>
  </si>
  <si>
    <t xml:space="preserve">Port Melbourne is consistent across both workbooks.</t>
  </si>
  <si>
    <t xml:space="preserve">PRJ-004</t>
  </si>
  <si>
    <t xml:space="preserve">Project | State</t>
  </si>
  <si>
    <t xml:space="preserve">Victoria</t>
  </si>
  <si>
    <t xml:space="preserve">I10</t>
  </si>
  <si>
    <t xml:space="preserve">PRJ-005</t>
  </si>
  <si>
    <t xml:space="preserve">Project | Country</t>
  </si>
  <si>
    <t xml:space="preserve">I13</t>
  </si>
  <si>
    <t xml:space="preserve">Australia</t>
  </si>
  <si>
    <t xml:space="preserve">PRJ-006</t>
  </si>
  <si>
    <t xml:space="preserve">Programme | Model start date</t>
  </si>
  <si>
    <t xml:space="preserve">C12</t>
  </si>
  <si>
    <t xml:space="preserve">Q3 2026</t>
  </si>
  <si>
    <t xml:space="preserve">E13</t>
  </si>
  <si>
    <t xml:space="preserve">Target monthly date provides the precise start within the source quarter.</t>
  </si>
  <si>
    <t xml:space="preserve">PRJ-007</t>
  </si>
  <si>
    <t xml:space="preserve">Programme | Construction duration</t>
  </si>
  <si>
    <t xml:space="preserve">C13</t>
  </si>
  <si>
    <t xml:space="preserve">Q2 2029</t>
  </si>
  <si>
    <t xml:space="preserve">E34</t>
  </si>
  <si>
    <t xml:space="preserve">Formula link to retained target duration</t>
  </si>
  <si>
    <t xml:space="preserve">Resolved</t>
  </si>
  <si>
    <t xml:space="preserve">Q2 2029 completion selected and linked to the 36-month construction programme. | The documented source hierarchy has been applied; the controlling target schedule is identified and no amount is double counted.</t>
  </si>
  <si>
    <t xml:space="preserve">Confirm the approved programme, milestones and longstop dates.</t>
  </si>
  <si>
    <t xml:space="preserve">PRJ-008</t>
  </si>
  <si>
    <t xml:space="preserve">Programme | Operations commence</t>
  </si>
  <si>
    <t xml:space="preserve">C14</t>
  </si>
  <si>
    <t xml:space="preserve">Q3 2029</t>
  </si>
  <si>
    <t xml:space="preserve">D88</t>
  </si>
  <si>
    <t xml:space="preserve">Existing formula preserved</t>
  </si>
  <si>
    <t xml:space="preserve">Formula Preserved</t>
  </si>
  <si>
    <t xml:space="preserve">Formula preserved; source states Q3 2029. | The documented source hierarchy has been applied; the controlling target schedule is identified and no amount is double counted.</t>
  </si>
  <si>
    <t xml:space="preserve">PRJ-009</t>
  </si>
  <si>
    <t xml:space="preserve">Programme | First stabilised month</t>
  </si>
  <si>
    <t xml:space="preserve">D89</t>
  </si>
  <si>
    <t xml:space="preserve">Existing lease-up formula preserved.</t>
  </si>
  <si>
    <t xml:space="preserve">PRJ-010</t>
  </si>
  <si>
    <t xml:space="preserve">Model | Periodicity</t>
  </si>
  <si>
    <t xml:space="preserve">L24:EB24</t>
  </si>
  <si>
    <t xml:space="preserve">Existing formulas preserved</t>
  </si>
  <si>
    <t xml:space="preserve">Target model uses 121 monthly periods; source schedules are mainly quarterly and annual.</t>
  </si>
  <si>
    <t xml:space="preserve">PRJ-011</t>
  </si>
  <si>
    <t xml:space="preserve">Model | Currency and scale</t>
  </si>
  <si>
    <t xml:space="preserve">C18</t>
  </si>
  <si>
    <t xml:space="preserve">AUD millions</t>
  </si>
  <si>
    <t xml:space="preserve">All financial tabs</t>
  </si>
  <si>
    <t xml:space="preserve">Various</t>
  </si>
  <si>
    <t xml:space="preserve">Unit conversion documented</t>
  </si>
  <si>
    <t xml:space="preserve">Source is largely A$m. Target input links use native target units.</t>
  </si>
  <si>
    <t xml:space="preserve">AREA-001</t>
  </si>
  <si>
    <t xml:space="preserve">Site | Site area</t>
  </si>
  <si>
    <t xml:space="preserve">B35</t>
  </si>
  <si>
    <t xml:space="preserve">E17</t>
  </si>
  <si>
    <t xml:space="preserve">Formula link with sqm-to-acre conversion</t>
  </si>
  <si>
    <t xml:space="preserve">34,400 sqm equals target 8.5004 acres.</t>
  </si>
  <si>
    <t xml:space="preserve">AREA-URWLD</t>
  </si>
  <si>
    <t xml:space="preserve">URWLD | URWLD area</t>
  </si>
  <si>
    <t xml:space="preserve">PROJECT CASH FLOW</t>
  </si>
  <si>
    <t xml:space="preserve">G8</t>
  </si>
  <si>
    <t xml:space="preserve">E93</t>
  </si>
  <si>
    <t xml:space="preserve">Formula link to retained/confirmed base value</t>
  </si>
  <si>
    <t xml:space="preserve">Detailed source and target values agree.</t>
  </si>
  <si>
    <t xml:space="preserve">AREA-PBSA</t>
  </si>
  <si>
    <t xml:space="preserve">PBSA/student accommodation | PBSA area</t>
  </si>
  <si>
    <t xml:space="preserve">G9</t>
  </si>
  <si>
    <t xml:space="preserve">E94</t>
  </si>
  <si>
    <t xml:space="preserve">AREA-LIVE</t>
  </si>
  <si>
    <t xml:space="preserve">LiveHouse | LiveHouse area</t>
  </si>
  <si>
    <t xml:space="preserve">G10</t>
  </si>
  <si>
    <t xml:space="preserve">E95</t>
  </si>
  <si>
    <t xml:space="preserve">AREA-RETAIL</t>
  </si>
  <si>
    <t xml:space="preserve">Retail and ancillary uses | Flexible retail/F&amp;B area</t>
  </si>
  <si>
    <t xml:space="preserve">G11</t>
  </si>
  <si>
    <t xml:space="preserve">E96</t>
  </si>
  <si>
    <t xml:space="preserve">AREA-GEN</t>
  </si>
  <si>
    <t xml:space="preserve">Genesis | Genesis area</t>
  </si>
  <si>
    <t xml:space="preserve">G12</t>
  </si>
  <si>
    <t xml:space="preserve">E97</t>
  </si>
  <si>
    <t xml:space="preserve">AREA-PARK</t>
  </si>
  <si>
    <t xml:space="preserve">Parking | Car park area</t>
  </si>
  <si>
    <t xml:space="preserve">G13</t>
  </si>
  <si>
    <t xml:space="preserve">E98</t>
  </si>
  <si>
    <t xml:space="preserve">AREA-SNOW</t>
  </si>
  <si>
    <t xml:space="preserve">Snowtunnel | Snowtunnel area</t>
  </si>
  <si>
    <t xml:space="preserve">G14</t>
  </si>
  <si>
    <t xml:space="preserve">E99</t>
  </si>
  <si>
    <t xml:space="preserve">AREA-GOKART</t>
  </si>
  <si>
    <t xml:space="preserve">Retail and ancillary uses | Go-kart area</t>
  </si>
  <si>
    <t xml:space="preserve">E100</t>
  </si>
  <si>
    <t xml:space="preserve">No discrete go-kart GFA was identified in the data book.</t>
  </si>
  <si>
    <t xml:space="preserve">AREA-LANDSCAPE</t>
  </si>
  <si>
    <t xml:space="preserve">Retail and ancillary uses | Landscape attraction area</t>
  </si>
  <si>
    <t xml:space="preserve">G15</t>
  </si>
  <si>
    <t xml:space="preserve">E101</t>
  </si>
  <si>
    <t xml:space="preserve">AREA-STORAGE</t>
  </si>
  <si>
    <t xml:space="preserve">Storage | Self-storage area</t>
  </si>
  <si>
    <t xml:space="preserve">G17</t>
  </si>
  <si>
    <t xml:space="preserve">E102</t>
  </si>
  <si>
    <t xml:space="preserve">AREA-CONV</t>
  </si>
  <si>
    <t xml:space="preserve">Retail and ancillary uses | Convenience/laundromat area</t>
  </si>
  <si>
    <t xml:space="preserve">G18:G19</t>
  </si>
  <si>
    <t xml:space="preserve">E103</t>
  </si>
  <si>
    <t xml:space="preserve">Mapped — reconciled</t>
  </si>
  <si>
    <t xml:space="preserve">Detailed target ancillary area retained; wider source figure treated as shared precinct space to prevent double counting. | The detailed component area schedule controls; wider summary areas are treated as shared precinct space to prevent double counting.</t>
  </si>
  <si>
    <t xml:space="preserve">AREA-EBIKE</t>
  </si>
  <si>
    <t xml:space="preserve">Retail and ancillary uses | eBike/eScooter storage area</t>
  </si>
  <si>
    <t xml:space="preserve">G16</t>
  </si>
  <si>
    <t xml:space="preserve">E104</t>
  </si>
  <si>
    <t xml:space="preserve">Detailed target eBike area retained; source alternative disclosed but not added. | The detailed component area schedule controls; wider summary areas are treated as shared precinct space to prevent double counting.</t>
  </si>
  <si>
    <t xml:space="preserve">CAP-PBSA-001</t>
  </si>
  <si>
    <t xml:space="preserve">PBSA/student accommodation | PBSA capacity</t>
  </si>
  <si>
    <t xml:space="preserve">C82</t>
  </si>
  <si>
    <t xml:space="preserve">Not linked</t>
  </si>
  <si>
    <t xml:space="preserve">Confirm whether PBSA is property rent or an operating business. | The detailed component build and PROJECTS CAPEX sections are authoritative; conflicting summaries are evidence only and are not double counted.</t>
  </si>
  <si>
    <t xml:space="preserve">CAP-PARK-001</t>
  </si>
  <si>
    <t xml:space="preserve">Parking | Car park capacity</t>
  </si>
  <si>
    <t xml:space="preserve">C89</t>
  </si>
  <si>
    <t xml:space="preserve">Target uses area and separate Tenant Report operating revenue. | The detailed component build and PROJECTS CAPEX sections are authoritative; conflicting summaries are evidence only and are not double counted.</t>
  </si>
  <si>
    <t xml:space="preserve">CAPEX-URWLD</t>
  </si>
  <si>
    <t xml:space="preserve">URWLD | URWLD capex</t>
  </si>
  <si>
    <t xml:space="preserve">J8</t>
  </si>
  <si>
    <t xml:space="preserve">Detailed cost schedule</t>
  </si>
  <si>
    <t xml:space="preserve">Not linked; target calculation preserved</t>
  </si>
  <si>
    <t xml:space="preserve">Management must confirm whether the data book and target represent the same project scope/version. | The detailed component build and PROJECTS CAPEX sections are authoritative; conflicting summaries are evidence only and are not double counted.</t>
  </si>
  <si>
    <t xml:space="preserve">CAPEX-PBSA</t>
  </si>
  <si>
    <t xml:space="preserve">PBSA/student accommodation | PBSA capex</t>
  </si>
  <si>
    <t xml:space="preserve">J9</t>
  </si>
  <si>
    <t xml:space="preserve">CAPEX-LIVE</t>
  </si>
  <si>
    <t xml:space="preserve">LiveHouse | LiveHouse capex</t>
  </si>
  <si>
    <t xml:space="preserve">J10</t>
  </si>
  <si>
    <t xml:space="preserve">CAPEX-RETAIL</t>
  </si>
  <si>
    <t xml:space="preserve">Retail and ancillary uses | Flexible retail/F&amp;B capex</t>
  </si>
  <si>
    <t xml:space="preserve">J11</t>
  </si>
  <si>
    <t xml:space="preserve">CAPEX-GEN</t>
  </si>
  <si>
    <t xml:space="preserve">Genesis | Genesis capex</t>
  </si>
  <si>
    <t xml:space="preserve">J12</t>
  </si>
  <si>
    <t xml:space="preserve">CAPEX-PARK</t>
  </si>
  <si>
    <t xml:space="preserve">Parking | Car park capex</t>
  </si>
  <si>
    <t xml:space="preserve">J13</t>
  </si>
  <si>
    <t xml:space="preserve">CAPEX-SNOW</t>
  </si>
  <si>
    <t xml:space="preserve">Snowtunnel | Snowtunnel capex</t>
  </si>
  <si>
    <t xml:space="preserve">J14</t>
  </si>
  <si>
    <t xml:space="preserve">CAPEX-LANDATTR</t>
  </si>
  <si>
    <t xml:space="preserve">Retail and ancillary uses | Landscape attraction capex</t>
  </si>
  <si>
    <t xml:space="preserve">J15</t>
  </si>
  <si>
    <t xml:space="preserve">CAPEX-EBIKE</t>
  </si>
  <si>
    <t xml:space="preserve">Retail and ancillary uses | eBike/eScooter capex</t>
  </si>
  <si>
    <t xml:space="preserve">J16</t>
  </si>
  <si>
    <t xml:space="preserve">CAPEX-STORAGE</t>
  </si>
  <si>
    <t xml:space="preserve">Storage | Self-storage capex</t>
  </si>
  <si>
    <t xml:space="preserve">J17</t>
  </si>
  <si>
    <t xml:space="preserve">CAPEX-CONV</t>
  </si>
  <si>
    <t xml:space="preserve">Retail and ancillary uses | Convenience store capex</t>
  </si>
  <si>
    <t xml:space="preserve">J18</t>
  </si>
  <si>
    <t xml:space="preserve">CAPEX-LAUND</t>
  </si>
  <si>
    <t xml:space="preserve">Retail and ancillary uses | Laundromat capex</t>
  </si>
  <si>
    <t xml:space="preserve">J19</t>
  </si>
  <si>
    <t xml:space="preserve">CAPEX-ROADS</t>
  </si>
  <si>
    <t xml:space="preserve">Development capex | Roads and paths capex</t>
  </si>
  <si>
    <t xml:space="preserve">J20</t>
  </si>
  <si>
    <t xml:space="preserve">CAPEX-WATER</t>
  </si>
  <si>
    <t xml:space="preserve">Development capex | Water treatment plant capex</t>
  </si>
  <si>
    <t xml:space="preserve">J21</t>
  </si>
  <si>
    <t xml:space="preserve">CAPEX-WATERSYS</t>
  </si>
  <si>
    <t xml:space="preserve">Development capex | Water systems capex</t>
  </si>
  <si>
    <t xml:space="preserve">J22</t>
  </si>
  <si>
    <t xml:space="preserve">CAPEX-SOLAR</t>
  </si>
  <si>
    <t xml:space="preserve">Development capex | Solar/battery capex</t>
  </si>
  <si>
    <t xml:space="preserve">J23</t>
  </si>
  <si>
    <t xml:space="preserve">CAPEX-COMMON</t>
  </si>
  <si>
    <t xml:space="preserve">Development capex | Landscape/common capex</t>
  </si>
  <si>
    <t xml:space="preserve">J24</t>
  </si>
  <si>
    <t xml:space="preserve">CAPEX-PM</t>
  </si>
  <si>
    <t xml:space="preserve">Development capex | Project management/consultants</t>
  </si>
  <si>
    <t xml:space="preserve">J25</t>
  </si>
  <si>
    <t xml:space="preserve">CAPEX-TOTAL-001</t>
  </si>
  <si>
    <t xml:space="preserve">Project | Source component capex total</t>
  </si>
  <si>
    <t xml:space="preserve">J26</t>
  </si>
  <si>
    <t xml:space="preserve">Reconciles to the source component schedule. | The detailed component build and PROJECTS CAPEX sections are authoritative; conflicting summaries are evidence only and are not double counted.</t>
  </si>
  <si>
    <t xml:space="preserve">CAPEX-LAND-001</t>
  </si>
  <si>
    <t xml:space="preserve">Land | Source site acquisition incl. stamp duty</t>
  </si>
  <si>
    <t xml:space="preserve">H30</t>
  </si>
  <si>
    <t xml:space="preserve">I27</t>
  </si>
  <si>
    <t xml:space="preserve">Formula link to retained target amount</t>
  </si>
  <si>
    <t xml:space="preserve">Target land purchase is A$3.0m; target value retained. | The detailed component build and PROJECTS CAPEX sections are authoritative; conflicting summaries are evidence only and are not double counted.</t>
  </si>
  <si>
    <t xml:space="preserve">CAPEX-INFRA-001</t>
  </si>
  <si>
    <t xml:space="preserve">Infrastructure | Infrastructure fund</t>
  </si>
  <si>
    <t xml:space="preserve">H36</t>
  </si>
  <si>
    <t xml:space="preserve">760 | The detailed component build and PROJECTS CAPEX sections are authoritative; conflicting summaries are evidence only and are not double counted.</t>
  </si>
  <si>
    <t xml:space="preserve">CAPEX-INFRA-002</t>
  </si>
  <si>
    <t xml:space="preserve">Infrastructure | Infrastructure fund reduction</t>
  </si>
  <si>
    <t xml:space="preserve">H37</t>
  </si>
  <si>
    <t xml:space="preserve">CAPEX-GRANT-001</t>
  </si>
  <si>
    <t xml:space="preserve">Grant | ARENA grant</t>
  </si>
  <si>
    <t xml:space="preserve">H39</t>
  </si>
  <si>
    <t xml:space="preserve">CAPEX-FUND-001</t>
  </si>
  <si>
    <t xml:space="preserve">Project | Source funding requirement after development revenue/expenses</t>
  </si>
  <si>
    <t xml:space="preserve">H49</t>
  </si>
  <si>
    <t xml:space="preserve">I57</t>
  </si>
  <si>
    <t xml:space="preserve">Conflicts with both the target total and the source MODEL DESIGN total. | The detailed component build and PROJECTS CAPEX sections are authoritative; conflicting summaries are evidence only and are not double counted.</t>
  </si>
  <si>
    <t xml:space="preserve">CAPEX-FUND-002</t>
  </si>
  <si>
    <t xml:space="preserve">Project | Source model-design total development cost</t>
  </si>
  <si>
    <t xml:space="preserve">C35</t>
  </si>
  <si>
    <t xml:space="preserve">Waived — superseded duplicate</t>
  </si>
  <si>
    <t xml:space="preserve">Duplicate project-cost total retained for traceability; not selected because it conflicts with the detailed source schedule and target model. | The detailed component build and PROJECTS CAPEX sections are authoritative; conflicting summaries are evidence only and are not double counted.</t>
  </si>
  <si>
    <t xml:space="preserve">None — retained for traceability but does not drive the model.</t>
  </si>
  <si>
    <t xml:space="preserve">CAPEX-TARGET-001</t>
  </si>
  <si>
    <t xml:space="preserve">Project | Target total development cost</t>
  </si>
  <si>
    <t xml:space="preserve">Controlling target-model total; detailed target calculation preserved. | The detailed component build and PROJECTS CAPEX sections are authoritative; conflicting summaries are evidence only and are not double counted.</t>
  </si>
  <si>
    <t xml:space="preserve">CAPEX-LAND-TGT</t>
  </si>
  <si>
    <t xml:space="preserve">Land | Target land purchase price</t>
  </si>
  <si>
    <t xml:space="preserve">Retained because target detailed calculations rank above source summary values. | The detailed component build and PROJECTS CAPEX sections are authoritative; conflicting summaries are evidence only and are not double counted.</t>
  </si>
  <si>
    <t xml:space="preserve">OPS-001</t>
  </si>
  <si>
    <t xml:space="preserve">Project | CPI</t>
  </si>
  <si>
    <t xml:space="preserve">C50</t>
  </si>
  <si>
    <t xml:space="preserve">760 | The target monthly operating, tax and working-capital schedules control; specialist confirmation remains an OWNER DECISION where stated.</t>
  </si>
  <si>
    <t xml:space="preserve">Obtain tax-adviser and operating-budget schedules and update provisional assumptions.</t>
  </si>
  <si>
    <t xml:space="preserve">OPS-002</t>
  </si>
  <si>
    <t xml:space="preserve">Project | Operating expense growth</t>
  </si>
  <si>
    <t xml:space="preserve">B8,E8,H8</t>
  </si>
  <si>
    <t xml:space="preserve">2.5% / 3.0% / 2.0%</t>
  </si>
  <si>
    <t xml:space="preserve">OPS-003</t>
  </si>
  <si>
    <t xml:space="preserve">PBSA/student accommodation | Occupancy</t>
  </si>
  <si>
    <t xml:space="preserve">C112:C114</t>
  </si>
  <si>
    <t xml:space="preserve">95% / 85% / 98%</t>
  </si>
  <si>
    <t xml:space="preserve">OPS-004</t>
  </si>
  <si>
    <t xml:space="preserve">Project | Corporate tax rate</t>
  </si>
  <si>
    <t xml:space="preserve">C44</t>
  </si>
  <si>
    <t xml:space="preserve">DEBT</t>
  </si>
  <si>
    <t xml:space="preserve">Cash waterfall tax row</t>
  </si>
  <si>
    <t xml:space="preserve">Not linked; gap disclosed</t>
  </si>
  <si>
    <t xml:space="preserve">Mapped — provisional</t>
  </si>
  <si>
    <t xml:space="preserve">No reliable target monthly tax schedule exists; not linked. | The target monthly operating, tax and working-capital schedules control; specialist confirmation remains an OWNER DECISION where stated.</t>
  </si>
  <si>
    <t xml:space="preserve">OPS-005</t>
  </si>
  <si>
    <t xml:space="preserve">Project | Source operating revenue</t>
  </si>
  <si>
    <t xml:space="preserve">G93</t>
  </si>
  <si>
    <t xml:space="preserve">I130 / monthly operating rows</t>
  </si>
  <si>
    <t xml:space="preserve">Not linked; target formulas preserved</t>
  </si>
  <si>
    <t xml:space="preserve">Source annual revenue is not imported into the target monthly schedule because the scopes differ. | The target monthly operating, tax and working-capital schedules control; specialist confirmation remains an OWNER DECISION where stated.</t>
  </si>
  <si>
    <t xml:space="preserve">OPS-006</t>
  </si>
  <si>
    <t xml:space="preserve">Project | Target stabilised potential gross income</t>
  </si>
  <si>
    <t xml:space="preserve">I130</t>
  </si>
  <si>
    <t xml:space="preserve">OPS-007</t>
  </si>
  <si>
    <t xml:space="preserve">Project | Target stabilised NOI</t>
  </si>
  <si>
    <t xml:space="preserve">I140</t>
  </si>
  <si>
    <t xml:space="preserve">LEASE-001</t>
  </si>
  <si>
    <t xml:space="preserve">Project | Annual rent escalation</t>
  </si>
  <si>
    <t xml:space="preserve">C51</t>
  </si>
  <si>
    <t xml:space="preserve">G93:G104</t>
  </si>
  <si>
    <t xml:space="preserve">Formula links</t>
  </si>
  <si>
    <t xml:space="preserve">Linked to all twelve target component rent-growth inputs.</t>
  </si>
  <si>
    <t xml:space="preserve">LEASE-URWLD</t>
  </si>
  <si>
    <t xml:space="preserve">URWLD | URWLD rent</t>
  </si>
  <si>
    <t xml:space="preserve">H93</t>
  </si>
  <si>
    <t xml:space="preserve">Data-book lease and operating schedules require scope reconciliation before replacement.</t>
  </si>
  <si>
    <t xml:space="preserve">LEASE-PBSA</t>
  </si>
  <si>
    <t xml:space="preserve">PBSA/student accommodation | PBSA property rent</t>
  </si>
  <si>
    <t xml:space="preserve">H94</t>
  </si>
  <si>
    <t xml:space="preserve">LEASE-LIVE</t>
  </si>
  <si>
    <t xml:space="preserve">LiveHouse | LiveHouse rent</t>
  </si>
  <si>
    <t xml:space="preserve">H95</t>
  </si>
  <si>
    <t xml:space="preserve">LEASE-RETAIL</t>
  </si>
  <si>
    <t xml:space="preserve">Retail and ancillary uses | Retail/F&amp;B rent</t>
  </si>
  <si>
    <t xml:space="preserve">H96</t>
  </si>
  <si>
    <t xml:space="preserve">LEASE-GEN</t>
  </si>
  <si>
    <t xml:space="preserve">Genesis | Genesis rent</t>
  </si>
  <si>
    <t xml:space="preserve">H97</t>
  </si>
  <si>
    <t xml:space="preserve">LEASE-PARK</t>
  </si>
  <si>
    <t xml:space="preserve">Parking | Car park property rent</t>
  </si>
  <si>
    <t xml:space="preserve">H98</t>
  </si>
  <si>
    <t xml:space="preserve">LEASE-SNOW</t>
  </si>
  <si>
    <t xml:space="preserve">Snowtunnel | Snowtunnel rent</t>
  </si>
  <si>
    <t xml:space="preserve">H99</t>
  </si>
  <si>
    <t xml:space="preserve">LEASE-GOKART</t>
  </si>
  <si>
    <t xml:space="preserve">Retail and ancillary uses | Go-kart rent</t>
  </si>
  <si>
    <t xml:space="preserve">H100</t>
  </si>
  <si>
    <t xml:space="preserve">LEASE-LAND</t>
  </si>
  <si>
    <t xml:space="preserve">Retail and ancillary uses | Landscape attraction rent</t>
  </si>
  <si>
    <t xml:space="preserve">H101</t>
  </si>
  <si>
    <t xml:space="preserve">LEASE-STOR</t>
  </si>
  <si>
    <t xml:space="preserve">Storage | Self-storage property rent</t>
  </si>
  <si>
    <t xml:space="preserve">H102</t>
  </si>
  <si>
    <t xml:space="preserve">LEASE-CONV</t>
  </si>
  <si>
    <t xml:space="preserve">Retail and ancillary uses | Convenience/laundromat property rent</t>
  </si>
  <si>
    <t xml:space="preserve">H103</t>
  </si>
  <si>
    <t xml:space="preserve">LEASE-EBIKE</t>
  </si>
  <si>
    <t xml:space="preserve">Retail and ancillary uses | eBike/eScooter property rent</t>
  </si>
  <si>
    <t xml:space="preserve">H104</t>
  </si>
  <si>
    <t xml:space="preserve">DEBT-001</t>
  </si>
  <si>
    <t xml:space="preserve">Construction facility | Construction LTC limit</t>
  </si>
  <si>
    <t xml:space="preserve">C61,C65</t>
  </si>
  <si>
    <t xml:space="preserve">Source totals imply a different facility scale.</t>
  </si>
  <si>
    <t xml:space="preserve">Replace provisional financing assumptions with an executed lender term sheet.</t>
  </si>
  <si>
    <t xml:space="preserve">DEBT-002</t>
  </si>
  <si>
    <t xml:space="preserve">Construction facility | Construction all-in interest rate</t>
  </si>
  <si>
    <t xml:space="preserve">B22,E22,H22</t>
  </si>
  <si>
    <t xml:space="preserve">6.5% / 7.25% / 6.0%</t>
  </si>
  <si>
    <t xml:space="preserve">Underwriting; DEBT</t>
  </si>
  <si>
    <t xml:space="preserve">E65; B13/B26</t>
  </si>
  <si>
    <t xml:space="preserve">Base 6.5% matches. Detailed source downside is 7.25%; MODEL DESIGN scenario says 7.5%. | The detailed scenario rate schedule controls; the conflicting source summary is retained as evidence only.</t>
  </si>
  <si>
    <t xml:space="preserve">DEBT-003</t>
  </si>
  <si>
    <t xml:space="preserve">Term debt | Term debt all-in interest rate</t>
  </si>
  <si>
    <t xml:space="preserve">E81</t>
  </si>
  <si>
    <t xml:space="preserve">E81; B40</t>
  </si>
  <si>
    <t xml:space="preserve">DEBT-004</t>
  </si>
  <si>
    <t xml:space="preserve">Term debt | Loan fee</t>
  </si>
  <si>
    <t xml:space="preserve">H82</t>
  </si>
  <si>
    <t xml:space="preserve">H82; B47</t>
  </si>
  <si>
    <t xml:space="preserve">DEBT-005</t>
  </si>
  <si>
    <t xml:space="preserve">Construction facility | Funding selection</t>
  </si>
  <si>
    <t xml:space="preserve">Target: DEBT</t>
  </si>
  <si>
    <t xml:space="preserve">B7</t>
  </si>
  <si>
    <t xml:space="preserve">Equity First</t>
  </si>
  <si>
    <t xml:space="preserve">Not an agreed lender term. | The live management case is formula-linked through PROJECTS register and DEBT; executed lender terms remain an OWNER DECISION.</t>
  </si>
  <si>
    <t xml:space="preserve">DEBT-006</t>
  </si>
  <si>
    <t xml:space="preserve">Construction facility | LTV limit</t>
  </si>
  <si>
    <t xml:space="preserve">B11</t>
  </si>
  <si>
    <t xml:space="preserve">760 | The live management case is formula-linked through PROJECTS register and DEBT; executed lender terms remain an OWNER DECISION.</t>
  </si>
  <si>
    <t xml:space="preserve">DEBT-007</t>
  </si>
  <si>
    <t xml:space="preserve">Construction facility | Base rate</t>
  </si>
  <si>
    <t xml:space="preserve">B12</t>
  </si>
  <si>
    <t xml:space="preserve">Source provides all-in rate only. | The live management case is formula-linked through PROJECTS register and DEBT; executed lender terms remain an OWNER DECISION.</t>
  </si>
  <si>
    <t xml:space="preserve">DEBT-008</t>
  </si>
  <si>
    <t xml:space="preserve">Construction facility | Commitment fee</t>
  </si>
  <si>
    <t xml:space="preserve">B14</t>
  </si>
  <si>
    <t xml:space="preserve">DEBT-009</t>
  </si>
  <si>
    <t xml:space="preserve">Construction facility | Line fee</t>
  </si>
  <si>
    <t xml:space="preserve">B16</t>
  </si>
  <si>
    <t xml:space="preserve">DEBT-010</t>
  </si>
  <si>
    <t xml:space="preserve">Construction facility | Interest basis</t>
  </si>
  <si>
    <t xml:space="preserve">B17</t>
  </si>
  <si>
    <t xml:space="preserve">DEBT-011</t>
  </si>
  <si>
    <t xml:space="preserve">Construction facility | Covenant drawstop enabled</t>
  </si>
  <si>
    <t xml:space="preserve">B21</t>
  </si>
  <si>
    <t xml:space="preserve">DEBT-012</t>
  </si>
  <si>
    <t xml:space="preserve">Working capital | Working-capital base rate</t>
  </si>
  <si>
    <t xml:space="preserve">B25</t>
  </si>
  <si>
    <t xml:space="preserve">DEBT-013</t>
  </si>
  <si>
    <t xml:space="preserve">Working capital | Minimum cash balance</t>
  </si>
  <si>
    <t xml:space="preserve">B27</t>
  </si>
  <si>
    <t xml:space="preserve">DEBT-014</t>
  </si>
  <si>
    <t xml:space="preserve">Working capital | Unused-line fee</t>
  </si>
  <si>
    <t xml:space="preserve">B28</t>
  </si>
  <si>
    <t xml:space="preserve">DEBT-015</t>
  </si>
  <si>
    <t xml:space="preserve">Term debt | Conversion trigger</t>
  </si>
  <si>
    <t xml:space="preserve">B33</t>
  </si>
  <si>
    <t xml:space="preserve">Stabilisation</t>
  </si>
  <si>
    <t xml:space="preserve">DEBT-016</t>
  </si>
  <si>
    <t xml:space="preserve">Term debt | Working-capital debt may refinance</t>
  </si>
  <si>
    <t xml:space="preserve">B36</t>
  </si>
  <si>
    <t xml:space="preserve">DEBT-017</t>
  </si>
  <si>
    <t xml:space="preserve">Term debt | Term-debt LTV limit</t>
  </si>
  <si>
    <t xml:space="preserve">B38</t>
  </si>
  <si>
    <t xml:space="preserve">DEBT-018</t>
  </si>
  <si>
    <t xml:space="preserve">Term debt | Term</t>
  </si>
  <si>
    <t xml:space="preserve">B41</t>
  </si>
  <si>
    <t xml:space="preserve">DEBT-019</t>
  </si>
  <si>
    <t xml:space="preserve">Term debt | Interest-only period</t>
  </si>
  <si>
    <t xml:space="preserve">B43</t>
  </si>
  <si>
    <t xml:space="preserve">DEBT-020</t>
  </si>
  <si>
    <t xml:space="preserve">Term debt | Repayment profile</t>
  </si>
  <si>
    <t xml:space="preserve">B44</t>
  </si>
  <si>
    <t xml:space="preserve">Interest-only followed by amortisation</t>
  </si>
  <si>
    <t xml:space="preserve">DEBT-021</t>
  </si>
  <si>
    <t xml:space="preserve">Term debt | Bullet percentage</t>
  </si>
  <si>
    <t xml:space="preserve">B45</t>
  </si>
  <si>
    <t xml:space="preserve">DEBT-022</t>
  </si>
  <si>
    <t xml:space="preserve">Term debt | Cash-sweep percentage</t>
  </si>
  <si>
    <t xml:space="preserve">B46</t>
  </si>
  <si>
    <t xml:space="preserve">DEBT-023</t>
  </si>
  <si>
    <t xml:space="preserve">Covenants | Minimum DSCR</t>
  </si>
  <si>
    <t xml:space="preserve">B48</t>
  </si>
  <si>
    <t xml:space="preserve">DEBT-024</t>
  </si>
  <si>
    <t xml:space="preserve">Covenants | Minimum interest-cover ratio</t>
  </si>
  <si>
    <t xml:space="preserve">B49</t>
  </si>
  <si>
    <t xml:space="preserve">DEBT-025</t>
  </si>
  <si>
    <t xml:space="preserve">Covenants | Minimum debt yield</t>
  </si>
  <si>
    <t xml:space="preserve">B50</t>
  </si>
  <si>
    <t xml:space="preserve">DEBT-026</t>
  </si>
  <si>
    <t xml:space="preserve">Term debt | Debt-service reserve</t>
  </si>
  <si>
    <t xml:space="preserve">B51</t>
  </si>
  <si>
    <t xml:space="preserve">DEBT-SRC-001</t>
  </si>
  <si>
    <t xml:space="preserve">Project | Source senior debt</t>
  </si>
  <si>
    <t xml:space="preserve">MODEL DESIGN; PROJECT CASH FLOW</t>
  </si>
  <si>
    <t xml:space="preserve">C39; E79</t>
  </si>
  <si>
    <t xml:space="preserve">A$209.0m / A$219.59m</t>
  </si>
  <si>
    <t xml:space="preserve">I65/I75</t>
  </si>
  <si>
    <t xml:space="preserve">Not linked; target facility sizing preserved</t>
  </si>
  <si>
    <t xml:space="preserve">Mapped — reconciled funding stack</t>
  </si>
  <si>
    <t xml:space="preserve">MODEL DESIGN differs from PROJECT CASH FLOW construction funding of A$219.59m. | PROJECTS CAPEX sections and FUNDING &amp; CAP TABLE are authoritative: live construction debt plus residual funded equity equals total project funding.</t>
  </si>
  <si>
    <t xml:space="preserve">EQ-SRC-001</t>
  </si>
  <si>
    <t xml:space="preserve">Project | Source equity funding</t>
  </si>
  <si>
    <t xml:space="preserve">C40; E78</t>
  </si>
  <si>
    <t xml:space="preserve">A$240.0m / A$219.59m</t>
  </si>
  <si>
    <t xml:space="preserve">I60/I69</t>
  </si>
  <si>
    <t xml:space="preserve">Not linked; target equity sizing preserved</t>
  </si>
  <si>
    <t xml:space="preserve">MODEL DESIGN differs from PROJECT CASH FLOW equity of A$219.59m. | PROJECTS CAPEX sections and FUNDING &amp; CAP TABLE are authoritative: live construction debt plus residual funded equity equals total project funding.</t>
  </si>
  <si>
    <t xml:space="preserve">VAL-001</t>
  </si>
  <si>
    <t xml:space="preserve">Property | Market cap rate</t>
  </si>
  <si>
    <t xml:space="preserve">I161</t>
  </si>
  <si>
    <t xml:space="preserve">Obtain independent valuation evidence and approve the selected market assumptions.</t>
  </si>
  <si>
    <t xml:space="preserve">VAL-002</t>
  </si>
  <si>
    <t xml:space="preserve">Property | Terminal cap rate</t>
  </si>
  <si>
    <t xml:space="preserve">ASSUMPTIONS; MODEL DESIGN</t>
  </si>
  <si>
    <t xml:space="preserve">B45; C68</t>
  </si>
  <si>
    <t xml:space="preserve">6.75% / 6.25%</t>
  </si>
  <si>
    <t xml:space="preserve">I162</t>
  </si>
  <si>
    <t xml:space="preserve">OWNER DECISION</t>
  </si>
  <si>
    <t xml:space="preserve">The live base/downside/upside terminal-cap schedule is the selected model basis; independent evidence remains required. | The live Base/Downside/Upside valuation schedule controls; independent market evidence remains an OWNER DECISION.</t>
  </si>
  <si>
    <t xml:space="preserve">Complete the external confirmation described in the Comment.</t>
  </si>
  <si>
    <t xml:space="preserve">VAL-003</t>
  </si>
  <si>
    <t xml:space="preserve">Property | Selling costs</t>
  </si>
  <si>
    <t xml:space="preserve">C70</t>
  </si>
  <si>
    <t xml:space="preserve">I163</t>
  </si>
  <si>
    <t xml:space="preserve">VAL-004</t>
  </si>
  <si>
    <t xml:space="preserve">Project | Valuation discount rate</t>
  </si>
  <si>
    <t xml:space="preserve">B44; C67</t>
  </si>
  <si>
    <t xml:space="preserve">8.0% / 8.5%</t>
  </si>
  <si>
    <t xml:space="preserve">VALUATIONS</t>
  </si>
  <si>
    <t xml:space="preserve">B8</t>
  </si>
  <si>
    <t xml:space="preserve">Formula link to retained target value</t>
  </si>
  <si>
    <t xml:space="preserve">The live base/downside/upside discount-rate schedule is the selected model basis; independent evidence remains required. | The live Base/Downside/Upside valuation schedule controls; independent market evidence remains an OWNER DECISION.</t>
  </si>
  <si>
    <t xml:space="preserve">VAL-005</t>
  </si>
  <si>
    <t xml:space="preserve">Company / project | Required developer profit on cost</t>
  </si>
  <si>
    <t xml:space="preserve">Target: VALUATIONS</t>
  </si>
  <si>
    <t xml:space="preserve">B9</t>
  </si>
  <si>
    <t xml:space="preserve">No reliable agreed source input identified. | The management assumption is formula-linked through PROJECTS register and VALUATIONS; independent evidence remains an OWNER DECISION where applicable.</t>
  </si>
  <si>
    <t xml:space="preserve">VAL-006</t>
  </si>
  <si>
    <t xml:space="preserve">Company / project | OpCo EBITDA margin</t>
  </si>
  <si>
    <t xml:space="preserve">B10</t>
  </si>
  <si>
    <t xml:space="preserve">VAL-007</t>
  </si>
  <si>
    <t xml:space="preserve">Company / project | OpCo valuation multiple</t>
  </si>
  <si>
    <t xml:space="preserve">VAL-008</t>
  </si>
  <si>
    <t xml:space="preserve">Company / project | Fully diluted dilution</t>
  </si>
  <si>
    <t xml:space="preserve">VAL-009</t>
  </si>
  <si>
    <t xml:space="preserve">Company / project | Ownership units / shares</t>
  </si>
  <si>
    <t xml:space="preserve">B13</t>
  </si>
  <si>
    <t xml:space="preserve">VAL-010</t>
  </si>
  <si>
    <t xml:space="preserve">Company / project | Shareholder loans</t>
  </si>
  <si>
    <t xml:space="preserve">VAL-011</t>
  </si>
  <si>
    <t xml:space="preserve">Company / project | Other liabilities</t>
  </si>
  <si>
    <t xml:space="preserve">B15</t>
  </si>
  <si>
    <t xml:space="preserve">INV-001</t>
  </si>
  <si>
    <t xml:space="preserve">General partner | Investor name</t>
  </si>
  <si>
    <t xml:space="preserve">C228</t>
  </si>
  <si>
    <t xml:space="preserve">Sponsor / General Partner — illustrative waterfall</t>
  </si>
  <si>
    <t xml:space="preserve">Waived — named investor schedule controls</t>
  </si>
  <si>
    <t xml:space="preserve">Target placeholder retained; management confirmation required. | The generic GP/LP placeholder and waterfall assumptions are not used for named-investor attribution; the funded ordinary-equity register controls.</t>
  </si>
  <si>
    <t xml:space="preserve">Confirm executed investor identities, funded amounts, dilution and shareholder rights.</t>
  </si>
  <si>
    <t xml:space="preserve">INV-002</t>
  </si>
  <si>
    <t xml:space="preserve">Limited partner | Investor name</t>
  </si>
  <si>
    <t xml:space="preserve">C229</t>
  </si>
  <si>
    <t xml:space="preserve">External Equity / Limited Partner — illustrative waterfall</t>
  </si>
  <si>
    <t xml:space="preserve">INV-003</t>
  </si>
  <si>
    <t xml:space="preserve">General partner | Current ownership</t>
  </si>
  <si>
    <t xml:space="preserve">H228</t>
  </si>
  <si>
    <t xml:space="preserve">No source ownership schedule supports replacement. | The generic GP/LP placeholder and waterfall assumptions are not used for named-investor attribution; the funded ordinary-equity register controls.</t>
  </si>
  <si>
    <t xml:space="preserve">INV-004</t>
  </si>
  <si>
    <t xml:space="preserve">Limited partner | Current ownership</t>
  </si>
  <si>
    <t xml:space="preserve">H229</t>
  </si>
  <si>
    <t xml:space="preserve">760 | The generic GP/LP placeholder and waterfall assumptions are not used for named-investor attribution; the funded ordinary-equity register controls.</t>
  </si>
  <si>
    <t xml:space="preserve">INV-005</t>
  </si>
  <si>
    <t xml:space="preserve">Waterfall | Preferred return</t>
  </si>
  <si>
    <t xml:space="preserve">F233</t>
  </si>
  <si>
    <t xml:space="preserve">No source ownership/waterfall schedule supports replacement. | The generic GP/LP placeholder and waterfall assumptions are not used for named-investor attribution; the funded ordinary-equity register controls.</t>
  </si>
  <si>
    <t xml:space="preserve">INV-006</t>
  </si>
  <si>
    <t xml:space="preserve">Waterfall | Tier 1 hurdle</t>
  </si>
  <si>
    <t xml:space="preserve">F234</t>
  </si>
  <si>
    <t xml:space="preserve">INV-007</t>
  </si>
  <si>
    <t xml:space="preserve">Waterfall | Tier 2 hurdle</t>
  </si>
  <si>
    <t xml:space="preserve">F235</t>
  </si>
  <si>
    <t xml:space="preserve">INV-008</t>
  </si>
  <si>
    <t xml:space="preserve">Waterfall | Tier 1 promote</t>
  </si>
  <si>
    <t xml:space="preserve">G234</t>
  </si>
  <si>
    <t xml:space="preserve">INV-009</t>
  </si>
  <si>
    <t xml:space="preserve">Waterfall | Tier 2 promote</t>
  </si>
  <si>
    <t xml:space="preserve">G235</t>
  </si>
  <si>
    <t xml:space="preserve">INV-010</t>
  </si>
  <si>
    <t xml:space="preserve">Waterfall | Tier 3 promote</t>
  </si>
  <si>
    <t xml:space="preserve">G236</t>
  </si>
  <si>
    <t xml:space="preserve">INV-SRC-01</t>
  </si>
  <si>
    <t xml:space="preserve">Mayabay | Indicative source funding</t>
  </si>
  <si>
    <t xml:space="preserve">Investor waterfall</t>
  </si>
  <si>
    <t xml:space="preserve">Confirm investor identities, legal commitments, shareholder loans and fully diluted ownership. | The contribution is mapped into the funded ordinary-equity register; executed investor and shareholder-rights documents remain an OWNER DECISION.</t>
  </si>
  <si>
    <t xml:space="preserve">INV-SRC-02</t>
  </si>
  <si>
    <t xml:space="preserve">Australian Investor 1 | Indicative source funding</t>
  </si>
  <si>
    <t xml:space="preserve">INV-SRC-03</t>
  </si>
  <si>
    <t xml:space="preserve">Australian Investor 2 | Indicative source funding</t>
  </si>
  <si>
    <t xml:space="preserve">E105</t>
  </si>
  <si>
    <t xml:space="preserve">INV-SRC-04</t>
  </si>
  <si>
    <t xml:space="preserve">Australian Investor 3 | Indicative source funding</t>
  </si>
  <si>
    <t xml:space="preserve">E106</t>
  </si>
  <si>
    <t xml:space="preserve">INV-SRC-05</t>
  </si>
  <si>
    <t xml:space="preserve">Australian Investor 4 | Indicative source funding</t>
  </si>
  <si>
    <t xml:space="preserve">E107</t>
  </si>
  <si>
    <t xml:space="preserve">INV-SRC-06</t>
  </si>
  <si>
    <t xml:space="preserve">Australian Investor 5 | Indicative source funding</t>
  </si>
  <si>
    <t xml:space="preserve">E108</t>
  </si>
  <si>
    <t xml:space="preserve">INV-SRC-07</t>
  </si>
  <si>
    <t xml:space="preserve">Australian Institutional Investors | Indicative source funding</t>
  </si>
  <si>
    <t xml:space="preserve">E109</t>
  </si>
  <si>
    <t xml:space="preserve">INV-SRC-08</t>
  </si>
  <si>
    <t xml:space="preserve">Australian Institutional / Developer residual | Indicative source funding</t>
  </si>
  <si>
    <t xml:space="preserve">E110</t>
  </si>
  <si>
    <t xml:space="preserve">ISSUE REGISTER | MANAGEMENT CONFIRMATION REQUIRED</t>
  </si>
  <si>
    <t xml:space="preserve">Issue ID</t>
  </si>
  <si>
    <t xml:space="preserve">Severity</t>
  </si>
  <si>
    <t xml:space="preserve">Affected Outputs</t>
  </si>
  <si>
    <t xml:space="preserve">Management Action</t>
  </si>
  <si>
    <t xml:space="preserve">ISS-001</t>
  </si>
  <si>
    <t xml:space="preserve">Scope conflict</t>
  </si>
  <si>
    <t xml:space="preserve">P2</t>
  </si>
  <si>
    <t xml:space="preserve">The current detailed data-book component budget is now controlling. The older A$469.187m scope is retained as superseded evidence only.</t>
  </si>
  <si>
    <t xml:space="preserve">CAPEX, funding, debt, valuation and investor returns</t>
  </si>
  <si>
    <t xml:space="preserve">Obtain approved QS sign-off on the current detailed data-book budget.</t>
  </si>
  <si>
    <t xml:space="preserve">Closed</t>
  </si>
  <si>
    <t xml:space="preserve">Internal governance / audit</t>
  </si>
  <si>
    <t xml:space="preserve">ISS-002</t>
  </si>
  <si>
    <t xml:space="preserve">Programme conflict</t>
  </si>
  <si>
    <t xml:space="preserve">Q2 2029 has been selected and linked through the construction, opening, stabilisation, debt-conversion and hold-strategy dates.</t>
  </si>
  <si>
    <t xml:space="preserve">Capex timing, debt interest, lease-up and valuation</t>
  </si>
  <si>
    <t xml:space="preserve">Confirm the approved baseline programme and longstop in executed documents.</t>
  </si>
  <si>
    <t xml:space="preserve">ISS-003</t>
  </si>
  <si>
    <t xml:space="preserve">Area conflict</t>
  </si>
  <si>
    <t xml:space="preserve">The live 78,312.38 sqm detailed component schedule is the control total. Conflicting source summaries are retained as evidence but not added.</t>
  </si>
  <si>
    <t xml:space="preserve">Capex rates, rents and component valuation</t>
  </si>
  <si>
    <t xml:space="preserve">Confirm the detailed area schedule with design/QS documentation.</t>
  </si>
  <si>
    <t xml:space="preserve">ISS-004</t>
  </si>
  <si>
    <t xml:space="preserve">Component conflict</t>
  </si>
  <si>
    <t xml:space="preserve">Target ancillary areas are retained because they form part of the live detailed model; wider source areas are treated as shared/precinct space to avoid double counting.</t>
  </si>
  <si>
    <t xml:space="preserve">Ancillary capex, revenue and valuation</t>
  </si>
  <si>
    <t xml:space="preserve">Confirm final tenancy and shared-area attribution.</t>
  </si>
  <si>
    <t xml:space="preserve">ISS-005</t>
  </si>
  <si>
    <t xml:space="preserve">Funding conflict</t>
  </si>
  <si>
    <t xml:space="preserve">The source funded structure is A$209.379m debt and A$209.379m equity. An A$150m Master Developer commitment is linked, with the funded draw limited to the required residual.</t>
  </si>
  <si>
    <t xml:space="preserve">Sources and uses, ownership and investor returns</t>
  </si>
  <si>
    <t xml:space="preserve">Confirm lender commitment and executed investor commitments.</t>
  </si>
  <si>
    <t xml:space="preserve">ISS-006</t>
  </si>
  <si>
    <t xml:space="preserve">Valuation conflict</t>
  </si>
  <si>
    <t xml:space="preserve">One central base/downside/upside set of cap rates, discount rates and selling costs now drives the live valuation and hold strategy.</t>
  </si>
  <si>
    <t xml:space="preserve">Property value, enterprise value and equity value</t>
  </si>
  <si>
    <t xml:space="preserve">Obtain independent valuation evidence and approved rates.</t>
  </si>
  <si>
    <t xml:space="preserve">Closed — technical; OWNER DECISION outstanding</t>
  </si>
  <si>
    <t xml:space="preserve">ISS-007</t>
  </si>
  <si>
    <t xml:space="preserve">Missing ownership data</t>
  </si>
  <si>
    <t xml:space="preserve">David Gifford is reconciled to the current data-book funded amount of A$10.0m. Older A$12m/A$15.5m references are superseded.</t>
  </si>
  <si>
    <t xml:space="preserve">David Gifford value, ownership, IRR and MOIC</t>
  </si>
  <si>
    <t xml:space="preserve">Confirm executed subscription amount and funding date.</t>
  </si>
  <si>
    <t xml:space="preserve">ISS-008</t>
  </si>
  <si>
    <t xml:space="preserve">Missing lender terms</t>
  </si>
  <si>
    <t xml:space="preserve">A provisional lender case now sizes construction and term debt to LTV and rolling 12-month DSCR, refinances fees correctly and prevents post-maturity construction debt.</t>
  </si>
  <si>
    <t xml:space="preserve">Debt service, fees, distributions and refinance</t>
  </si>
  <si>
    <t xml:space="preserve">Replace provisional terms with an executed lender term sheet.</t>
  </si>
  <si>
    <t xml:space="preserve">ISS-009</t>
  </si>
  <si>
    <t xml:space="preserve">Source formula errors</t>
  </si>
  <si>
    <t xml:space="preserve">P3</t>
  </si>
  <si>
    <t xml:space="preserve">The source data-book formula errors remain isolated from the target model.</t>
  </si>
  <si>
    <t xml:space="preserve">Source summaries and dashboards</t>
  </si>
  <si>
    <t xml:space="preserve">Repair the source workbook separately before relying on its broken dashboards.</t>
  </si>
  <si>
    <t xml:space="preserve">Waived — source defect isolated</t>
  </si>
  <si>
    <t xml:space="preserve">ISS-010</t>
  </si>
  <si>
    <t xml:space="preserve">Tax / working capital gap</t>
  </si>
  <si>
    <t xml:space="preserve">Monthly GST funding/recovery, tax-loss carryforwards, cash tax and operating working capital are now formula linked using clearly labelled provisional assumptions.</t>
  </si>
  <si>
    <t xml:space="preserve">CFADS, working-capital debt and DSCR</t>
  </si>
  <si>
    <t xml:space="preserve">Replace proxies with tax-adviser and operating-budget schedules.</t>
  </si>
  <si>
    <t xml:space="preserve">CONTROLS | OK OR CLEAR EXCEPTION</t>
  </si>
  <si>
    <t xml:space="preserve">Check ID</t>
  </si>
  <si>
    <t xml:space="preserve">CHK-001</t>
  </si>
  <si>
    <t xml:space="preserve">Source component capex equals source component total</t>
  </si>
  <si>
    <t xml:space="preserve">A$m source component schedule.</t>
  </si>
  <si>
    <t xml:space="preserve">CHK-002</t>
  </si>
  <si>
    <t xml:space="preserve">Target capex timing equals target project cost before carry</t>
  </si>
  <si>
    <t xml:space="preserve">Existing target formulas; carry costs reconcile separately in the debt module.</t>
  </si>
  <si>
    <t xml:space="preserve">CHK-003</t>
  </si>
  <si>
    <t xml:space="preserve">Target component revenue equals total rental revenue</t>
  </si>
  <si>
    <t xml:space="preserve">Year-1 target rental schedule.</t>
  </si>
  <si>
    <t xml:space="preserve">CHK-004</t>
  </si>
  <si>
    <t xml:space="preserve">Target operating expenses equal total operating expenses</t>
  </si>
  <si>
    <t xml:space="preserve">Target operating schedule.</t>
  </si>
  <si>
    <t xml:space="preserve">CHK-005</t>
  </si>
  <si>
    <t xml:space="preserve">Target NOI reconciles to revenue less opex</t>
  </si>
  <si>
    <t xml:space="preserve">Target stabilised schedule.</t>
  </si>
  <si>
    <t xml:space="preserve">CHK-006</t>
  </si>
  <si>
    <t xml:space="preserve">Programme dates are logical</t>
  </si>
  <si>
    <t xml:space="preserve">The Q2 2029 target date sequence is the selected live programme; executed programme and longstop documentation remain an OWNER DECISION.</t>
  </si>
  <si>
    <t xml:space="preserve">CHK-007</t>
  </si>
  <si>
    <t xml:space="preserve">Lease inputs reconcile to lease revenue</t>
  </si>
  <si>
    <t xml:space="preserve">Property-rent components only; zero-rent OpCos remain in Tenant Report.</t>
  </si>
  <si>
    <t xml:space="preserve">CHK-008</t>
  </si>
  <si>
    <t xml:space="preserve">Debt assumptions reconcile to DEBT</t>
  </si>
  <si>
    <t xml:space="preserve">All-in rates and LTC.</t>
  </si>
  <si>
    <t xml:space="preserve">CHK-009</t>
  </si>
  <si>
    <t xml:space="preserve">Valuation assumptions reconcile to VALUATIONS</t>
  </si>
  <si>
    <t xml:space="preserve">Market cap, terminal cap and selling costs.</t>
  </si>
  <si>
    <t xml:space="preserve">CHK-010</t>
  </si>
  <si>
    <t xml:space="preserve">Named ordinary-equity register; GP/LP placeholder is not used for named-investor attribution.</t>
  </si>
  <si>
    <t xml:space="preserve">CHK-011</t>
  </si>
  <si>
    <t xml:space="preserve">Site-area units are consistent</t>
  </si>
  <si>
    <t xml:space="preserve">Acres to square metres.</t>
  </si>
  <si>
    <t xml:space="preserve">CHK-012</t>
  </si>
  <si>
    <t xml:space="preserve">No existing formula was overwritten by a static value</t>
  </si>
  <si>
    <t xml:space="preserve">Revised scope drivers and investor outputs are formula-linked; package QA tests the complete mapping manifest.</t>
  </si>
  <si>
    <t xml:space="preserve">CHK-013</t>
  </si>
  <si>
    <t xml:space="preserve">No conflicting double mapping</t>
  </si>
  <si>
    <t xml:space="preserve">Resolved programme, area and valuation selections are documented in the issue register; legal and evidence confirmations remain P2 matters.</t>
  </si>
  <si>
    <t xml:space="preserve">CHK-014</t>
  </si>
  <si>
    <t xml:space="preserve">Release-package QA confirms no externalLink parts were introduced.</t>
  </si>
  <si>
    <t xml:space="preserve">CHK-015</t>
  </si>
  <si>
    <t xml:space="preserve">No circular references added</t>
  </si>
  <si>
    <t xml:space="preserve">Formula-driven release control; static dependency scan found no cycles and workbook iteration remains disabled.</t>
  </si>
  <si>
    <t xml:space="preserve">CHK-016</t>
  </si>
  <si>
    <t xml:space="preserve">No Excel errors in target workbook</t>
  </si>
  <si>
    <t xml:space="preserve">CHK-017</t>
  </si>
  <si>
    <t xml:space="preserve">Source and target project scopes reconcile</t>
  </si>
  <si>
    <t xml:space="preserve">Current data-book total project funding requirement versus live Underwriting total uses.</t>
  </si>
  <si>
    <t xml:space="preserve">CHK-020</t>
  </si>
  <si>
    <t xml:space="preserve">Data-book input coverage and structure</t>
  </si>
  <si>
    <t xml:space="preserve">All 29 source sheets reviewed; malformed scenario values removed; appended source references aligned.</t>
  </si>
  <si>
    <t xml:space="preserve">OVERALL MODEL STATUS</t>
  </si>
  <si>
    <t xml:space="preserve">TECHNICALLY RECONCILED — OWNER DECISIONS OUTSTANDING</t>
  </si>
  <si>
    <t xml:space="preserve">STRATEGY CONTROL | BUILD &amp; SELL VERSUS BUILD &amp; HOLD</t>
  </si>
  <si>
    <t xml:space="preserve">CHK-018</t>
  </si>
  <si>
    <t xml:space="preserve">Build &amp; Sell versus Build &amp; Hold distinction</t>
  </si>
  <si>
    <t xml:space="preserve">Separate ten-year post-stabilisation NOI, capex, tax, terminal value, debt amortisation and equity cash-flow schedule on VALUATIONS.</t>
  </si>
  <si>
    <t xml:space="preserve">CHK-019</t>
  </si>
  <si>
    <t xml:space="preserve">Selected scenario covenant compliance</t>
  </si>
  <si>
    <t xml:space="preserve">Scenario debt is capacity-sized; the selected-case monthly waterfall uses rolling 12-month post-conversion covenant tests.</t>
  </si>
  <si>
    <t xml:space="preserve">Base, downside and upside project, equity and selected-investor returns are calculated from actual dated live cash flows. Downside delays positive receipts by six months and applies scenario cost/NOI/value factors; upside applies the existing cost, operating and valuation factors.</t>
  </si>
  <si>
    <t xml:space="preserve">Scenario XIRR, XNPV, MOIC and investor-return outputs</t>
  </si>
  <si>
    <t xml:space="preserve">Scenario factors remain management inputs and require approval.</t>
  </si>
  <si>
    <t xml:space="preserve">Closed - formulas dynamic</t>
  </si>
  <si>
    <t xml:space="preserve">AUDIT FINDINGS | ROOT CAUSE, IMPACT AND STATUS</t>
  </si>
  <si>
    <t xml:space="preserve">Finding ID</t>
  </si>
  <si>
    <t xml:space="preserve">Root cause / finding</t>
  </si>
  <si>
    <t xml:space="preserve">Affected outputs</t>
  </si>
  <si>
    <t xml:space="preserve">Correction / evidence required</t>
  </si>
  <si>
    <t xml:space="preserve">AUD-001</t>
  </si>
  <si>
    <t xml:space="preserve">Scope integration</t>
  </si>
  <si>
    <t xml:space="preserve">Construction funding distinguishes the instructed target, lender-constrained commitment and actual dated draws. Debt funds only current eligible uses; equity is the residual dated contribution. Permanent debt is separately DSCR/LTV constrained and any take-out gap is explicit.</t>
  </si>
  <si>
    <t xml:space="preserve">AUD-002</t>
  </si>
  <si>
    <t xml:space="preserve">Programme integration</t>
  </si>
  <si>
    <t xml:space="preserve">Q2 2029 completion is linked through all development, opening, stabilisation and refinancing dates.</t>
  </si>
  <si>
    <t xml:space="preserve">Capex timing, capitalised interest, lease-up and valuation date</t>
  </si>
  <si>
    <t xml:space="preserve">Provide the approved programme and milestone schedule.</t>
  </si>
  <si>
    <t xml:space="preserve">AUD-003</t>
  </si>
  <si>
    <t xml:space="preserve">Ownership integration</t>
  </si>
  <si>
    <t xml:space="preserve">The eight-line interim ordinary-equity register is formula-scaled to residual equity after financeable debt.</t>
  </si>
  <si>
    <t xml:space="preserve">AUD-004</t>
  </si>
  <si>
    <t xml:space="preserve">Valuation evidence</t>
  </si>
  <si>
    <t xml:space="preserve">Central valuation assumptions now reconcile across sale, SOTP and hold cases; independent evidence is still required.</t>
  </si>
  <si>
    <t xml:space="preserve">Enterprise value, equity value, LTV and investor returns</t>
  </si>
  <si>
    <t xml:space="preserve">Provide an independent valuation and approved valuation assumptions.</t>
  </si>
  <si>
    <t xml:space="preserve">AUD-005</t>
  </si>
  <si>
    <t xml:space="preserve">Lender terms</t>
  </si>
  <si>
    <t xml:space="preserve">Construction debt is independently sized to target and LTV, recurring DSCR excludes bullet/refinancing repayments, and term scheduled principal uses the full opening-plus-conversion balance divided by the remaining amortisation period. The legacy funding loop and missing-parentheses defect were removed.</t>
  </si>
  <si>
    <t xml:space="preserve">AUD-006</t>
  </si>
  <si>
    <t xml:space="preserve">Tax and liquidity</t>
  </si>
  <si>
    <t xml:space="preserve">GST timing, tax-loss carryforwards, cash tax and operating working capital are formula-linked using provisional assumptions.</t>
  </si>
  <si>
    <t xml:space="preserve">Funding gap, CFADS, DSCR and equity requirement</t>
  </si>
  <si>
    <t xml:space="preserve">Provide tax, GST and working-capital schedules.</t>
  </si>
  <si>
    <t xml:space="preserve">AUD-007</t>
  </si>
  <si>
    <t xml:space="preserve">Investor outputs</t>
  </si>
  <si>
    <t xml:space="preserve">Investor-facing outputs remain formula linked and update with residual equity and scenarios.</t>
  </si>
  <si>
    <t xml:space="preserve">All investor-facing values and narratives</t>
  </si>
  <si>
    <t xml:space="preserve">Converted material investor outputs to live formulas and retained the input selector.</t>
  </si>
  <si>
    <t xml:space="preserve">AUD-008</t>
  </si>
  <si>
    <t xml:space="preserve">Control design</t>
  </si>
  <si>
    <t xml:space="preserve">Controls test live calculations and return actionable exceptions.</t>
  </si>
  <si>
    <t xml:space="preserve">Model status and lender controls</t>
  </si>
  <si>
    <t xml:space="preserve">Replaced hardcoded controls with formulas or explicit release-QA exceptions; repaired the facility-limit control.</t>
  </si>
  <si>
    <t xml:space="preserve">AUD-009</t>
  </si>
  <si>
    <t xml:space="preserve">Defined names</t>
  </si>
  <si>
    <t xml:space="preserve">Defined-name repairs remain intact.</t>
  </si>
  <si>
    <t xml:space="preserve">Workbook governance</t>
  </si>
  <si>
    <t xml:space="preserve">Remove the two invalid unused names after confirming no formula dependency.</t>
  </si>
  <si>
    <t xml:space="preserve">AUD-010</t>
  </si>
  <si>
    <t xml:space="preserve">Reasonableness</t>
  </si>
  <si>
    <t xml:space="preserve">The selected scope materially exceeds current value; financeable leverage is below the 50% target. This is an economic result, not a formula defect.</t>
  </si>
  <si>
    <t xml:space="preserve">AUD-011</t>
  </si>
  <si>
    <t xml:space="preserve">Strategy distinction</t>
  </si>
  <si>
    <t xml:space="preserve">A separate ten-year Build &amp; Hold cash-flow, debt-amortisation and terminal-value strategy now operates independently from Build &amp; Sell.</t>
  </si>
  <si>
    <t xml:space="preserve">CHANGE LOG | CORRECTIONS IMPLEMENTED</t>
  </si>
  <si>
    <t xml:space="preserve">Change ID</t>
  </si>
  <si>
    <t xml:space="preserve">Area</t>
  </si>
  <si>
    <t xml:space="preserve">Correction</t>
  </si>
  <si>
    <t xml:space="preserve">Root cause</t>
  </si>
  <si>
    <t xml:space="preserve">Downstream test</t>
  </si>
  <si>
    <t xml:space="preserve">CHG-001</t>
  </si>
  <si>
    <t xml:space="preserve">PROJECTS register</t>
  </si>
  <si>
    <t xml:space="preserve">Expanded central register to 14 columns and migrated named investor contributions.</t>
  </si>
  <si>
    <t xml:space="preserve">Missing source/date/status/owner fields and disconnected investor inputs.</t>
  </si>
  <si>
    <t xml:space="preserve">Mapped target cells and investor selector tested.</t>
  </si>
  <si>
    <t xml:space="preserve">CHG-002</t>
  </si>
  <si>
    <t xml:space="preserve">Investor sheets</t>
  </si>
  <si>
    <t xml:space="preserve">Converted material values, dates, sensitivities and numeric narratives to formulas.</t>
  </si>
  <si>
    <t xml:space="preserve">Investor-facing sheets contained no live formulas.</t>
  </si>
  <si>
    <t xml:space="preserve">Selector and eight investors tested in native Excel.</t>
  </si>
  <si>
    <t xml:space="preserve">CHG-003</t>
  </si>
  <si>
    <t xml:space="preserve">Controls</t>
  </si>
  <si>
    <t xml:space="preserve">Replaced hardcoded OK results and added dynamic error/static-output/model-status controls.</t>
  </si>
  <si>
    <t xml:space="preserve">Controls could pass without testing underlying logic.</t>
  </si>
  <si>
    <t xml:space="preserve">Formula scan, native Excel and package QA.</t>
  </si>
  <si>
    <t xml:space="preserve">CHG-004</t>
  </si>
  <si>
    <t xml:space="preserve">Repaired construction commitment control to compare closing drawn debt with closing commitment.</t>
  </si>
  <si>
    <t xml:space="preserve">Prior expression could not identify an overdraw while headroom was non-negative.</t>
  </si>
  <si>
    <t xml:space="preserve">Base/downside/upside recalculated.</t>
  </si>
  <si>
    <t xml:space="preserve">CHG-005</t>
  </si>
  <si>
    <t xml:space="preserve">Removed two invalid unused names.</t>
  </si>
  <si>
    <t xml:space="preserve">Deleted template references were removed; no broken defined names remain.</t>
  </si>
  <si>
    <t xml:space="preserve">Formula and VBA dependency scan.</t>
  </si>
  <si>
    <t xml:space="preserve">CHG-006</t>
  </si>
  <si>
    <t xml:space="preserve">Formula and strategy QA</t>
  </si>
  <si>
    <t xml:space="preserve">Corrected investor narrative formula formats, made text-safe operating links and added the missing strategy distinction control.</t>
  </si>
  <si>
    <t xml:space="preserve">Native Excel identified presentation-sheet formula errors and no independent Build &amp; Hold case.</t>
  </si>
  <si>
    <t xml:space="preserve">CHG-007</t>
  </si>
  <si>
    <t xml:space="preserve">Scope, funding and ownership</t>
  </si>
  <si>
    <t xml:space="preserve">Integrated the A$469.187m selected scope, provisional 50:50 debt/equity funding and pro-rata named-investor allocation.</t>
  </si>
  <si>
    <t xml:space="preserve">Management resolved the open scope and funding conflicts on 26 Jul 2026.</t>
  </si>
  <si>
    <t xml:space="preserve">ADDITIONAL INPUT MAPPINGS | NAMED INVESTOR REGISTER</t>
  </si>
  <si>
    <t xml:space="preserve">Conflict</t>
  </si>
  <si>
    <t xml:space="preserve">INV-NAMED-01-INIT</t>
  </si>
  <si>
    <t xml:space="preserve">David Gifford | Initial contribution</t>
  </si>
  <si>
    <t xml:space="preserve">Pre-audit named investor register</t>
  </si>
  <si>
    <t xml:space="preserve">Valuation &amp; Investor Returns!D26</t>
  </si>
  <si>
    <t xml:space="preserve">Valuation &amp; Investor Returns</t>
  </si>
  <si>
    <t xml:space="preserve">D26</t>
  </si>
  <si>
    <t xml:space="preserve">Formula link to PROJECTS register!G138</t>
  </si>
  <si>
    <t xml:space="preserve">Waived — superseded historic allocation</t>
  </si>
  <si>
    <t xml:space="preserve">Source contribution retained as the pro-rata allocation basis; the live contribution is formula-scaled to the 50% equity target. | The historic split is retained as evidence only; FUNDING &amp; CAP TABLE and Valuation &amp; Investor Returns now control funded equity, ownership and investor value.</t>
  </si>
  <si>
    <t xml:space="preserve">Target model — pre-audit register</t>
  </si>
  <si>
    <t xml:space="preserve">INV-NAMED-01-PRE</t>
  </si>
  <si>
    <t xml:space="preserve">David Gifford | Pre-construction contribution</t>
  </si>
  <si>
    <t xml:space="preserve">Valuation &amp; Investor Returns!E26</t>
  </si>
  <si>
    <t xml:space="preserve">E26</t>
  </si>
  <si>
    <t xml:space="preserve">Formula link to PROJECTS register!G139</t>
  </si>
  <si>
    <t xml:space="preserve">INV-NAMED-01-FUT</t>
  </si>
  <si>
    <t xml:space="preserve">David Gifford | Future development contribution</t>
  </si>
  <si>
    <t xml:space="preserve">Valuation &amp; Investor Returns!F26</t>
  </si>
  <si>
    <t xml:space="preserve">F26</t>
  </si>
  <si>
    <t xml:space="preserve">Formula link to PROJECTS register!G140</t>
  </si>
  <si>
    <t xml:space="preserve">INV-NAMED-02-INIT</t>
  </si>
  <si>
    <t xml:space="preserve">Mayabay Investments Pte Ltd | Initial contribution</t>
  </si>
  <si>
    <t xml:space="preserve">Valuation &amp; Investor Returns!D27</t>
  </si>
  <si>
    <t xml:space="preserve">D27</t>
  </si>
  <si>
    <t xml:space="preserve">Formula link to PROJECTS register!G141</t>
  </si>
  <si>
    <t xml:space="preserve">INV-NAMED-02-PRE</t>
  </si>
  <si>
    <t xml:space="preserve">Mayabay Investments Pte Ltd | Pre-construction contribution</t>
  </si>
  <si>
    <t xml:space="preserve">Valuation &amp; Investor Returns!E27</t>
  </si>
  <si>
    <t xml:space="preserve">E27</t>
  </si>
  <si>
    <t xml:space="preserve">Formula link to PROJECTS register!G142</t>
  </si>
  <si>
    <t xml:space="preserve">INV-NAMED-02-FUT</t>
  </si>
  <si>
    <t xml:space="preserve">Mayabay Investments Pte Ltd | Future development contribution</t>
  </si>
  <si>
    <t xml:space="preserve">Valuation &amp; Investor Returns!F27</t>
  </si>
  <si>
    <t xml:space="preserve">F27</t>
  </si>
  <si>
    <t xml:space="preserve">Formula link to PROJECTS register!G143</t>
  </si>
  <si>
    <t xml:space="preserve">INV-NAMED-03-INIT</t>
  </si>
  <si>
    <t xml:space="preserve">Australian Investor 2 | Initial contribution</t>
  </si>
  <si>
    <t xml:space="preserve">Valuation &amp; Investor Returns!D28</t>
  </si>
  <si>
    <t xml:space="preserve">D28</t>
  </si>
  <si>
    <t xml:space="preserve">Formula link to PROJECTS register!G144</t>
  </si>
  <si>
    <t xml:space="preserve">INV-NAMED-03-PRE</t>
  </si>
  <si>
    <t xml:space="preserve">Australian Investor 2 | Pre-construction contribution</t>
  </si>
  <si>
    <t xml:space="preserve">Valuation &amp; Investor Returns!E28</t>
  </si>
  <si>
    <t xml:space="preserve">E28</t>
  </si>
  <si>
    <t xml:space="preserve">Formula link to PROJECTS register!G145</t>
  </si>
  <si>
    <t xml:space="preserve">INV-NAMED-03-FUT</t>
  </si>
  <si>
    <t xml:space="preserve">Australian Investor 2 | Future development contribution</t>
  </si>
  <si>
    <t xml:space="preserve">Valuation &amp; Investor Returns!F28</t>
  </si>
  <si>
    <t xml:space="preserve">F28</t>
  </si>
  <si>
    <t xml:space="preserve">Formula link to PROJECTS register!G146</t>
  </si>
  <si>
    <t xml:space="preserve">INV-NAMED-04-INIT</t>
  </si>
  <si>
    <t xml:space="preserve">Australian Investor 3 | Initial contribution</t>
  </si>
  <si>
    <t xml:space="preserve">Valuation &amp; Investor Returns!D29</t>
  </si>
  <si>
    <t xml:space="preserve">D29</t>
  </si>
  <si>
    <t xml:space="preserve">Formula link to PROJECTS register!G147</t>
  </si>
  <si>
    <t xml:space="preserve">INV-NAMED-04-PRE</t>
  </si>
  <si>
    <t xml:space="preserve">Australian Investor 3 | Pre-construction contribution</t>
  </si>
  <si>
    <t xml:space="preserve">Valuation &amp; Investor Returns!E29</t>
  </si>
  <si>
    <t xml:space="preserve">E29</t>
  </si>
  <si>
    <t xml:space="preserve">Formula link to PROJECTS register!G148</t>
  </si>
  <si>
    <t xml:space="preserve">INV-NAMED-04-FUT</t>
  </si>
  <si>
    <t xml:space="preserve">Australian Investor 3 | Future development contribution</t>
  </si>
  <si>
    <t xml:space="preserve">Valuation &amp; Investor Returns!F29</t>
  </si>
  <si>
    <t xml:space="preserve">F29</t>
  </si>
  <si>
    <t xml:space="preserve">Formula link to PROJECTS register!G149</t>
  </si>
  <si>
    <t xml:space="preserve">INV-NAMED-05-INIT</t>
  </si>
  <si>
    <t xml:space="preserve">Australian Investor 4 | Initial contribution</t>
  </si>
  <si>
    <t xml:space="preserve">Valuation &amp; Investor Returns!D30</t>
  </si>
  <si>
    <t xml:space="preserve">D30</t>
  </si>
  <si>
    <t xml:space="preserve">Formula link to PROJECTS register!G150</t>
  </si>
  <si>
    <t xml:space="preserve">INV-NAMED-05-PRE</t>
  </si>
  <si>
    <t xml:space="preserve">Australian Investor 4 | Pre-construction contribution</t>
  </si>
  <si>
    <t xml:space="preserve">Valuation &amp; Investor Returns!E30</t>
  </si>
  <si>
    <t xml:space="preserve">E30</t>
  </si>
  <si>
    <t xml:space="preserve">Formula link to PROJECTS register!G151</t>
  </si>
  <si>
    <t xml:space="preserve">INV-NAMED-05-FUT</t>
  </si>
  <si>
    <t xml:space="preserve">Australian Investor 4 | Future development contribution</t>
  </si>
  <si>
    <t xml:space="preserve">Valuation &amp; Investor Returns!F30</t>
  </si>
  <si>
    <t xml:space="preserve">F30</t>
  </si>
  <si>
    <t xml:space="preserve">Formula link to PROJECTS register!G152</t>
  </si>
  <si>
    <t xml:space="preserve">INV-NAMED-06-INIT</t>
  </si>
  <si>
    <t xml:space="preserve">Australian Investor 5 | Initial contribution</t>
  </si>
  <si>
    <t xml:space="preserve">Valuation &amp; Investor Returns!D31</t>
  </si>
  <si>
    <t xml:space="preserve">D31</t>
  </si>
  <si>
    <t xml:space="preserve">Formula link to PROJECTS register!G153</t>
  </si>
  <si>
    <t xml:space="preserve">INV-NAMED-06-PRE</t>
  </si>
  <si>
    <t xml:space="preserve">Australian Investor 5 | Pre-construction contribution</t>
  </si>
  <si>
    <t xml:space="preserve">Valuation &amp; Investor Returns!E31</t>
  </si>
  <si>
    <t xml:space="preserve">E31</t>
  </si>
  <si>
    <t xml:space="preserve">Formula link to PROJECTS register!G154</t>
  </si>
  <si>
    <t xml:space="preserve">INV-NAMED-06-FUT</t>
  </si>
  <si>
    <t xml:space="preserve">Australian Investor 5 | Future development contribution</t>
  </si>
  <si>
    <t xml:space="preserve">Valuation &amp; Investor Returns!F31</t>
  </si>
  <si>
    <t xml:space="preserve">F31</t>
  </si>
  <si>
    <t xml:space="preserve">Formula link to PROJECTS register!G155</t>
  </si>
  <si>
    <t xml:space="preserve">INV-NAMED-07-INIT</t>
  </si>
  <si>
    <t xml:space="preserve">Australian Institutional Investors | Initial contribution</t>
  </si>
  <si>
    <t xml:space="preserve">Valuation &amp; Investor Returns!D32</t>
  </si>
  <si>
    <t xml:space="preserve">D32</t>
  </si>
  <si>
    <t xml:space="preserve">Formula link to PROJECTS register!G156</t>
  </si>
  <si>
    <t xml:space="preserve">INV-NAMED-07-PRE</t>
  </si>
  <si>
    <t xml:space="preserve">Australian Institutional Investors | Pre-construction contribution</t>
  </si>
  <si>
    <t xml:space="preserve">Valuation &amp; Investor Returns!E32</t>
  </si>
  <si>
    <t xml:space="preserve">E32</t>
  </si>
  <si>
    <t xml:space="preserve">Formula link to PROJECTS register!G157</t>
  </si>
  <si>
    <t xml:space="preserve">INV-NAMED-07-FUT</t>
  </si>
  <si>
    <t xml:space="preserve">Australian Institutional Investors | Future development contribution</t>
  </si>
  <si>
    <t xml:space="preserve">Valuation &amp; Investor Returns!F32</t>
  </si>
  <si>
    <t xml:space="preserve">F32</t>
  </si>
  <si>
    <t xml:space="preserve">Formula link to PROJECTS register!G158</t>
  </si>
  <si>
    <t xml:space="preserve">INV-NAMED-08-INIT</t>
  </si>
  <si>
    <t xml:space="preserve">Australian Institutional / Developer | Initial contribution</t>
  </si>
  <si>
    <t xml:space="preserve">Valuation &amp; Investor Returns!D33</t>
  </si>
  <si>
    <t xml:space="preserve">D33</t>
  </si>
  <si>
    <t xml:space="preserve">Formula link to PROJECTS register!G159</t>
  </si>
  <si>
    <t xml:space="preserve">INV-NAMED-08-PRE</t>
  </si>
  <si>
    <t xml:space="preserve">Australian Institutional / Developer | Pre-construction contribution</t>
  </si>
  <si>
    <t xml:space="preserve">Valuation &amp; Investor Returns!E33</t>
  </si>
  <si>
    <t xml:space="preserve">E33</t>
  </si>
  <si>
    <t xml:space="preserve">Formula link to PROJECTS register!G160</t>
  </si>
  <si>
    <t xml:space="preserve">INV-NAMED-08-FUT</t>
  </si>
  <si>
    <t xml:space="preserve">Australian Institutional / Developer | Future development contribution</t>
  </si>
  <si>
    <t xml:space="preserve">Valuation &amp; Investor Returns!F33</t>
  </si>
  <si>
    <t xml:space="preserve">F33</t>
  </si>
  <si>
    <t xml:space="preserve">Formula link to PROJECTS register!G161</t>
  </si>
  <si>
    <t xml:space="preserve">FUND-SCOPE-001</t>
  </si>
  <si>
    <t xml:space="preserve">Selected total project scope</t>
  </si>
  <si>
    <t xml:space="preserve">Management direction</t>
  </si>
  <si>
    <t xml:space="preserve">User instruction | 26 Jul 2026</t>
  </si>
  <si>
    <t xml:space="preserve">G162 | Underwriting I57</t>
  </si>
  <si>
    <t xml:space="preserve">Documented input / linked scale</t>
  </si>
  <si>
    <t xml:space="preserve">Higher documented project scope selected by management.</t>
  </si>
  <si>
    <t xml:space="preserve">FUND-BASE-001</t>
  </si>
  <si>
    <t xml:space="preserve">Effective detailed-model baseline at 50:50 funding</t>
  </si>
  <si>
    <t xml:space="preserve">Derived model calibration</t>
  </si>
  <si>
    <t xml:space="preserve">Live monthly model</t>
  </si>
  <si>
    <t xml:space="preserve">G163</t>
  </si>
  <si>
    <t xml:space="preserve">Transparent calibration denominator</t>
  </si>
  <si>
    <t xml:space="preserve">Waived — superseded calibration</t>
  </si>
  <si>
    <t xml:space="preserve">Replace with reconciled detailed QS cost plan. | The temporary calibration is superseded by the reconciled detailed CAPEX and live Sources &amp; Uses.</t>
  </si>
  <si>
    <t xml:space="preserve">FUND-SCALE-001</t>
  </si>
  <si>
    <t xml:space="preserve">Scope alignment factor</t>
  </si>
  <si>
    <t xml:space="preserve">G162:G163</t>
  </si>
  <si>
    <t xml:space="preserve">Formula</t>
  </si>
  <si>
    <t xml:space="preserve">I27,I29,I34,I36,I43,I44,I53</t>
  </si>
  <si>
    <t xml:space="preserve">Formula-linked cost-driver scale</t>
  </si>
  <si>
    <t xml:space="preserve">Preserves existing cost mix and monthly timing.</t>
  </si>
  <si>
    <t xml:space="preserve">FUND-DEBT-SHARE</t>
  </si>
  <si>
    <t xml:space="preserve">Debt funding share</t>
  </si>
  <si>
    <t xml:space="preserve">G165 | Underwriting C61,I61</t>
  </si>
  <si>
    <t xml:space="preserve">Documented input / residual debt</t>
  </si>
  <si>
    <t xml:space="preserve">Provisional; lender confirmation required.</t>
  </si>
  <si>
    <t xml:space="preserve">FUND-EQUITY-SHARE</t>
  </si>
  <si>
    <t xml:space="preserve">Equity funding share</t>
  </si>
  <si>
    <t xml:space="preserve">G165</t>
  </si>
  <si>
    <t xml:space="preserve">G166</t>
  </si>
  <si>
    <t xml:space="preserve">One less debt share.</t>
  </si>
  <si>
    <t xml:space="preserve">FUND-DEBT-TARGET</t>
  </si>
  <si>
    <t xml:space="preserve">Target debt funding</t>
  </si>
  <si>
    <t xml:space="preserve">G162,G165</t>
  </si>
  <si>
    <t xml:space="preserve">B9 and live schedule</t>
  </si>
  <si>
    <t xml:space="preserve">Formula-linked output</t>
  </si>
  <si>
    <t xml:space="preserve">Subject to facility and covenant constraints.</t>
  </si>
  <si>
    <t xml:space="preserve">FUND-EQUITY-TARGET</t>
  </si>
  <si>
    <t xml:space="preserve">Target equity funding</t>
  </si>
  <si>
    <t xml:space="preserve">G162,G166</t>
  </si>
  <si>
    <t xml:space="preserve">I60 and monthly equity waterfall</t>
  </si>
  <si>
    <t xml:space="preserve">Formula-linked source</t>
  </si>
  <si>
    <t xml:space="preserve">Allocated across eight named investor lines.</t>
  </si>
  <si>
    <t xml:space="preserve">INV-NAMED-BASE</t>
  </si>
  <si>
    <t xml:space="preserve">Named-investor register baseline</t>
  </si>
  <si>
    <t xml:space="preserve">DATA MAP</t>
  </si>
  <si>
    <t xml:space="preserve">E203:E226</t>
  </si>
  <si>
    <t xml:space="preserve">G169</t>
  </si>
  <si>
    <t xml:space="preserve">Formula sum</t>
  </si>
  <si>
    <t xml:space="preserve">Original register retained for traceability. | The historic split is retained as evidence only; FUNDING &amp; CAP TABLE and Valuation &amp; Investor Returns now control funded equity, ownership and investor value.</t>
  </si>
  <si>
    <t xml:space="preserve">INV-NAMED-SCALE</t>
  </si>
  <si>
    <t xml:space="preserve">Named-investor allocation factor</t>
  </si>
  <si>
    <t xml:space="preserve">G168:G169</t>
  </si>
  <si>
    <t xml:space="preserve">G138:G161</t>
  </si>
  <si>
    <t xml:space="preserve">Pro-rata formulas</t>
  </si>
  <si>
    <t xml:space="preserve">No investor names or relative weights invented. | The historic split is retained as evidence only; FUNDING &amp; CAP TABLE and Valuation &amp; Investor Returns now control funded equity, ownership and investor value.</t>
  </si>
  <si>
    <t xml:space="preserve">CAPEX-BASE-LAND</t>
  </si>
  <si>
    <t xml:space="preserve">Pre-direction land purchase input</t>
  </si>
  <si>
    <t xml:space="preserve">G171</t>
  </si>
  <si>
    <t xml:space="preserve">Baseline input retained</t>
  </si>
  <si>
    <t xml:space="preserve">Scaled through G164. | The detailed component build and PROJECTS CAPEX sections are authoritative; conflicting summaries are evidence only and are not double counted.</t>
  </si>
  <si>
    <t xml:space="preserve">CAPEX-BASE-DD</t>
  </si>
  <si>
    <t xml:space="preserve">Pre-direction due-diligence input</t>
  </si>
  <si>
    <t xml:space="preserve">I29</t>
  </si>
  <si>
    <t xml:space="preserve">G172</t>
  </si>
  <si>
    <t xml:space="preserve">CAPEX-BASE-OFFSITE</t>
  </si>
  <si>
    <t xml:space="preserve">Pre-direction offsite-improvements input</t>
  </si>
  <si>
    <t xml:space="preserve">I36</t>
  </si>
  <si>
    <t xml:space="preserve">G173</t>
  </si>
  <si>
    <t xml:space="preserve">CAPEX-BASE-MKT</t>
  </si>
  <si>
    <t xml:space="preserve">Pre-direction marketing and leasing input</t>
  </si>
  <si>
    <t xml:space="preserve">I43</t>
  </si>
  <si>
    <t xml:space="preserve">G174</t>
  </si>
  <si>
    <t xml:space="preserve">CAPEX-BASE-TAX</t>
  </si>
  <si>
    <t xml:space="preserve">Pre-direction construction-period property-tax input</t>
  </si>
  <si>
    <t xml:space="preserve">I44</t>
  </si>
  <si>
    <t xml:space="preserve">G175</t>
  </si>
  <si>
    <t xml:space="preserve">CAPEX-BASE-FEE</t>
  </si>
  <si>
    <t xml:space="preserve">Pre-direction financing-fee input</t>
  </si>
  <si>
    <t xml:space="preserve">I53</t>
  </si>
  <si>
    <t xml:space="preserve">G176</t>
  </si>
  <si>
    <t xml:space="preserve">Not an agreed lender term. | The detailed component build and PROJECTS CAPEX sections are authoritative; conflicting summaries are evidence only and are not double counted.</t>
  </si>
  <si>
    <t xml:space="preserve">CAPEX-BASE-RATE</t>
  </si>
  <si>
    <t xml:space="preserve">Pre-direction construction cost rate</t>
  </si>
  <si>
    <t xml:space="preserve">I34</t>
  </si>
  <si>
    <t xml:space="preserve">G177</t>
  </si>
  <si>
    <t xml:space="preserve">Baseline unit-rate input retained</t>
  </si>
  <si>
    <t xml:space="preserve">Area driver and S-curve remain live. | The detailed component build and PROJECTS CAPEX sections are authoritative; conflicting summaries are evidence only and are not double counted.</t>
  </si>
  <si>
    <t xml:space="preserve">FUND-SCOPE-CHECK</t>
  </si>
  <si>
    <t xml:space="preserve">Selected scope less live total development cost</t>
  </si>
  <si>
    <t xml:space="preserve">G59,G162</t>
  </si>
  <si>
    <t xml:space="preserve">C171</t>
  </si>
  <si>
    <t xml:space="preserve">Formula control</t>
  </si>
  <si>
    <t xml:space="preserve">Must equal zero.</t>
  </si>
  <si>
    <t xml:space="preserve">PRG-PC-DATE</t>
  </si>
  <si>
    <t xml:space="preserve">Source programme / management selection</t>
  </si>
  <si>
    <t xml:space="preserve">Source programme / live date formulas</t>
  </si>
  <si>
    <t xml:space="preserve">G179</t>
  </si>
  <si>
    <t xml:space="preserve">Formula / linked calculation</t>
  </si>
  <si>
    <t xml:space="preserve">Q2 2029 selected as the controlling completion programme; the model uses 30 June 2029.</t>
  </si>
  <si>
    <t xml:space="preserve">PRG-OPEN-DATE</t>
  </si>
  <si>
    <t xml:space="preserve">Operations commencement date</t>
  </si>
  <si>
    <t xml:space="preserve">G180</t>
  </si>
  <si>
    <t xml:space="preserve">First month after practical completion.</t>
  </si>
  <si>
    <t xml:space="preserve">PRG-STAB-DATE</t>
  </si>
  <si>
    <t xml:space="preserve">First stabilised date</t>
  </si>
  <si>
    <t xml:space="preserve">Live monthly lease-up schedule</t>
  </si>
  <si>
    <t xml:space="preserve">G181</t>
  </si>
  <si>
    <t xml:space="preserve">Existing twelve-month operating ramp retained after the revised opening date.</t>
  </si>
  <si>
    <t xml:space="preserve">AREA-CONTROL-TOTAL</t>
  </si>
  <si>
    <t xml:space="preserve">Controlling detailed component area</t>
  </si>
  <si>
    <t xml:space="preserve">Detailed target component schedule</t>
  </si>
  <si>
    <t xml:space="preserve">See PROJECTS register notes</t>
  </si>
  <si>
    <t xml:space="preserve">G182</t>
  </si>
  <si>
    <t xml:space="preserve">Detailed live component schedule selected; source summary differences are not added because that would double count shared ancillary space.</t>
  </si>
  <si>
    <t xml:space="preserve">AREA-CONTROL-CHECK</t>
  </si>
  <si>
    <t xml:space="preserve">Detailed component area less live model area</t>
  </si>
  <si>
    <t xml:space="preserve">Live model control</t>
  </si>
  <si>
    <t xml:space="preserve">G183</t>
  </si>
  <si>
    <t xml:space="preserve">SCOPE-LIVE-TDC</t>
  </si>
  <si>
    <t xml:space="preserve">Live total development cost</t>
  </si>
  <si>
    <t xml:space="preserve">G184</t>
  </si>
  <si>
    <t xml:space="preserve">Includes capitalised interest and financing fees generated by the revised programme and financeable debt.</t>
  </si>
  <si>
    <t xml:space="preserve">SCOPE-VARIANCE</t>
  </si>
  <si>
    <t xml:space="preserve">Live total development cost less selected scope</t>
  </si>
  <si>
    <t xml:space="preserve">G185</t>
  </si>
  <si>
    <t xml:space="preserve">A positive amount is an overrun; a negative amount is unused scope headroom.</t>
  </si>
  <si>
    <t xml:space="preserve">FUND-TARGET-DEBT</t>
  </si>
  <si>
    <t xml:space="preserve">50:50 target debt</t>
  </si>
  <si>
    <t xml:space="preserve">G186</t>
  </si>
  <si>
    <t xml:space="preserve">Target only; it is not forced where lender capacity is lower.</t>
  </si>
  <si>
    <t xml:space="preserve">FUND-LTV-CAP</t>
  </si>
  <si>
    <t xml:space="preserve">Gross debt capacity under base LTV</t>
  </si>
  <si>
    <t xml:space="preserve">Selected property value and provisional lender covenant</t>
  </si>
  <si>
    <t xml:space="preserve">G187</t>
  </si>
  <si>
    <t xml:space="preserve">Property value multiplied by the provisional 65% term LTV limit.</t>
  </si>
  <si>
    <t xml:space="preserve">FUND-DSCR-CAP</t>
  </si>
  <si>
    <t xml:space="preserve">Gross debt capacity under base DSCR</t>
  </si>
  <si>
    <t xml:space="preserve">Stabilised CFADS and provisional lender covenant</t>
  </si>
  <si>
    <t xml:space="preserve">G188</t>
  </si>
  <si>
    <t xml:space="preserve">Sized using stabilised NOI less lifecycle capex and scheduled interest plus straight-line amortisation; cash sweep is excluded.</t>
  </si>
  <si>
    <t xml:space="preserve">FUND-FINANCEABLE-DEBT</t>
  </si>
  <si>
    <t xml:space="preserve">Financeable net construction debt</t>
  </si>
  <si>
    <t xml:space="preserve">Lower of target, LTV and DSCR</t>
  </si>
  <si>
    <t xml:space="preserve">G189</t>
  </si>
  <si>
    <t xml:space="preserve">Net of the refinancing fee so gross term proceeds can repay construction debt and the fee in full.</t>
  </si>
  <si>
    <t xml:space="preserve">FUND-FINANCEABLE-SHARE</t>
  </si>
  <si>
    <t xml:space="preserve">Financeable debt share</t>
  </si>
  <si>
    <t xml:space="preserve">Live sources and uses</t>
  </si>
  <si>
    <t xml:space="preserve">G190</t>
  </si>
  <si>
    <t xml:space="preserve">May be below 50% where valuation or debt-service capacity constrains leverage.</t>
  </si>
  <si>
    <t xml:space="preserve">FUND-LIVE-EQUITY</t>
  </si>
  <si>
    <t xml:space="preserve">Calculated equity funding requirement</t>
  </si>
  <si>
    <t xml:space="preserve">G191</t>
  </si>
  <si>
    <t xml:space="preserve">Residual project uses after financeable debt; allocated pro rata across the eight-line interim investor register.</t>
  </si>
  <si>
    <t xml:space="preserve">FUND-LIVE-EQUITY-SHARE</t>
  </si>
  <si>
    <t xml:space="preserve">Calculated equity funding share</t>
  </si>
  <si>
    <t xml:space="preserve">G192</t>
  </si>
  <si>
    <t xml:space="preserve">Calculated from live equity divided by live total development cost.</t>
  </si>
  <si>
    <t xml:space="preserve">FUND-SOURCES-USES-CHECK</t>
  </si>
  <si>
    <t xml:space="preserve">Debt plus equity less live total uses</t>
  </si>
  <si>
    <t xml:space="preserve">G193</t>
  </si>
  <si>
    <t xml:space="preserve">TAX-CORP-RATE</t>
  </si>
  <si>
    <t xml:space="preserve">Australian corporate tax rate</t>
  </si>
  <si>
    <t xml:space="preserve">Illustrative pending tax advice</t>
  </si>
  <si>
    <t xml:space="preserve">G194</t>
  </si>
  <si>
    <t xml:space="preserve">Documented provisional input</t>
  </si>
  <si>
    <t xml:space="preserve">Applied only after tax-loss carryforwards and a provisional tax-depreciation allowance.</t>
  </si>
  <si>
    <t xml:space="preserve">TAX-DEPR-RATE</t>
  </si>
  <si>
    <t xml:space="preserve">Tax depreciation rate on development cost</t>
  </si>
  <si>
    <t xml:space="preserve">G195</t>
  </si>
  <si>
    <t xml:space="preserve">Straight-line proxy for debt-capacity and cash-tax modelling; replace with a tax depreciation schedule.</t>
  </si>
  <si>
    <t xml:space="preserve">GST-RATE</t>
  </si>
  <si>
    <t xml:space="preserve">GST rate</t>
  </si>
  <si>
    <t xml:space="preserve">Australian statutory rate / transaction treatment pending</t>
  </si>
  <si>
    <t xml:space="preserve">G196</t>
  </si>
  <si>
    <t xml:space="preserve">Applied only to the provisional GST-eligible development-spend percentage.</t>
  </si>
  <si>
    <t xml:space="preserve">GST-ELIGIBLE</t>
  </si>
  <si>
    <t xml:space="preserve">GST-eligible development spend</t>
  </si>
  <si>
    <t xml:space="preserve">G197</t>
  </si>
  <si>
    <t xml:space="preserve">Land, duty and non-creditable amounts are excluded through this provisional eligibility factor.</t>
  </si>
  <si>
    <t xml:space="preserve">GST-RECOVERY-LAG</t>
  </si>
  <si>
    <t xml:space="preserve">GST recovery lag</t>
  </si>
  <si>
    <t xml:space="preserve">Illustrative pending BAS profile</t>
  </si>
  <si>
    <t xml:space="preserve">G198</t>
  </si>
  <si>
    <t xml:space="preserve">Input GST is funded when paid and recovered two months later.</t>
  </si>
  <si>
    <t xml:space="preserve">WC-TARGET</t>
  </si>
  <si>
    <t xml:space="preserve">Illustrative pending operating budget</t>
  </si>
  <si>
    <t xml:space="preserve">G199</t>
  </si>
  <si>
    <t xml:space="preserve">Working-capital cash use is the monthly movement in the target balance.</t>
  </si>
  <si>
    <t xml:space="preserve">HOLD-PERIOD</t>
  </si>
  <si>
    <t xml:space="preserve">Illustrative strategy assumption</t>
  </si>
  <si>
    <t xml:space="preserve">G200</t>
  </si>
  <si>
    <t xml:space="preserve">Independent Build &amp; Hold strategy; does not reuse the Build &amp; Sell reversion date.</t>
  </si>
  <si>
    <t xml:space="preserve">HOLD-NOI-GROWTH</t>
  </si>
  <si>
    <t xml:space="preserve">G201</t>
  </si>
  <si>
    <t xml:space="preserve">Applied to post-stabilisation NOI during the hold period.</t>
  </si>
  <si>
    <t xml:space="preserve">HOLD-EXIT-YIELD</t>
  </si>
  <si>
    <t xml:space="preserve">Central valuation assumptions</t>
  </si>
  <si>
    <t xml:space="preserve">G202</t>
  </si>
  <si>
    <t xml:space="preserve">Linked to the scenario terminal cap rate.</t>
  </si>
  <si>
    <t xml:space="preserve">HOLD-DISCOUNT</t>
  </si>
  <si>
    <t xml:space="preserve">G203</t>
  </si>
  <si>
    <t xml:space="preserve">Linked to the selected valuation discount rate.</t>
  </si>
  <si>
    <t xml:space="preserve">HOLD-CAPEX-RESERVE</t>
  </si>
  <si>
    <t xml:space="preserve">Live stabilised model</t>
  </si>
  <si>
    <t xml:space="preserve">G204</t>
  </si>
  <si>
    <t xml:space="preserve">Derived from the live annual lifecycle capex divided by stabilised NOI.</t>
  </si>
  <si>
    <t xml:space="preserve">ASSUMPTION-STATUS</t>
  </si>
  <si>
    <t xml:space="preserve">Unconfirmed commercial assumption status</t>
  </si>
  <si>
    <t xml:space="preserve">Audit issue register</t>
  </si>
  <si>
    <t xml:space="preserve">Management confirmation required</t>
  </si>
  <si>
    <t xml:space="preserve">G205</t>
  </si>
  <si>
    <t xml:space="preserve">Lender terms, cap table legal rights, independent valuation evidence and tax treatment remain provisional and are not presented as agreed facts.</t>
  </si>
  <si>
    <t xml:space="preserve">CEO-DB-001</t>
  </si>
  <si>
    <t xml:space="preserve">Detailed component CAPEX total</t>
  </si>
  <si>
    <t xml:space="preserve">PROJECTS register / PROJECTS CAPEX sections</t>
  </si>
  <si>
    <t xml:space="preserve">G52 / H26</t>
  </si>
  <si>
    <t xml:space="preserve">Current detailed data book selected; older higher scope superseded.</t>
  </si>
  <si>
    <t xml:space="preserve">CEO-DB-002</t>
  </si>
  <si>
    <t xml:space="preserve">Gross development investment</t>
  </si>
  <si>
    <t xml:space="preserve">H38</t>
  </si>
  <si>
    <t xml:space="preserve">G163 / B35</t>
  </si>
  <si>
    <t xml:space="preserve">Includes site acquisition, site lease deposit and net infrastructure fund.</t>
  </si>
  <si>
    <t xml:space="preserve">CEO-DB-003</t>
  </si>
  <si>
    <t xml:space="preserve">Total project funding required</t>
  </si>
  <si>
    <t xml:space="preserve">PROJECTS register / Underwriting</t>
  </si>
  <si>
    <t xml:space="preserve">G162 / I57</t>
  </si>
  <si>
    <t xml:space="preserve">After staged operating funding sources.</t>
  </si>
  <si>
    <t xml:space="preserve">CEO-DB-004</t>
  </si>
  <si>
    <t xml:space="preserve">Construction debt funding</t>
  </si>
  <si>
    <t xml:space="preserve">Approximately 50% of total project funding.</t>
  </si>
  <si>
    <t xml:space="preserve">CEO-DB-005</t>
  </si>
  <si>
    <t xml:space="preserve">Funded equity requirement</t>
  </si>
  <si>
    <t xml:space="preserve">FUNDING &amp; CAP TABLE</t>
  </si>
  <si>
    <t xml:space="preserve">D20</t>
  </si>
  <si>
    <t xml:space="preserve">Allocated across eight funded investor lines.</t>
  </si>
  <si>
    <t xml:space="preserve">CEO-DB-006</t>
  </si>
  <si>
    <t xml:space="preserve">Master Developer commitment</t>
  </si>
  <si>
    <t xml:space="preserve">CEO direction</t>
  </si>
  <si>
    <t xml:space="preserve">FUNDING &amp; CAP TABLE / PROJECTS register</t>
  </si>
  <si>
    <t xml:space="preserve">C15 / G209</t>
  </si>
  <si>
    <t xml:space="preserve">Commitment distinguished from funded draw.</t>
  </si>
  <si>
    <t xml:space="preserve">CEO-DB-007</t>
  </si>
  <si>
    <t xml:space="preserve">Master Developer funded draw</t>
  </si>
  <si>
    <t xml:space="preserve">D15</t>
  </si>
  <si>
    <t xml:space="preserve">Residual formula</t>
  </si>
  <si>
    <t xml:space="preserve">Residual required after other investors; capped at A$150m commitment.</t>
  </si>
  <si>
    <t xml:space="preserve">CEO-DB-008</t>
  </si>
  <si>
    <t xml:space="preserve">David Gifford funded contribution</t>
  </si>
  <si>
    <t xml:space="preserve">E104 / F104</t>
  </si>
  <si>
    <t xml:space="preserve">PROJECTS register / Valuation &amp; Investor Returns</t>
  </si>
  <si>
    <t xml:space="preserve">G138 / D26</t>
  </si>
  <si>
    <t xml:space="preserve">Mapped — source conflict resolved</t>
  </si>
  <si>
    <t xml:space="preserve">A$12m/A$15.5m prior references superseded by current data book. | The current data-book A$10.0m funded contribution controls; older A$12.0m/A$15.5m references are superseded.</t>
  </si>
  <si>
    <t xml:space="preserve">CEO-DB-009</t>
  </si>
  <si>
    <t xml:space="preserve">Precinct renewable-energy roof</t>
  </si>
  <si>
    <t xml:space="preserve">PROJECT CASH FLOW / GENESIS CAPEX</t>
  </si>
  <si>
    <t xml:space="preserve">J23 / roof policy</t>
  </si>
  <si>
    <t xml:space="preserve">PROJECTS CAPEX sections</t>
  </si>
  <si>
    <t xml:space="preserve">H23</t>
  </si>
  <si>
    <t xml:space="preserve">Counted once as precinct infrastructure.</t>
  </si>
  <si>
    <t xml:space="preserve">CEO-DB-010</t>
  </si>
  <si>
    <t xml:space="preserve">Landscape / public-realm programme</t>
  </si>
  <si>
    <t xml:space="preserve">ANCILLIARY SVCS CAPEX &amp; OPEX</t>
  </si>
  <si>
    <t xml:space="preserve">N167</t>
  </si>
  <si>
    <t xml:space="preserve">G214 / check</t>
  </si>
  <si>
    <t xml:space="preserve">A$6m roads/paths plus A$15.07m Bend Common.</t>
  </si>
  <si>
    <t xml:space="preserve">CEO-DB-011</t>
  </si>
  <si>
    <t xml:space="preserve">Stabilised operating revenue</t>
  </si>
  <si>
    <t xml:space="preserve">PROFIT &amp; LOSS</t>
  </si>
  <si>
    <t xml:space="preserve">D9 (2029)</t>
  </si>
  <si>
    <t xml:space="preserve">OPERATING MODEL / Underwriting</t>
  </si>
  <si>
    <t xml:space="preserve">C27 / I130</t>
  </si>
  <si>
    <t xml:space="preserve">Management annual forecast.</t>
  </si>
  <si>
    <t xml:space="preserve">CEO-DB-012</t>
  </si>
  <si>
    <t xml:space="preserve">Stabilised EBITDA / NOI</t>
  </si>
  <si>
    <t xml:space="preserve">D22 (2029)</t>
  </si>
  <si>
    <t xml:space="preserve">C28 / I140</t>
  </si>
  <si>
    <t xml:space="preserve">CMP-URWLD-FP</t>
  </si>
  <si>
    <t xml:space="preserve">Component footprint</t>
  </si>
  <si>
    <t xml:space="preserve">E8</t>
  </si>
  <si>
    <t xml:space="preserve">G219</t>
  </si>
  <si>
    <t xml:space="preserve">Central source input</t>
  </si>
  <si>
    <t xml:space="preserve">Central source input for the URWLD component schedule.</t>
  </si>
  <si>
    <t xml:space="preserve">CMP-URWLD-LAND</t>
  </si>
  <si>
    <t xml:space="preserve">Component land area</t>
  </si>
  <si>
    <t xml:space="preserve">F8</t>
  </si>
  <si>
    <t xml:space="preserve">G220</t>
  </si>
  <si>
    <t xml:space="preserve">May overlap vertically or with shared precinct uses.</t>
  </si>
  <si>
    <t xml:space="preserve">CMP-URWLD-CORE</t>
  </si>
  <si>
    <t xml:space="preserve">Core / shell CAPEX</t>
  </si>
  <si>
    <t xml:space="preserve">H8</t>
  </si>
  <si>
    <t xml:space="preserve">G221</t>
  </si>
  <si>
    <t xml:space="preserve">Current detailed data-book amount.</t>
  </si>
  <si>
    <t xml:space="preserve">CMP-URWLD-FIT</t>
  </si>
  <si>
    <t xml:space="preserve">Fit-out CAPEX</t>
  </si>
  <si>
    <t xml:space="preserve">I8</t>
  </si>
  <si>
    <t xml:space="preserve">G222</t>
  </si>
  <si>
    <t xml:space="preserve">CMP-PBSA-FP</t>
  </si>
  <si>
    <t xml:space="preserve">G223</t>
  </si>
  <si>
    <t xml:space="preserve">Central source input for the PBSA component schedule.</t>
  </si>
  <si>
    <t xml:space="preserve">CMP-PBSA-LAND</t>
  </si>
  <si>
    <t xml:space="preserve">F9</t>
  </si>
  <si>
    <t xml:space="preserve">G224</t>
  </si>
  <si>
    <t xml:space="preserve">Vertically integrated use; no separate land area in the source schedule.</t>
  </si>
  <si>
    <t xml:space="preserve">CMP-PBSA-CORE</t>
  </si>
  <si>
    <t xml:space="preserve">H9</t>
  </si>
  <si>
    <t xml:space="preserve">G225</t>
  </si>
  <si>
    <t xml:space="preserve">CMP-PBSA-FIT</t>
  </si>
  <si>
    <t xml:space="preserve">I9</t>
  </si>
  <si>
    <t xml:space="preserve">G226</t>
  </si>
  <si>
    <t xml:space="preserve">CMP-LIVE-FP</t>
  </si>
  <si>
    <t xml:space="preserve">G227</t>
  </si>
  <si>
    <t xml:space="preserve">Central source input for the LiveHouse component schedule.</t>
  </si>
  <si>
    <t xml:space="preserve">CMP-LIVE-LAND</t>
  </si>
  <si>
    <t xml:space="preserve">F10</t>
  </si>
  <si>
    <t xml:space="preserve">G228</t>
  </si>
  <si>
    <t xml:space="preserve">Source component land allocation.</t>
  </si>
  <si>
    <t xml:space="preserve">CMP-LIVE-CORE</t>
  </si>
  <si>
    <t xml:space="preserve">H10</t>
  </si>
  <si>
    <t xml:space="preserve">G229</t>
  </si>
  <si>
    <t xml:space="preserve">CMP-LIVE-FIT</t>
  </si>
  <si>
    <t xml:space="preserve">G230</t>
  </si>
  <si>
    <t xml:space="preserve">CMP-SNOW-FP</t>
  </si>
  <si>
    <t xml:space="preserve">E14</t>
  </si>
  <si>
    <t xml:space="preserve">G231</t>
  </si>
  <si>
    <t xml:space="preserve">Central source input for the Snowtunnel component schedule.</t>
  </si>
  <si>
    <t xml:space="preserve">CMP-SNOW-LAND</t>
  </si>
  <si>
    <t xml:space="preserve">F14</t>
  </si>
  <si>
    <t xml:space="preserve">G232</t>
  </si>
  <si>
    <t xml:space="preserve">CMP-SNOW-CORE</t>
  </si>
  <si>
    <t xml:space="preserve">H14</t>
  </si>
  <si>
    <t xml:space="preserve">G233</t>
  </si>
  <si>
    <t xml:space="preserve">CMP-SNOW-FIT</t>
  </si>
  <si>
    <t xml:space="preserve">I14</t>
  </si>
  <si>
    <t xml:space="preserve">CMP-GEN-FP</t>
  </si>
  <si>
    <t xml:space="preserve">E12</t>
  </si>
  <si>
    <t xml:space="preserve">Central source input for the Genesis component schedule.</t>
  </si>
  <si>
    <t xml:space="preserve">CMP-GEN-LAND</t>
  </si>
  <si>
    <t xml:space="preserve">F12</t>
  </si>
  <si>
    <t xml:space="preserve">CMP-GEN-CORE</t>
  </si>
  <si>
    <t xml:space="preserve">H12</t>
  </si>
  <si>
    <t xml:space="preserve">G237</t>
  </si>
  <si>
    <t xml:space="preserve">CMP-GEN-FIT</t>
  </si>
  <si>
    <t xml:space="preserve">I12</t>
  </si>
  <si>
    <t xml:space="preserve">G238</t>
  </si>
  <si>
    <t xml:space="preserve">CMP-PARK-FP</t>
  </si>
  <si>
    <t xml:space="preserve">G239</t>
  </si>
  <si>
    <t xml:space="preserve">Central source input for the parking component schedule.</t>
  </si>
  <si>
    <t xml:space="preserve">CMP-PARK-LAND</t>
  </si>
  <si>
    <t xml:space="preserve">F13</t>
  </si>
  <si>
    <t xml:space="preserve">G240</t>
  </si>
  <si>
    <t xml:space="preserve">CMP-PARK-CORE</t>
  </si>
  <si>
    <t xml:space="preserve">H13</t>
  </si>
  <si>
    <t xml:space="preserve">G241</t>
  </si>
  <si>
    <t xml:space="preserve">CMP-PARK-FIT</t>
  </si>
  <si>
    <t xml:space="preserve">G242</t>
  </si>
  <si>
    <t xml:space="preserve">CMP-STOR-FP</t>
  </si>
  <si>
    <t xml:space="preserve">G243</t>
  </si>
  <si>
    <t xml:space="preserve">Central source input for the storage component schedule.</t>
  </si>
  <si>
    <t xml:space="preserve">CMP-STOR-LAND</t>
  </si>
  <si>
    <t xml:space="preserve">F17</t>
  </si>
  <si>
    <t xml:space="preserve">G244</t>
  </si>
  <si>
    <t xml:space="preserve">No separate land area in the source schedule.</t>
  </si>
  <si>
    <t xml:space="preserve">CMP-STOR-CORE</t>
  </si>
  <si>
    <t xml:space="preserve">H17</t>
  </si>
  <si>
    <t xml:space="preserve">G245</t>
  </si>
  <si>
    <t xml:space="preserve">CMP-STOR-FIT</t>
  </si>
  <si>
    <t xml:space="preserve">I17</t>
  </si>
  <si>
    <t xml:space="preserve">G246</t>
  </si>
  <si>
    <t xml:space="preserve">OPS-CONSTR-INFL</t>
  </si>
  <si>
    <t xml:space="preserve">Construction inflation</t>
  </si>
  <si>
    <t xml:space="preserve">D55</t>
  </si>
  <si>
    <t xml:space="preserve">G247</t>
  </si>
  <si>
    <t xml:space="preserve">Source assumption recorded for traceability; detailed current-dollar CAPEX is the controlling budget. | The target monthly operating, tax and working-capital schedules control; specialist confirmation remains an OWNER DECISION where stated.</t>
  </si>
  <si>
    <t xml:space="preserve">VAL-TERM-GROWTH</t>
  </si>
  <si>
    <t xml:space="preserve">Terminal growth</t>
  </si>
  <si>
    <t xml:space="preserve">D72</t>
  </si>
  <si>
    <t xml:space="preserve">G248</t>
  </si>
  <si>
    <t xml:space="preserve">Source cross-check; terminal capitalisation remains the governing valuation method.</t>
  </si>
  <si>
    <t xml:space="preserve">DEBT-LOAN-TYPE</t>
  </si>
  <si>
    <t xml:space="preserve">Data-book loan type</t>
  </si>
  <si>
    <t xml:space="preserve">D36</t>
  </si>
  <si>
    <t xml:space="preserve">Interest Only</t>
  </si>
  <si>
    <t xml:space="preserve">G249</t>
  </si>
  <si>
    <t xml:space="preserve">Waived — OWNER DECISION</t>
  </si>
  <si>
    <t xml:space="preserve">Source alternative recorded for traceability; not activated until lender terms are confirmed. | The source alternative is documented but not activated; the live DEBT management case controls until an executed lender term sheet is received.</t>
  </si>
  <si>
    <t xml:space="preserve">DEBT-SENIOR-TERM</t>
  </si>
  <si>
    <t xml:space="preserve">Data-book loan term</t>
  </si>
  <si>
    <t xml:space="preserve">D37</t>
  </si>
  <si>
    <t xml:space="preserve">G250</t>
  </si>
  <si>
    <t xml:space="preserve">Source alternative recorded for traceability; the live five-year assumption remains illustrative pending lender confirmation. | The source alternative is documented but not activated; the live DEBT management case controls until an executed lender term sheet is received.</t>
  </si>
  <si>
    <t xml:space="preserve">DEBT-IDC-TREAT</t>
  </si>
  <si>
    <t xml:space="preserve">IDC treatment</t>
  </si>
  <si>
    <t xml:space="preserve">D38</t>
  </si>
  <si>
    <t xml:space="preserve">During Construction</t>
  </si>
  <si>
    <t xml:space="preserve">G251</t>
  </si>
  <si>
    <t xml:space="preserve">Capitalised interest is calculated once on the debt schedule.</t>
  </si>
  <si>
    <t xml:space="preserve">GST-TREATMENT</t>
  </si>
  <si>
    <t xml:space="preserve">Source GST treatment</t>
  </si>
  <si>
    <t xml:space="preserve">D45</t>
  </si>
  <si>
    <t xml:space="preserve">Excluded</t>
  </si>
  <si>
    <t xml:space="preserve">G252</t>
  </si>
  <si>
    <t xml:space="preserve">Source presentation basis; transaction-specific cash timing still requires tax advice.</t>
  </si>
  <si>
    <t xml:space="preserve">OPS-OPEX-RATIO</t>
  </si>
  <si>
    <t xml:space="preserve">Operating expense as % of revenue</t>
  </si>
  <si>
    <t xml:space="preserve">B13:D13</t>
  </si>
  <si>
    <t xml:space="preserve">G253</t>
  </si>
  <si>
    <t xml:space="preserve">Cross-check only; detailed annual operating-cost schedule remains controlling. | The target monthly operating, tax and working-capital schedules control; specialist confirmation remains an OWNER DECISION where stated.</t>
  </si>
  <si>
    <t xml:space="preserve">OPS-SECURITY</t>
  </si>
  <si>
    <t xml:space="preserve">Security &amp; maintenance as % of gross revenue</t>
  </si>
  <si>
    <t xml:space="preserve">B40</t>
  </si>
  <si>
    <t xml:space="preserve">G254</t>
  </si>
  <si>
    <t xml:space="preserve">Reflected in the detailed management operating forecast. | The target monthly operating, tax and working-capital schedules control; specialist confirmation remains an OWNER DECISION where stated.</t>
  </si>
  <si>
    <t xml:space="preserve">OPS-ADMIN</t>
  </si>
  <si>
    <t xml:space="preserve">Administration as % of gross revenue</t>
  </si>
  <si>
    <t xml:space="preserve">G255</t>
  </si>
  <si>
    <t xml:space="preserve">FUND-TIMING-CREDIT</t>
  </si>
  <si>
    <t xml:space="preserve">Funding credits applied against gross construction draws</t>
  </si>
  <si>
    <t xml:space="preserve">Underwriting development-adjustment timing</t>
  </si>
  <si>
    <t xml:space="preserve">G256</t>
  </si>
  <si>
    <t xml:space="preserve">Net-negative development-adjustment months reduce net debt sources; this is calculated directly from the development cash-flow row and is not a plug.</t>
  </si>
  <si>
    <t xml:space="preserve">SOURCE WORKBOOK COVERAGE | ALL 29 DATA-BOOK SHEETS</t>
  </si>
  <si>
    <t xml:space="preserve">SRC-SHEET-001</t>
  </si>
  <si>
    <t xml:space="preserve">Source sheet review and input coverage</t>
  </si>
  <si>
    <t xml:space="preserve">A1:AY112</t>
  </si>
  <si>
    <t xml:space="preserve">570 constants; 369 formulas</t>
  </si>
  <si>
    <t xml:space="preserve">PROJECTS register / PROJECTS CAPEX sections / FUNDING &amp; CAP TABLE</t>
  </si>
  <si>
    <t xml:space="preserve">See PROJECTS register / DATA MAP</t>
  </si>
  <si>
    <t xml:space="preserve">Reviewed and consolidated by source hierarchy</t>
  </si>
  <si>
    <t xml:space="preserve">Controlling capex, funding, investor and annual source schedule.</t>
  </si>
  <si>
    <t xml:space="preserve">SRC-SHEET-002</t>
  </si>
  <si>
    <t xml:space="preserve">A1:W30</t>
  </si>
  <si>
    <t xml:space="preserve">47 constants; 462 formulas</t>
  </si>
  <si>
    <t xml:space="preserve">OPERATING MODEL</t>
  </si>
  <si>
    <t xml:space="preserve">Annual management revenue, cost and EBITDA forecast imported as central blue inputs.</t>
  </si>
  <si>
    <t xml:space="preserve">SRC-SHEET-003</t>
  </si>
  <si>
    <t xml:space="preserve">OPERATING CASH FLOW</t>
  </si>
  <si>
    <t xml:space="preserve">A1:W22</t>
  </si>
  <si>
    <t xml:space="preserve">37 constants; 286 formulas</t>
  </si>
  <si>
    <t xml:space="preserve">Annual Cash Flow / Financial Statements</t>
  </si>
  <si>
    <t xml:space="preserve">Source output reviewed; target live cash-flow logic preserved to avoid a duplicate parallel schedule.</t>
  </si>
  <si>
    <t xml:space="preserve">SRC-SHEET-004</t>
  </si>
  <si>
    <t xml:space="preserve">BALANCE SHEET</t>
  </si>
  <si>
    <t xml:space="preserve">A1:W31</t>
  </si>
  <si>
    <t xml:space="preserve">41 constants; 352 formulas</t>
  </si>
  <si>
    <t xml:space="preserve">Financial Statements</t>
  </si>
  <si>
    <t xml:space="preserve">Source output reviewed; target balance-sheet roll-forward remains the governing calculation.</t>
  </si>
  <si>
    <t xml:space="preserve">SRC-SHEET-005</t>
  </si>
  <si>
    <t xml:space="preserve">LEASE VALIDATION EBITDA</t>
  </si>
  <si>
    <t xml:space="preserve">A1:M88</t>
  </si>
  <si>
    <t xml:space="preserve">288 constants; 137 formulas</t>
  </si>
  <si>
    <t xml:space="preserve">Tenant Report / OPERATING MODEL</t>
  </si>
  <si>
    <t xml:space="preserve">Mapped — source reviewed</t>
  </si>
  <si>
    <t xml:space="preserve">Validation output reviewed; legal lease/operator classification remains subject to confirmation. | The source validation schedule was reviewed; the target lease and operating schedules remain controlling.</t>
  </si>
  <si>
    <t xml:space="preserve">SRC-SHEET-006</t>
  </si>
  <si>
    <t xml:space="preserve">A1:F227</t>
  </si>
  <si>
    <t xml:space="preserve">329 constants; 0 formulas</t>
  </si>
  <si>
    <t xml:space="preserve">PROJECTS register / DEBT / VALUATIONS</t>
  </si>
  <si>
    <t xml:space="preserve">Programme, tax, inflation, financing, valuation and scenario assumptions consolidated.</t>
  </si>
  <si>
    <t xml:space="preserve">SRC-SHEET-007</t>
  </si>
  <si>
    <t xml:space="preserve">A1:E47</t>
  </si>
  <si>
    <t xml:space="preserve">129 constants; 7 formulas</t>
  </si>
  <si>
    <t xml:space="preserve">PROJECTS register / OPERATING MODEL / DEBT / VALUATIONS</t>
  </si>
  <si>
    <t xml:space="preserve">Detailed source assumptions selected under the documented hierarchy; conflicts are disclosed.</t>
  </si>
  <si>
    <t xml:space="preserve">SRC-SHEET-008</t>
  </si>
  <si>
    <t xml:space="preserve">REVENUE ENGINE</t>
  </si>
  <si>
    <t xml:space="preserve">A1:R94</t>
  </si>
  <si>
    <t xml:space="preserve">588 constants; 175 formulas</t>
  </si>
  <si>
    <t xml:space="preserve">OPERATING MODEL / Tenant Report</t>
  </si>
  <si>
    <t xml:space="preserve">Mapped — valid source data only</t>
  </si>
  <si>
    <t xml:space="preserve">Formula-valid management forecast inputs used; two source formula errors are excluded and disclosed. Source contains 2 formula-error cell(s); these were not imported as facts. | Formula-valid operating data were used; defective source formula outputs were isolated and not imported.</t>
  </si>
  <si>
    <t xml:space="preserve">2 source formula-error cell(s) isolated; use only formula-valid source data.</t>
  </si>
  <si>
    <t xml:space="preserve">SRC-SHEET-009</t>
  </si>
  <si>
    <t xml:space="preserve">OPERATING COSTS</t>
  </si>
  <si>
    <t xml:space="preserve">A1:W20</t>
  </si>
  <si>
    <t xml:space="preserve">143 constants; 115 formulas</t>
  </si>
  <si>
    <t xml:space="preserve">Annual operating-cost forecast imported and reconciled to EBITDA/NOI.</t>
  </si>
  <si>
    <t xml:space="preserve">SRC-SHEET-010</t>
  </si>
  <si>
    <t xml:space="preserve">DEBT SCHEDULE</t>
  </si>
  <si>
    <t xml:space="preserve">A1:W10</t>
  </si>
  <si>
    <t xml:space="preserve">30 constants; 110 formulas</t>
  </si>
  <si>
    <t xml:space="preserve">Source debt output reviewed; the live lender-ready debt schedule is retained and linked to source terms.</t>
  </si>
  <si>
    <t xml:space="preserve">SRC-SHEET-011</t>
  </si>
  <si>
    <t xml:space="preserve">LEASE ABATEMENT MODEL</t>
  </si>
  <si>
    <t xml:space="preserve">A1:AB65</t>
  </si>
  <si>
    <t xml:space="preserve">503 constants; 274 formulas</t>
  </si>
  <si>
    <t xml:space="preserve">Tenant Report / Underwriting</t>
  </si>
  <si>
    <t xml:space="preserve">Source output reviewed; detailed target lease timing remains governing.</t>
  </si>
  <si>
    <t xml:space="preserve">SRC-SHEET-012</t>
  </si>
  <si>
    <t xml:space="preserve">LEASE_TERMS_ASSUMPTIONS</t>
  </si>
  <si>
    <t xml:space="preserve">A1:AO56</t>
  </si>
  <si>
    <t xml:space="preserve">396 constants; 101 formulas</t>
  </si>
  <si>
    <t xml:space="preserve">PROJECTS register / Tenant Report</t>
  </si>
  <si>
    <t xml:space="preserve">Lease and escalation inputs reviewed; target detailed lease schedule preserved where more granular.</t>
  </si>
  <si>
    <t xml:space="preserve">SRC-SHEET-013</t>
  </si>
  <si>
    <t xml:space="preserve">LAND REVALUATION</t>
  </si>
  <si>
    <t xml:space="preserve">A1:W36</t>
  </si>
  <si>
    <t xml:space="preserve">179 constants; 48 formulas</t>
  </si>
  <si>
    <t xml:space="preserve">Source cross-check reviewed; no independent valuation evidence was available for adoption. | The source is retained as a cross-check; the live valuation schedule controls and independent valuation evidence remains an OWNER DECISION.</t>
  </si>
  <si>
    <t xml:space="preserve">SRC-SHEET-014</t>
  </si>
  <si>
    <t xml:space="preserve">LAND VALUE INPUT</t>
  </si>
  <si>
    <t xml:space="preserve">A1:G25</t>
  </si>
  <si>
    <t xml:space="preserve">63 constants; 0 formulas</t>
  </si>
  <si>
    <t xml:space="preserve">PROJECTS register / VALUATIONS</t>
  </si>
  <si>
    <t xml:space="preserve">Land inputs reviewed; independent evidence and transaction treatment remain required. | The source is retained as a cross-check; the live valuation schedule controls and independent valuation evidence remains an OWNER DECISION.</t>
  </si>
  <si>
    <t xml:space="preserve">SRC-SHEET-015</t>
  </si>
  <si>
    <t xml:space="preserve">DASHBOARD CALCS</t>
  </si>
  <si>
    <t xml:space="preserve">A1:D27</t>
  </si>
  <si>
    <t xml:space="preserve">77 constants; 24 formulas</t>
  </si>
  <si>
    <t xml:space="preserve">INVESTOR DASHBOARD</t>
  </si>
  <si>
    <t xml:space="preserve">Source dashboard outputs contain formula errors and were not imported; live target dashboards use audited formulas. Source contains 18 formula-error cell(s); these were not imported as facts. | The defective source dashboard is isolated; the audited target dashboard is formula-linked to the target model.</t>
  </si>
  <si>
    <t xml:space="preserve">18 source formula-error cell(s) isolated; use only formula-valid source data.</t>
  </si>
  <si>
    <t xml:space="preserve">SRC-SHEET-016</t>
  </si>
  <si>
    <t xml:space="preserve">PARTNERSHIPS &amp; PROMOTIONS REV</t>
  </si>
  <si>
    <t xml:space="preserve">A1:N75</t>
  </si>
  <si>
    <t xml:space="preserve">608 constants; 122 formulas</t>
  </si>
  <si>
    <t xml:space="preserve">OPERATING MODEL / ANCILLARY &amp; SITE</t>
  </si>
  <si>
    <t xml:space="preserve">Management operating forecast consolidated without creating a duplicate revenue engine.</t>
  </si>
  <si>
    <t xml:space="preserve">SRC-SHEET-017</t>
  </si>
  <si>
    <t xml:space="preserve">PARTNERS&amp;PROMOS ASSUMPTIONS</t>
  </si>
  <si>
    <t xml:space="preserve">A1:AN113</t>
  </si>
  <si>
    <t xml:space="preserve">1416 constants; 46 formulas</t>
  </si>
  <si>
    <t xml:space="preserve">OPERATING MODEL / PROJECTS register</t>
  </si>
  <si>
    <t xml:space="preserve">Source operating assumptions reviewed and consolidated where material.</t>
  </si>
  <si>
    <t xml:space="preserve">SRC-SHEET-018</t>
  </si>
  <si>
    <t xml:space="preserve">DEV CAPEX URWLD</t>
  </si>
  <si>
    <t xml:space="preserve">A1:T264</t>
  </si>
  <si>
    <t xml:space="preserve">753 constants; 74 formulas</t>
  </si>
  <si>
    <t xml:space="preserve">URWLD / PROJECTS register</t>
  </si>
  <si>
    <t xml:space="preserve">Detailed URWLD capex reviewed; controlling totals and component inputs are centrally linked.</t>
  </si>
  <si>
    <t xml:space="preserve">SRC-SHEET-019</t>
  </si>
  <si>
    <t xml:space="preserve">OPEX URWLD AUD$)</t>
  </si>
  <si>
    <t xml:space="preserve">A1:Q435</t>
  </si>
  <si>
    <t xml:space="preserve">4275 constants; 88 formulas</t>
  </si>
  <si>
    <t xml:space="preserve">OPERATING MODEL / URWLD</t>
  </si>
  <si>
    <t xml:space="preserve">URWLD operating schedule reviewed and reflected through the management forecast.</t>
  </si>
  <si>
    <t xml:space="preserve">SRC-SHEET-020</t>
  </si>
  <si>
    <t xml:space="preserve">SNOWTUNNEL CAPEX OPEX</t>
  </si>
  <si>
    <t xml:space="preserve">A1:M18</t>
  </si>
  <si>
    <t xml:space="preserve">49 constants; 1 formulas</t>
  </si>
  <si>
    <t xml:space="preserve">SNOWTUNNEL / OPERATING MODEL</t>
  </si>
  <si>
    <t xml:space="preserve">Snowtunnel capex inputs and operating forecast reviewed and linked.</t>
  </si>
  <si>
    <t xml:space="preserve">SRC-SHEET-021</t>
  </si>
  <si>
    <t xml:space="preserve">PBSA CAPEX</t>
  </si>
  <si>
    <t xml:space="preserve">A1:K91</t>
  </si>
  <si>
    <t xml:space="preserve">127 constants; 10 formulas</t>
  </si>
  <si>
    <t xml:space="preserve">PBSA / PROJECTS register</t>
  </si>
  <si>
    <t xml:space="preserve">PBSA core, fit-out, capacity and total capex inputs consolidated.</t>
  </si>
  <si>
    <t xml:space="preserve">SRC-SHEET-022</t>
  </si>
  <si>
    <t xml:space="preserve">PBSA OPEX</t>
  </si>
  <si>
    <t xml:space="preserve">A1:M58</t>
  </si>
  <si>
    <t xml:space="preserve">267 constants; 1 formulas</t>
  </si>
  <si>
    <t xml:space="preserve">PBSA / OPERATING MODEL</t>
  </si>
  <si>
    <t xml:space="preserve">PBSA operating schedule reviewed and reflected through the management forecast.</t>
  </si>
  <si>
    <t xml:space="preserve">SRC-SHEET-023</t>
  </si>
  <si>
    <t xml:space="preserve">CARPARK</t>
  </si>
  <si>
    <t xml:space="preserve">A1:L248</t>
  </si>
  <si>
    <t xml:space="preserve">443 constants; 50 formulas</t>
  </si>
  <si>
    <t xml:space="preserve">PARKING / PROJECTS register</t>
  </si>
  <si>
    <t xml:space="preserve">Parking footprint, area, capacity and capex consolidated.</t>
  </si>
  <si>
    <t xml:space="preserve">SRC-SHEET-024</t>
  </si>
  <si>
    <t xml:space="preserve">CARPARK OPEX</t>
  </si>
  <si>
    <t xml:space="preserve">A1:P36</t>
  </si>
  <si>
    <t xml:space="preserve">159 constants; 19 formulas</t>
  </si>
  <si>
    <t xml:space="preserve">PARKING / OPERATING MODEL</t>
  </si>
  <si>
    <t xml:space="preserve">Parking operating schedule reviewed and reflected through the management forecast.</t>
  </si>
  <si>
    <t xml:space="preserve">SRC-SHEET-025</t>
  </si>
  <si>
    <t xml:space="preserve">STORAGE OPEX CAPEX</t>
  </si>
  <si>
    <t xml:space="preserve">A1:N205</t>
  </si>
  <si>
    <t xml:space="preserve">272 constants; 36 formulas</t>
  </si>
  <si>
    <t xml:space="preserve">STORAGE / OPERATING MODEL</t>
  </si>
  <si>
    <t xml:space="preserve">Storage capex and operating schedule reviewed and consolidated.</t>
  </si>
  <si>
    <t xml:space="preserve">SRC-SHEET-026</t>
  </si>
  <si>
    <t xml:space="preserve">LIVEHOUSE Opex and Capex</t>
  </si>
  <si>
    <t xml:space="preserve">A1:O68</t>
  </si>
  <si>
    <t xml:space="preserve">374 constants; 8 formulas</t>
  </si>
  <si>
    <t xml:space="preserve">LIVEHOUSE / OPERATING MODEL</t>
  </si>
  <si>
    <t xml:space="preserve">LiveHouse capex and operating schedule reviewed and consolidated.</t>
  </si>
  <si>
    <t xml:space="preserve">SRC-SHEET-027</t>
  </si>
  <si>
    <t xml:space="preserve">A1:N325</t>
  </si>
  <si>
    <t xml:space="preserve">856 constants; 11 formulas</t>
  </si>
  <si>
    <t xml:space="preserve">ANCILLARY &amp; SITE / OPERATING MODEL</t>
  </si>
  <si>
    <t xml:space="preserve">Ancillary, landscape and site inputs consolidated with roof/landscape double-count controls.</t>
  </si>
  <si>
    <t xml:space="preserve">SRC-SHEET-028</t>
  </si>
  <si>
    <t xml:space="preserve">eBike Storage Charging</t>
  </si>
  <si>
    <t xml:space="preserve">A1</t>
  </si>
  <si>
    <t xml:space="preserve">0 constants; 0 formulas</t>
  </si>
  <si>
    <t xml:space="preserve">eBike storage/charging capex and operating inputs reviewed and consolidated.</t>
  </si>
  <si>
    <t xml:space="preserve">SRC-SHEET-029</t>
  </si>
  <si>
    <t xml:space="preserve">GENESIS CAPEX</t>
  </si>
  <si>
    <t xml:space="preserve">A1:O126</t>
  </si>
  <si>
    <t xml:space="preserve">237 constants; 0 formulas</t>
  </si>
  <si>
    <t xml:space="preserve">GENESIS / PROJECTS register</t>
  </si>
  <si>
    <t xml:space="preserve">Genesis capex reviewed; roof policy is controlled centrally to avoid duplication.</t>
  </si>
  <si>
    <t xml:space="preserve">THE BEND PRECINCT | FUNDING &amp; CAP TABLE</t>
  </si>
  <si>
    <t xml:space="preserve">Funded equity is distinguished from total commitment. Ownership is based on funded ordinary equity and remains provisional pending executed legal documents, shareholder-loan terms and dilution mechanics.</t>
  </si>
  <si>
    <t xml:space="preserve">Funded equity is distinguished from total commitment. Ownership is based on funded ordinary equity pending executed legal documents, shareholder-loan terms and dilution mechanics.</t>
  </si>
  <si>
    <t xml:space="preserve">EQUITY COMMITMENTS, FUNDED DRAWS &amp; PROVISIONAL OWNERSHIP | A$ MILLION</t>
  </si>
  <si>
    <t xml:space="preserve">Identity / Detail</t>
  </si>
  <si>
    <t xml:space="preserve">Commitment</t>
  </si>
  <si>
    <t xml:space="preserve">Funded Draw</t>
  </si>
  <si>
    <t xml:space="preserve">Undrawn Commitment</t>
  </si>
  <si>
    <t xml:space="preserve">Source</t>
  </si>
  <si>
    <t xml:space="preserve">Note</t>
  </si>
  <si>
    <t xml:space="preserve">Mayabay Investments Pte Ltd</t>
  </si>
  <si>
    <t xml:space="preserve">Eugene Joannides source on CLN through Mayabay Singapore HQ</t>
  </si>
  <si>
    <t xml:space="preserve">PROJECT CASH FLOW!E103:F103</t>
  </si>
  <si>
    <t xml:space="preserve">Australian Investor 1</t>
  </si>
  <si>
    <t xml:space="preserve">PROJECT CASH FLOW!E104:F104</t>
  </si>
  <si>
    <t xml:space="preserve">Brian Mirnoff</t>
  </si>
  <si>
    <t xml:space="preserve">Australian Investor 2</t>
  </si>
  <si>
    <t xml:space="preserve">PROJECT CASH FLOW!E105:F105</t>
  </si>
  <si>
    <t xml:space="preserve">Belgravia</t>
  </si>
  <si>
    <t xml:space="preserve">Australian Investor 3</t>
  </si>
  <si>
    <t xml:space="preserve">PROJECT CASH FLOW!E106:F106</t>
  </si>
  <si>
    <t xml:space="preserve">Other Investors</t>
  </si>
  <si>
    <t xml:space="preserve">Australian Investor 4</t>
  </si>
  <si>
    <t xml:space="preserve">PROJECT CASH FLOW!E107:F107</t>
  </si>
  <si>
    <t xml:space="preserve">Andrew Norton &amp; others</t>
  </si>
  <si>
    <t xml:space="preserve">Australian Investor 5</t>
  </si>
  <si>
    <t xml:space="preserve">PROJECT CASH FLOW!E108:F108</t>
  </si>
  <si>
    <t xml:space="preserve">Australian Institutional Investors</t>
  </si>
  <si>
    <t xml:space="preserve">Superannuation / insurance / consortium</t>
  </si>
  <si>
    <t xml:space="preserve">PROJECT CASH FLOW!E109:F109</t>
  </si>
  <si>
    <t xml:space="preserve">MASTER DEVELOPER</t>
  </si>
  <si>
    <t xml:space="preserve">Plenary, CIBUS or similar; identity unconfirmed</t>
  </si>
  <si>
    <t xml:space="preserve">PROJECT CASH FLOW!E110:F110 + CEO direction</t>
  </si>
  <si>
    <t xml:space="preserve">TOTAL</t>
  </si>
  <si>
    <t xml:space="preserve">Required modelled funded equity</t>
  </si>
  <si>
    <t xml:space="preserve">Target debt share</t>
  </si>
  <si>
    <t xml:space="preserve">Policy input</t>
  </si>
  <si>
    <t xml:space="preserve">50:50 planned construction debt</t>
  </si>
  <si>
    <t xml:space="preserve">Actual debt share</t>
  </si>
  <si>
    <t xml:space="preserve">Live committed funding plan</t>
  </si>
  <si>
    <t xml:space="preserve">Debt / equity split</t>
  </si>
  <si>
    <t xml:space="preserve">Debt : Equity</t>
  </si>
  <si>
    <t xml:space="preserve">Policy compliance</t>
  </si>
  <si>
    <t xml:space="preserve">Actual &lt;= target + 5%</t>
  </si>
  <si>
    <t xml:space="preserve">CONTROLS</t>
  </si>
  <si>
    <t xml:space="preserve">Funded equity equals requirement</t>
  </si>
  <si>
    <t xml:space="preserve">Funded register versus source equity requirement</t>
  </si>
  <si>
    <t xml:space="preserve">Ownership sums to 100%</t>
  </si>
  <si>
    <t xml:space="preserve">Funded ordinary equity</t>
  </si>
  <si>
    <t xml:space="preserve">Commitments cover funded equity</t>
  </si>
  <si>
    <t xml:space="preserve">No investor draw exceeds commitment</t>
  </si>
  <si>
    <t xml:space="preserve">Master Developer commitment linked</t>
  </si>
  <si>
    <t xml:space="preserve">CEO-directed A$150m commitment</t>
  </si>
  <si>
    <t xml:space="preserve">Debt / equity approximately 50:50</t>
  </si>
  <si>
    <t xml:space="preserve">Source base case</t>
  </si>
  <si>
    <t xml:space="preserve">Actual construction debt drawn</t>
  </si>
  <si>
    <t xml:space="preserve">Actual equity requirement</t>
  </si>
  <si>
    <t xml:space="preserve">Actual modelled debt / equity split</t>
  </si>
  <si>
    <t xml:space="preserve">50:50 plan versus modelled draw</t>
  </si>
  <si>
    <t xml:space="preserve">The data-book plan is approximately 50:50. Actual live debt and equity reflect eligible-use timing, capitalised interest and disclosed funding credits.</t>
  </si>
  <si>
    <t xml:space="preserve">THE BEND PRECINCT | OPERATING MODEL</t>
  </si>
  <si>
    <t xml:space="preserve">Management operating forecast transcribed from the current data book. Imported source rows are blue; calculation rows are formula-driven and feed Underwriting, financial statements, debt capacity and valuation.</t>
  </si>
  <si>
    <t xml:space="preserve">PROJECT DATA | CENTRAL INPUT &amp; ASSUMPTION SCHEDULE</t>
  </si>
  <si>
    <t xml:space="preserve">Base assumptions drive the target model where mapped. Blue/yellow inputs are editable; conflicts and management gaps are disclosed in DATA MAP. Amounts are in the stated units.</t>
  </si>
  <si>
    <t xml:space="preserve">ANNUAL MANAGEMENT FORECAST | A$ MILLION</t>
  </si>
  <si>
    <t xml:space="preserve">Line Item</t>
  </si>
  <si>
    <t xml:space="preserve">Operating and lease revenue (ex LiveHouse interest)</t>
  </si>
  <si>
    <t xml:space="preserve">LiveHouse interest income</t>
  </si>
  <si>
    <t xml:space="preserve">Outgoings recoveries</t>
  </si>
  <si>
    <t xml:space="preserve">Total operating revenue</t>
  </si>
  <si>
    <t xml:space="preserve">Outgoings / property expenses</t>
  </si>
  <si>
    <t xml:space="preserve">Security &amp; maintenance services</t>
  </si>
  <si>
    <t xml:space="preserve">Total property operating costs</t>
  </si>
  <si>
    <t xml:space="preserve">Management payroll</t>
  </si>
  <si>
    <t xml:space="preserve">Administration</t>
  </si>
  <si>
    <t xml:space="preserve">Total asset management costs</t>
  </si>
  <si>
    <t xml:space="preserve">Net operating income / EBITDA</t>
  </si>
  <si>
    <t xml:space="preserve">EBITDA margin</t>
  </si>
  <si>
    <t xml:space="preserve">SELECTED STABILISED OPERATING CASE</t>
  </si>
  <si>
    <t xml:space="preserve">Assumption / Output</t>
  </si>
  <si>
    <t xml:space="preserve">Stabilised operating costs</t>
  </si>
  <si>
    <t xml:space="preserve">Stabilised EBITDA margin</t>
  </si>
  <si>
    <t xml:space="preserve">Selected forecast year</t>
  </si>
  <si>
    <t xml:space="preserve">Revenue rows reconcile</t>
  </si>
  <si>
    <t xml:space="preserve">Annual source rows</t>
  </si>
  <si>
    <t xml:space="preserve">Operating costs reconcile</t>
  </si>
  <si>
    <t xml:space="preserve">Property plus asset-management costs</t>
  </si>
  <si>
    <t xml:space="preserve">EBITDA / NOI reconciles</t>
  </si>
  <si>
    <t xml:space="preserve">Revenue less costs</t>
  </si>
  <si>
    <t xml:space="preserve">Selected year available</t>
  </si>
  <si>
    <t xml:space="preserve">2029 base forecast</t>
  </si>
</sst>
</file>

<file path=xl/styles.xml><?xml version="1.0" encoding="utf-8"?>
<styleSheet xmlns="http://schemas.openxmlformats.org/spreadsheetml/2006/main">
  <numFmts count="60">
    <numFmt numFmtId="164" formatCode="_(* #,##0_);_(* \(#,##0\);_(* &quot;-&quot;_);_(@_)"/>
    <numFmt numFmtId="165" formatCode="_(* #,##0.00_);_(* \(#,##0.00\);_(* &quot;-&quot;??_);_(@_)"/>
    <numFmt numFmtId="166" formatCode="00000"/>
    <numFmt numFmtId="167" formatCode="#,##0\ &quot;SF&quot;"/>
    <numFmt numFmtId="168" formatCode="#,##0.0"/>
    <numFmt numFmtId="169" formatCode="&quot;Month&quot;\ 0"/>
    <numFmt numFmtId="170" formatCode="mmm\-yyyy"/>
    <numFmt numFmtId="171" formatCode="&quot;Year&quot;\ 0"/>
    <numFmt numFmtId="172" formatCode="0\ &quot;(Steep)&quot;"/>
    <numFmt numFmtId="173" formatCode="0\ \(\F\l\a\t\)"/>
    <numFmt numFmtId="174" formatCode="0.0%"/>
    <numFmt numFmtId="175" formatCode="0.0%\ &quot;LTC&quot;"/>
    <numFmt numFmtId="176" formatCode="0.0%\ &quot;of Cost&quot;"/>
    <numFmt numFmtId="177" formatCode="0\ &quot;Months&quot;"/>
    <numFmt numFmtId="178" formatCode="0.0\ &quot;units&quot;"/>
    <numFmt numFmtId="179" formatCode="_(* #,##0_);_(* \(#,##0\);_(* &quot;-&quot;??_);_(@_)"/>
    <numFmt numFmtId="180" formatCode="&quot;Op. Year&quot;\ 0"/>
    <numFmt numFmtId="181" formatCode="&quot;Op. Year&quot;\ 0&quot;+&quot;"/>
    <numFmt numFmtId="182" formatCode="0.00&quot;X&quot;"/>
    <numFmt numFmtId="183" formatCode="_(* #,##0.000000_);_(* \(#,##0.000000\);_(* &quot;-&quot;??????_);_(@_)"/>
    <numFmt numFmtId="184" formatCode="0.0\ &quot;bps&quot;"/>
    <numFmt numFmtId="185" formatCode="&quot;$&quot;#,##0.00\ &quot;PSF&quot;"/>
    <numFmt numFmtId="186" formatCode="0\ &quot;Years&quot;"/>
    <numFmt numFmtId="187" formatCode="_(* #,##0.0_);_(* \(#,##0.0\);_(* &quot;-&quot;?_);_(@_)"/>
    <numFmt numFmtId="189" formatCode="&quot;Version&quot;\ 0.00"/>
    <numFmt numFmtId="190" formatCode="0\ &quot;Suites&quot;"/>
    <numFmt numFmtId="191" formatCode="&quot;Begin Month&quot;\ 0"/>
    <numFmt numFmtId="192" formatCode="0.000%"/>
    <numFmt numFmtId="193" formatCode="0.0000000%"/>
    <numFmt numFmtId="194" formatCode="0.0\ &quot;per 1,000&quot;"/>
    <numFmt numFmtId="195" formatCode="0.00\ &quot;acres&quot;"/>
    <numFmt numFmtId="196" formatCode="&quot;Sale Mo: &quot;0"/>
    <numFmt numFmtId="197" formatCode="#,##0&quot;/month&quot;"/>
    <numFmt numFmtId="198" formatCode="#,##0;\(#,##0\);\-"/>
    <numFmt numFmtId="199" formatCode="0.00&quot;x&quot;"/>
    <numFmt numFmtId="200" formatCode="#,##0.00;\(#,##0.00\);\-"/>
    <numFmt numFmtId="201" formatCode="dd\ mmm\ yyyy"/>
    <numFmt numFmtId="202" formatCode="&quot;A$&quot;0.00&quot;m&quot;;[Red]\(&quot;A$&quot;0.00&quot;m&quot;\);\-"/>
    <numFmt numFmtId="203" formatCode="0.00\x;[Red]\(0.00\x\);\-"/>
    <numFmt numFmtId="204" formatCode="0.00%;[Red]\(0.00%\);\-"/>
    <numFmt numFmtId="205" formatCode="&quot;A$&quot;#,##0"/>
    <numFmt numFmtId="206" formatCode="0.0000"/>
    <numFmt numFmtId="207" formatCode="0.00\x"/>
    <numFmt numFmtId="208" formatCode="0.000\x"/>
    <numFmt numFmtId="209" formatCode="_(* #,##0_);_(* \(#,##0\);_(* &quot;-&quot;?_);_(@_)"/>
    <numFmt numFmtId="210" formatCode="0.0"/>
    <numFmt numFmtId="211" formatCode="0.000"/>
    <numFmt numFmtId="213" formatCode="0.00;[Red]\(0.00\);\-"/>
    <numFmt numFmtId="214" formatCode="0.000;[Red]\(0.000\);\-"/>
    <numFmt numFmtId="215" formatCode="mmm\ yyyy"/>
    <numFmt numFmtId="216" formatCode="\$#,##0.00;[Red]\(\$#,##0.00\);\-"/>
    <numFmt numFmtId="220" formatCode="&quot;$&quot;#,##0"/>
    <numFmt numFmtId="221" formatCode="dd mmm yyyy"/>
    <numFmt numFmtId="222" formatCode="#,##0"/>
    <numFmt numFmtId="223" formatCode="0.0;[Red](0.0);-"/>
    <numFmt numFmtId="224" formatCode="$#,##0;[Red]($#,##0);-"/>
    <numFmt numFmtId="225" formatCode="General"/>
    <numFmt numFmtId="226" formatCode="0.00x"/>
    <numFmt numFmtId="227" formatCode="0"/>
    <numFmt numFmtId="228" formatCode="0.00%"/>
  </numFmts>
  <fonts count="133">
    <font>
      <sz val="11"/>
      <color theme="1"/>
      <name val="Trebuchet MS"/>
    </font>
    <font>
      <sz val="11"/>
      <color theme="0"/>
      <name val="Trebuchet MS"/>
    </font>
    <font>
      <sz val="11"/>
      <color indexed="12"/>
      <name val="Trebuchet MS"/>
    </font>
    <font>
      <sz val="10"/>
      <color theme="1"/>
      <name val="Trebuchet MS"/>
    </font>
    <font>
      <sz val="10"/>
      <color indexed="12"/>
      <name val="Trebuchet MS"/>
    </font>
    <font>
      <sz val="8"/>
      <color theme="1"/>
      <name val="Trebuchet MS"/>
    </font>
    <font>
      <sz val="10"/>
      <name val="Trebuchet MS"/>
    </font>
    <font>
      <sz val="12"/>
      <color theme="1"/>
      <name val="Trebuchet MS"/>
    </font>
    <font>
      <sz val="12"/>
      <color indexed="12"/>
      <name val="Trebuchet MS"/>
    </font>
    <font>
      <sz val="8"/>
      <name val="Trebuchet MS"/>
    </font>
    <font>
      <b/>
      <sz val="10"/>
      <color theme="1"/>
      <name val="Trebuchet MS"/>
    </font>
    <font>
      <sz val="10"/>
      <color theme="1"/>
      <name val="Trebuchet MS"/>
    </font>
    <font>
      <sz val="8"/>
      <color theme="1"/>
      <name val="Trebuchet MS"/>
    </font>
    <font>
      <sz val="8"/>
      <color indexed="12"/>
      <name val="Trebuchet MS"/>
    </font>
    <font>
      <sz val="8"/>
      <name val="Trebuchet MS"/>
    </font>
    <font>
      <sz val="11"/>
      <color theme="1"/>
      <name val="Trebuchet MS"/>
    </font>
    <font>
      <b/>
      <i/>
      <sz val="11"/>
      <color theme="1"/>
      <name val="Trebuchet MS"/>
    </font>
    <font>
      <i/>
      <sz val="8"/>
      <color theme="1"/>
      <name val="Trebuchet MS"/>
    </font>
    <font>
      <sz val="9"/>
      <color theme="0"/>
      <name val="Trebuchet MS"/>
    </font>
    <font>
      <i/>
      <sz val="8"/>
      <color theme="1"/>
      <name val="Trebuchet MS"/>
    </font>
    <font>
      <b/>
      <sz val="8"/>
      <color theme="1"/>
      <name val="Trebuchet MS"/>
    </font>
    <font>
      <sz val="8"/>
      <color theme="1"/>
      <name val="Trebuchet MS"/>
    </font>
    <font>
      <sz val="8"/>
      <color indexed="12"/>
      <name val="Trebuchet MS"/>
    </font>
    <font>
      <b/>
      <sz val="11"/>
      <color theme="1"/>
      <name val="Trebuchet MS"/>
    </font>
    <font>
      <b/>
      <sz val="10"/>
      <name val="Trebuchet MS"/>
    </font>
    <font>
      <b/>
      <sz val="8"/>
      <color indexed="12"/>
      <name val="Trebuchet MS"/>
    </font>
    <font>
      <b/>
      <sz val="8"/>
      <name val="Trebuchet MS"/>
    </font>
    <font>
      <sz val="10"/>
      <color theme="0"/>
      <name val="Trebuchet MS"/>
    </font>
    <font>
      <sz val="8"/>
      <color indexed="12"/>
      <name val="Trebuchet MS"/>
    </font>
    <font>
      <sz val="10"/>
      <color theme="0" tint="-0.49989"/>
      <name val="Trebuchet MS"/>
    </font>
    <font>
      <sz val="8"/>
      <name val="Trebuchet MS"/>
    </font>
    <font>
      <sz val="9"/>
      <color theme="1"/>
      <name val="Trebuchet MS"/>
    </font>
    <font>
      <b/>
      <sz val="8"/>
      <color theme="1"/>
      <name val="Trebuchet MS"/>
    </font>
    <font>
      <sz val="8"/>
      <color theme="1" tint="0.34999"/>
      <name val="Trebuchet MS"/>
    </font>
    <font>
      <sz val="8"/>
      <color theme="1" tint="0.34999"/>
      <name val="Trebuchet MS"/>
    </font>
    <font>
      <sz val="8"/>
      <color theme="1" tint="0.34999"/>
      <name val="Trebuchet MS"/>
    </font>
    <font>
      <b/>
      <sz val="11"/>
      <name val="Trebuchet MS"/>
    </font>
    <font>
      <b/>
      <sz val="12"/>
      <color theme="0"/>
      <name val="Trebuchet MS"/>
    </font>
    <font>
      <i/>
      <sz val="10"/>
      <color theme="1"/>
      <name val="Trebuchet MS"/>
    </font>
    <font>
      <sz val="8"/>
      <color theme="1" tint="0.15"/>
      <name val="Trebuchet MS"/>
    </font>
    <font>
      <b/>
      <sz val="11"/>
      <color theme="0"/>
      <name val="Trebuchet MS"/>
    </font>
    <font>
      <b/>
      <sz val="10"/>
      <color theme="0"/>
      <name val="Trebuchet MS"/>
    </font>
    <font>
      <sz val="8"/>
      <color theme="0"/>
      <name val="Trebuchet MS"/>
    </font>
    <font>
      <sz val="10"/>
      <color theme="1"/>
      <name val="Trebuchet MS"/>
    </font>
    <font>
      <sz val="10"/>
      <name val="Trebuchet MS"/>
    </font>
    <font>
      <sz val="8"/>
      <color rgb="FF0000FF"/>
      <name val="Trebuchet MS"/>
    </font>
    <font>
      <i/>
      <sz val="10"/>
      <name val="Trebuchet MS"/>
    </font>
    <font>
      <sz val="8"/>
      <color rgb="FFD27D00"/>
      <name val="Trebuchet MS"/>
    </font>
    <font>
      <sz val="8"/>
      <color rgb="FFD27D00"/>
      <name val="Trebuchet MS"/>
    </font>
    <font>
      <sz val="8"/>
      <color rgb="FF000000"/>
      <name val="Trebuchet MS"/>
    </font>
    <font>
      <sz val="8"/>
      <color rgb="FF000000"/>
      <name val="Trebuchet MS"/>
    </font>
    <font>
      <sz val="8"/>
      <color indexed="10"/>
      <name val="Trebuchet MS"/>
    </font>
    <font>
      <sz val="10"/>
      <color rgb="FF0000FF"/>
      <name val="Trebuchet MS"/>
    </font>
    <font>
      <sz val="10"/>
      <color rgb="FF000000"/>
      <name val="Trebuchet MS"/>
    </font>
    <font>
      <sz val="11"/>
      <color theme="0" tint="-0.34999"/>
      <name val="Trebuchet MS"/>
    </font>
    <font>
      <sz val="8"/>
      <color rgb="FF0000FF"/>
      <name val="Trebuchet MS"/>
    </font>
    <font>
      <i/>
      <sz val="8"/>
      <color rgb="FF000000"/>
      <name val="Trebuchet MS"/>
    </font>
    <font>
      <sz val="8"/>
      <color rgb="FF0000FF"/>
      <name val="Trebuchet MS"/>
    </font>
    <font>
      <b/>
      <sz val="10"/>
      <color rgb="FF000000"/>
      <name val="Trebuchet MS"/>
    </font>
    <font>
      <sz val="10"/>
      <color rgb="FF008000"/>
      <name val="Trebuchet MS"/>
    </font>
    <font>
      <sz val="9"/>
      <color rgb="FF666666"/>
      <name val="Trebuchet MS"/>
    </font>
    <font>
      <b/>
      <sz val="10"/>
      <color rgb="FFC00000"/>
      <name val="Trebuchet MS"/>
    </font>
    <font>
      <sz val="11"/>
      <name val="Arial"/>
    </font>
    <font>
      <sz val="10"/>
      <color rgb="FF1F2933"/>
      <name val="Arial"/>
    </font>
    <font>
      <sz val="10"/>
      <color rgb="FF1F2933"/>
      <name val="Trebuchet MS"/>
    </font>
    <font>
      <i/>
      <sz val="8"/>
      <color rgb="FF66727A"/>
      <name val="Trebuchet MS"/>
    </font>
    <font>
      <b/>
      <sz val="12"/>
      <color rgb="FFFFFFFF"/>
      <name val="Trebuchet MS"/>
    </font>
    <font>
      <sz val="10"/>
      <color rgb="FF000000"/>
      <name val="Trebuchet MS"/>
    </font>
    <font>
      <b/>
      <sz val="9"/>
      <color rgb="FF000000"/>
      <name val="Trebuchet MS"/>
    </font>
    <font>
      <sz val="9"/>
      <color rgb="FF000000"/>
      <name val="Trebuchet MS"/>
    </font>
    <font>
      <b/>
      <sz val="8"/>
      <color rgb="FF000000"/>
      <name val="Trebuchet MS"/>
    </font>
    <font>
      <b/>
      <sz val="15"/>
      <color rgb="FF000000"/>
      <name val="Trebuchet MS"/>
    </font>
    <font>
      <sz val="7"/>
      <color rgb="FF000000"/>
      <name val="Trebuchet MS"/>
    </font>
    <font>
      <sz val="8"/>
      <color rgb="FF000000"/>
      <name val="Trebuchet MS"/>
    </font>
    <font>
      <b/>
      <sz val="16"/>
      <color rgb="FF000000"/>
      <name val="Trebuchet MS"/>
    </font>
    <font>
      <i/>
      <sz val="8"/>
      <color rgb="FF000000"/>
      <name val="Trebuchet MS"/>
    </font>
    <font>
      <sz val="9"/>
      <color rgb="FF008000"/>
      <name val="Trebuchet MS"/>
    </font>
    <font>
      <sz val="10"/>
      <color rgb="FF008000"/>
      <name val="Trebuchet MS"/>
    </font>
    <font>
      <b/>
      <sz val="10"/>
      <color indexed="8"/>
      <name val="Trebuchet MS"/>
    </font>
    <font>
      <b/>
      <sz val="10"/>
      <color rgb="FF008000"/>
      <name val="Trebuchet MS"/>
    </font>
    <font>
      <b/>
      <sz val="16"/>
      <color rgb="FF008000"/>
      <name val="Trebuchet MS"/>
    </font>
    <font>
      <b/>
      <sz val="16"/>
      <color indexed="8"/>
      <name val="Trebuchet MS"/>
    </font>
    <font>
      <sz val="8"/>
      <color rgb="FF008000"/>
      <name val="Trebuchet MS"/>
    </font>
    <font>
      <sz val="8"/>
      <color indexed="8"/>
      <name val="Trebuchet MS"/>
    </font>
    <font>
      <sz val="10"/>
      <color indexed="8"/>
      <name val="Trebuchet MS"/>
    </font>
    <font>
      <i/>
      <sz val="8"/>
      <color indexed="8"/>
      <name val="Trebuchet MS"/>
    </font>
    <font>
      <b/>
      <sz val="15"/>
      <color rgb="FF008000"/>
      <name val="Trebuchet MS"/>
    </font>
    <font>
      <b/>
      <sz val="15"/>
      <color indexed="8"/>
      <name val="Trebuchet MS"/>
    </font>
    <font>
      <sz val="9"/>
      <color indexed="8"/>
      <name val="Trebuchet MS"/>
    </font>
    <font>
      <b/>
      <sz val="10"/>
      <color rgb="FFFF0000"/>
      <name val="Trebuchet MS"/>
    </font>
    <font>
      <b/>
      <sz val="11"/>
      <color rgb="FFFF0000"/>
      <name val="Trebuchet MS"/>
    </font>
    <font>
      <sz val="10"/>
      <color rgb="FFFF0000"/>
      <name val="Trebuchet MS"/>
    </font>
    <font>
      <b/>
      <sz val="10"/>
      <color rgb="FFFF0000"/>
      <name val="Trebuchet MS"/>
    </font>
    <font>
      <sz val="10"/>
      <color rgb="FF0000FF"/>
      <name val="Calibri"/>
    </font>
    <font>
      <i/>
      <sz val="10"/>
      <color rgb="FF1F1F1F"/>
      <name val="Calibri"/>
    </font>
    <font>
      <sz val="10"/>
      <color theme="1"/>
      <name val="Calibri"/>
    </font>
    <font>
      <b/>
      <sz val="10"/>
      <color rgb="FFFFFFFF"/>
      <name val="Calibri"/>
    </font>
    <font>
      <b/>
      <sz val="10"/>
      <color rgb="FF1F1F1F"/>
      <name val="Calibri"/>
    </font>
    <font>
      <b/>
      <sz val="10"/>
      <color theme="1"/>
      <name val="Calibri"/>
    </font>
    <font>
      <sz val="10"/>
      <color rgb="FF008000"/>
      <name val="Calibri"/>
    </font>
    <font>
      <b/>
      <sz val="10"/>
      <color rgb="FF008000"/>
      <name val="Calibri"/>
    </font>
    <font>
      <b/>
      <sz val="10"/>
      <color rgb="FF008000"/>
      <name val="Trebuchet MS"/>
    </font>
    <font>
      <b/>
      <sz val="8"/>
      <color rgb="FFFFFFFF"/>
      <name val="Trebuchet MS"/>
    </font>
    <font>
      <b/>
      <sz val="7"/>
      <color rgb="FF000000"/>
      <name val="Trebuchet MS"/>
    </font>
    <font>
      <i/>
      <sz val="7"/>
      <color rgb="FF555555"/>
      <name val="Trebuchet MS"/>
    </font>
    <font>
      <b/>
      <sz val="11"/>
      <color rgb="FFFFFFFF"/>
      <name val="Trebuchet MS"/>
    </font>
    <font>
      <b/>
      <sz val="16"/>
      <color rgb="FFFFFFFF"/>
      <name val="Trebuchet MS"/>
    </font>
    <font>
      <i/>
      <sz val="11"/>
      <color rgb="FF666666"/>
      <name val="Trebuchet MS"/>
    </font>
    <font>
      <b/>
      <sz val="14"/>
      <color rgb="FFFFFFFF"/>
      <name val="Trebuchet MS"/>
    </font>
    <font>
      <b/>
      <sz val="16"/>
      <color rgb="FFFFFFFF"/>
      <name val="Aptos"/>
    </font>
    <font>
      <b/>
      <sz val="11"/>
      <color rgb="FFFFFFFF"/>
      <name val="Aptos"/>
    </font>
    <font>
      <i/>
      <sz val="10"/>
      <color rgb="FF666666"/>
      <name val="Aptos"/>
    </font>
    <font>
      <b/>
      <sz val="10"/>
      <color rgb="FF1F1F1F"/>
      <name val="Aptos"/>
    </font>
    <font>
      <sz val="10"/>
      <color rgb="FF1F1F1F"/>
      <name val="Aptos"/>
    </font>
    <font>
      <b/>
      <sz val="18"/>
      <color rgb="FFFFFFFF"/>
      <name val="Aptos"/>
    </font>
    <font>
      <b/>
      <sz val="14"/>
      <color rgb="FFFFFFFF"/>
      <name val="Aptos"/>
    </font>
    <font>
      <sz val="10"/>
      <color rgb="FF000000"/>
      <name val="Arial"/>
    </font>
    <font>
      <b/>
      <sz val="10"/>
      <color rgb="FF000000"/>
      <name val="Arial"/>
    </font>
    <font>
      <i/>
      <sz val="10"/>
      <color rgb="FF000000"/>
      <name val="Arial"/>
    </font>
    <font>
      <b/>
      <sz val="16"/>
      <color rgb="FFFFFFFF"/>
      <name val="Arial"/>
    </font>
    <font>
      <b/>
      <sz val="11"/>
      <color rgb="FFFFFFFF"/>
      <name val="Arial"/>
    </font>
    <font>
      <i/>
      <sz val="10"/>
      <color rgb="FF404040"/>
      <name val="Arial"/>
    </font>
    <font>
      <b/>
      <sz val="10"/>
      <color rgb="FF008000"/>
      <name val="Arial"/>
    </font>
    <font>
      <b/>
      <i/>
      <sz val="10"/>
      <color rgb="FF000000"/>
      <name val="Arial"/>
    </font>
    <font>
      <sz val="10"/>
      <color rgb="FF008000"/>
      <name val="Arial"/>
    </font>
    <font>
      <b/>
      <sz val="10"/>
      <color rgb="FF9C6500"/>
      <name val="Arial"/>
    </font>
    <font>
      <b/>
      <i/>
      <sz val="10"/>
      <color rgb="FF404040"/>
      <name val="Arial"/>
    </font>
    <font>
      <b/>
      <i/>
      <sz val="10"/>
      <color rgb="FF008000"/>
      <name val="Arial"/>
    </font>
    <font>
      <b/>
      <sz val="11"/>
      <color rgb="FF000000"/>
      <name val="Trebuchet MS"/>
    </font>
    <font>
      <sz val="11"/>
      <color rgb="FF008000"/>
      <name val="Trebuchet MS"/>
    </font>
    <font>
      <b/>
      <sz val="15"/>
      <color rgb="FFFFFFFF"/>
      <name val="Arial"/>
    </font>
    <font>
      <b/>
      <sz val="11"/>
      <color rgb="FF7F6000"/>
      <name val="Trebuchet MS"/>
    </font>
    <font>
      <b/>
      <sz val="8"/>
      <color rgb="FF008000"/>
      <name val="Arial"/>
    </font>
  </fonts>
  <fills count="43">
    <fill>
      <patternFill patternType="none"/>
    </fill>
    <fill>
      <patternFill patternType="gray125"/>
    </fill>
    <fill>
      <patternFill patternType="solid">
        <fgColor theme="5"/>
      </patternFill>
    </fill>
    <fill>
      <patternFill patternType="solid">
        <fgColor theme="5" tint="0.79989"/>
      </patternFill>
    </fill>
    <fill>
      <patternFill patternType="lightUp"/>
    </fill>
    <fill>
      <patternFill patternType="lightUp">
        <bgColor theme="5"/>
      </patternFill>
    </fill>
    <fill>
      <patternFill patternType="solid">
        <fgColor theme="4" tint="0.79989"/>
      </patternFill>
    </fill>
    <fill>
      <patternFill patternType="solid">
        <fgColor theme="4"/>
      </patternFill>
    </fill>
    <fill>
      <patternFill patternType="solid">
        <fgColor rgb="FFE6E6E6"/>
      </patternFill>
    </fill>
    <fill>
      <patternFill patternType="solid">
        <fgColor theme="5" tint="0.5999"/>
      </patternFill>
    </fill>
    <fill>
      <patternFill patternType="solid">
        <fgColor theme="0" tint="-0.49989"/>
      </patternFill>
    </fill>
    <fill>
      <patternFill patternType="solid">
        <fgColor theme="5" tint="-0.24998"/>
      </patternFill>
    </fill>
    <fill>
      <patternFill patternType="solid">
        <fgColor theme="0"/>
      </patternFill>
    </fill>
    <fill>
      <patternFill patternType="solid">
        <fgColor theme="2"/>
      </patternFill>
    </fill>
    <fill>
      <patternFill patternType="solid">
        <fgColor rgb="FFFFF9DF"/>
      </patternFill>
    </fill>
    <fill>
      <patternFill patternType="solid">
        <fgColor rgb="FFF0F2F3"/>
      </patternFill>
    </fill>
    <fill>
      <patternFill patternType="solid">
        <fgColor rgb="FFDCE9F3"/>
      </patternFill>
    </fill>
    <fill>
      <patternFill patternType="solid">
        <fgColor rgb="FFC1B56B"/>
      </patternFill>
    </fill>
    <fill>
      <patternFill patternType="solid">
        <fgColor rgb="FFE6E0C4"/>
      </patternFill>
    </fill>
    <fill>
      <patternFill patternType="solid">
        <fgColor rgb="FFF2F0E1"/>
      </patternFill>
    </fill>
    <fill>
      <patternFill patternType="solid">
        <fgColor rgb="FFFFFFCC"/>
      </patternFill>
    </fill>
    <fill>
      <patternFill patternType="solid">
        <fgColor rgb="FFFFC7CE"/>
      </patternFill>
    </fill>
    <fill>
      <patternFill patternType="solid">
        <fgColor rgb="FF17365D"/>
      </patternFill>
    </fill>
    <fill>
      <patternFill patternType="solid">
        <fgColor rgb="FFD9EAF7"/>
      </patternFill>
    </fill>
    <fill>
      <patternFill patternType="solid">
        <fgColor rgb="FF1F4E78"/>
      </patternFill>
    </fill>
    <fill>
      <patternFill patternType="solid">
        <fgColor rgb="FFE2F0D9"/>
      </patternFill>
    </fill>
    <fill>
      <patternFill patternType="solid">
        <fgColor rgb="FF000000"/>
      </patternFill>
    </fill>
    <fill>
      <patternFill patternType="solid">
        <fgColor rgb="FFE8E2C4"/>
      </patternFill>
    </fill>
    <fill>
      <patternFill patternType="solid">
        <fgColor rgb="FF1F4E78"/>
      </patternFill>
    </fill>
    <fill>
      <patternFill patternType="solid">
        <fgColor rgb="FFE2F0D9"/>
      </patternFill>
    </fill>
    <fill>
      <patternFill patternType="solid">
        <fgColor rgb="FF2F75B5"/>
      </patternFill>
    </fill>
    <fill>
      <patternFill patternType="solid">
        <fgColor rgb="FFD9EAF7"/>
      </patternFill>
    </fill>
    <fill>
      <patternFill patternType="solid">
        <fgColor rgb="FF17365D"/>
      </patternFill>
    </fill>
    <fill>
      <patternFill patternType="solid">
        <fgColor rgb="FFEAF2F8"/>
      </patternFill>
    </fill>
    <fill>
      <patternFill patternType="solid">
        <fgColor rgb="FFFFF2CC"/>
      </patternFill>
    </fill>
    <fill>
      <patternFill patternType="solid">
        <fgColor rgb="FF17365D"/>
      </patternFill>
    </fill>
    <fill>
      <patternFill patternType="solid">
        <fgColor rgb="FF2F75B5"/>
      </patternFill>
    </fill>
    <fill>
      <patternFill patternType="solid">
        <fgColor rgb="FFF2F0E1"/>
      </patternFill>
    </fill>
    <fill>
      <patternFill patternType="solid">
        <fgColor rgb="FFE6E6E6"/>
      </patternFill>
    </fill>
    <fill>
      <patternFill patternType="solid">
        <fgColor rgb="FFC1B56B"/>
      </patternFill>
    </fill>
    <fill>
      <patternFill patternType="solid">
        <fgColor rgb="FFFFF2CC"/>
      </patternFill>
    </fill>
    <fill>
      <patternFill patternType="solid">
        <fgColor rgb="FFE2F0D9"/>
      </patternFill>
    </fill>
    <fill>
      <patternFill patternType="solid">
        <fgColor rgb="FFFFFFFF"/>
      </patternFill>
    </fill>
  </fills>
  <borders count="122">
    <border/>
    <border>
      <bottom style="hair">
        <color auto="1"/>
      </bottom>
    </border>
    <border>
      <left style="thin">
        <color theme="4"/>
      </left>
      <right style="thin">
        <color theme="4"/>
      </right>
      <top style="thin">
        <color theme="4"/>
      </top>
      <bottom style="thin">
        <color theme="4"/>
      </bottom>
    </border>
    <border>
      <bottom style="thin">
        <color indexed="64"/>
      </bottom>
    </border>
    <border>
      <bottom style="dashed">
        <color auto="1"/>
      </bottom>
    </border>
    <border>
      <top style="dashed">
        <color auto="1"/>
      </top>
    </border>
    <border>
      <top style="hair">
        <color auto="1"/>
      </top>
      <bottom style="hair">
        <color auto="1"/>
      </bottom>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bottom style="thin">
        <color theme="5"/>
      </bottom>
    </border>
    <border>
      <bottom style="thin">
        <color theme="5"/>
      </bottom>
    </border>
    <border>
      <right style="thin">
        <color theme="5"/>
      </right>
      <bottom style="thin">
        <color theme="5"/>
      </bottom>
    </border>
    <border>
      <left style="thin">
        <color theme="5"/>
      </left>
      <bottom style="hair">
        <color auto="1"/>
      </bottom>
    </border>
    <border>
      <right style="thin">
        <color theme="5"/>
      </right>
      <bottom style="hair">
        <color auto="1"/>
      </bottom>
    </border>
    <border>
      <left style="thin">
        <color theme="5"/>
      </left>
      <top style="hair">
        <color auto="1"/>
      </top>
      <bottom style="hair">
        <color auto="1"/>
      </bottom>
    </border>
    <border>
      <right style="thin">
        <color theme="5"/>
      </right>
      <top style="hair">
        <color auto="1"/>
      </top>
      <bottom style="hair">
        <color auto="1"/>
      </bottom>
    </border>
    <border>
      <left style="thin">
        <color theme="5"/>
      </left>
      <top style="hair">
        <color auto="1"/>
      </top>
      <bottom style="thin">
        <color theme="5"/>
      </bottom>
    </border>
    <border>
      <top style="hair">
        <color auto="1"/>
      </top>
      <bottom style="thin">
        <color theme="5"/>
      </bottom>
    </border>
    <border>
      <right style="thin">
        <color theme="5"/>
      </right>
      <top style="hair">
        <color auto="1"/>
      </top>
      <bottom style="thin">
        <color theme="5"/>
      </bottom>
    </border>
    <border>
      <left style="hair">
        <color auto="1"/>
      </left>
    </border>
    <border>
      <bottom style="dotted">
        <color auto="1"/>
      </bottom>
    </border>
    <border>
      <left style="thin">
        <color theme="4"/>
      </left>
      <top style="thin">
        <color theme="4"/>
      </top>
      <bottom style="thin">
        <color theme="4"/>
      </bottom>
    </border>
    <border>
      <top style="thin">
        <color theme="4"/>
      </top>
      <bottom style="thin">
        <color theme="4"/>
      </bottom>
    </border>
    <border>
      <right style="thin">
        <color theme="4"/>
      </right>
      <top style="thin">
        <color theme="4"/>
      </top>
      <bottom style="thin">
        <color theme="4"/>
      </bottom>
    </border>
    <border>
      <bottom style="medium">
        <color rgb="FFF2D600"/>
      </bottom>
    </border>
    <border>
      <left style="medium">
        <color rgb="FFF2D600"/>
      </left>
      <top style="medium">
        <color rgb="FFF2D600"/>
      </top>
      <bottom style="medium">
        <color rgb="FFF2D600"/>
      </bottom>
    </border>
    <border>
      <top style="medium">
        <color rgb="FFF2D600"/>
      </top>
      <bottom style="medium">
        <color rgb="FFF2D600"/>
      </bottom>
    </border>
    <border>
      <right style="medium">
        <color rgb="FFF2D600"/>
      </right>
      <top style="medium">
        <color rgb="FFF2D600"/>
      </top>
      <bottom style="medium">
        <color rgb="FFF2D600"/>
      </bottom>
    </border>
    <border>
      <left style="thin">
        <color rgb="FFC7D0D5"/>
      </left>
      <top style="thin">
        <color rgb="FFC7D0D5"/>
      </top>
      <bottom style="thin">
        <color rgb="FFC7D0D5"/>
      </bottom>
    </border>
    <border>
      <top style="thin">
        <color rgb="FFC7D0D5"/>
      </top>
      <bottom style="thin">
        <color rgb="FFC7D0D5"/>
      </bottom>
    </border>
    <border>
      <right style="thin">
        <color rgb="FFC7D0D5"/>
      </right>
      <top style="thin">
        <color rgb="FFC7D0D5"/>
      </top>
      <bottom style="thin">
        <color rgb="FFC7D0D5"/>
      </bottom>
    </border>
    <border>
      <left style="thin">
        <color rgb="FFC7D0D5"/>
      </left>
      <right style="thin">
        <color rgb="FFC7D0D5"/>
      </right>
      <top style="thin">
        <color rgb="FFC7D0D5"/>
      </top>
      <bottom style="thin">
        <color rgb="FFC7D0D5"/>
      </bottom>
    </border>
    <border>
      <left style="thin">
        <color rgb="FFFFFFFF"/>
      </left>
      <right style="thin">
        <color rgb="FFFFFFFF"/>
      </right>
      <top style="thin">
        <color rgb="FFFFFFFF"/>
      </top>
      <bottom style="thin">
        <color rgb="FFFFFFFF"/>
      </bottom>
    </border>
    <border>
      <left style="thin">
        <color rgb="FFC7D0D5"/>
      </left>
      <top style="thin">
        <color rgb="FFC7D0D5"/>
      </top>
    </border>
    <border>
      <top style="thin">
        <color rgb="FFC7D0D5"/>
      </top>
    </border>
    <border>
      <right style="thin">
        <color rgb="FFC7D0D5"/>
      </right>
      <top style="thin">
        <color rgb="FFC7D0D5"/>
      </top>
    </border>
    <border>
      <left style="thin">
        <color rgb="FFC7D0D5"/>
      </left>
    </border>
    <border>
      <right style="thin">
        <color rgb="FFC7D0D5"/>
      </right>
    </border>
    <border>
      <left style="thin">
        <color rgb="FFC7D0D5"/>
      </left>
      <bottom style="thin">
        <color rgb="FFC7D0D5"/>
      </bottom>
    </border>
    <border>
      <bottom style="thin">
        <color rgb="FFC7D0D5"/>
      </bottom>
    </border>
    <border>
      <right style="thin">
        <color rgb="FFC7D0D5"/>
      </right>
      <bottom style="thin">
        <color rgb="FFC7D0D5"/>
      </bottom>
    </border>
    <border>
      <left style="thick">
        <color rgb="FF0B3847"/>
      </left>
    </border>
    <border>
      <left style="medium">
        <color rgb="FF0B3847"/>
      </left>
      <top style="medium">
        <color rgb="FF0B3847"/>
      </top>
    </border>
    <border>
      <top style="medium">
        <color rgb="FF0B3847"/>
      </top>
    </border>
    <border>
      <right style="medium">
        <color rgb="FF0B3847"/>
      </right>
      <top style="medium">
        <color rgb="FF0B3847"/>
      </top>
    </border>
    <border>
      <left style="medium">
        <color rgb="FF0B3847"/>
      </left>
    </border>
    <border>
      <right style="medium">
        <color rgb="FF0B3847"/>
      </right>
    </border>
    <border>
      <left style="medium">
        <color rgb="FF0B3847"/>
      </left>
      <bottom style="medium">
        <color rgb="FF0B3847"/>
      </bottom>
    </border>
    <border>
      <bottom style="medium">
        <color rgb="FF0B3847"/>
      </bottom>
    </border>
    <border>
      <right style="medium">
        <color rgb="FF0B3847"/>
      </right>
      <bottom style="medium">
        <color rgb="FF0B3847"/>
      </bottom>
    </border>
    <border>
      <left style="thin">
        <color rgb="FFE6E6E6"/>
      </left>
      <right style="thin">
        <color rgb="FFE6E6E6"/>
      </right>
      <top style="thin">
        <color rgb="FFE6E6E6"/>
      </top>
      <bottom style="thin">
        <color rgb="FFE6E6E6"/>
      </bottom>
    </border>
    <border>
      <bottom style="thin">
        <color rgb="FF7F7F7F"/>
      </bottom>
    </border>
    <border/>
    <border>
      <left style="thin">
        <color rgb="FFC7D0D5"/>
      </left>
    </border>
    <border>
      <top style="thin">
        <color rgb="FFB4C7DC"/>
      </top>
      <bottom style="thin">
        <color rgb="FFD9E2F3"/>
      </bottom>
    </border>
    <border>
      <top style="thin">
        <color rgb="FFD9E2F3"/>
      </top>
      <bottom style="thin">
        <color rgb="FFD9E2F3"/>
      </bottom>
    </border>
    <border>
      <top style="thin">
        <color rgb="FFD9E2F3"/>
      </top>
    </border>
    <border>
      <bottom style="thin">
        <color rgb="FFD9E2F3"/>
      </bottom>
    </border>
    <border/>
    <border>
      <bottom style="hair">
        <color auto="1"/>
      </bottom>
    </border>
    <border>
      <bottom style="dashed">
        <color auto="1"/>
      </bottom>
    </border>
    <border>
      <top style="thin">
        <color theme="5"/>
      </top>
    </border>
    <border>
      <left style="thin">
        <color theme="5"/>
      </left>
    </border>
    <border>
      <left style="thin">
        <color theme="5"/>
      </left>
      <bottom style="thin">
        <color theme="5"/>
      </bottom>
    </border>
    <border>
      <bottom style="thin">
        <color theme="5"/>
      </bottom>
    </border>
    <border>
      <right style="thin">
        <color theme="5"/>
      </right>
    </border>
    <border>
      <left style="thin">
        <color theme="5"/>
      </left>
      <top style="thin">
        <color theme="5"/>
      </top>
    </border>
    <border>
      <right style="thin">
        <color theme="5"/>
      </right>
      <top style="thin">
        <color theme="5"/>
      </top>
    </border>
    <border>
      <left style="hair">
        <color auto="1"/>
      </left>
    </border>
    <border>
      <right style="thin">
        <color theme="5"/>
      </right>
      <bottom style="thin">
        <color theme="5"/>
      </bottom>
    </border>
    <border>
      <bottom style="dotted">
        <color auto="1"/>
      </bottom>
    </border>
    <border>
      <bottom style="thin">
        <color indexed="64"/>
      </bottom>
    </border>
    <border>
      <right style="thin">
        <color theme="5"/>
      </right>
      <bottom style="hair">
        <color auto="1"/>
      </bottom>
    </border>
    <border>
      <top style="hair">
        <color auto="1"/>
      </top>
      <bottom style="hair">
        <color auto="1"/>
      </bottom>
    </border>
    <border>
      <right style="thin">
        <color theme="5"/>
      </right>
      <top style="hair">
        <color auto="1"/>
      </top>
      <bottom style="hair">
        <color auto="1"/>
      </bottom>
    </border>
    <border>
      <top style="hair">
        <color auto="1"/>
      </top>
      <bottom style="thin">
        <color theme="5"/>
      </bottom>
    </border>
    <border>
      <right style="thin">
        <color theme="5"/>
      </right>
      <top style="hair">
        <color auto="1"/>
      </top>
      <bottom style="thin">
        <color theme="5"/>
      </bottom>
    </border>
    <border>
      <left style="thin">
        <color theme="4"/>
      </left>
      <right style="thin">
        <color theme="4"/>
      </right>
      <top style="thin">
        <color theme="4"/>
      </top>
      <bottom style="thin">
        <color theme="4"/>
      </bottom>
    </border>
    <border>
      <top style="dashed">
        <color auto="1"/>
      </top>
    </border>
    <border>
      <left style="thin">
        <color rgb="FFE6E6E6"/>
      </left>
      <right style="thin">
        <color rgb="FFE6E6E6"/>
      </right>
      <top style="thin">
        <color rgb="FFE6E6E6"/>
      </top>
      <bottom style="thin">
        <color rgb="FFE6E6E6"/>
      </bottom>
    </border>
    <border>
      <bottom style="thin">
        <color rgb="FF7F7F7F"/>
      </bottom>
    </border>
    <border>
      <left style="thin">
        <color theme="5"/>
      </left>
      <bottom style="hair">
        <color auto="1"/>
      </bottom>
    </border>
    <border>
      <left style="thin">
        <color theme="5"/>
      </left>
      <top style="hair">
        <color auto="1"/>
      </top>
      <bottom style="hair">
        <color auto="1"/>
      </bottom>
    </border>
    <border>
      <left style="thin">
        <color theme="5"/>
      </left>
      <top style="hair">
        <color auto="1"/>
      </top>
      <bottom style="thin">
        <color theme="5"/>
      </bottom>
    </border>
    <border>
      <left style="thin">
        <color theme="4"/>
      </left>
      <top style="thin">
        <color theme="4"/>
      </top>
      <bottom style="thin">
        <color theme="4"/>
      </bottom>
    </border>
    <border>
      <top style="thin">
        <color theme="4"/>
      </top>
      <bottom style="thin">
        <color theme="4"/>
      </bottom>
    </border>
    <border>
      <right style="thin">
        <color theme="4"/>
      </right>
      <top style="thin">
        <color theme="4"/>
      </top>
      <bottom style="thin">
        <color theme="4"/>
      </bottom>
    </border>
    <border>
      <left style="thin">
        <color rgb="FFC7D0D5"/>
      </left>
      <top style="thin">
        <color rgb="FFC7D0D5"/>
      </top>
      <bottom style="thin">
        <color rgb="FFC7D0D5"/>
      </bottom>
    </border>
    <border>
      <top style="thin">
        <color rgb="FFC7D0D5"/>
      </top>
      <bottom style="thin">
        <color rgb="FFC7D0D5"/>
      </bottom>
    </border>
    <border>
      <right style="thin">
        <color rgb="FFC7D0D5"/>
      </right>
      <top style="thin">
        <color rgb="FFC7D0D5"/>
      </top>
      <bottom style="thin">
        <color rgb="FFC7D0D5"/>
      </bottom>
    </border>
    <border>
      <left style="thin">
        <color rgb="FFC7D0D5"/>
      </left>
      <top style="thin">
        <color rgb="FFC7D0D5"/>
      </top>
    </border>
    <border>
      <top style="thin">
        <color rgb="FFC7D0D5"/>
      </top>
    </border>
    <border>
      <right style="thin">
        <color rgb="FFC7D0D5"/>
      </right>
      <top style="thin">
        <color rgb="FFC7D0D5"/>
      </top>
    </border>
    <border>
      <left style="thick">
        <color rgb="FF0B3847"/>
      </left>
    </border>
    <border>
      <left style="thin">
        <color rgb="FFC7D0D5"/>
      </left>
      <bottom style="thin">
        <color rgb="FFC7D0D5"/>
      </bottom>
    </border>
    <border>
      <bottom style="thin">
        <color rgb="FFC7D0D5"/>
      </bottom>
    </border>
    <border>
      <right style="thin">
        <color rgb="FFC7D0D5"/>
      </right>
      <bottom style="thin">
        <color rgb="FFC7D0D5"/>
      </bottom>
    </border>
    <border>
      <bottom style="medium">
        <color rgb="FFF2D600"/>
      </bottom>
    </border>
    <border>
      <left style="thin">
        <color rgb="FFC7D0D5"/>
      </left>
      <right style="thin">
        <color rgb="FFC7D0D5"/>
      </right>
      <top style="thin">
        <color rgb="FFC7D0D5"/>
      </top>
      <bottom style="thin">
        <color rgb="FFC7D0D5"/>
      </bottom>
    </border>
    <border>
      <left style="medium">
        <color rgb="FF0B3847"/>
      </left>
      <top style="medium">
        <color rgb="FF0B3847"/>
      </top>
    </border>
    <border>
      <top style="medium">
        <color rgb="FF0B3847"/>
      </top>
    </border>
    <border>
      <right style="medium">
        <color rgb="FF0B3847"/>
      </right>
      <top style="medium">
        <color rgb="FF0B3847"/>
      </top>
    </border>
    <border>
      <left style="thin">
        <color rgb="FFC7D0D5"/>
      </left>
    </border>
    <border>
      <left style="medium">
        <color rgb="FFF2D600"/>
      </left>
      <top style="medium">
        <color rgb="FFF2D600"/>
      </top>
      <bottom style="medium">
        <color rgb="FFF2D600"/>
      </bottom>
    </border>
    <border>
      <top style="medium">
        <color rgb="FFF2D600"/>
      </top>
      <bottom style="medium">
        <color rgb="FFF2D600"/>
      </bottom>
    </border>
    <border>
      <right style="medium">
        <color rgb="FFF2D600"/>
      </right>
      <top style="medium">
        <color rgb="FFF2D600"/>
      </top>
      <bottom style="medium">
        <color rgb="FFF2D600"/>
      </bottom>
    </border>
    <border>
      <left style="thin">
        <color rgb="FFFFFFFF"/>
      </left>
      <right style="thin">
        <color rgb="FFFFFFFF"/>
      </right>
      <top style="thin">
        <color rgb="FFFFFFFF"/>
      </top>
      <bottom style="thin">
        <color rgb="FFFFFFFF"/>
      </bottom>
    </border>
    <border>
      <right style="thin">
        <color rgb="FFC7D0D5"/>
      </right>
    </border>
    <border>
      <left style="medium">
        <color rgb="FF0B3847"/>
      </left>
    </border>
    <border>
      <right style="medium">
        <color rgb="FF0B3847"/>
      </right>
    </border>
    <border>
      <left style="medium">
        <color rgb="FF0B3847"/>
      </left>
      <bottom style="medium">
        <color rgb="FF0B3847"/>
      </bottom>
    </border>
    <border>
      <bottom style="medium">
        <color rgb="FF0B3847"/>
      </bottom>
    </border>
    <border>
      <right style="medium">
        <color rgb="FF0B3847"/>
      </right>
      <bottom style="medium">
        <color rgb="FF0B3847"/>
      </bottom>
    </border>
    <border>
      <top style="thin">
        <color rgb="FFB4C7DC"/>
      </top>
      <bottom style="thin">
        <color rgb="FFD9E2F3"/>
      </bottom>
    </border>
    <border>
      <top style="thin">
        <color rgb="FFD9E2F3"/>
      </top>
      <bottom style="thin">
        <color rgb="FFD9E2F3"/>
      </bottom>
    </border>
    <border>
      <top style="thin">
        <color rgb="FFD9E2F3"/>
      </top>
    </border>
    <border>
      <bottom style="thin">
        <color rgb="FFD9E2F3"/>
      </bottom>
    </border>
    <border>
      <top style="thin">
        <color rgb="FF000000"/>
      </top>
    </border>
    <border>
      <top style="thin">
        <color rgb="FF000000"/>
      </top>
    </border>
  </borders>
  <cellStyleXfs count="2">
    <xf numFmtId="0" fontId="0" fillId="0" borderId="0"/>
    <xf numFmtId="0" fontId="62" fillId="0" borderId="0"/>
  </cellStyleXfs>
  <cellXfs count="2642">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5" fillId="0" borderId="0" xfId="0" applyFont="1"/>
    <xf numFmtId="0" fontId="3" fillId="2" borderId="0" xfId="0" applyFont="1" applyFill="1"/>
    <xf numFmtId="0" fontId="0" fillId="3" borderId="0" xfId="0" applyFill="1"/>
    <xf numFmtId="3" fontId="0" fillId="0" borderId="0" xfId="0" applyNumberFormat="1"/>
    <xf numFmtId="15" fontId="0" fillId="0" borderId="0" xfId="0" applyNumberFormat="1"/>
    <xf numFmtId="0" fontId="15" fillId="0" borderId="0" xfId="0" applyFont="1"/>
    <xf numFmtId="3" fontId="15" fillId="0" borderId="0" xfId="0" applyNumberFormat="1" applyFont="1"/>
    <xf numFmtId="0" fontId="0" fillId="0" borderId="0" xfId="0" applyAlignment="1">
      <alignment horizontal="right" vertical="top"/>
    </xf>
    <xf numFmtId="172" fontId="0" fillId="0" borderId="0" xfId="0" applyNumberFormat="1" applyAlignment="1">
      <alignment horizontal="right" vertical="top"/>
    </xf>
    <xf numFmtId="173" fontId="0" fillId="0" borderId="0" xfId="0" applyNumberFormat="1" applyAlignment="1">
      <alignment horizontal="right" vertical="top"/>
    </xf>
    <xf numFmtId="0" fontId="16" fillId="0" borderId="0" xfId="0" applyFont="1"/>
    <xf numFmtId="171" fontId="5" fillId="4" borderId="0" xfId="0" applyNumberFormat="1" applyFont="1" applyFill="1" applyAlignment="1">
      <alignment horizontal="right"/>
    </xf>
    <xf numFmtId="169" fontId="17" fillId="4" borderId="0" xfId="0" applyNumberFormat="1" applyFont="1" applyFill="1" applyAlignment="1">
      <alignment horizontal="right"/>
    </xf>
    <xf numFmtId="0" fontId="5" fillId="4" borderId="0" xfId="0" applyFont="1" applyFill="1" applyAlignment="1">
      <alignment horizontal="right"/>
    </xf>
    <xf numFmtId="15" fontId="19" fillId="4" borderId="0" xfId="0" applyNumberFormat="1" applyFont="1" applyFill="1" applyAlignment="1">
      <alignment horizontal="right"/>
    </xf>
    <xf numFmtId="3" fontId="5" fillId="4" borderId="0" xfId="0" applyNumberFormat="1" applyFont="1" applyFill="1" applyAlignment="1">
      <alignment horizontal="right"/>
    </xf>
    <xf numFmtId="3" fontId="17" fillId="4" borderId="0" xfId="0" applyNumberFormat="1" applyFont="1" applyFill="1" applyAlignment="1">
      <alignment horizontal="right"/>
    </xf>
    <xf numFmtId="0" fontId="5" fillId="0" borderId="0" xfId="0" applyFont="1" applyAlignment="1">
      <alignment horizontal="right"/>
    </xf>
    <xf numFmtId="174" fontId="5" fillId="0" borderId="0" xfId="0" applyNumberFormat="1" applyFont="1" applyAlignment="1">
      <alignment horizontal="right"/>
    </xf>
    <xf numFmtId="0" fontId="20" fillId="0" borderId="0" xfId="0" applyFont="1"/>
    <xf numFmtId="0" fontId="23" fillId="0" borderId="0" xfId="0" applyFont="1"/>
    <xf numFmtId="3" fontId="12" fillId="4" borderId="0" xfId="0" applyNumberFormat="1" applyFont="1" applyFill="1" applyAlignment="1">
      <alignment horizontal="right"/>
    </xf>
    <xf numFmtId="0" fontId="9" fillId="0" borderId="0" xfId="0" applyFont="1"/>
    <xf numFmtId="0" fontId="10" fillId="0" borderId="0" xfId="0" applyFont="1"/>
    <xf numFmtId="0" fontId="31" fillId="0" borderId="0" xfId="0" applyFont="1" applyAlignment="1">
      <alignment vertical="top"/>
    </xf>
    <xf numFmtId="10" fontId="31" fillId="0" borderId="0" xfId="0" applyNumberFormat="1" applyFont="1" applyAlignment="1">
      <alignment horizontal="left" vertical="top"/>
    </xf>
    <xf numFmtId="10" fontId="31" fillId="0" borderId="0" xfId="0" applyNumberFormat="1" applyFont="1" applyAlignment="1">
      <alignment horizontal="right" vertical="top"/>
    </xf>
    <xf numFmtId="182" fontId="31" fillId="0" borderId="0" xfId="0" applyNumberFormat="1" applyFont="1" applyAlignment="1">
      <alignment horizontal="left" vertical="top"/>
    </xf>
    <xf numFmtId="184" fontId="31" fillId="0" borderId="0" xfId="0" applyNumberFormat="1" applyFont="1" applyAlignment="1">
      <alignment horizontal="left" vertical="top"/>
    </xf>
    <xf numFmtId="0" fontId="3" fillId="8" borderId="0" xfId="0" applyFont="1" applyFill="1"/>
    <xf numFmtId="169" fontId="13" fillId="8" borderId="0" xfId="0" applyNumberFormat="1" applyFont="1" applyFill="1"/>
    <xf numFmtId="178" fontId="13" fillId="8" borderId="0" xfId="0" applyNumberFormat="1" applyFont="1" applyFill="1"/>
    <xf numFmtId="169" fontId="5" fillId="8" borderId="0" xfId="0" applyNumberFormat="1" applyFont="1" applyFill="1"/>
    <xf numFmtId="3" fontId="5" fillId="8" borderId="0" xfId="0" applyNumberFormat="1" applyFont="1" applyFill="1" applyAlignment="1">
      <alignment horizontal="right"/>
    </xf>
    <xf numFmtId="9" fontId="5" fillId="8" borderId="0" xfId="0" applyNumberFormat="1" applyFont="1" applyFill="1" applyAlignment="1">
      <alignment horizontal="right"/>
    </xf>
    <xf numFmtId="10" fontId="5" fillId="8" borderId="0" xfId="0" applyNumberFormat="1" applyFont="1" applyFill="1" applyAlignment="1">
      <alignment horizontal="right"/>
    </xf>
    <xf numFmtId="164" fontId="5" fillId="8" borderId="0" xfId="0" applyNumberFormat="1" applyFont="1" applyFill="1" applyAlignment="1">
      <alignment horizontal="right"/>
    </xf>
    <xf numFmtId="164" fontId="13" fillId="8" borderId="0" xfId="0" applyNumberFormat="1" applyFont="1" applyFill="1" applyAlignment="1">
      <alignment horizontal="right"/>
    </xf>
    <xf numFmtId="164" fontId="12" fillId="8" borderId="0" xfId="0" applyNumberFormat="1" applyFont="1" applyFill="1" applyAlignment="1">
      <alignment horizontal="right"/>
    </xf>
    <xf numFmtId="10" fontId="13" fillId="8" borderId="0" xfId="0" applyNumberFormat="1" applyFont="1" applyFill="1" applyAlignment="1">
      <alignment horizontal="right"/>
    </xf>
    <xf numFmtId="164" fontId="21" fillId="8" borderId="0" xfId="0" applyNumberFormat="1" applyFont="1" applyFill="1" applyAlignment="1">
      <alignment horizontal="right"/>
    </xf>
    <xf numFmtId="169" fontId="13" fillId="8" borderId="0" xfId="0" applyNumberFormat="1" applyFont="1" applyFill="1" applyAlignment="1">
      <alignment horizontal="right"/>
    </xf>
    <xf numFmtId="169" fontId="9" fillId="8" borderId="0" xfId="0" applyNumberFormat="1" applyFont="1" applyFill="1" applyAlignment="1">
      <alignment horizontal="right"/>
    </xf>
    <xf numFmtId="3" fontId="13" fillId="8" borderId="0" xfId="0" applyNumberFormat="1" applyFont="1" applyFill="1" applyAlignment="1">
      <alignment horizontal="right"/>
    </xf>
    <xf numFmtId="3" fontId="9" fillId="8" borderId="0" xfId="0" applyNumberFormat="1" applyFont="1" applyFill="1" applyAlignment="1">
      <alignment horizontal="right"/>
    </xf>
    <xf numFmtId="164" fontId="14" fillId="8" borderId="0" xfId="0" applyNumberFormat="1" applyFont="1" applyFill="1" applyAlignment="1">
      <alignment horizontal="right"/>
    </xf>
    <xf numFmtId="169" fontId="20" fillId="8" borderId="1" xfId="0" applyNumberFormat="1" applyFont="1" applyFill="1" applyBorder="1" applyAlignment="1">
      <alignment horizontal="right"/>
    </xf>
    <xf numFmtId="3" fontId="26" fillId="8" borderId="1" xfId="0" applyNumberFormat="1" applyFont="1" applyFill="1" applyBorder="1" applyAlignment="1">
      <alignment horizontal="right"/>
    </xf>
    <xf numFmtId="174" fontId="9" fillId="8" borderId="0" xfId="0" applyNumberFormat="1" applyFont="1" applyFill="1" applyAlignment="1">
      <alignment horizontal="right"/>
    </xf>
    <xf numFmtId="174" fontId="13" fillId="8" borderId="0" xfId="0" applyNumberFormat="1" applyFont="1" applyFill="1" applyAlignment="1">
      <alignment horizontal="right"/>
    </xf>
    <xf numFmtId="174" fontId="14" fillId="8" borderId="0" xfId="0" applyNumberFormat="1" applyFont="1" applyFill="1" applyAlignment="1">
      <alignment horizontal="right"/>
    </xf>
    <xf numFmtId="3" fontId="12" fillId="8" borderId="0" xfId="0" applyNumberFormat="1" applyFont="1" applyFill="1" applyAlignment="1">
      <alignment horizontal="right"/>
    </xf>
    <xf numFmtId="174" fontId="5" fillId="8" borderId="0" xfId="0" applyNumberFormat="1" applyFont="1" applyFill="1" applyAlignment="1">
      <alignment horizontal="left"/>
    </xf>
    <xf numFmtId="174" fontId="5" fillId="8" borderId="0" xfId="0" applyNumberFormat="1" applyFont="1" applyFill="1" applyAlignment="1">
      <alignment horizontal="right"/>
    </xf>
    <xf numFmtId="176" fontId="5" fillId="8" borderId="0" xfId="0" applyNumberFormat="1" applyFont="1" applyFill="1" applyAlignment="1">
      <alignment horizontal="right"/>
    </xf>
    <xf numFmtId="176" fontId="13" fillId="8" borderId="0" xfId="0" applyNumberFormat="1" applyFont="1" applyFill="1" applyAlignment="1">
      <alignment horizontal="right"/>
    </xf>
    <xf numFmtId="175" fontId="5" fillId="8" borderId="0" xfId="0" applyNumberFormat="1" applyFont="1" applyFill="1" applyAlignment="1">
      <alignment horizontal="right"/>
    </xf>
    <xf numFmtId="0" fontId="10" fillId="8" borderId="0" xfId="0" applyFont="1" applyFill="1"/>
    <xf numFmtId="174" fontId="26" fillId="8" borderId="0" xfId="0" applyNumberFormat="1" applyFont="1" applyFill="1" applyAlignment="1">
      <alignment horizontal="right"/>
    </xf>
    <xf numFmtId="3" fontId="20" fillId="8" borderId="0" xfId="0" applyNumberFormat="1" applyFont="1" applyFill="1" applyAlignment="1">
      <alignment horizontal="right"/>
    </xf>
    <xf numFmtId="4" fontId="3" fillId="8" borderId="0" xfId="0" applyNumberFormat="1" applyFont="1" applyFill="1"/>
    <xf numFmtId="166" fontId="4" fillId="8" borderId="0" xfId="0" applyNumberFormat="1" applyFont="1" applyFill="1" applyAlignment="1">
      <alignment horizontal="right"/>
    </xf>
    <xf numFmtId="170" fontId="4" fillId="8" borderId="0" xfId="0" applyNumberFormat="1" applyFont="1" applyFill="1" applyAlignment="1">
      <alignment horizontal="right"/>
    </xf>
    <xf numFmtId="170" fontId="6" fillId="8" borderId="0" xfId="0" applyNumberFormat="1" applyFont="1" applyFill="1" applyAlignment="1">
      <alignment horizontal="right"/>
    </xf>
    <xf numFmtId="168" fontId="4" fillId="8" borderId="0" xfId="0" applyNumberFormat="1" applyFont="1" applyFill="1" applyAlignment="1">
      <alignment horizontal="right"/>
    </xf>
    <xf numFmtId="9" fontId="13" fillId="8" borderId="0" xfId="0" applyNumberFormat="1" applyFont="1" applyFill="1" applyAlignment="1">
      <alignment horizontal="right"/>
    </xf>
    <xf numFmtId="164" fontId="28" fillId="8" borderId="0" xfId="0" applyNumberFormat="1" applyFont="1" applyFill="1" applyAlignment="1">
      <alignment horizontal="right"/>
    </xf>
    <xf numFmtId="164" fontId="20" fillId="8" borderId="0" xfId="0" applyNumberFormat="1" applyFont="1" applyFill="1" applyAlignment="1">
      <alignment horizontal="right"/>
    </xf>
    <xf numFmtId="182" fontId="20" fillId="8" borderId="0" xfId="0" applyNumberFormat="1" applyFont="1" applyFill="1" applyAlignment="1">
      <alignment horizontal="right"/>
    </xf>
    <xf numFmtId="10" fontId="20" fillId="8" borderId="0" xfId="0" applyNumberFormat="1" applyFont="1" applyFill="1" applyAlignment="1">
      <alignment horizontal="right"/>
    </xf>
    <xf numFmtId="184" fontId="20" fillId="8" borderId="0" xfId="0" applyNumberFormat="1" applyFont="1" applyFill="1" applyAlignment="1">
      <alignment horizontal="right"/>
    </xf>
    <xf numFmtId="164" fontId="5" fillId="0" borderId="0" xfId="0" applyNumberFormat="1" applyFont="1" applyAlignment="1">
      <alignment horizontal="right"/>
    </xf>
    <xf numFmtId="164" fontId="13" fillId="3" borderId="0" xfId="0" applyNumberFormat="1" applyFont="1" applyFill="1" applyAlignment="1">
      <alignment horizontal="right"/>
    </xf>
    <xf numFmtId="164" fontId="28" fillId="3" borderId="0" xfId="0" applyNumberFormat="1" applyFont="1" applyFill="1" applyAlignment="1">
      <alignment horizontal="right"/>
    </xf>
    <xf numFmtId="165" fontId="5" fillId="3" borderId="0" xfId="0" applyNumberFormat="1" applyFont="1" applyFill="1" applyAlignment="1">
      <alignment horizontal="right"/>
    </xf>
    <xf numFmtId="4" fontId="5" fillId="4" borderId="0" xfId="0" applyNumberFormat="1" applyFont="1" applyFill="1" applyAlignment="1">
      <alignment horizontal="right"/>
    </xf>
    <xf numFmtId="181" fontId="12" fillId="4" borderId="0" xfId="0" applyNumberFormat="1" applyFont="1" applyFill="1" applyAlignment="1">
      <alignment horizontal="right"/>
    </xf>
    <xf numFmtId="164" fontId="5" fillId="4" borderId="0" xfId="0" applyNumberFormat="1" applyFont="1" applyFill="1" applyAlignment="1">
      <alignment horizontal="right"/>
    </xf>
    <xf numFmtId="174" fontId="9" fillId="8" borderId="0" xfId="0" applyNumberFormat="1" applyFont="1" applyFill="1"/>
    <xf numFmtId="9" fontId="14" fillId="8" borderId="0" xfId="0" applyNumberFormat="1" applyFont="1" applyFill="1" applyAlignment="1">
      <alignment horizontal="right"/>
    </xf>
    <xf numFmtId="9" fontId="5" fillId="8" borderId="0" xfId="0" applyNumberFormat="1" applyFont="1" applyFill="1"/>
    <xf numFmtId="164" fontId="5" fillId="8" borderId="0" xfId="0" applyNumberFormat="1" applyFont="1" applyFill="1"/>
    <xf numFmtId="174" fontId="13" fillId="8" borderId="0" xfId="0" applyNumberFormat="1" applyFont="1" applyFill="1" applyAlignment="1">
      <alignment horizontal="left"/>
    </xf>
    <xf numFmtId="174" fontId="9" fillId="8" borderId="0" xfId="0" applyNumberFormat="1" applyFont="1" applyFill="1" applyAlignment="1">
      <alignment horizontal="left"/>
    </xf>
    <xf numFmtId="9" fontId="9" fillId="8" borderId="0" xfId="0" applyNumberFormat="1" applyFont="1" applyFill="1" applyAlignment="1">
      <alignment horizontal="right"/>
    </xf>
    <xf numFmtId="10" fontId="5" fillId="8" borderId="4" xfId="0" applyNumberFormat="1" applyFont="1" applyFill="1" applyBorder="1"/>
    <xf numFmtId="182" fontId="5" fillId="8" borderId="4" xfId="0" applyNumberFormat="1" applyFont="1" applyFill="1" applyBorder="1" applyAlignment="1">
      <alignment horizontal="right"/>
    </xf>
    <xf numFmtId="3" fontId="9" fillId="8" borderId="0" xfId="0" applyNumberFormat="1" applyFont="1" applyFill="1" applyAlignment="1">
      <alignment horizontal="left"/>
    </xf>
    <xf numFmtId="10" fontId="5" fillId="0" borderId="0" xfId="0" applyNumberFormat="1" applyFont="1" applyAlignment="1">
      <alignment horizontal="right"/>
    </xf>
    <xf numFmtId="169" fontId="33" fillId="0" borderId="0" xfId="0" applyNumberFormat="1" applyFont="1"/>
    <xf numFmtId="0" fontId="3" fillId="0" borderId="8" xfId="0" applyFont="1" applyBorder="1"/>
    <xf numFmtId="0" fontId="3" fillId="0" borderId="10" xfId="0" applyFont="1" applyBorder="1"/>
    <xf numFmtId="0" fontId="3" fillId="0" borderId="12" xfId="0" applyFont="1" applyBorder="1"/>
    <xf numFmtId="0" fontId="3" fillId="0" borderId="13" xfId="0" applyFont="1" applyBorder="1"/>
    <xf numFmtId="164" fontId="33" fillId="0" borderId="0" xfId="0" applyNumberFormat="1" applyFont="1"/>
    <xf numFmtId="174" fontId="33" fillId="0" borderId="0" xfId="0" applyNumberFormat="1" applyFont="1"/>
    <xf numFmtId="182" fontId="33" fillId="0" borderId="0" xfId="0" applyNumberFormat="1" applyFont="1"/>
    <xf numFmtId="10" fontId="33" fillId="0" borderId="11" xfId="0" applyNumberFormat="1" applyFont="1" applyBorder="1"/>
    <xf numFmtId="164" fontId="34" fillId="0" borderId="0" xfId="0" applyNumberFormat="1" applyFont="1"/>
    <xf numFmtId="10" fontId="33" fillId="0" borderId="0" xfId="0" applyNumberFormat="1" applyFont="1"/>
    <xf numFmtId="0" fontId="3" fillId="0" borderId="0" xfId="0" applyFont="1" applyAlignment="1">
      <alignment horizontal="right"/>
    </xf>
    <xf numFmtId="4" fontId="33" fillId="0" borderId="0" xfId="0" applyNumberFormat="1" applyFont="1"/>
    <xf numFmtId="10" fontId="35" fillId="0" borderId="0" xfId="0" applyNumberFormat="1" applyFont="1"/>
    <xf numFmtId="4" fontId="34" fillId="0" borderId="0" xfId="0" applyNumberFormat="1" applyFont="1"/>
    <xf numFmtId="184" fontId="33" fillId="0" borderId="0" xfId="0" applyNumberFormat="1" applyFont="1"/>
    <xf numFmtId="184" fontId="33" fillId="0" borderId="11" xfId="0" applyNumberFormat="1" applyFont="1" applyBorder="1"/>
    <xf numFmtId="174" fontId="33" fillId="0" borderId="13" xfId="0" applyNumberFormat="1" applyFont="1" applyBorder="1"/>
    <xf numFmtId="164" fontId="33" fillId="0" borderId="13" xfId="0" applyNumberFormat="1" applyFont="1" applyBorder="1"/>
    <xf numFmtId="4" fontId="33" fillId="0" borderId="13" xfId="0" applyNumberFormat="1" applyFont="1" applyBorder="1"/>
    <xf numFmtId="169" fontId="33" fillId="0" borderId="13" xfId="0" applyNumberFormat="1" applyFont="1" applyBorder="1"/>
    <xf numFmtId="0" fontId="10" fillId="0" borderId="10" xfId="0" applyFont="1" applyBorder="1"/>
    <xf numFmtId="0" fontId="37" fillId="2" borderId="7" xfId="0" applyFont="1" applyFill="1" applyBorder="1"/>
    <xf numFmtId="0" fontId="36" fillId="2" borderId="8" xfId="0" applyFont="1" applyFill="1" applyBorder="1"/>
    <xf numFmtId="0" fontId="37" fillId="2" borderId="9" xfId="0" applyFont="1" applyFill="1" applyBorder="1" applyAlignment="1">
      <alignment horizontal="right"/>
    </xf>
    <xf numFmtId="0" fontId="3" fillId="2" borderId="10" xfId="0" applyFont="1" applyFill="1" applyBorder="1"/>
    <xf numFmtId="0" fontId="3" fillId="2" borderId="11" xfId="0" applyFont="1" applyFill="1" applyBorder="1" applyAlignment="1">
      <alignment horizontal="right" vertical="center"/>
    </xf>
    <xf numFmtId="0" fontId="3" fillId="9" borderId="10" xfId="0" applyFont="1" applyFill="1" applyBorder="1"/>
    <xf numFmtId="0" fontId="3" fillId="9" borderId="0" xfId="0" applyFont="1" applyFill="1"/>
    <xf numFmtId="0" fontId="3" fillId="9" borderId="0" xfId="0" applyFont="1" applyFill="1" applyAlignment="1">
      <alignment horizontal="right"/>
    </xf>
    <xf numFmtId="0" fontId="3" fillId="9" borderId="0" xfId="0" applyFont="1" applyFill="1" applyAlignment="1">
      <alignment horizontal="right" vertical="center"/>
    </xf>
    <xf numFmtId="0" fontId="3" fillId="9" borderId="11" xfId="0" applyFont="1" applyFill="1" applyBorder="1" applyAlignment="1">
      <alignment horizontal="right" vertical="center"/>
    </xf>
    <xf numFmtId="4" fontId="33" fillId="0" borderId="0" xfId="0" applyNumberFormat="1" applyFont="1" applyAlignment="1">
      <alignment horizontal="right"/>
    </xf>
    <xf numFmtId="164" fontId="33" fillId="0" borderId="0" xfId="0" applyNumberFormat="1" applyFont="1" applyAlignment="1">
      <alignment horizontal="right"/>
    </xf>
    <xf numFmtId="174" fontId="33" fillId="0" borderId="11" xfId="0" applyNumberFormat="1" applyFont="1" applyBorder="1"/>
    <xf numFmtId="184" fontId="3" fillId="8" borderId="0" xfId="0" applyNumberFormat="1" applyFont="1" applyFill="1" applyAlignment="1">
      <alignment horizontal="right"/>
    </xf>
    <xf numFmtId="10" fontId="3" fillId="8" borderId="0" xfId="0" applyNumberFormat="1" applyFont="1" applyFill="1" applyAlignment="1">
      <alignment horizontal="right"/>
    </xf>
    <xf numFmtId="10" fontId="4" fillId="8" borderId="0" xfId="0" applyNumberFormat="1" applyFont="1" applyFill="1" applyAlignment="1">
      <alignment horizontal="right"/>
    </xf>
    <xf numFmtId="10" fontId="3" fillId="8" borderId="22" xfId="0" applyNumberFormat="1" applyFont="1" applyFill="1" applyBorder="1" applyAlignment="1">
      <alignment horizontal="right"/>
    </xf>
    <xf numFmtId="10" fontId="4" fillId="8" borderId="22" xfId="0" applyNumberFormat="1" applyFont="1" applyFill="1" applyBorder="1" applyAlignment="1">
      <alignment horizontal="right"/>
    </xf>
    <xf numFmtId="189" fontId="39" fillId="0" borderId="0" xfId="0" applyNumberFormat="1" applyFont="1" applyAlignment="1">
      <alignment horizontal="right"/>
    </xf>
    <xf numFmtId="165" fontId="5" fillId="8" borderId="0" xfId="0" applyNumberFormat="1" applyFont="1" applyFill="1" applyAlignment="1">
      <alignment horizontal="right"/>
    </xf>
    <xf numFmtId="165" fontId="12" fillId="8" borderId="0" xfId="0" applyNumberFormat="1" applyFont="1" applyFill="1" applyAlignment="1">
      <alignment horizontal="right"/>
    </xf>
    <xf numFmtId="165" fontId="20" fillId="8" borderId="0" xfId="0" applyNumberFormat="1" applyFont="1" applyFill="1" applyAlignment="1">
      <alignment horizontal="right"/>
    </xf>
    <xf numFmtId="165" fontId="13" fillId="8" borderId="0" xfId="0" applyNumberFormat="1" applyFont="1" applyFill="1" applyAlignment="1">
      <alignment horizontal="right"/>
    </xf>
    <xf numFmtId="165" fontId="9" fillId="8" borderId="0" xfId="0" applyNumberFormat="1" applyFont="1" applyFill="1" applyAlignment="1">
      <alignment horizontal="right"/>
    </xf>
    <xf numFmtId="165" fontId="14" fillId="8" borderId="0" xfId="0" applyNumberFormat="1" applyFont="1" applyFill="1" applyAlignment="1">
      <alignment horizontal="right"/>
    </xf>
    <xf numFmtId="165" fontId="26" fillId="8" borderId="1" xfId="0" applyNumberFormat="1" applyFont="1" applyFill="1" applyBorder="1" applyAlignment="1">
      <alignment horizontal="right"/>
    </xf>
    <xf numFmtId="0" fontId="1" fillId="0" borderId="0" xfId="0" applyFont="1"/>
    <xf numFmtId="190" fontId="3" fillId="8" borderId="0" xfId="0" applyNumberFormat="1" applyFont="1" applyFill="1"/>
    <xf numFmtId="4" fontId="13" fillId="8" borderId="0" xfId="0" applyNumberFormat="1" applyFont="1" applyFill="1" applyAlignment="1">
      <alignment horizontal="right"/>
    </xf>
    <xf numFmtId="169" fontId="22" fillId="8" borderId="0" xfId="0" applyNumberFormat="1" applyFont="1" applyFill="1" applyAlignment="1">
      <alignment horizontal="right"/>
    </xf>
    <xf numFmtId="10" fontId="22" fillId="8" borderId="0" xfId="0" applyNumberFormat="1" applyFont="1" applyFill="1" applyAlignment="1">
      <alignment horizontal="right"/>
    </xf>
    <xf numFmtId="4" fontId="22" fillId="8" borderId="0" xfId="0" applyNumberFormat="1" applyFont="1" applyFill="1" applyAlignment="1">
      <alignment horizontal="right"/>
    </xf>
    <xf numFmtId="10" fontId="9" fillId="8" borderId="0" xfId="0" applyNumberFormat="1" applyFont="1" applyFill="1" applyAlignment="1">
      <alignment horizontal="right"/>
    </xf>
    <xf numFmtId="4" fontId="9" fillId="8" borderId="0" xfId="0" applyNumberFormat="1" applyFont="1" applyFill="1" applyAlignment="1">
      <alignment horizontal="right"/>
    </xf>
    <xf numFmtId="165" fontId="21" fillId="8" borderId="0" xfId="0" applyNumberFormat="1" applyFont="1" applyFill="1" applyAlignment="1">
      <alignment horizontal="right"/>
    </xf>
    <xf numFmtId="179" fontId="5" fillId="8" borderId="0" xfId="0" applyNumberFormat="1" applyFont="1" applyFill="1" applyAlignment="1">
      <alignment horizontal="right"/>
    </xf>
    <xf numFmtId="4" fontId="14" fillId="8" borderId="0" xfId="0" applyNumberFormat="1" applyFont="1" applyFill="1" applyAlignment="1">
      <alignment horizontal="right"/>
    </xf>
    <xf numFmtId="164" fontId="26" fillId="8" borderId="0" xfId="0" applyNumberFormat="1" applyFont="1" applyFill="1" applyAlignment="1">
      <alignment horizontal="right"/>
    </xf>
    <xf numFmtId="164" fontId="25" fillId="8" borderId="0" xfId="0" applyNumberFormat="1" applyFont="1" applyFill="1" applyAlignment="1">
      <alignment horizontal="right"/>
    </xf>
    <xf numFmtId="4" fontId="26" fillId="8" borderId="0" xfId="0" applyNumberFormat="1" applyFont="1" applyFill="1" applyAlignment="1">
      <alignment horizontal="right"/>
    </xf>
    <xf numFmtId="3" fontId="11" fillId="8" borderId="0" xfId="0" applyNumberFormat="1" applyFont="1" applyFill="1" applyAlignment="1">
      <alignment horizontal="left"/>
    </xf>
    <xf numFmtId="183" fontId="9" fillId="8" borderId="0" xfId="0" applyNumberFormat="1" applyFont="1" applyFill="1" applyAlignment="1">
      <alignment horizontal="left"/>
    </xf>
    <xf numFmtId="185" fontId="13" fillId="8" borderId="0" xfId="0" applyNumberFormat="1" applyFont="1" applyFill="1" applyAlignment="1">
      <alignment horizontal="right"/>
    </xf>
    <xf numFmtId="3" fontId="5" fillId="8" borderId="0" xfId="0" applyNumberFormat="1" applyFont="1" applyFill="1" applyAlignment="1">
      <alignment horizontal="left"/>
    </xf>
    <xf numFmtId="186" fontId="13" fillId="8" borderId="0" xfId="0" applyNumberFormat="1" applyFont="1" applyFill="1" applyAlignment="1">
      <alignment horizontal="right"/>
    </xf>
    <xf numFmtId="191" fontId="13" fillId="8" borderId="0" xfId="0" applyNumberFormat="1" applyFont="1" applyFill="1"/>
    <xf numFmtId="171" fontId="5" fillId="0" borderId="0" xfId="0" applyNumberFormat="1" applyFont="1" applyAlignment="1">
      <alignment horizontal="right"/>
    </xf>
    <xf numFmtId="3" fontId="33" fillId="0" borderId="0" xfId="0" applyNumberFormat="1" applyFont="1"/>
    <xf numFmtId="0" fontId="3" fillId="0" borderId="0" xfId="0" applyFont="1" applyAlignment="1">
      <alignment horizontal="left"/>
    </xf>
    <xf numFmtId="0" fontId="6" fillId="0" borderId="0" xfId="0" applyFont="1"/>
    <xf numFmtId="169" fontId="9" fillId="0" borderId="0" xfId="0" applyNumberFormat="1" applyFont="1"/>
    <xf numFmtId="0" fontId="6" fillId="0" borderId="0" xfId="0" applyFont="1" applyAlignment="1">
      <alignment horizontal="right"/>
    </xf>
    <xf numFmtId="0" fontId="14" fillId="0" borderId="0" xfId="0" applyFont="1" applyAlignment="1">
      <alignment horizontal="right"/>
    </xf>
    <xf numFmtId="174" fontId="9" fillId="0" borderId="0" xfId="0" applyNumberFormat="1" applyFont="1"/>
    <xf numFmtId="164" fontId="3" fillId="0" borderId="0" xfId="0" applyNumberFormat="1" applyFont="1"/>
    <xf numFmtId="164" fontId="11" fillId="0" borderId="0" xfId="0" applyNumberFormat="1" applyFont="1"/>
    <xf numFmtId="164" fontId="3" fillId="0" borderId="0" xfId="0" applyNumberFormat="1" applyFont="1" applyAlignment="1">
      <alignment horizontal="right"/>
    </xf>
    <xf numFmtId="164" fontId="11" fillId="0" borderId="0" xfId="0" applyNumberFormat="1" applyFont="1" applyAlignment="1">
      <alignment horizontal="right"/>
    </xf>
    <xf numFmtId="169" fontId="11" fillId="0" borderId="0" xfId="0" applyNumberFormat="1" applyFont="1"/>
    <xf numFmtId="164" fontId="43" fillId="0" borderId="0" xfId="0" applyNumberFormat="1" applyFont="1"/>
    <xf numFmtId="0" fontId="5" fillId="0" borderId="13" xfId="0" applyFont="1" applyBorder="1" applyAlignment="1">
      <alignment horizontal="right"/>
    </xf>
    <xf numFmtId="0" fontId="6" fillId="0" borderId="13" xfId="0" applyFont="1" applyBorder="1"/>
    <xf numFmtId="171" fontId="5" fillId="0" borderId="7" xfId="0" applyNumberFormat="1" applyFont="1" applyBorder="1"/>
    <xf numFmtId="0" fontId="5" fillId="0" borderId="8" xfId="0" applyFont="1" applyBorder="1" applyAlignment="1">
      <alignment horizontal="right"/>
    </xf>
    <xf numFmtId="0" fontId="9" fillId="0" borderId="12" xfId="0" applyFont="1" applyBorder="1"/>
    <xf numFmtId="0" fontId="3" fillId="0" borderId="10" xfId="0" applyFont="1" applyBorder="1" applyAlignment="1">
      <alignment horizontal="left"/>
    </xf>
    <xf numFmtId="0" fontId="6" fillId="0" borderId="12" xfId="0" applyFont="1" applyBorder="1"/>
    <xf numFmtId="171" fontId="3" fillId="0" borderId="0" xfId="0" applyNumberFormat="1" applyFont="1"/>
    <xf numFmtId="164" fontId="6" fillId="0" borderId="13" xfId="0" applyNumberFormat="1" applyFont="1" applyBorder="1" applyAlignment="1">
      <alignment horizontal="right"/>
    </xf>
    <xf numFmtId="164" fontId="6" fillId="0" borderId="13" xfId="0" applyNumberFormat="1" applyFont="1" applyBorder="1" applyAlignment="1">
      <alignment horizontal="right" vertical="center"/>
    </xf>
    <xf numFmtId="164" fontId="6" fillId="0" borderId="14" xfId="0" applyNumberFormat="1" applyFont="1" applyBorder="1" applyAlignment="1">
      <alignment horizontal="right" vertical="center"/>
    </xf>
    <xf numFmtId="164" fontId="6" fillId="0" borderId="0" xfId="0" applyNumberFormat="1" applyFont="1" applyAlignment="1">
      <alignment horizontal="right"/>
    </xf>
    <xf numFmtId="164" fontId="44" fillId="0" borderId="0" xfId="0" applyNumberFormat="1" applyFont="1" applyAlignment="1">
      <alignment horizontal="right"/>
    </xf>
    <xf numFmtId="164" fontId="6" fillId="0" borderId="11" xfId="0" applyNumberFormat="1" applyFont="1" applyBorder="1" applyAlignment="1">
      <alignment horizontal="right"/>
    </xf>
    <xf numFmtId="3" fontId="6" fillId="8" borderId="0" xfId="0" applyNumberFormat="1" applyFont="1" applyFill="1"/>
    <xf numFmtId="164" fontId="17" fillId="3" borderId="0" xfId="0" applyNumberFormat="1" applyFont="1" applyFill="1" applyAlignment="1">
      <alignment horizontal="right"/>
    </xf>
    <xf numFmtId="169" fontId="9" fillId="8" borderId="0" xfId="0" applyNumberFormat="1" applyFont="1" applyFill="1" applyAlignment="1">
      <alignment horizontal="left"/>
    </xf>
    <xf numFmtId="169" fontId="5" fillId="8" borderId="0" xfId="0" applyNumberFormat="1" applyFont="1" applyFill="1" applyAlignment="1">
      <alignment horizontal="left"/>
    </xf>
    <xf numFmtId="169" fontId="13" fillId="8" borderId="0" xfId="0" applyNumberFormat="1" applyFont="1" applyFill="1" applyAlignment="1">
      <alignment horizontal="left"/>
    </xf>
    <xf numFmtId="177" fontId="13" fillId="8" borderId="0" xfId="0" applyNumberFormat="1" applyFont="1" applyFill="1" applyAlignment="1">
      <alignment horizontal="right"/>
    </xf>
    <xf numFmtId="171" fontId="17" fillId="4" borderId="0" xfId="0" applyNumberFormat="1" applyFont="1" applyFill="1" applyAlignment="1">
      <alignment horizontal="right"/>
    </xf>
    <xf numFmtId="169" fontId="12" fillId="0" borderId="0" xfId="0" applyNumberFormat="1" applyFont="1" applyAlignment="1">
      <alignment horizontal="right"/>
    </xf>
    <xf numFmtId="169" fontId="5" fillId="4" borderId="0" xfId="0" applyNumberFormat="1" applyFont="1" applyFill="1" applyAlignment="1">
      <alignment horizontal="right"/>
    </xf>
    <xf numFmtId="169" fontId="5" fillId="0" borderId="0" xfId="0" applyNumberFormat="1" applyFont="1" applyAlignment="1">
      <alignment horizontal="right"/>
    </xf>
    <xf numFmtId="168" fontId="9" fillId="4" borderId="0" xfId="0" applyNumberFormat="1" applyFont="1" applyFill="1" applyAlignment="1">
      <alignment horizontal="right"/>
    </xf>
    <xf numFmtId="15" fontId="12" fillId="0" borderId="0" xfId="0" applyNumberFormat="1" applyFont="1" applyAlignment="1">
      <alignment horizontal="right"/>
    </xf>
    <xf numFmtId="15" fontId="5" fillId="4" borderId="0" xfId="0" applyNumberFormat="1" applyFont="1" applyFill="1" applyAlignment="1">
      <alignment horizontal="right"/>
    </xf>
    <xf numFmtId="164" fontId="21" fillId="0" borderId="0" xfId="0" applyNumberFormat="1" applyFont="1" applyAlignment="1">
      <alignment horizontal="right"/>
    </xf>
    <xf numFmtId="169" fontId="12" fillId="4" borderId="0" xfId="0" applyNumberFormat="1" applyFont="1" applyFill="1" applyAlignment="1">
      <alignment horizontal="right"/>
    </xf>
    <xf numFmtId="164" fontId="20" fillId="0" borderId="0" xfId="0" applyNumberFormat="1" applyFont="1" applyAlignment="1">
      <alignment horizontal="right"/>
    </xf>
    <xf numFmtId="10" fontId="42" fillId="0" borderId="0" xfId="0" applyNumberFormat="1" applyFont="1" applyAlignment="1">
      <alignment horizontal="right"/>
    </xf>
    <xf numFmtId="10" fontId="5" fillId="4" borderId="0" xfId="0" applyNumberFormat="1" applyFont="1" applyFill="1" applyAlignment="1">
      <alignment horizontal="right"/>
    </xf>
    <xf numFmtId="169" fontId="0" fillId="0" borderId="0" xfId="0" applyNumberFormat="1" applyAlignment="1">
      <alignment horizontal="right"/>
    </xf>
    <xf numFmtId="0" fontId="0" fillId="0" borderId="0" xfId="0" applyAlignment="1">
      <alignment horizontal="right"/>
    </xf>
    <xf numFmtId="9" fontId="5" fillId="4" borderId="0" xfId="0" applyNumberFormat="1" applyFont="1" applyFill="1" applyAlignment="1">
      <alignment horizontal="right"/>
    </xf>
    <xf numFmtId="164" fontId="0" fillId="0" borderId="0" xfId="0" applyNumberFormat="1" applyAlignment="1">
      <alignment horizontal="right"/>
    </xf>
    <xf numFmtId="180" fontId="12" fillId="4" borderId="0" xfId="0" applyNumberFormat="1" applyFont="1" applyFill="1" applyAlignment="1">
      <alignment horizontal="right"/>
    </xf>
    <xf numFmtId="164" fontId="5" fillId="0" borderId="23" xfId="0" applyNumberFormat="1" applyFont="1" applyBorder="1" applyAlignment="1">
      <alignment horizontal="right"/>
    </xf>
    <xf numFmtId="164" fontId="5" fillId="4" borderId="0" xfId="0" applyNumberFormat="1" applyFont="1" applyFill="1" applyAlignment="1">
      <alignment horizontal="left"/>
    </xf>
    <xf numFmtId="164" fontId="21" fillId="4" borderId="0" xfId="0" applyNumberFormat="1" applyFont="1" applyFill="1" applyAlignment="1">
      <alignment horizontal="right"/>
    </xf>
    <xf numFmtId="164" fontId="20" fillId="4" borderId="0" xfId="0" applyNumberFormat="1" applyFont="1" applyFill="1" applyAlignment="1">
      <alignment horizontal="left"/>
    </xf>
    <xf numFmtId="193" fontId="45" fillId="4" borderId="0" xfId="0" applyNumberFormat="1" applyFont="1" applyFill="1" applyAlignment="1">
      <alignment horizontal="right"/>
    </xf>
    <xf numFmtId="192" fontId="5" fillId="4" borderId="0" xfId="0" applyNumberFormat="1" applyFont="1" applyFill="1" applyAlignment="1">
      <alignment horizontal="right"/>
    </xf>
    <xf numFmtId="164" fontId="21" fillId="4" borderId="0" xfId="0" applyNumberFormat="1" applyFont="1" applyFill="1" applyAlignment="1">
      <alignment horizontal="left"/>
    </xf>
    <xf numFmtId="0" fontId="5" fillId="4" borderId="0" xfId="0" applyFont="1" applyFill="1" applyAlignment="1">
      <alignment horizontal="left"/>
    </xf>
    <xf numFmtId="3" fontId="5" fillId="4" borderId="0" xfId="0" applyNumberFormat="1" applyFont="1" applyFill="1" applyAlignment="1">
      <alignment horizontal="left"/>
    </xf>
    <xf numFmtId="3" fontId="20" fillId="4" borderId="0" xfId="0" applyNumberFormat="1" applyFont="1" applyFill="1" applyAlignment="1">
      <alignment horizontal="left"/>
    </xf>
    <xf numFmtId="174" fontId="5" fillId="4" borderId="0" xfId="0" applyNumberFormat="1" applyFont="1" applyFill="1" applyAlignment="1">
      <alignment horizontal="left"/>
    </xf>
    <xf numFmtId="0" fontId="5" fillId="0" borderId="0" xfId="0" applyFont="1" applyAlignment="1">
      <alignment horizontal="left"/>
    </xf>
    <xf numFmtId="164" fontId="44" fillId="0" borderId="11" xfId="0" applyNumberFormat="1" applyFont="1" applyBorder="1" applyAlignment="1">
      <alignment horizontal="right"/>
    </xf>
    <xf numFmtId="0" fontId="36" fillId="2" borderId="8" xfId="0" applyFont="1" applyFill="1" applyBorder="1" applyAlignment="1">
      <alignment horizontal="right"/>
    </xf>
    <xf numFmtId="0" fontId="3" fillId="2" borderId="0" xfId="0" applyFont="1" applyFill="1" applyAlignment="1">
      <alignment horizontal="right"/>
    </xf>
    <xf numFmtId="0" fontId="3" fillId="2" borderId="0" xfId="0" applyFont="1" applyFill="1" applyAlignment="1">
      <alignment horizontal="right" vertical="center"/>
    </xf>
    <xf numFmtId="171" fontId="5" fillId="0" borderId="8" xfId="0" applyNumberFormat="1" applyFont="1" applyBorder="1" applyAlignment="1">
      <alignment horizontal="right"/>
    </xf>
    <xf numFmtId="171" fontId="3" fillId="0" borderId="8" xfId="0" applyNumberFormat="1" applyFont="1" applyBorder="1" applyAlignment="1">
      <alignment horizontal="right"/>
    </xf>
    <xf numFmtId="171" fontId="3" fillId="0" borderId="8" xfId="0" applyNumberFormat="1" applyFont="1" applyBorder="1" applyAlignment="1">
      <alignment horizontal="right" vertical="center"/>
    </xf>
    <xf numFmtId="171" fontId="3" fillId="0" borderId="9" xfId="0" applyNumberFormat="1" applyFont="1" applyBorder="1" applyAlignment="1">
      <alignment horizontal="right" vertical="center"/>
    </xf>
    <xf numFmtId="170" fontId="14" fillId="0" borderId="13" xfId="0" applyNumberFormat="1" applyFont="1" applyBorder="1" applyAlignment="1">
      <alignment horizontal="right"/>
    </xf>
    <xf numFmtId="170" fontId="6" fillId="0" borderId="13" xfId="0" applyNumberFormat="1" applyFont="1" applyBorder="1" applyAlignment="1">
      <alignment horizontal="right"/>
    </xf>
    <xf numFmtId="170" fontId="6" fillId="0" borderId="13" xfId="0" applyNumberFormat="1" applyFont="1" applyBorder="1" applyAlignment="1">
      <alignment horizontal="right" vertical="center"/>
    </xf>
    <xf numFmtId="170" fontId="6" fillId="0" borderId="14" xfId="0" applyNumberFormat="1" applyFont="1" applyBorder="1" applyAlignment="1">
      <alignment horizontal="right" vertical="center"/>
    </xf>
    <xf numFmtId="167" fontId="6" fillId="0" borderId="0" xfId="0" applyNumberFormat="1" applyFont="1" applyAlignment="1">
      <alignment horizontal="right"/>
    </xf>
    <xf numFmtId="0" fontId="6" fillId="0" borderId="0" xfId="0" applyFont="1" applyAlignment="1">
      <alignment horizontal="right" vertical="center"/>
    </xf>
    <xf numFmtId="0" fontId="6" fillId="0" borderId="11" xfId="0" applyFont="1" applyBorder="1" applyAlignment="1">
      <alignment horizontal="right" vertical="center"/>
    </xf>
    <xf numFmtId="164" fontId="6" fillId="0" borderId="0" xfId="0" applyNumberFormat="1" applyFont="1" applyAlignment="1">
      <alignment horizontal="right" vertical="center"/>
    </xf>
    <xf numFmtId="164" fontId="6" fillId="0" borderId="11" xfId="0" applyNumberFormat="1" applyFont="1" applyBorder="1" applyAlignment="1">
      <alignment horizontal="right" vertical="center"/>
    </xf>
    <xf numFmtId="164" fontId="44" fillId="0" borderId="0" xfId="0" applyNumberFormat="1" applyFont="1" applyAlignment="1">
      <alignment horizontal="right" vertical="center"/>
    </xf>
    <xf numFmtId="164" fontId="44" fillId="0" borderId="11" xfId="0" applyNumberFormat="1" applyFont="1" applyBorder="1" applyAlignment="1">
      <alignment horizontal="right" vertical="center"/>
    </xf>
    <xf numFmtId="164" fontId="24" fillId="0" borderId="0" xfId="0" applyNumberFormat="1" applyFont="1" applyAlignment="1">
      <alignment horizontal="right"/>
    </xf>
    <xf numFmtId="164" fontId="46" fillId="0" borderId="0" xfId="0" applyNumberFormat="1" applyFont="1" applyAlignment="1">
      <alignment horizontal="right"/>
    </xf>
    <xf numFmtId="164" fontId="6" fillId="0" borderId="14" xfId="0" applyNumberFormat="1" applyFont="1" applyBorder="1" applyAlignment="1">
      <alignment horizontal="right"/>
    </xf>
    <xf numFmtId="171" fontId="3" fillId="0" borderId="0" xfId="0" applyNumberFormat="1" applyFont="1" applyAlignment="1">
      <alignment horizontal="right"/>
    </xf>
    <xf numFmtId="169" fontId="11" fillId="0" borderId="0" xfId="0" applyNumberFormat="1" applyFont="1" applyAlignment="1">
      <alignment horizontal="right"/>
    </xf>
    <xf numFmtId="164" fontId="43" fillId="0" borderId="0" xfId="0" applyNumberFormat="1" applyFont="1" applyAlignment="1">
      <alignment horizontal="right"/>
    </xf>
    <xf numFmtId="4" fontId="33" fillId="0" borderId="11" xfId="0" applyNumberFormat="1" applyFont="1" applyBorder="1"/>
    <xf numFmtId="174" fontId="12" fillId="8" borderId="0" xfId="0" applyNumberFormat="1" applyFont="1" applyFill="1" applyAlignment="1">
      <alignment horizontal="right"/>
    </xf>
    <xf numFmtId="174" fontId="33" fillId="0" borderId="0" xfId="0" applyNumberFormat="1" applyFont="1" applyAlignment="1">
      <alignment horizontal="right"/>
    </xf>
    <xf numFmtId="3" fontId="4" fillId="8" borderId="0" xfId="0" applyNumberFormat="1" applyFont="1" applyFill="1" applyAlignment="1">
      <alignment horizontal="right"/>
    </xf>
    <xf numFmtId="0" fontId="2" fillId="3" borderId="0" xfId="0" applyFont="1" applyFill="1"/>
    <xf numFmtId="174" fontId="47" fillId="8" borderId="0" xfId="0" applyNumberFormat="1" applyFont="1" applyFill="1" applyAlignment="1">
      <alignment horizontal="right"/>
    </xf>
    <xf numFmtId="174" fontId="48" fillId="8" borderId="0" xfId="0" applyNumberFormat="1" applyFont="1" applyFill="1" applyAlignment="1">
      <alignment horizontal="right"/>
    </xf>
    <xf numFmtId="174" fontId="31" fillId="4" borderId="0" xfId="0" applyNumberFormat="1" applyFont="1" applyFill="1" applyAlignment="1">
      <alignment horizontal="right"/>
    </xf>
    <xf numFmtId="169" fontId="49" fillId="8" borderId="0" xfId="0" applyNumberFormat="1" applyFont="1" applyFill="1" applyAlignment="1">
      <alignment horizontal="right"/>
    </xf>
    <xf numFmtId="169" fontId="50" fillId="8" borderId="0" xfId="0" applyNumberFormat="1" applyFont="1" applyFill="1" applyAlignment="1">
      <alignment horizontal="right"/>
    </xf>
    <xf numFmtId="174" fontId="20" fillId="8" borderId="0" xfId="0" applyNumberFormat="1" applyFont="1" applyFill="1" applyAlignment="1">
      <alignment horizontal="right"/>
    </xf>
    <xf numFmtId="10" fontId="12" fillId="8" borderId="0" xfId="0" applyNumberFormat="1" applyFont="1" applyFill="1" applyAlignment="1">
      <alignment horizontal="right"/>
    </xf>
    <xf numFmtId="10" fontId="5" fillId="8" borderId="4" xfId="0" applyNumberFormat="1" applyFont="1" applyFill="1" applyBorder="1" applyAlignment="1">
      <alignment horizontal="right"/>
    </xf>
    <xf numFmtId="0" fontId="5" fillId="4" borderId="0" xfId="0" applyFont="1" applyFill="1"/>
    <xf numFmtId="164" fontId="5" fillId="4" borderId="0" xfId="0" applyNumberFormat="1" applyFont="1" applyFill="1"/>
    <xf numFmtId="164" fontId="20" fillId="4" borderId="0" xfId="0" applyNumberFormat="1" applyFont="1" applyFill="1"/>
    <xf numFmtId="10" fontId="49" fillId="8" borderId="0" xfId="0" applyNumberFormat="1" applyFont="1" applyFill="1" applyAlignment="1">
      <alignment horizontal="right"/>
    </xf>
    <xf numFmtId="10" fontId="5" fillId="4" borderId="0" xfId="0" applyNumberFormat="1" applyFont="1" applyFill="1"/>
    <xf numFmtId="3" fontId="5" fillId="4" borderId="0" xfId="0" applyNumberFormat="1" applyFont="1" applyFill="1"/>
    <xf numFmtId="10" fontId="45" fillId="8" borderId="0" xfId="0" applyNumberFormat="1" applyFont="1" applyFill="1" applyAlignment="1">
      <alignment horizontal="left"/>
    </xf>
    <xf numFmtId="182" fontId="5" fillId="8" borderId="0" xfId="0" applyNumberFormat="1" applyFont="1" applyFill="1" applyAlignment="1">
      <alignment horizontal="left"/>
    </xf>
    <xf numFmtId="169" fontId="12" fillId="0" borderId="0" xfId="0" applyNumberFormat="1" applyFont="1"/>
    <xf numFmtId="164" fontId="5" fillId="0" borderId="0" xfId="0" applyNumberFormat="1" applyFont="1"/>
    <xf numFmtId="164" fontId="21" fillId="0" borderId="0" xfId="0" applyNumberFormat="1" applyFont="1"/>
    <xf numFmtId="10" fontId="5" fillId="8" borderId="0" xfId="0" applyNumberFormat="1" applyFont="1" applyFill="1" applyAlignment="1">
      <alignment horizontal="left"/>
    </xf>
    <xf numFmtId="3" fontId="52" fillId="8" borderId="0" xfId="0" applyNumberFormat="1" applyFont="1" applyFill="1"/>
    <xf numFmtId="194" fontId="53" fillId="8" borderId="0" xfId="0" applyNumberFormat="1" applyFont="1" applyFill="1" applyAlignment="1">
      <alignment horizontal="right"/>
    </xf>
    <xf numFmtId="177" fontId="3" fillId="8" borderId="0" xfId="0" applyNumberFormat="1" applyFont="1" applyFill="1"/>
    <xf numFmtId="195" fontId="4" fillId="8" borderId="0" xfId="0" applyNumberFormat="1" applyFont="1" applyFill="1" applyAlignment="1">
      <alignment horizontal="right"/>
    </xf>
    <xf numFmtId="169" fontId="45" fillId="8" borderId="0" xfId="0" applyNumberFormat="1" applyFont="1" applyFill="1" applyAlignment="1">
      <alignment horizontal="right"/>
    </xf>
    <xf numFmtId="196" fontId="31" fillId="0" borderId="0" xfId="0" applyNumberFormat="1" applyFont="1" applyAlignment="1">
      <alignment horizontal="left" vertical="top"/>
    </xf>
    <xf numFmtId="197" fontId="5" fillId="8" borderId="0" xfId="0" applyNumberFormat="1" applyFont="1" applyFill="1" applyAlignment="1">
      <alignment horizontal="right"/>
    </xf>
    <xf numFmtId="192" fontId="45" fillId="8" borderId="0" xfId="0" applyNumberFormat="1" applyFont="1" applyFill="1" applyAlignment="1">
      <alignment horizontal="left"/>
    </xf>
    <xf numFmtId="0" fontId="0" fillId="2" borderId="10" xfId="0" applyFill="1" applyBorder="1"/>
    <xf numFmtId="3" fontId="3" fillId="0" borderId="0" xfId="0" applyNumberFormat="1" applyFont="1"/>
    <xf numFmtId="9" fontId="3" fillId="0" borderId="0" xfId="0" applyNumberFormat="1" applyFont="1"/>
    <xf numFmtId="0" fontId="3" fillId="12" borderId="0" xfId="0" applyFont="1" applyFill="1"/>
    <xf numFmtId="171" fontId="3" fillId="12" borderId="0" xfId="0" applyNumberFormat="1" applyFont="1" applyFill="1"/>
    <xf numFmtId="3" fontId="3" fillId="12" borderId="0" xfId="0" applyNumberFormat="1" applyFont="1" applyFill="1"/>
    <xf numFmtId="9" fontId="3" fillId="12" borderId="0" xfId="0" applyNumberFormat="1" applyFont="1" applyFill="1"/>
    <xf numFmtId="164" fontId="45" fillId="0" borderId="0" xfId="0" applyNumberFormat="1" applyFont="1" applyAlignment="1">
      <alignment horizontal="right"/>
    </xf>
    <xf numFmtId="169" fontId="12" fillId="4" borderId="0" xfId="0" applyNumberFormat="1" applyFont="1" applyFill="1"/>
    <xf numFmtId="165" fontId="5" fillId="4" borderId="0" xfId="0" applyNumberFormat="1" applyFont="1" applyFill="1"/>
    <xf numFmtId="169" fontId="31" fillId="6" borderId="0" xfId="0" applyNumberFormat="1" applyFont="1" applyFill="1"/>
    <xf numFmtId="10" fontId="45" fillId="0" borderId="0" xfId="0" applyNumberFormat="1" applyFont="1" applyAlignment="1">
      <alignment horizontal="right"/>
    </xf>
    <xf numFmtId="164" fontId="49" fillId="0" borderId="0" xfId="0" applyNumberFormat="1" applyFont="1" applyAlignment="1">
      <alignment horizontal="right"/>
    </xf>
    <xf numFmtId="10" fontId="49" fillId="0" borderId="0" xfId="0" applyNumberFormat="1" applyFont="1" applyAlignment="1">
      <alignment horizontal="right"/>
    </xf>
    <xf numFmtId="164" fontId="55" fillId="0" borderId="0" xfId="0" applyNumberFormat="1" applyFont="1" applyAlignment="1">
      <alignment horizontal="right"/>
    </xf>
    <xf numFmtId="10" fontId="55" fillId="0" borderId="0" xfId="0" applyNumberFormat="1" applyFont="1" applyAlignment="1">
      <alignment horizontal="right"/>
    </xf>
    <xf numFmtId="3" fontId="45" fillId="0" borderId="0" xfId="0" applyNumberFormat="1" applyFont="1" applyAlignment="1">
      <alignment horizontal="left"/>
    </xf>
    <xf numFmtId="10" fontId="12" fillId="0" borderId="0" xfId="0" applyNumberFormat="1" applyFont="1" applyAlignment="1">
      <alignment horizontal="right"/>
    </xf>
    <xf numFmtId="4" fontId="49" fillId="8" borderId="0" xfId="0" applyNumberFormat="1" applyFont="1" applyFill="1" applyAlignment="1">
      <alignment horizontal="right"/>
    </xf>
    <xf numFmtId="174" fontId="45" fillId="13" borderId="0" xfId="0" applyNumberFormat="1" applyFont="1" applyFill="1" applyAlignment="1">
      <alignment horizontal="right"/>
    </xf>
    <xf numFmtId="174" fontId="5" fillId="13" borderId="0" xfId="0" applyNumberFormat="1" applyFont="1" applyFill="1" applyAlignment="1">
      <alignment horizontal="right"/>
    </xf>
    <xf numFmtId="10" fontId="5" fillId="13" borderId="0" xfId="0" applyNumberFormat="1" applyFont="1" applyFill="1" applyAlignment="1">
      <alignment horizontal="right"/>
    </xf>
    <xf numFmtId="10" fontId="12" fillId="13" borderId="0" xfId="0" applyNumberFormat="1" applyFont="1" applyFill="1" applyAlignment="1">
      <alignment horizontal="right"/>
    </xf>
    <xf numFmtId="187" fontId="5" fillId="4" borderId="0" xfId="0" applyNumberFormat="1" applyFont="1" applyFill="1" applyAlignment="1">
      <alignment horizontal="right"/>
    </xf>
    <xf numFmtId="174" fontId="5" fillId="4" borderId="3" xfId="0" applyNumberFormat="1" applyFont="1" applyFill="1" applyBorder="1" applyAlignment="1">
      <alignment horizontal="right"/>
    </xf>
    <xf numFmtId="174" fontId="5" fillId="4" borderId="0" xfId="0" applyNumberFormat="1" applyFont="1" applyFill="1" applyAlignment="1">
      <alignment horizontal="right"/>
    </xf>
    <xf numFmtId="0" fontId="58" fillId="3" borderId="0" xfId="0" applyFont="1" applyFill="1" applyAlignment="1">
      <alignment horizontal="left" vertical="center"/>
    </xf>
    <xf numFmtId="0" fontId="10" fillId="2" borderId="0" xfId="0" applyFont="1" applyFill="1" applyAlignment="1">
      <alignment horizontal="center" vertical="center" wrapText="1"/>
    </xf>
    <xf numFmtId="0" fontId="53" fillId="0" borderId="0" xfId="0" applyFont="1" applyAlignment="1">
      <alignment horizontal="left" vertical="center"/>
    </xf>
    <xf numFmtId="0" fontId="60" fillId="0" borderId="0" xfId="0" applyFont="1" applyAlignment="1">
      <alignment horizontal="left" vertical="center" wrapText="1"/>
    </xf>
    <xf numFmtId="187" fontId="53" fillId="0" borderId="0" xfId="0" applyNumberFormat="1" applyFont="1" applyAlignment="1">
      <alignment horizontal="right" vertical="center"/>
    </xf>
    <xf numFmtId="187" fontId="52" fillId="0" borderId="0" xfId="0" applyNumberFormat="1" applyFont="1" applyAlignment="1">
      <alignment horizontal="right" vertical="center"/>
    </xf>
    <xf numFmtId="187" fontId="59" fillId="0" borderId="0" xfId="0" applyNumberFormat="1" applyFont="1" applyAlignment="1">
      <alignment horizontal="right" vertical="center"/>
    </xf>
    <xf numFmtId="174" fontId="53" fillId="0" borderId="0" xfId="0" applyNumberFormat="1" applyFont="1" applyAlignment="1">
      <alignment horizontal="right" vertical="center"/>
    </xf>
    <xf numFmtId="174" fontId="59" fillId="0" borderId="0" xfId="0" applyNumberFormat="1" applyFont="1" applyAlignment="1">
      <alignment horizontal="right" vertical="center"/>
    </xf>
    <xf numFmtId="182" fontId="53" fillId="0" borderId="0" xfId="0" applyNumberFormat="1" applyFont="1" applyAlignment="1">
      <alignment horizontal="right" vertical="center"/>
    </xf>
    <xf numFmtId="170" fontId="59" fillId="0" borderId="0" xfId="0" applyNumberFormat="1" applyFont="1" applyAlignment="1">
      <alignment horizontal="right" vertical="center"/>
    </xf>
    <xf numFmtId="164" fontId="53" fillId="0" borderId="0" xfId="0" applyNumberFormat="1" applyFont="1" applyAlignment="1">
      <alignment horizontal="right" vertical="center"/>
    </xf>
    <xf numFmtId="164" fontId="59" fillId="0" borderId="0" xfId="0" applyNumberFormat="1" applyFont="1" applyAlignment="1">
      <alignment horizontal="right" vertical="center"/>
    </xf>
    <xf numFmtId="168" fontId="53" fillId="0" borderId="0" xfId="0" applyNumberFormat="1" applyFont="1" applyAlignment="1">
      <alignment horizontal="right" vertical="center"/>
    </xf>
    <xf numFmtId="187" fontId="58" fillId="3" borderId="0" xfId="0" applyNumberFormat="1" applyFont="1" applyFill="1" applyAlignment="1">
      <alignment horizontal="right" vertical="center"/>
    </xf>
    <xf numFmtId="174" fontId="58" fillId="3" borderId="0" xfId="0" applyNumberFormat="1" applyFont="1" applyFill="1" applyAlignment="1">
      <alignment horizontal="right" vertical="center"/>
    </xf>
    <xf numFmtId="182" fontId="58" fillId="3" borderId="0" xfId="0" applyNumberFormat="1" applyFont="1" applyFill="1" applyAlignment="1">
      <alignment horizontal="right" vertical="center"/>
    </xf>
    <xf numFmtId="0" fontId="61" fillId="3" borderId="0" xfId="0" applyFont="1" applyFill="1" applyAlignment="1">
      <alignment horizontal="left" vertical="center"/>
    </xf>
    <xf numFmtId="0" fontId="53" fillId="0" borderId="0" xfId="0" applyFont="1" applyAlignment="1">
      <alignment horizontal="left" vertical="center" wrapText="1"/>
    </xf>
    <xf numFmtId="0" fontId="58" fillId="3" borderId="0" xfId="0" applyFont="1" applyFill="1" applyAlignment="1">
      <alignment horizontal="left" vertical="center" wrapText="1"/>
    </xf>
    <xf numFmtId="0" fontId="0" fillId="0" borderId="0" xfId="0" applyAlignment="1">
      <alignment wrapText="1"/>
    </xf>
    <xf numFmtId="0" fontId="3" fillId="2" borderId="0" xfId="0" applyFont="1" applyFill="1" applyAlignment="1">
      <alignment vertical="center"/>
    </xf>
    <xf numFmtId="0" fontId="3" fillId="9" borderId="0" xfId="0" applyFont="1" applyFill="1" applyAlignment="1">
      <alignment vertical="center"/>
    </xf>
    <xf numFmtId="0" fontId="3" fillId="0" borderId="7" xfId="0" applyFont="1" applyBorder="1"/>
    <xf numFmtId="0" fontId="33" fillId="0" borderId="8" xfId="0" applyFont="1" applyBorder="1"/>
    <xf numFmtId="0" fontId="33" fillId="0" borderId="9" xfId="0" applyFont="1" applyBorder="1" applyAlignment="1">
      <alignment horizontal="right"/>
    </xf>
    <xf numFmtId="0" fontId="10" fillId="0" borderId="7" xfId="0" applyFont="1" applyBorder="1" applyAlignment="1">
      <alignment wrapText="1"/>
    </xf>
    <xf numFmtId="0" fontId="3" fillId="0" borderId="9" xfId="0" applyFont="1" applyBorder="1"/>
    <xf numFmtId="0" fontId="33" fillId="0" borderId="0" xfId="0" applyFont="1"/>
    <xf numFmtId="0" fontId="4" fillId="0" borderId="1" xfId="0" applyFont="1" applyBorder="1"/>
    <xf numFmtId="0" fontId="4" fillId="0" borderId="16" xfId="0" applyFont="1" applyBorder="1"/>
    <xf numFmtId="0" fontId="4" fillId="0" borderId="6" xfId="0" applyFont="1" applyBorder="1"/>
    <xf numFmtId="0" fontId="4" fillId="0" borderId="18" xfId="0" applyFont="1" applyBorder="1"/>
    <xf numFmtId="0" fontId="3" fillId="0" borderId="11" xfId="0" applyFont="1" applyBorder="1"/>
    <xf numFmtId="0" fontId="4" fillId="0" borderId="20" xfId="0" applyFont="1" applyBorder="1"/>
    <xf numFmtId="0" fontId="4" fillId="0" borderId="21" xfId="0" applyFont="1" applyBorder="1"/>
    <xf numFmtId="0" fontId="27" fillId="11" borderId="2" xfId="0" applyFont="1" applyFill="1" applyBorder="1" applyAlignment="1">
      <alignment horizontal="center" vertical="top"/>
    </xf>
    <xf numFmtId="0" fontId="33" fillId="0" borderId="8" xfId="0" applyFont="1" applyBorder="1" applyAlignment="1">
      <alignment horizontal="right"/>
    </xf>
    <xf numFmtId="0" fontId="11" fillId="0" borderId="7" xfId="0" applyFont="1" applyBorder="1"/>
    <xf numFmtId="0" fontId="35" fillId="0" borderId="8" xfId="0" applyFont="1" applyBorder="1" applyAlignment="1">
      <alignment horizontal="right"/>
    </xf>
    <xf numFmtId="0" fontId="35" fillId="0" borderId="9" xfId="0" applyFont="1" applyBorder="1" applyAlignment="1">
      <alignment horizontal="right"/>
    </xf>
    <xf numFmtId="198" fontId="33" fillId="0" borderId="0" xfId="0" applyNumberFormat="1" applyFont="1"/>
    <xf numFmtId="198" fontId="33" fillId="0" borderId="11" xfId="0" applyNumberFormat="1" applyFont="1" applyBorder="1"/>
    <xf numFmtId="199" fontId="33" fillId="0" borderId="0" xfId="0" applyNumberFormat="1" applyFont="1"/>
    <xf numFmtId="198" fontId="34" fillId="0" borderId="0" xfId="0" applyNumberFormat="1" applyFont="1"/>
    <xf numFmtId="198" fontId="34" fillId="0" borderId="11" xfId="0" applyNumberFormat="1" applyFont="1" applyBorder="1"/>
    <xf numFmtId="0" fontId="11" fillId="0" borderId="10" xfId="0" applyFont="1" applyBorder="1"/>
    <xf numFmtId="0" fontId="35" fillId="0" borderId="0" xfId="0" applyFont="1" applyAlignment="1">
      <alignment horizontal="right"/>
    </xf>
    <xf numFmtId="0" fontId="35" fillId="0" borderId="11" xfId="0" applyFont="1" applyBorder="1" applyAlignment="1">
      <alignment horizontal="right"/>
    </xf>
    <xf numFmtId="198" fontId="33" fillId="0" borderId="0" xfId="0" applyNumberFormat="1" applyFont="1" applyAlignment="1">
      <alignment horizontal="right"/>
    </xf>
    <xf numFmtId="198" fontId="34" fillId="0" borderId="0" xfId="0" applyNumberFormat="1" applyFont="1" applyAlignment="1">
      <alignment horizontal="right"/>
    </xf>
    <xf numFmtId="174" fontId="35" fillId="0" borderId="0" xfId="0" applyNumberFormat="1" applyFont="1"/>
    <xf numFmtId="174" fontId="35" fillId="0" borderId="11" xfId="0" applyNumberFormat="1" applyFont="1" applyBorder="1"/>
    <xf numFmtId="200" fontId="33" fillId="0" borderId="0" xfId="0" applyNumberFormat="1" applyFont="1"/>
    <xf numFmtId="0" fontId="11" fillId="0" borderId="0" xfId="0" applyFont="1"/>
    <xf numFmtId="0" fontId="38" fillId="0" borderId="0" xfId="0" applyFont="1"/>
    <xf numFmtId="199" fontId="33" fillId="0" borderId="11" xfId="0" applyNumberFormat="1" applyFont="1" applyBorder="1"/>
    <xf numFmtId="0" fontId="9" fillId="0" borderId="0" xfId="0" applyFont="1" applyAlignment="1">
      <alignment horizontal="left"/>
    </xf>
    <xf numFmtId="0" fontId="9" fillId="0" borderId="0" xfId="0" applyFont="1" applyAlignment="1">
      <alignment horizontal="right"/>
    </xf>
    <xf numFmtId="200" fontId="34" fillId="0" borderId="0" xfId="0" applyNumberFormat="1" applyFont="1"/>
    <xf numFmtId="198" fontId="33" fillId="0" borderId="14" xfId="0" applyNumberFormat="1" applyFont="1" applyBorder="1"/>
    <xf numFmtId="0" fontId="9" fillId="0" borderId="13" xfId="0" applyFont="1" applyBorder="1" applyAlignment="1">
      <alignment horizontal="left"/>
    </xf>
    <xf numFmtId="0" fontId="9" fillId="0" borderId="13" xfId="0" applyFont="1" applyBorder="1" applyAlignment="1">
      <alignment horizontal="right"/>
    </xf>
    <xf numFmtId="184" fontId="33" fillId="0" borderId="13" xfId="0" applyNumberFormat="1" applyFont="1" applyBorder="1"/>
    <xf numFmtId="199" fontId="33" fillId="0" borderId="14" xfId="0" applyNumberFormat="1" applyFont="1" applyBorder="1"/>
    <xf numFmtId="3" fontId="54" fillId="0" borderId="0" xfId="0" applyNumberFormat="1" applyFont="1"/>
    <xf numFmtId="0" fontId="3" fillId="0" borderId="14" xfId="0" applyFont="1" applyBorder="1"/>
    <xf numFmtId="0" fontId="7" fillId="0" borderId="0" xfId="0" applyFont="1" applyAlignment="1">
      <alignment horizontal="left"/>
    </xf>
    <xf numFmtId="0" fontId="8" fillId="0" borderId="0" xfId="0" applyFont="1" applyAlignment="1">
      <alignment horizontal="center"/>
    </xf>
    <xf numFmtId="0" fontId="12" fillId="0" borderId="0" xfId="0" applyFont="1" applyAlignment="1">
      <alignment horizontal="right"/>
    </xf>
    <xf numFmtId="0" fontId="18" fillId="0" borderId="0" xfId="0" applyFont="1" applyAlignment="1">
      <alignment vertical="top"/>
    </xf>
    <xf numFmtId="0" fontId="31" fillId="0" borderId="0" xfId="0" applyFont="1" applyAlignment="1">
      <alignment horizontal="right" vertical="top"/>
    </xf>
    <xf numFmtId="199" fontId="31" fillId="0" borderId="0" xfId="0" applyNumberFormat="1" applyFont="1" applyAlignment="1">
      <alignment horizontal="left" vertical="top"/>
    </xf>
    <xf numFmtId="0" fontId="27" fillId="7" borderId="2" xfId="0" applyFont="1" applyFill="1" applyBorder="1" applyAlignment="1">
      <alignment horizontal="right" vertical="top"/>
    </xf>
    <xf numFmtId="0" fontId="29" fillId="0" borderId="2" xfId="0" applyFont="1" applyBorder="1" applyAlignment="1">
      <alignment horizontal="right" vertical="top"/>
    </xf>
    <xf numFmtId="3" fontId="31" fillId="0" borderId="0" xfId="0" applyNumberFormat="1" applyFont="1" applyAlignment="1">
      <alignment horizontal="right" vertical="top"/>
    </xf>
    <xf numFmtId="0" fontId="31" fillId="4" borderId="0" xfId="0" applyFont="1" applyFill="1" applyAlignment="1">
      <alignment horizontal="left" vertical="top"/>
    </xf>
    <xf numFmtId="0" fontId="31" fillId="4" borderId="0" xfId="0" applyFont="1" applyFill="1" applyAlignment="1">
      <alignment horizontal="right" vertical="top"/>
    </xf>
    <xf numFmtId="0" fontId="31" fillId="4" borderId="0" xfId="0" applyFont="1" applyFill="1" applyAlignment="1">
      <alignment vertical="top"/>
    </xf>
    <xf numFmtId="0" fontId="27" fillId="0" borderId="0" xfId="0" applyFont="1" applyAlignment="1">
      <alignment horizontal="right" vertical="top"/>
    </xf>
    <xf numFmtId="0" fontId="29" fillId="0" borderId="0" xfId="0" applyFont="1" applyAlignment="1">
      <alignment horizontal="right" vertical="top"/>
    </xf>
    <xf numFmtId="0" fontId="3" fillId="2" borderId="0" xfId="0" applyFont="1" applyFill="1" applyAlignment="1">
      <alignment horizontal="center" vertical="center"/>
    </xf>
    <xf numFmtId="0" fontId="5" fillId="2" borderId="0" xfId="0" applyFont="1" applyFill="1"/>
    <xf numFmtId="0" fontId="5" fillId="2" borderId="0" xfId="0" applyFont="1" applyFill="1" applyAlignment="1">
      <alignment horizontal="right"/>
    </xf>
    <xf numFmtId="0" fontId="5" fillId="4" borderId="3" xfId="0" applyFont="1" applyFill="1" applyBorder="1" applyAlignment="1">
      <alignment horizontal="left"/>
    </xf>
    <xf numFmtId="0" fontId="5" fillId="4" borderId="3" xfId="0" applyFont="1" applyFill="1" applyBorder="1" applyAlignment="1">
      <alignment horizontal="right"/>
    </xf>
    <xf numFmtId="0" fontId="1" fillId="2" borderId="13" xfId="0" applyFont="1" applyFill="1" applyBorder="1"/>
    <xf numFmtId="0" fontId="0" fillId="2" borderId="13" xfId="0" applyFill="1" applyBorder="1"/>
    <xf numFmtId="0" fontId="18" fillId="2" borderId="13" xfId="0" applyFont="1" applyFill="1" applyBorder="1" applyAlignment="1">
      <alignment horizontal="right"/>
    </xf>
    <xf numFmtId="0" fontId="4" fillId="8" borderId="14" xfId="0" applyFont="1" applyFill="1" applyBorder="1" applyAlignment="1">
      <alignment horizontal="right"/>
    </xf>
    <xf numFmtId="0" fontId="5" fillId="10" borderId="0" xfId="0" applyFont="1" applyFill="1"/>
    <xf numFmtId="0" fontId="5" fillId="10" borderId="0" xfId="0" applyFont="1" applyFill="1" applyAlignment="1">
      <alignment horizontal="right"/>
    </xf>
    <xf numFmtId="0" fontId="5" fillId="8" borderId="0" xfId="0" applyFont="1" applyFill="1"/>
    <xf numFmtId="0" fontId="4" fillId="8" borderId="0" xfId="0" applyFont="1" applyFill="1" applyAlignment="1">
      <alignment horizontal="right"/>
    </xf>
    <xf numFmtId="0" fontId="6" fillId="8" borderId="0" xfId="0" applyFont="1" applyFill="1" applyAlignment="1">
      <alignment horizontal="right"/>
    </xf>
    <xf numFmtId="0" fontId="5" fillId="8" borderId="0" xfId="0" applyFont="1" applyFill="1" applyAlignment="1">
      <alignment horizontal="right"/>
    </xf>
    <xf numFmtId="174" fontId="6" fillId="8" borderId="0" xfId="0" applyNumberFormat="1" applyFont="1" applyFill="1" applyAlignment="1">
      <alignment horizontal="right"/>
    </xf>
    <xf numFmtId="174" fontId="53" fillId="8" borderId="0" xfId="0" applyNumberFormat="1" applyFont="1" applyFill="1" applyAlignment="1">
      <alignment horizontal="right"/>
    </xf>
    <xf numFmtId="0" fontId="5" fillId="5" borderId="0" xfId="0" applyFont="1" applyFill="1" applyAlignment="1">
      <alignment horizontal="left"/>
    </xf>
    <xf numFmtId="0" fontId="5" fillId="5" borderId="0" xfId="0" applyFont="1" applyFill="1" applyAlignment="1">
      <alignment horizontal="right"/>
    </xf>
    <xf numFmtId="0" fontId="20" fillId="4" borderId="0" xfId="0" applyFont="1" applyFill="1" applyAlignment="1">
      <alignment horizontal="left"/>
    </xf>
    <xf numFmtId="0" fontId="3" fillId="3" borderId="0" xfId="0" applyFont="1" applyFill="1" applyAlignment="1">
      <alignment horizontal="left"/>
    </xf>
    <xf numFmtId="0" fontId="3" fillId="3" borderId="0" xfId="0" applyFont="1" applyFill="1"/>
    <xf numFmtId="0" fontId="38" fillId="3" borderId="0" xfId="0" applyFont="1" applyFill="1"/>
    <xf numFmtId="0" fontId="12" fillId="4" borderId="0" xfId="0" applyFont="1" applyFill="1" applyAlignment="1">
      <alignment horizontal="left"/>
    </xf>
    <xf numFmtId="0" fontId="12" fillId="4" borderId="0" xfId="0" applyFont="1" applyFill="1" applyAlignment="1">
      <alignment horizontal="right"/>
    </xf>
    <xf numFmtId="0" fontId="11" fillId="8" borderId="0" xfId="0" applyFont="1" applyFill="1"/>
    <xf numFmtId="0" fontId="12" fillId="8" borderId="0" xfId="0" applyFont="1" applyFill="1" applyAlignment="1">
      <alignment horizontal="right"/>
    </xf>
    <xf numFmtId="0" fontId="53" fillId="8" borderId="0" xfId="0" applyFont="1" applyFill="1" applyAlignment="1">
      <alignment horizontal="left"/>
    </xf>
    <xf numFmtId="0" fontId="13" fillId="8" borderId="0" xfId="0" applyFont="1" applyFill="1" applyAlignment="1">
      <alignment horizontal="right"/>
    </xf>
    <xf numFmtId="200" fontId="5" fillId="8" borderId="0" xfId="0" applyNumberFormat="1" applyFont="1" applyFill="1" applyAlignment="1">
      <alignment horizontal="right"/>
    </xf>
    <xf numFmtId="198" fontId="13" fillId="8" borderId="0" xfId="0" applyNumberFormat="1" applyFont="1" applyFill="1" applyAlignment="1">
      <alignment horizontal="right"/>
    </xf>
    <xf numFmtId="198" fontId="5" fillId="0" borderId="0" xfId="0" applyNumberFormat="1" applyFont="1" applyAlignment="1">
      <alignment horizontal="right"/>
    </xf>
    <xf numFmtId="198" fontId="5" fillId="4" borderId="0" xfId="0" applyNumberFormat="1" applyFont="1" applyFill="1" applyAlignment="1">
      <alignment horizontal="right"/>
    </xf>
    <xf numFmtId="0" fontId="52" fillId="8" borderId="0" xfId="0" applyFont="1" applyFill="1" applyAlignment="1">
      <alignment horizontal="left"/>
    </xf>
    <xf numFmtId="198" fontId="12" fillId="8" borderId="0" xfId="0" applyNumberFormat="1" applyFont="1" applyFill="1" applyAlignment="1">
      <alignment horizontal="right"/>
    </xf>
    <xf numFmtId="198" fontId="22" fillId="8" borderId="0" xfId="0" applyNumberFormat="1" applyFont="1" applyFill="1" applyAlignment="1">
      <alignment horizontal="right"/>
    </xf>
    <xf numFmtId="198" fontId="21" fillId="0" borderId="0" xfId="0" applyNumberFormat="1" applyFont="1" applyAlignment="1">
      <alignment horizontal="right"/>
    </xf>
    <xf numFmtId="0" fontId="6" fillId="8" borderId="0" xfId="0" applyFont="1" applyFill="1"/>
    <xf numFmtId="198" fontId="9" fillId="8" borderId="0" xfId="0" applyNumberFormat="1" applyFont="1" applyFill="1" applyAlignment="1">
      <alignment horizontal="right"/>
    </xf>
    <xf numFmtId="0" fontId="4" fillId="8" borderId="0" xfId="0" applyFont="1" applyFill="1"/>
    <xf numFmtId="0" fontId="4" fillId="8" borderId="0" xfId="0" applyFont="1" applyFill="1" applyAlignment="1">
      <alignment horizontal="left"/>
    </xf>
    <xf numFmtId="0" fontId="6" fillId="8" borderId="0" xfId="0" applyFont="1" applyFill="1" applyAlignment="1">
      <alignment horizontal="left"/>
    </xf>
    <xf numFmtId="200" fontId="12" fillId="8" borderId="0" xfId="0" applyNumberFormat="1" applyFont="1" applyFill="1" applyAlignment="1">
      <alignment horizontal="right"/>
    </xf>
    <xf numFmtId="0" fontId="9" fillId="8" borderId="0" xfId="0" applyFont="1" applyFill="1" applyAlignment="1">
      <alignment horizontal="right"/>
    </xf>
    <xf numFmtId="200" fontId="9" fillId="8" borderId="0" xfId="0" applyNumberFormat="1" applyFont="1" applyFill="1" applyAlignment="1">
      <alignment horizontal="right"/>
    </xf>
    <xf numFmtId="198" fontId="9" fillId="0" borderId="0" xfId="0" applyNumberFormat="1" applyFont="1" applyAlignment="1">
      <alignment horizontal="right"/>
    </xf>
    <xf numFmtId="0" fontId="9" fillId="4" borderId="0" xfId="0" applyFont="1" applyFill="1" applyAlignment="1">
      <alignment horizontal="left"/>
    </xf>
    <xf numFmtId="0" fontId="9" fillId="4" borderId="0" xfId="0" applyFont="1" applyFill="1" applyAlignment="1">
      <alignment horizontal="right"/>
    </xf>
    <xf numFmtId="200" fontId="14" fillId="8" borderId="0" xfId="0" applyNumberFormat="1" applyFont="1" applyFill="1" applyAlignment="1">
      <alignment horizontal="right"/>
    </xf>
    <xf numFmtId="198" fontId="14" fillId="8" borderId="0" xfId="0" applyNumberFormat="1" applyFont="1" applyFill="1" applyAlignment="1">
      <alignment horizontal="right"/>
    </xf>
    <xf numFmtId="198" fontId="12" fillId="0" borderId="0" xfId="0" applyNumberFormat="1" applyFont="1" applyAlignment="1">
      <alignment horizontal="right"/>
    </xf>
    <xf numFmtId="0" fontId="40" fillId="0" borderId="0" xfId="0" applyFont="1"/>
    <xf numFmtId="0" fontId="24" fillId="8" borderId="1" xfId="0" applyFont="1" applyFill="1" applyBorder="1"/>
    <xf numFmtId="200" fontId="26" fillId="8" borderId="1" xfId="0" applyNumberFormat="1" applyFont="1" applyFill="1" applyBorder="1" applyAlignment="1">
      <alignment horizontal="right"/>
    </xf>
    <xf numFmtId="0" fontId="20" fillId="0" borderId="0" xfId="0" applyFont="1" applyAlignment="1">
      <alignment horizontal="right"/>
    </xf>
    <xf numFmtId="198" fontId="20" fillId="0" borderId="0" xfId="0" applyNumberFormat="1" applyFont="1" applyAlignment="1">
      <alignment horizontal="right"/>
    </xf>
    <xf numFmtId="0" fontId="20" fillId="4" borderId="0" xfId="0" applyFont="1" applyFill="1"/>
    <xf numFmtId="0" fontId="19" fillId="0" borderId="0" xfId="0" applyFont="1"/>
    <xf numFmtId="0" fontId="3" fillId="8" borderId="0" xfId="0" applyFont="1" applyFill="1" applyAlignment="1">
      <alignment horizontal="left"/>
    </xf>
    <xf numFmtId="198" fontId="5" fillId="8" borderId="0" xfId="0" applyNumberFormat="1" applyFont="1" applyFill="1" applyAlignment="1">
      <alignment horizontal="right"/>
    </xf>
    <xf numFmtId="0" fontId="17" fillId="0" borderId="0" xfId="0" applyFont="1" applyAlignment="1">
      <alignment horizontal="right"/>
    </xf>
    <xf numFmtId="198" fontId="17" fillId="0" borderId="0" xfId="0" applyNumberFormat="1" applyFont="1"/>
    <xf numFmtId="3" fontId="1" fillId="0" borderId="0" xfId="0" applyNumberFormat="1" applyFont="1"/>
    <xf numFmtId="0" fontId="11" fillId="8" borderId="0" xfId="0" applyFont="1" applyFill="1" applyAlignment="1">
      <alignment horizontal="left"/>
    </xf>
    <xf numFmtId="0" fontId="49" fillId="8" borderId="0" xfId="0" applyFont="1" applyFill="1" applyAlignment="1">
      <alignment horizontal="right"/>
    </xf>
    <xf numFmtId="0" fontId="45" fillId="8" borderId="0" xfId="0" applyFont="1" applyFill="1" applyAlignment="1">
      <alignment horizontal="right"/>
    </xf>
    <xf numFmtId="0" fontId="27" fillId="7" borderId="2" xfId="0" applyFont="1" applyFill="1" applyBorder="1" applyAlignment="1">
      <alignment horizontal="center" vertical="top"/>
    </xf>
    <xf numFmtId="0" fontId="29" fillId="0" borderId="2" xfId="0" applyFont="1" applyBorder="1" applyAlignment="1">
      <alignment horizontal="center" vertical="top"/>
    </xf>
    <xf numFmtId="0" fontId="20" fillId="8" borderId="0" xfId="0" applyFont="1" applyFill="1" applyAlignment="1">
      <alignment horizontal="right"/>
    </xf>
    <xf numFmtId="200" fontId="20" fillId="8" borderId="0" xfId="0" applyNumberFormat="1" applyFont="1" applyFill="1" applyAlignment="1">
      <alignment horizontal="right"/>
    </xf>
    <xf numFmtId="0" fontId="5" fillId="3" borderId="0" xfId="0" applyFont="1" applyFill="1"/>
    <xf numFmtId="3" fontId="40" fillId="0" borderId="0" xfId="0" applyNumberFormat="1" applyFont="1"/>
    <xf numFmtId="198" fontId="5" fillId="0" borderId="0" xfId="0" applyNumberFormat="1" applyFont="1"/>
    <xf numFmtId="0" fontId="3" fillId="8" borderId="0" xfId="0" applyFont="1" applyFill="1" applyAlignment="1">
      <alignment horizontal="right"/>
    </xf>
    <xf numFmtId="174" fontId="4" fillId="8" borderId="0" xfId="0" applyNumberFormat="1" applyFont="1" applyFill="1" applyAlignment="1">
      <alignment horizontal="right"/>
    </xf>
    <xf numFmtId="174" fontId="13" fillId="8" borderId="0" xfId="0" applyNumberFormat="1" applyFont="1" applyFill="1"/>
    <xf numFmtId="174" fontId="51" fillId="4" borderId="0" xfId="0" applyNumberFormat="1" applyFont="1" applyFill="1"/>
    <xf numFmtId="174" fontId="5" fillId="4" borderId="0" xfId="0" applyNumberFormat="1" applyFont="1" applyFill="1"/>
    <xf numFmtId="0" fontId="0" fillId="4" borderId="0" xfId="0" applyFill="1" applyAlignment="1">
      <alignment horizontal="left"/>
    </xf>
    <xf numFmtId="0" fontId="0" fillId="4" borderId="0" xfId="0" applyFill="1" applyAlignment="1">
      <alignment horizontal="right"/>
    </xf>
    <xf numFmtId="0" fontId="0" fillId="4" borderId="0" xfId="0" applyFill="1"/>
    <xf numFmtId="0" fontId="14" fillId="8" borderId="0" xfId="0" applyFont="1" applyFill="1" applyAlignment="1">
      <alignment horizontal="left"/>
    </xf>
    <xf numFmtId="0" fontId="14" fillId="8" borderId="0" xfId="0" applyFont="1" applyFill="1" applyAlignment="1">
      <alignment horizontal="right"/>
    </xf>
    <xf numFmtId="0" fontId="13" fillId="8" borderId="0" xfId="0" applyFont="1" applyFill="1" applyAlignment="1">
      <alignment horizontal="left"/>
    </xf>
    <xf numFmtId="198" fontId="5" fillId="4" borderId="0" xfId="0" applyNumberFormat="1" applyFont="1" applyFill="1" applyAlignment="1">
      <alignment horizontal="left"/>
    </xf>
    <xf numFmtId="198" fontId="5" fillId="4" borderId="0" xfId="0" applyNumberFormat="1" applyFont="1" applyFill="1"/>
    <xf numFmtId="198" fontId="12" fillId="4" borderId="0" xfId="0" applyNumberFormat="1" applyFont="1" applyFill="1" applyAlignment="1">
      <alignment horizontal="right"/>
    </xf>
    <xf numFmtId="198" fontId="21" fillId="4" borderId="0" xfId="0" applyNumberFormat="1" applyFont="1" applyFill="1"/>
    <xf numFmtId="198" fontId="21" fillId="8" borderId="0" xfId="0" applyNumberFormat="1" applyFont="1" applyFill="1" applyAlignment="1">
      <alignment horizontal="right"/>
    </xf>
    <xf numFmtId="0" fontId="9" fillId="8" borderId="0" xfId="0" applyFont="1" applyFill="1" applyAlignment="1">
      <alignment horizontal="left"/>
    </xf>
    <xf numFmtId="174" fontId="45" fillId="8" borderId="0" xfId="0" applyNumberFormat="1" applyFont="1" applyFill="1" applyAlignment="1">
      <alignment horizontal="right"/>
    </xf>
    <xf numFmtId="198" fontId="45" fillId="8" borderId="0" xfId="0" applyNumberFormat="1" applyFont="1" applyFill="1" applyAlignment="1">
      <alignment horizontal="right"/>
    </xf>
    <xf numFmtId="198" fontId="57" fillId="8" borderId="0" xfId="0" applyNumberFormat="1" applyFont="1" applyFill="1" applyAlignment="1">
      <alignment horizontal="right"/>
    </xf>
    <xf numFmtId="198" fontId="30" fillId="8" borderId="0" xfId="0" applyNumberFormat="1" applyFont="1" applyFill="1" applyAlignment="1">
      <alignment horizontal="right"/>
    </xf>
    <xf numFmtId="0" fontId="41" fillId="0" borderId="0" xfId="0" applyFont="1"/>
    <xf numFmtId="0" fontId="25" fillId="8" borderId="0" xfId="0" applyFont="1" applyFill="1" applyAlignment="1">
      <alignment horizontal="right"/>
    </xf>
    <xf numFmtId="0" fontId="10" fillId="0" borderId="0" xfId="0" applyFont="1" applyAlignment="1">
      <alignment horizontal="right"/>
    </xf>
    <xf numFmtId="0" fontId="10" fillId="4" borderId="0" xfId="0" applyFont="1" applyFill="1" applyAlignment="1">
      <alignment horizontal="left"/>
    </xf>
    <xf numFmtId="0" fontId="10" fillId="4" borderId="0" xfId="0" applyFont="1" applyFill="1" applyAlignment="1">
      <alignment horizontal="right"/>
    </xf>
    <xf numFmtId="0" fontId="10" fillId="4" borderId="0" xfId="0" applyFont="1" applyFill="1"/>
    <xf numFmtId="0" fontId="4" fillId="3" borderId="0" xfId="0" applyFont="1" applyFill="1"/>
    <xf numFmtId="0" fontId="22" fillId="8" borderId="0" xfId="0" applyFont="1" applyFill="1" applyAlignment="1">
      <alignment horizontal="right"/>
    </xf>
    <xf numFmtId="0" fontId="31" fillId="4" borderId="0" xfId="0" applyFont="1" applyFill="1" applyAlignment="1">
      <alignment horizontal="left"/>
    </xf>
    <xf numFmtId="0" fontId="31" fillId="4" borderId="0" xfId="0" applyFont="1" applyFill="1" applyAlignment="1">
      <alignment horizontal="right"/>
    </xf>
    <xf numFmtId="0" fontId="24" fillId="8" borderId="0" xfId="0" applyFont="1" applyFill="1" applyAlignment="1">
      <alignment horizontal="left"/>
    </xf>
    <xf numFmtId="198" fontId="20" fillId="8" borderId="0" xfId="0" applyNumberFormat="1" applyFont="1" applyFill="1" applyAlignment="1">
      <alignment horizontal="right"/>
    </xf>
    <xf numFmtId="0" fontId="23" fillId="0" borderId="0" xfId="0" applyFont="1" applyAlignment="1">
      <alignment horizontal="right"/>
    </xf>
    <xf numFmtId="0" fontId="23" fillId="4" borderId="0" xfId="0" applyFont="1" applyFill="1" applyAlignment="1">
      <alignment horizontal="left"/>
    </xf>
    <xf numFmtId="0" fontId="23" fillId="4" borderId="0" xfId="0" applyFont="1" applyFill="1" applyAlignment="1">
      <alignment horizontal="right"/>
    </xf>
    <xf numFmtId="0" fontId="23" fillId="4" borderId="0" xfId="0" applyFont="1" applyFill="1"/>
    <xf numFmtId="0" fontId="0" fillId="0" borderId="0" xfId="0" applyAlignment="1">
      <alignment horizontal="left"/>
    </xf>
    <xf numFmtId="0" fontId="11" fillId="8" borderId="0" xfId="0" applyFont="1" applyFill="1" applyAlignment="1">
      <alignment horizontal="right"/>
    </xf>
    <xf numFmtId="198" fontId="21" fillId="0" borderId="0" xfId="0" applyNumberFormat="1" applyFont="1"/>
    <xf numFmtId="0" fontId="3" fillId="6" borderId="0" xfId="0" applyFont="1" applyFill="1"/>
    <xf numFmtId="0" fontId="3" fillId="6" borderId="0" xfId="0" applyFont="1" applyFill="1" applyAlignment="1">
      <alignment horizontal="right"/>
    </xf>
    <xf numFmtId="0" fontId="52" fillId="6" borderId="0" xfId="0" applyFont="1" applyFill="1" applyAlignment="1">
      <alignment horizontal="left"/>
    </xf>
    <xf numFmtId="0" fontId="3" fillId="6" borderId="0" xfId="0" applyFont="1" applyFill="1" applyAlignment="1">
      <alignment horizontal="left"/>
    </xf>
    <xf numFmtId="0" fontId="31" fillId="6" borderId="0" xfId="0" applyFont="1" applyFill="1" applyAlignment="1">
      <alignment horizontal="right"/>
    </xf>
    <xf numFmtId="0" fontId="5" fillId="8" borderId="0" xfId="0" applyFont="1" applyFill="1" applyAlignment="1">
      <alignment horizontal="left"/>
    </xf>
    <xf numFmtId="0" fontId="50" fillId="0" borderId="0" xfId="0" applyFont="1" applyAlignment="1">
      <alignment horizontal="left"/>
    </xf>
    <xf numFmtId="0" fontId="49" fillId="0" borderId="0" xfId="0" applyFont="1" applyAlignment="1">
      <alignment horizontal="left"/>
    </xf>
    <xf numFmtId="198" fontId="45" fillId="0" borderId="0" xfId="0" applyNumberFormat="1" applyFont="1" applyAlignment="1">
      <alignment horizontal="right"/>
    </xf>
    <xf numFmtId="0" fontId="17" fillId="8" borderId="0" xfId="0" applyFont="1" applyFill="1" applyAlignment="1">
      <alignment horizontal="right"/>
    </xf>
    <xf numFmtId="198" fontId="28" fillId="8" borderId="0" xfId="0" applyNumberFormat="1" applyFont="1" applyFill="1" applyAlignment="1">
      <alignment horizontal="right"/>
    </xf>
    <xf numFmtId="0" fontId="45" fillId="0" borderId="0" xfId="0" applyFont="1" applyAlignment="1">
      <alignment horizontal="left"/>
    </xf>
    <xf numFmtId="0" fontId="55" fillId="0" borderId="0" xfId="0" applyFont="1" applyAlignment="1">
      <alignment horizontal="left"/>
    </xf>
    <xf numFmtId="198" fontId="55" fillId="0" borderId="0" xfId="0" applyNumberFormat="1" applyFont="1" applyAlignment="1">
      <alignment horizontal="right"/>
    </xf>
    <xf numFmtId="0" fontId="49" fillId="0" borderId="0" xfId="0" applyFont="1" applyAlignment="1">
      <alignment horizontal="right"/>
    </xf>
    <xf numFmtId="198" fontId="49" fillId="0" borderId="0" xfId="0" applyNumberFormat="1" applyFont="1" applyAlignment="1">
      <alignment horizontal="right"/>
    </xf>
    <xf numFmtId="0" fontId="56" fillId="0" borderId="0" xfId="0" applyFont="1" applyAlignment="1">
      <alignment horizontal="right"/>
    </xf>
    <xf numFmtId="0" fontId="12" fillId="8" borderId="0" xfId="0" applyFont="1" applyFill="1" applyAlignment="1">
      <alignment horizontal="center"/>
    </xf>
    <xf numFmtId="0" fontId="3" fillId="6" borderId="22" xfId="0" applyFont="1" applyFill="1" applyBorder="1" applyAlignment="1">
      <alignment horizontal="right"/>
    </xf>
    <xf numFmtId="0" fontId="5" fillId="8" borderId="22" xfId="0" applyFont="1" applyFill="1" applyBorder="1" applyAlignment="1">
      <alignment horizontal="left"/>
    </xf>
    <xf numFmtId="0" fontId="21" fillId="8" borderId="0" xfId="0" applyFont="1" applyFill="1" applyAlignment="1">
      <alignment horizontal="right"/>
    </xf>
    <xf numFmtId="200" fontId="21" fillId="8" borderId="0" xfId="0" applyNumberFormat="1" applyFont="1" applyFill="1" applyAlignment="1">
      <alignment horizontal="right"/>
    </xf>
    <xf numFmtId="0" fontId="5" fillId="8" borderId="22" xfId="0" applyFont="1" applyFill="1" applyBorder="1" applyAlignment="1">
      <alignment horizontal="right"/>
    </xf>
    <xf numFmtId="0" fontId="12" fillId="8" borderId="22" xfId="0" applyFont="1" applyFill="1" applyBorder="1" applyAlignment="1">
      <alignment horizontal="right"/>
    </xf>
    <xf numFmtId="198" fontId="20" fillId="8" borderId="22" xfId="0" applyNumberFormat="1" applyFont="1" applyFill="1" applyBorder="1" applyAlignment="1">
      <alignment horizontal="right"/>
    </xf>
    <xf numFmtId="0" fontId="20" fillId="10" borderId="0" xfId="0" applyFont="1" applyFill="1"/>
    <xf numFmtId="0" fontId="20" fillId="10" borderId="0" xfId="0" applyFont="1" applyFill="1" applyAlignment="1">
      <alignment horizontal="right"/>
    </xf>
    <xf numFmtId="0" fontId="20" fillId="4" borderId="0" xfId="0" applyFont="1" applyFill="1" applyAlignment="1">
      <alignment horizontal="right"/>
    </xf>
    <xf numFmtId="3" fontId="5" fillId="2" borderId="0" xfId="0" applyNumberFormat="1" applyFont="1" applyFill="1" applyAlignment="1">
      <alignment horizontal="right"/>
    </xf>
    <xf numFmtId="0" fontId="5" fillId="6" borderId="0" xfId="0" applyFont="1" applyFill="1" applyAlignment="1">
      <alignment horizontal="right"/>
    </xf>
    <xf numFmtId="0" fontId="32" fillId="4" borderId="0" xfId="0" applyFont="1" applyFill="1" applyAlignment="1">
      <alignment horizontal="left"/>
    </xf>
    <xf numFmtId="198" fontId="5" fillId="4" borderId="3" xfId="0" applyNumberFormat="1" applyFont="1" applyFill="1" applyBorder="1" applyAlignment="1">
      <alignment horizontal="right"/>
    </xf>
    <xf numFmtId="0" fontId="17" fillId="4" borderId="3" xfId="0" applyFont="1" applyFill="1" applyBorder="1" applyAlignment="1">
      <alignment horizontal="right"/>
    </xf>
    <xf numFmtId="198" fontId="17" fillId="4" borderId="3" xfId="0" applyNumberFormat="1" applyFont="1" applyFill="1" applyBorder="1" applyAlignment="1">
      <alignment horizontal="right"/>
    </xf>
    <xf numFmtId="199" fontId="20" fillId="8" borderId="0" xfId="0" applyNumberFormat="1" applyFont="1" applyFill="1" applyAlignment="1">
      <alignment horizontal="right"/>
    </xf>
    <xf numFmtId="0" fontId="20" fillId="4" borderId="4" xfId="0" applyFont="1" applyFill="1" applyBorder="1" applyAlignment="1">
      <alignment horizontal="left"/>
    </xf>
    <xf numFmtId="0" fontId="5" fillId="4" borderId="4" xfId="0" applyFont="1" applyFill="1" applyBorder="1" applyAlignment="1">
      <alignment horizontal="right"/>
    </xf>
    <xf numFmtId="198" fontId="5" fillId="4" borderId="4" xfId="0" applyNumberFormat="1" applyFont="1" applyFill="1" applyBorder="1" applyAlignment="1">
      <alignment horizontal="right"/>
    </xf>
    <xf numFmtId="0" fontId="45" fillId="8" borderId="0" xfId="0" applyFont="1" applyFill="1" applyAlignment="1">
      <alignment horizontal="left"/>
    </xf>
    <xf numFmtId="199" fontId="5" fillId="13" borderId="0" xfId="0" applyNumberFormat="1" applyFont="1" applyFill="1" applyAlignment="1">
      <alignment horizontal="right"/>
    </xf>
    <xf numFmtId="0" fontId="5" fillId="4" borderId="4" xfId="0" applyFont="1" applyFill="1" applyBorder="1" applyAlignment="1">
      <alignment horizontal="left"/>
    </xf>
    <xf numFmtId="199" fontId="5" fillId="8" borderId="0" xfId="0" applyNumberFormat="1" applyFont="1" applyFill="1" applyAlignment="1">
      <alignment horizontal="right"/>
    </xf>
    <xf numFmtId="0" fontId="5" fillId="0" borderId="23" xfId="0" applyFont="1" applyBorder="1"/>
    <xf numFmtId="0" fontId="5" fillId="0" borderId="23" xfId="0" applyFont="1" applyBorder="1" applyAlignment="1">
      <alignment horizontal="right"/>
    </xf>
    <xf numFmtId="0" fontId="10" fillId="8" borderId="5" xfId="0" applyFont="1" applyFill="1" applyBorder="1"/>
    <xf numFmtId="0" fontId="9" fillId="8" borderId="0" xfId="0" applyFont="1" applyFill="1"/>
    <xf numFmtId="0" fontId="13" fillId="8" borderId="0" xfId="0" applyFont="1" applyFill="1"/>
    <xf numFmtId="174" fontId="5" fillId="8" borderId="0" xfId="0" applyNumberFormat="1" applyFont="1" applyFill="1"/>
    <xf numFmtId="198" fontId="5" fillId="8" borderId="0" xfId="0" applyNumberFormat="1" applyFont="1" applyFill="1"/>
    <xf numFmtId="0" fontId="12" fillId="8" borderId="0" xfId="0" applyFont="1" applyFill="1" applyAlignment="1">
      <alignment horizontal="left"/>
    </xf>
    <xf numFmtId="0" fontId="5" fillId="13" borderId="0" xfId="0" applyFont="1" applyFill="1"/>
    <xf numFmtId="0" fontId="45" fillId="13" borderId="0" xfId="0" applyFont="1" applyFill="1" applyAlignment="1">
      <alignment horizontal="left"/>
    </xf>
    <xf numFmtId="0" fontId="20" fillId="4" borderId="3" xfId="0" applyFont="1" applyFill="1" applyBorder="1" applyAlignment="1">
      <alignment horizontal="left"/>
    </xf>
    <xf numFmtId="199" fontId="12" fillId="13" borderId="0" xfId="0" applyNumberFormat="1" applyFont="1" applyFill="1" applyAlignment="1">
      <alignment horizontal="right"/>
    </xf>
    <xf numFmtId="0" fontId="3" fillId="8" borderId="4" xfId="0" applyFont="1" applyFill="1" applyBorder="1"/>
    <xf numFmtId="0" fontId="5" fillId="8" borderId="4" xfId="0" applyFont="1" applyFill="1" applyBorder="1"/>
    <xf numFmtId="199" fontId="5" fillId="8" borderId="4" xfId="0" applyNumberFormat="1" applyFont="1" applyFill="1" applyBorder="1"/>
    <xf numFmtId="174" fontId="5" fillId="8" borderId="4" xfId="0" applyNumberFormat="1" applyFont="1" applyFill="1" applyBorder="1" applyAlignment="1">
      <alignment horizontal="right"/>
    </xf>
    <xf numFmtId="198" fontId="5" fillId="8" borderId="4" xfId="0" applyNumberFormat="1" applyFont="1" applyFill="1" applyBorder="1"/>
    <xf numFmtId="198" fontId="5" fillId="0" borderId="23" xfId="0" applyNumberFormat="1" applyFont="1" applyBorder="1" applyAlignment="1">
      <alignment horizontal="right"/>
    </xf>
    <xf numFmtId="199" fontId="12" fillId="8" borderId="0" xfId="0" applyNumberFormat="1" applyFont="1" applyFill="1" applyAlignment="1">
      <alignment horizontal="right"/>
    </xf>
    <xf numFmtId="199" fontId="5" fillId="8" borderId="4" xfId="0" applyNumberFormat="1" applyFont="1" applyFill="1" applyBorder="1" applyAlignment="1">
      <alignment horizontal="right"/>
    </xf>
    <xf numFmtId="0" fontId="32" fillId="10" borderId="0" xfId="0" applyFont="1" applyFill="1" applyAlignment="1">
      <alignment horizontal="right"/>
    </xf>
    <xf numFmtId="0" fontId="11" fillId="8" borderId="22" xfId="0" applyFont="1" applyFill="1" applyBorder="1"/>
    <xf numFmtId="0" fontId="6" fillId="8" borderId="22" xfId="0" applyFont="1" applyFill="1" applyBorder="1" applyAlignment="1">
      <alignment horizontal="right"/>
    </xf>
    <xf numFmtId="199" fontId="3" fillId="8" borderId="0" xfId="0" applyNumberFormat="1" applyFont="1" applyFill="1" applyAlignment="1">
      <alignment horizontal="left"/>
    </xf>
    <xf numFmtId="0" fontId="3" fillId="8" borderId="22" xfId="0" applyFont="1" applyFill="1" applyBorder="1"/>
    <xf numFmtId="0" fontId="3" fillId="8" borderId="22" xfId="0" applyFont="1" applyFill="1" applyBorder="1" applyAlignment="1">
      <alignment horizontal="right"/>
    </xf>
    <xf numFmtId="0" fontId="3" fillId="2" borderId="0" xfId="0" applyFont="1" applyFill="1" applyAlignment="1">
      <alignment wrapText="1"/>
    </xf>
    <xf numFmtId="0" fontId="3" fillId="2" borderId="10" xfId="0" applyFont="1" applyFill="1" applyBorder="1" applyAlignment="1">
      <alignment horizontal="left" vertical="center"/>
    </xf>
    <xf numFmtId="0" fontId="62" fillId="0" borderId="0" xfId="1"/>
    <xf numFmtId="0" fontId="64" fillId="0" borderId="0" xfId="1" applyFont="1" applyAlignment="1">
      <alignment vertical="center" wrapText="1"/>
    </xf>
    <xf numFmtId="0" fontId="77" fillId="0" borderId="0" xfId="0" applyFont="1" applyAlignment="1">
      <alignment horizontal="left" vertical="center" wrapText="1"/>
    </xf>
    <xf numFmtId="0" fontId="78" fillId="3" borderId="0" xfId="0" applyFont="1" applyFill="1" applyAlignment="1">
      <alignment horizontal="left" vertical="center"/>
    </xf>
    <xf numFmtId="0" fontId="10" fillId="2" borderId="53" xfId="0" applyFont="1" applyFill="1" applyBorder="1" applyAlignment="1">
      <alignment horizontal="center" vertical="center" wrapText="1"/>
    </xf>
    <xf numFmtId="0" fontId="53" fillId="0" borderId="53" xfId="0" applyFont="1" applyBorder="1" applyAlignment="1">
      <alignment horizontal="left" vertical="center"/>
    </xf>
    <xf numFmtId="0" fontId="60" fillId="0" borderId="53" xfId="0" applyFont="1" applyBorder="1" applyAlignment="1">
      <alignment horizontal="left" vertical="center" wrapText="1"/>
    </xf>
    <xf numFmtId="0" fontId="53" fillId="0" borderId="53" xfId="0" applyFont="1" applyBorder="1" applyAlignment="1">
      <alignment horizontal="left" vertical="center" wrapText="1"/>
    </xf>
    <xf numFmtId="170" fontId="59" fillId="0" borderId="53" xfId="0" applyNumberFormat="1" applyFont="1" applyBorder="1" applyAlignment="1">
      <alignment horizontal="right" vertical="center"/>
    </xf>
    <xf numFmtId="164" fontId="59" fillId="0" borderId="53" xfId="0" applyNumberFormat="1" applyFont="1" applyBorder="1" applyAlignment="1">
      <alignment horizontal="right" vertical="center"/>
    </xf>
    <xf numFmtId="187" fontId="59" fillId="0" borderId="53" xfId="0" applyNumberFormat="1" applyFont="1" applyBorder="1" applyAlignment="1">
      <alignment horizontal="right" vertical="center"/>
    </xf>
    <xf numFmtId="187" fontId="53" fillId="0" borderId="53" xfId="0" applyNumberFormat="1" applyFont="1" applyBorder="1" applyAlignment="1">
      <alignment horizontal="right" vertical="center"/>
    </xf>
    <xf numFmtId="174" fontId="59" fillId="0" borderId="53" xfId="0" applyNumberFormat="1" applyFont="1" applyBorder="1" applyAlignment="1">
      <alignment horizontal="right" vertical="center"/>
    </xf>
    <xf numFmtId="182" fontId="53" fillId="0" borderId="53" xfId="0" applyNumberFormat="1" applyFont="1" applyBorder="1" applyAlignment="1">
      <alignment horizontal="right" vertical="center"/>
    </xf>
    <xf numFmtId="187" fontId="52" fillId="20" borderId="53" xfId="0" applyNumberFormat="1" applyFont="1" applyFill="1" applyBorder="1" applyAlignment="1">
      <alignment horizontal="right" vertical="center"/>
    </xf>
    <xf numFmtId="0" fontId="76" fillId="0" borderId="53" xfId="0" applyFont="1" applyBorder="1" applyAlignment="1">
      <alignment horizontal="left" vertical="center" wrapText="1"/>
    </xf>
    <xf numFmtId="187" fontId="59" fillId="0" borderId="0" xfId="0" applyNumberFormat="1" applyFont="1" applyAlignment="1">
      <alignment horizontal="right" vertical="center" wrapText="1"/>
    </xf>
    <xf numFmtId="0" fontId="91" fillId="0" borderId="0" xfId="0" applyFont="1" applyAlignment="1">
      <alignment horizontal="left" vertical="center" wrapText="1"/>
    </xf>
    <xf numFmtId="0" fontId="92" fillId="2" borderId="0" xfId="0" applyFont="1" applyFill="1" applyAlignment="1">
      <alignment horizontal="center" vertical="center" wrapText="1"/>
    </xf>
    <xf numFmtId="187" fontId="77" fillId="20" borderId="53" xfId="0" applyNumberFormat="1" applyFont="1" applyFill="1" applyBorder="1" applyAlignment="1">
      <alignment horizontal="right" vertical="center"/>
    </xf>
    <xf numFmtId="187" fontId="52" fillId="20" borderId="53" xfId="0" applyNumberFormat="1" applyFont="1" applyFill="1" applyBorder="1" applyAlignment="1">
      <alignment horizontal="right" vertical="center" wrapText="1"/>
    </xf>
    <xf numFmtId="208" fontId="53" fillId="20" borderId="53" xfId="0" applyNumberFormat="1" applyFont="1" applyFill="1" applyBorder="1" applyAlignment="1">
      <alignment horizontal="right" vertical="center" wrapText="1"/>
    </xf>
    <xf numFmtId="174" fontId="52" fillId="20" borderId="53" xfId="0" applyNumberFormat="1" applyFont="1" applyFill="1" applyBorder="1" applyAlignment="1">
      <alignment horizontal="right" vertical="center" wrapText="1"/>
    </xf>
    <xf numFmtId="174" fontId="53" fillId="20" borderId="53" xfId="0" applyNumberFormat="1" applyFont="1" applyFill="1" applyBorder="1" applyAlignment="1">
      <alignment horizontal="right" vertical="center" wrapText="1"/>
    </xf>
    <xf numFmtId="0" fontId="89" fillId="21" borderId="0" xfId="0" applyFont="1" applyFill="1" applyAlignment="1">
      <alignment horizontal="left" vertical="center" wrapText="1"/>
    </xf>
    <xf numFmtId="0" fontId="90" fillId="21" borderId="0" xfId="0" applyFont="1" applyFill="1" applyAlignment="1">
      <alignment wrapText="1"/>
    </xf>
    <xf numFmtId="174" fontId="0" fillId="0" borderId="0" xfId="0" applyNumberFormat="1"/>
    <xf numFmtId="201" fontId="77" fillId="20" borderId="53" xfId="0" applyNumberFormat="1" applyFont="1" applyFill="1" applyBorder="1" applyAlignment="1">
      <alignment horizontal="right" vertical="center"/>
    </xf>
    <xf numFmtId="4" fontId="77" fillId="20" borderId="53" xfId="0" applyNumberFormat="1" applyFont="1" applyFill="1" applyBorder="1" applyAlignment="1">
      <alignment horizontal="right" vertical="center"/>
    </xf>
    <xf numFmtId="174" fontId="77" fillId="20" borderId="53" xfId="0" applyNumberFormat="1" applyFont="1" applyFill="1" applyBorder="1" applyAlignment="1">
      <alignment horizontal="right" vertical="center"/>
    </xf>
    <xf numFmtId="201" fontId="59" fillId="0" borderId="0" xfId="0" applyNumberFormat="1" applyFont="1" applyAlignment="1">
      <alignment horizontal="right" vertical="center"/>
    </xf>
    <xf numFmtId="209" fontId="59" fillId="0" borderId="0" xfId="0" applyNumberFormat="1" applyFont="1" applyAlignment="1">
      <alignment horizontal="right" vertical="center"/>
    </xf>
    <xf numFmtId="209" fontId="0" fillId="0" borderId="0" xfId="0" applyNumberFormat="1"/>
    <xf numFmtId="209" fontId="10" fillId="2" borderId="0" xfId="0" applyNumberFormat="1" applyFont="1" applyFill="1" applyAlignment="1">
      <alignment horizontal="center" vertical="center" wrapText="1"/>
    </xf>
    <xf numFmtId="1" fontId="59" fillId="0" borderId="0" xfId="0" applyNumberFormat="1" applyFont="1" applyAlignment="1">
      <alignment horizontal="right" vertical="center"/>
    </xf>
    <xf numFmtId="210" fontId="59" fillId="0" borderId="0" xfId="0" applyNumberFormat="1" applyFont="1" applyAlignment="1">
      <alignment horizontal="right" vertical="center"/>
    </xf>
    <xf numFmtId="174" fontId="52" fillId="0" borderId="0" xfId="0" applyNumberFormat="1" applyFont="1" applyAlignment="1">
      <alignment horizontal="right" vertical="center"/>
    </xf>
    <xf numFmtId="210" fontId="53" fillId="0" borderId="0" xfId="0" applyNumberFormat="1" applyFont="1" applyAlignment="1">
      <alignment horizontal="left" vertical="center" wrapText="1"/>
    </xf>
    <xf numFmtId="201" fontId="0" fillId="0" borderId="0" xfId="0" applyNumberFormat="1"/>
    <xf numFmtId="210" fontId="0" fillId="0" borderId="0" xfId="0" applyNumberFormat="1"/>
    <xf numFmtId="207" fontId="0" fillId="0" borderId="0" xfId="0" applyNumberFormat="1"/>
    <xf numFmtId="0" fontId="95" fillId="0" borderId="0" xfId="0" applyFont="1"/>
    <xf numFmtId="0" fontId="97" fillId="23" borderId="54" xfId="0" applyFont="1" applyFill="1" applyBorder="1" applyAlignment="1">
      <alignment wrapText="1"/>
    </xf>
    <xf numFmtId="0" fontId="98" fillId="23" borderId="0" xfId="0" applyFont="1" applyFill="1"/>
    <xf numFmtId="0" fontId="98" fillId="25" borderId="0" xfId="0" applyFont="1" applyFill="1"/>
    <xf numFmtId="211" fontId="95" fillId="0" borderId="0" xfId="0" applyNumberFormat="1" applyFont="1"/>
    <xf numFmtId="211" fontId="98" fillId="23" borderId="0" xfId="0" applyNumberFormat="1" applyFont="1" applyFill="1"/>
    <xf numFmtId="211" fontId="98" fillId="25" borderId="0" xfId="0" applyNumberFormat="1" applyFont="1" applyFill="1"/>
    <xf numFmtId="211" fontId="93" fillId="0" borderId="0" xfId="0" applyNumberFormat="1" applyFont="1"/>
    <xf numFmtId="211" fontId="99" fillId="0" borderId="0" xfId="0" applyNumberFormat="1" applyFont="1"/>
    <xf numFmtId="0" fontId="95" fillId="0" borderId="0" xfId="0" applyFont="1" applyAlignment="1">
      <alignment wrapText="1"/>
    </xf>
    <xf numFmtId="4" fontId="95" fillId="0" borderId="0" xfId="0" applyNumberFormat="1" applyFont="1" applyAlignment="1">
      <alignment wrapText="1"/>
    </xf>
    <xf numFmtId="211" fontId="93" fillId="0" borderId="0" xfId="0" applyNumberFormat="1" applyFont="1" applyAlignment="1">
      <alignment wrapText="1"/>
    </xf>
    <xf numFmtId="211" fontId="99" fillId="0" borderId="0" xfId="0" applyNumberFormat="1" applyFont="1" applyAlignment="1">
      <alignment wrapText="1"/>
    </xf>
    <xf numFmtId="0" fontId="98" fillId="23" borderId="0" xfId="0" applyFont="1" applyFill="1" applyAlignment="1">
      <alignment wrapText="1"/>
    </xf>
    <xf numFmtId="211" fontId="100" fillId="23" borderId="0" xfId="0" applyNumberFormat="1" applyFont="1" applyFill="1" applyAlignment="1">
      <alignment wrapText="1"/>
    </xf>
    <xf numFmtId="211" fontId="95" fillId="0" borderId="0" xfId="0" applyNumberFormat="1" applyFont="1" applyAlignment="1">
      <alignment wrapText="1"/>
    </xf>
    <xf numFmtId="0" fontId="98" fillId="25" borderId="0" xfId="0" applyFont="1" applyFill="1" applyAlignment="1">
      <alignment wrapText="1"/>
    </xf>
    <xf numFmtId="0" fontId="99" fillId="0" borderId="0" xfId="0" applyFont="1"/>
    <xf numFmtId="174" fontId="98" fillId="25" borderId="0" xfId="0" applyNumberFormat="1" applyFont="1" applyFill="1"/>
    <xf numFmtId="174" fontId="99" fillId="0" borderId="0" xfId="0" applyNumberFormat="1" applyFont="1"/>
    <xf numFmtId="174" fontId="95" fillId="0" borderId="0" xfId="0" applyNumberFormat="1" applyFont="1" applyAlignment="1">
      <alignment wrapText="1"/>
    </xf>
    <xf numFmtId="174" fontId="99" fillId="0" borderId="0" xfId="0" applyNumberFormat="1" applyFont="1" applyAlignment="1">
      <alignment wrapText="1"/>
    </xf>
    <xf numFmtId="0" fontId="99" fillId="0" borderId="0" xfId="0" applyFont="1" applyAlignment="1">
      <alignment wrapText="1"/>
    </xf>
    <xf numFmtId="4" fontId="93" fillId="0" borderId="0" xfId="0" applyNumberFormat="1" applyFont="1" applyAlignment="1">
      <alignment wrapText="1"/>
    </xf>
    <xf numFmtId="4" fontId="99" fillId="0" borderId="0" xfId="0" applyNumberFormat="1" applyFont="1" applyAlignment="1">
      <alignment wrapText="1"/>
    </xf>
    <xf numFmtId="187" fontId="0" fillId="0" borderId="0" xfId="0" applyNumberFormat="1"/>
    <xf numFmtId="169" fontId="5" fillId="8" borderId="0" xfId="0" applyNumberFormat="1" applyFont="1" applyFill="1" applyAlignment="1">
      <alignment horizontal="right"/>
    </xf>
    <xf numFmtId="200" fontId="13" fillId="8" borderId="0" xfId="0" applyNumberFormat="1" applyFont="1" applyFill="1" applyAlignment="1">
      <alignment horizontal="right"/>
    </xf>
    <xf numFmtId="2" fontId="53" fillId="0" borderId="0" xfId="0" applyNumberFormat="1" applyFont="1" applyAlignment="1">
      <alignment horizontal="right" vertical="center"/>
    </xf>
    <xf numFmtId="207" fontId="53" fillId="0" borderId="0" xfId="0" applyNumberFormat="1" applyFont="1" applyAlignment="1">
      <alignment horizontal="right" vertical="center"/>
    </xf>
    <xf numFmtId="10" fontId="53" fillId="0" borderId="0" xfId="0" applyNumberFormat="1" applyFont="1" applyAlignment="1">
      <alignment horizontal="right" vertical="center"/>
    </xf>
    <xf numFmtId="2" fontId="52" fillId="0" borderId="0" xfId="0" applyNumberFormat="1" applyFont="1" applyAlignment="1">
      <alignment horizontal="right" vertical="center"/>
    </xf>
    <xf numFmtId="2" fontId="58" fillId="3" borderId="0" xfId="0" applyNumberFormat="1" applyFont="1" applyFill="1" applyAlignment="1">
      <alignment horizontal="right" vertical="center"/>
    </xf>
    <xf numFmtId="10" fontId="58" fillId="3" borderId="0" xfId="0" applyNumberFormat="1" applyFont="1" applyFill="1" applyAlignment="1">
      <alignment horizontal="right" vertical="center"/>
    </xf>
    <xf numFmtId="10" fontId="0" fillId="0" borderId="0" xfId="0" applyNumberFormat="1"/>
    <xf numFmtId="2" fontId="0" fillId="0" borderId="0" xfId="0" applyNumberFormat="1"/>
    <xf numFmtId="210" fontId="53" fillId="0" borderId="0" xfId="0" applyNumberFormat="1" applyFont="1" applyAlignment="1">
      <alignment horizontal="right" vertical="center"/>
    </xf>
    <xf numFmtId="170" fontId="0" fillId="0" borderId="0" xfId="0" applyNumberFormat="1"/>
    <xf numFmtId="213" fontId="0" fillId="0" borderId="0" xfId="0" applyNumberFormat="1"/>
    <xf numFmtId="214" fontId="0" fillId="0" borderId="0" xfId="0" applyNumberFormat="1"/>
    <xf numFmtId="214" fontId="77" fillId="20" borderId="53" xfId="0" applyNumberFormat="1" applyFont="1" applyFill="1" applyBorder="1" applyAlignment="1">
      <alignment horizontal="right" vertical="center"/>
    </xf>
    <xf numFmtId="15" fontId="60" fillId="0" borderId="53" xfId="0" applyNumberFormat="1" applyFont="1" applyBorder="1" applyAlignment="1">
      <alignment horizontal="left" vertical="center" wrapText="1"/>
    </xf>
    <xf numFmtId="214" fontId="52" fillId="20" borderId="53" xfId="0" applyNumberFormat="1" applyFont="1" applyFill="1" applyBorder="1" applyAlignment="1">
      <alignment horizontal="right" vertical="center"/>
    </xf>
    <xf numFmtId="214" fontId="53" fillId="20" borderId="53" xfId="0" applyNumberFormat="1" applyFont="1" applyFill="1" applyBorder="1" applyAlignment="1">
      <alignment horizontal="right" vertical="center" wrapText="1"/>
    </xf>
    <xf numFmtId="210" fontId="77" fillId="20" borderId="53" xfId="0" applyNumberFormat="1" applyFont="1" applyFill="1" applyBorder="1" applyAlignment="1">
      <alignment horizontal="right" vertical="center"/>
    </xf>
    <xf numFmtId="3" fontId="49" fillId="0" borderId="11" xfId="0" applyNumberFormat="1" applyFont="1" applyBorder="1" applyAlignment="1">
      <alignment wrapText="1"/>
    </xf>
    <xf numFmtId="0" fontId="49" fillId="0" borderId="11" xfId="0" applyFont="1" applyBorder="1" applyAlignment="1">
      <alignment horizontal="right" wrapText="1"/>
    </xf>
    <xf numFmtId="168" fontId="49" fillId="0" borderId="11" xfId="0" applyNumberFormat="1" applyFont="1" applyBorder="1" applyAlignment="1">
      <alignment horizontal="right" wrapText="1"/>
    </xf>
    <xf numFmtId="0" fontId="49" fillId="0" borderId="11" xfId="0" applyFont="1" applyBorder="1" applyAlignment="1">
      <alignment wrapText="1"/>
    </xf>
    <xf numFmtId="170" fontId="49" fillId="0" borderId="14" xfId="0" applyNumberFormat="1" applyFont="1" applyBorder="1" applyAlignment="1">
      <alignment wrapText="1"/>
    </xf>
    <xf numFmtId="0" fontId="103" fillId="27" borderId="10" xfId="0" applyFont="1" applyFill="1" applyBorder="1" applyAlignment="1">
      <alignment horizontal="center" vertical="center" wrapText="1"/>
    </xf>
    <xf numFmtId="0" fontId="103" fillId="27" borderId="12" xfId="0" applyFont="1" applyFill="1" applyBorder="1" applyAlignment="1">
      <alignment horizontal="center" vertical="center" wrapText="1"/>
    </xf>
    <xf numFmtId="201" fontId="0" fillId="0" borderId="0" xfId="0" applyNumberFormat="1" applyAlignment="1">
      <alignment wrapText="1"/>
    </xf>
    <xf numFmtId="0" fontId="104" fillId="0" borderId="0" xfId="0" applyFont="1" applyAlignment="1">
      <alignment horizontal="center"/>
    </xf>
    <xf numFmtId="17" fontId="3" fillId="0" borderId="0" xfId="0" applyNumberFormat="1" applyFont="1" applyAlignment="1">
      <alignment horizontal="right"/>
    </xf>
    <xf numFmtId="17" fontId="3" fillId="0" borderId="0" xfId="0" applyNumberFormat="1" applyFont="1"/>
    <xf numFmtId="215" fontId="0" fillId="0" borderId="0" xfId="0" applyNumberFormat="1"/>
    <xf numFmtId="10" fontId="95" fillId="0" borderId="0" xfId="0" applyNumberFormat="1" applyFont="1" applyAlignment="1">
      <alignment wrapText="1"/>
    </xf>
    <xf numFmtId="10" fontId="99" fillId="0" borderId="0" xfId="0" applyNumberFormat="1" applyFont="1" applyAlignment="1">
      <alignment wrapText="1"/>
    </xf>
    <xf numFmtId="10" fontId="100" fillId="23" borderId="0" xfId="0" applyNumberFormat="1" applyFont="1" applyFill="1" applyAlignment="1">
      <alignment wrapText="1"/>
    </xf>
    <xf numFmtId="1" fontId="49" fillId="0" borderId="11" xfId="0" applyNumberFormat="1" applyFont="1" applyBorder="1" applyAlignment="1">
      <alignment wrapText="1"/>
    </xf>
    <xf numFmtId="201" fontId="49" fillId="0" borderId="11" xfId="0" applyNumberFormat="1" applyFont="1" applyBorder="1" applyAlignment="1">
      <alignment wrapText="1"/>
    </xf>
    <xf numFmtId="0" fontId="13" fillId="0" borderId="15" xfId="0" applyFont="1" applyBorder="1"/>
    <xf numFmtId="0" fontId="13" fillId="0" borderId="17" xfId="0" applyFont="1" applyBorder="1"/>
    <xf numFmtId="0" fontId="13" fillId="0" borderId="19" xfId="0" applyFont="1" applyBorder="1"/>
    <xf numFmtId="0" fontId="105" fillId="28" borderId="0" xfId="0" applyFont="1" applyFill="1" applyAlignment="1">
      <alignment horizontal="center" vertical="center" wrapText="1"/>
    </xf>
    <xf numFmtId="0" fontId="72" fillId="0" borderId="0" xfId="0" applyFont="1" applyAlignment="1">
      <alignment horizontal="center" vertical="center" wrapText="1"/>
    </xf>
    <xf numFmtId="0" fontId="72" fillId="0" borderId="11" xfId="0" applyFont="1" applyBorder="1" applyAlignment="1">
      <alignment horizontal="center" vertical="center" wrapText="1"/>
    </xf>
    <xf numFmtId="0" fontId="72" fillId="0" borderId="13" xfId="0" applyFont="1" applyBorder="1" applyAlignment="1">
      <alignment horizontal="center" vertical="center" wrapText="1"/>
    </xf>
    <xf numFmtId="0" fontId="72" fillId="0" borderId="14" xfId="0" applyFont="1" applyBorder="1" applyAlignment="1">
      <alignment horizontal="center" vertical="center" wrapText="1"/>
    </xf>
    <xf numFmtId="0" fontId="27" fillId="11" borderId="24" xfId="0" applyFont="1" applyFill="1" applyBorder="1" applyAlignment="1">
      <alignment horizontal="center" vertical="top"/>
    </xf>
    <xf numFmtId="0" fontId="27" fillId="11" borderId="25" xfId="0" applyFont="1" applyFill="1" applyBorder="1" applyAlignment="1">
      <alignment horizontal="center" vertical="top"/>
    </xf>
    <xf numFmtId="0" fontId="27" fillId="11" borderId="26" xfId="0" applyFont="1" applyFill="1" applyBorder="1" applyAlignment="1">
      <alignment horizontal="center" vertical="top"/>
    </xf>
    <xf numFmtId="0" fontId="102" fillId="26" borderId="7" xfId="0" applyFont="1" applyFill="1" applyBorder="1" applyAlignment="1">
      <alignment horizontal="left" vertical="center"/>
    </xf>
    <xf numFmtId="0" fontId="102" fillId="26" borderId="8" xfId="0" applyFont="1" applyFill="1" applyBorder="1" applyAlignment="1">
      <alignment horizontal="left" vertical="center"/>
    </xf>
    <xf numFmtId="0" fontId="102" fillId="26" borderId="9" xfId="0" applyFont="1" applyFill="1" applyBorder="1" applyAlignment="1">
      <alignment horizontal="left" vertical="center"/>
    </xf>
    <xf numFmtId="0" fontId="0" fillId="0" borderId="0" xfId="0" applyAlignment="1">
      <alignment horizontal="center"/>
    </xf>
    <xf numFmtId="168" fontId="4" fillId="8" borderId="0" xfId="0" applyNumberFormat="1" applyFont="1" applyFill="1" applyAlignment="1">
      <alignment horizontal="right"/>
    </xf>
    <xf numFmtId="0" fontId="58" fillId="3" borderId="0" xfId="0" applyFont="1" applyFill="1" applyAlignment="1">
      <alignment horizontal="left" vertical="center"/>
    </xf>
    <xf numFmtId="0" fontId="61" fillId="3" borderId="0" xfId="0" applyFont="1" applyFill="1" applyAlignment="1">
      <alignment horizontal="left" vertical="center"/>
    </xf>
    <xf numFmtId="0" fontId="58" fillId="3" borderId="0" xfId="0" applyFont="1" applyFill="1" applyAlignment="1">
      <alignment horizontal="left" vertical="center" wrapText="1"/>
    </xf>
    <xf numFmtId="0" fontId="60" fillId="0" borderId="0" xfId="0" applyFont="1" applyAlignment="1">
      <alignment horizontal="left" vertical="center" wrapText="1"/>
    </xf>
    <xf numFmtId="0" fontId="37" fillId="2" borderId="7" xfId="0" applyFont="1" applyFill="1" applyBorder="1"/>
    <xf numFmtId="0" fontId="3" fillId="2" borderId="10" xfId="0" applyFont="1" applyFill="1" applyBorder="1"/>
    <xf numFmtId="0" fontId="3" fillId="9" borderId="10" xfId="0" applyFont="1" applyFill="1" applyBorder="1"/>
    <xf numFmtId="0" fontId="0" fillId="0" borderId="0" xfId="0"/>
    <xf numFmtId="0" fontId="10" fillId="2" borderId="0" xfId="0" applyFont="1" applyFill="1" applyAlignment="1">
      <alignment horizontal="center" vertical="center" wrapText="1"/>
    </xf>
    <xf numFmtId="0" fontId="53" fillId="0" borderId="0" xfId="0" applyFont="1" applyAlignment="1">
      <alignment horizontal="left" vertical="center" wrapText="1"/>
    </xf>
    <xf numFmtId="0" fontId="3" fillId="0" borderId="11" xfId="0" applyFont="1" applyBorder="1" applyAlignment="1">
      <alignment horizontal="left" vertical="center"/>
    </xf>
    <xf numFmtId="0" fontId="0" fillId="0" borderId="0" xfId="0" applyAlignment="1">
      <alignment horizontal="left"/>
    </xf>
    <xf numFmtId="0" fontId="3" fillId="0" borderId="12" xfId="0" applyFont="1" applyBorder="1" applyAlignment="1">
      <alignment horizontal="center" vertical="center"/>
    </xf>
    <xf numFmtId="0" fontId="3" fillId="0" borderId="11" xfId="0" applyFont="1" applyBorder="1" applyAlignment="1">
      <alignment horizontal="center" vertical="center"/>
    </xf>
    <xf numFmtId="0" fontId="78" fillId="3" borderId="0" xfId="0" applyFont="1" applyFill="1" applyAlignment="1">
      <alignment horizontal="left" vertical="center" wrapText="1"/>
    </xf>
    <xf numFmtId="0" fontId="37" fillId="2" borderId="10" xfId="0" applyFont="1" applyFill="1" applyBorder="1"/>
    <xf numFmtId="0" fontId="37" fillId="2" borderId="0" xfId="0" applyFont="1" applyFill="1"/>
    <xf numFmtId="0" fontId="3" fillId="9" borderId="0" xfId="0" applyFont="1" applyFill="1"/>
    <xf numFmtId="0" fontId="0" fillId="0" borderId="0" xfId="0" applyAlignment="1">
      <alignment wrapText="1"/>
    </xf>
    <xf numFmtId="0" fontId="84" fillId="19" borderId="31" xfId="1" applyFont="1" applyFill="1" applyBorder="1" applyAlignment="1">
      <alignment vertical="center" wrapText="1"/>
    </xf>
    <xf numFmtId="0" fontId="67" fillId="19" borderId="32" xfId="1" applyFont="1" applyFill="1" applyBorder="1" applyAlignment="1">
      <alignment vertical="center" wrapText="1"/>
    </xf>
    <xf numFmtId="0" fontId="67" fillId="19" borderId="33" xfId="1" applyFont="1" applyFill="1" applyBorder="1" applyAlignment="1">
      <alignment vertical="center" wrapText="1"/>
    </xf>
    <xf numFmtId="0" fontId="84" fillId="15" borderId="36" xfId="1" applyFont="1" applyFill="1" applyBorder="1" applyAlignment="1">
      <alignment vertical="center" wrapText="1"/>
    </xf>
    <xf numFmtId="0" fontId="64" fillId="15" borderId="37" xfId="1" applyFont="1" applyFill="1" applyBorder="1" applyAlignment="1">
      <alignment vertical="center" wrapText="1"/>
    </xf>
    <xf numFmtId="0" fontId="64" fillId="15" borderId="38" xfId="1" applyFont="1" applyFill="1" applyBorder="1" applyAlignment="1">
      <alignment vertical="center" wrapText="1"/>
    </xf>
    <xf numFmtId="0" fontId="69" fillId="19" borderId="44" xfId="1" applyFont="1" applyFill="1" applyBorder="1" applyAlignment="1">
      <alignment vertical="center" wrapText="1"/>
    </xf>
    <xf numFmtId="0" fontId="69" fillId="19" borderId="0" xfId="1" applyFont="1" applyFill="1" applyAlignment="1">
      <alignment vertical="center" wrapText="1"/>
    </xf>
    <xf numFmtId="0" fontId="67" fillId="14" borderId="36" xfId="1" applyFont="1" applyFill="1" applyBorder="1" applyAlignment="1">
      <alignment vertical="center" wrapText="1"/>
    </xf>
    <xf numFmtId="0" fontId="67" fillId="14" borderId="37" xfId="1" applyFont="1" applyFill="1" applyBorder="1" applyAlignment="1">
      <alignment vertical="center" wrapText="1"/>
    </xf>
    <xf numFmtId="0" fontId="67" fillId="14" borderId="38" xfId="1" applyFont="1" applyFill="1" applyBorder="1" applyAlignment="1">
      <alignment vertical="center" wrapText="1"/>
    </xf>
    <xf numFmtId="0" fontId="67" fillId="14" borderId="41" xfId="1" applyFont="1" applyFill="1" applyBorder="1" applyAlignment="1">
      <alignment vertical="center" wrapText="1"/>
    </xf>
    <xf numFmtId="0" fontId="67" fillId="14" borderId="42" xfId="1" applyFont="1" applyFill="1" applyBorder="1" applyAlignment="1">
      <alignment vertical="center" wrapText="1"/>
    </xf>
    <xf numFmtId="0" fontId="67" fillId="14" borderId="43" xfId="1" applyFont="1" applyFill="1" applyBorder="1" applyAlignment="1">
      <alignment vertical="center" wrapText="1"/>
    </xf>
    <xf numFmtId="0" fontId="58" fillId="19" borderId="27" xfId="1" applyFont="1" applyFill="1" applyBorder="1" applyAlignment="1">
      <alignment vertical="center" wrapText="1"/>
    </xf>
    <xf numFmtId="0" fontId="69" fillId="19" borderId="34" xfId="1" applyFont="1" applyFill="1" applyBorder="1" applyAlignment="1">
      <alignment vertical="center" wrapText="1"/>
    </xf>
    <xf numFmtId="0" fontId="68" fillId="19" borderId="34" xfId="1" applyFont="1" applyFill="1" applyBorder="1" applyAlignment="1">
      <alignment vertical="center" wrapText="1"/>
    </xf>
    <xf numFmtId="0" fontId="58" fillId="14" borderId="45" xfId="1" applyFont="1" applyFill="1" applyBorder="1" applyAlignment="1">
      <alignment vertical="center" wrapText="1"/>
    </xf>
    <xf numFmtId="0" fontId="58" fillId="14" borderId="46" xfId="1" applyFont="1" applyFill="1" applyBorder="1" applyAlignment="1">
      <alignment vertical="center" wrapText="1"/>
    </xf>
    <xf numFmtId="0" fontId="58" fillId="14" borderId="47" xfId="1" applyFont="1" applyFill="1" applyBorder="1" applyAlignment="1">
      <alignment vertical="center" wrapText="1"/>
    </xf>
    <xf numFmtId="0" fontId="96" fillId="22" borderId="0" xfId="0" applyFont="1" applyFill="1" applyAlignment="1">
      <alignment vertical="center"/>
    </xf>
    <xf numFmtId="0" fontId="94" fillId="23" borderId="0" xfId="0" applyFont="1" applyFill="1" applyAlignment="1">
      <alignment vertical="center" wrapText="1"/>
    </xf>
    <xf numFmtId="0" fontId="96" fillId="24" borderId="0" xfId="0" applyFont="1" applyFill="1"/>
    <xf numFmtId="0" fontId="96" fillId="24" borderId="0" xfId="0" applyFont="1" applyFill="1" applyAlignment="1">
      <alignment wrapText="1"/>
    </xf>
    <xf numFmtId="0" fontId="105" fillId="30" borderId="55" xfId="0" applyFont="1" applyFill="1" applyBorder="1"/>
    <xf numFmtId="0" fontId="98" fillId="31" borderId="0" xfId="0" applyFont="1" applyFill="1" applyAlignment="1">
      <alignment horizontal="center" wrapText="1"/>
    </xf>
    <xf numFmtId="0" fontId="107" fillId="0" borderId="55" xfId="0" applyFont="1" applyBorder="1"/>
    <xf numFmtId="220" fontId="99" fillId="0" borderId="0" xfId="0" applyNumberFormat="1" applyFont="1" applyAlignment="1">
      <alignment wrapText="1"/>
    </xf>
    <xf numFmtId="0" fontId="106" fillId="32" borderId="55" xfId="0" applyFont="1" applyFill="1" applyBorder="1"/>
    <xf numFmtId="0" fontId="98" fillId="31" borderId="0" xfId="0" applyFont="1" applyFill="1"/>
    <xf numFmtId="0" fontId="98" fillId="31" borderId="0" xfId="0" applyFont="1" applyFill="1" applyAlignment="1">
      <alignment horizontal="center"/>
    </xf>
    <xf numFmtId="4" fontId="95" fillId="0" borderId="0" xfId="0" applyNumberFormat="1" applyFont="1"/>
    <xf numFmtId="0" fontId="23" fillId="33" borderId="55" xfId="0" applyFont="1" applyFill="1" applyBorder="1"/>
    <xf numFmtId="0" fontId="98" fillId="33" borderId="0" xfId="0" applyFont="1" applyFill="1"/>
    <xf numFmtId="211" fontId="98" fillId="33" borderId="0" xfId="0" applyNumberFormat="1" applyFont="1" applyFill="1"/>
    <xf numFmtId="0" fontId="0" fillId="0" borderId="55" xfId="0" applyBorder="1" applyAlignment="1">
      <alignment wrapText="1"/>
    </xf>
    <xf numFmtId="214" fontId="95" fillId="0" borderId="0" xfId="0" applyNumberFormat="1" applyFont="1"/>
    <xf numFmtId="214" fontId="98" fillId="33" borderId="0" xfId="0" applyNumberFormat="1" applyFont="1" applyFill="1"/>
    <xf numFmtId="0" fontId="96" fillId="22" borderId="0" xfId="0" applyFont="1" applyFill="1" applyAlignment="1">
      <alignment vertical="center" wrapText="1"/>
    </xf>
    <xf numFmtId="0" fontId="105" fillId="30" borderId="55" xfId="0" applyFont="1" applyFill="1" applyBorder="1" applyAlignment="1">
      <alignment wrapText="1"/>
    </xf>
    <xf numFmtId="0" fontId="107" fillId="0" borderId="55" xfId="0" applyFont="1" applyBorder="1" applyAlignment="1">
      <alignment wrapText="1"/>
    </xf>
    <xf numFmtId="0" fontId="106" fillId="32" borderId="55" xfId="0" applyFont="1" applyFill="1" applyBorder="1" applyAlignment="1">
      <alignment wrapText="1"/>
    </xf>
    <xf numFmtId="0" fontId="23" fillId="33" borderId="55" xfId="0" applyFont="1" applyFill="1" applyBorder="1" applyAlignment="1">
      <alignment wrapText="1"/>
    </xf>
    <xf numFmtId="0" fontId="23" fillId="31" borderId="0" xfId="0" applyFont="1" applyFill="1"/>
    <xf numFmtId="0" fontId="23" fillId="31" borderId="0" xfId="0" applyFont="1" applyFill="1" applyAlignment="1">
      <alignment horizontal="center"/>
    </xf>
    <xf numFmtId="211" fontId="0" fillId="0" borderId="0" xfId="0" applyNumberFormat="1"/>
    <xf numFmtId="1" fontId="0" fillId="0" borderId="0" xfId="0" applyNumberFormat="1"/>
    <xf numFmtId="0" fontId="23" fillId="31" borderId="0" xfId="0" applyFont="1" applyFill="1" applyAlignment="1">
      <alignment horizontal="center" wrapText="1"/>
    </xf>
    <xf numFmtId="211" fontId="0" fillId="0" borderId="0" xfId="0" applyNumberFormat="1" applyAlignment="1">
      <alignment wrapText="1"/>
    </xf>
    <xf numFmtId="174" fontId="0" fillId="0" borderId="0" xfId="0" applyNumberFormat="1" applyAlignment="1">
      <alignment wrapText="1"/>
    </xf>
    <xf numFmtId="4" fontId="0" fillId="0" borderId="0" xfId="0" applyNumberFormat="1"/>
    <xf numFmtId="0" fontId="85" fillId="19" borderId="56" xfId="1" applyFont="1" applyFill="1" applyBorder="1" applyAlignment="1">
      <alignment horizontal="center" vertical="center" wrapText="1"/>
    </xf>
    <xf numFmtId="0" fontId="85" fillId="19" borderId="55" xfId="1" applyFont="1" applyFill="1" applyBorder="1" applyAlignment="1">
      <alignment horizontal="center" vertical="center" wrapText="1"/>
    </xf>
    <xf numFmtId="0" fontId="66" fillId="17" borderId="27" xfId="1" applyFont="1" applyFill="1" applyBorder="1" applyAlignment="1">
      <alignment vertical="center"/>
    </xf>
    <xf numFmtId="0" fontId="62" fillId="0" borderId="0" xfId="1" applyAlignment="1"/>
    <xf numFmtId="0" fontId="59" fillId="17" borderId="0" xfId="1" applyFont="1" applyFill="1" applyAlignment="1">
      <alignment vertical="center"/>
    </xf>
    <xf numFmtId="0" fontId="67" fillId="17" borderId="0" xfId="1" applyFont="1" applyFill="1" applyAlignment="1">
      <alignment vertical="center"/>
    </xf>
    <xf numFmtId="0" fontId="58" fillId="18" borderId="0" xfId="1" applyFont="1" applyFill="1" applyAlignment="1">
      <alignment horizontal="center" vertical="center"/>
    </xf>
    <xf numFmtId="0" fontId="58" fillId="18" borderId="28" xfId="1" applyFont="1" applyFill="1" applyBorder="1" applyAlignment="1">
      <alignment horizontal="left" vertical="center"/>
    </xf>
    <xf numFmtId="0" fontId="58" fillId="18" borderId="29" xfId="1" applyFont="1" applyFill="1" applyBorder="1" applyAlignment="1">
      <alignment horizontal="left" vertical="center"/>
    </xf>
    <xf numFmtId="0" fontId="58" fillId="18" borderId="30" xfId="1" applyFont="1" applyFill="1" applyBorder="1" applyAlignment="1">
      <alignment horizontal="left" vertical="center"/>
    </xf>
    <xf numFmtId="0" fontId="10" fillId="18" borderId="28" xfId="1" applyFont="1" applyFill="1" applyBorder="1" applyAlignment="1">
      <alignment horizontal="left" vertical="center"/>
    </xf>
    <xf numFmtId="201" fontId="79" fillId="18" borderId="0" xfId="1" applyNumberFormat="1" applyFont="1" applyFill="1" applyAlignment="1">
      <alignment horizontal="center" vertical="center"/>
    </xf>
    <xf numFmtId="201" fontId="58" fillId="18" borderId="0" xfId="1" applyNumberFormat="1" applyFont="1" applyFill="1" applyAlignment="1">
      <alignment horizontal="center" vertical="center"/>
    </xf>
    <xf numFmtId="0" fontId="79" fillId="18" borderId="0" xfId="1" applyFont="1" applyFill="1" applyAlignment="1">
      <alignment vertical="center"/>
    </xf>
    <xf numFmtId="0" fontId="58" fillId="18" borderId="0" xfId="1" applyFont="1" applyFill="1" applyAlignment="1">
      <alignment vertical="center"/>
    </xf>
    <xf numFmtId="0" fontId="101" fillId="18" borderId="0" xfId="1" applyFont="1" applyFill="1" applyAlignment="1">
      <alignment horizontal="center" vertical="center"/>
    </xf>
    <xf numFmtId="0" fontId="79" fillId="18" borderId="0" xfId="1" applyFont="1" applyFill="1" applyAlignment="1">
      <alignment horizontal="center" vertical="center"/>
    </xf>
    <xf numFmtId="0" fontId="58" fillId="18" borderId="27" xfId="1" applyFont="1" applyFill="1" applyBorder="1" applyAlignment="1">
      <alignment horizontal="left" vertical="center"/>
    </xf>
    <xf numFmtId="0" fontId="64" fillId="0" borderId="0" xfId="1" applyFont="1" applyAlignment="1">
      <alignment vertical="center"/>
    </xf>
    <xf numFmtId="0" fontId="68" fillId="19" borderId="34" xfId="1" applyFont="1" applyFill="1" applyBorder="1" applyAlignment="1">
      <alignment horizontal="center" vertical="center"/>
    </xf>
    <xf numFmtId="202" fontId="80" fillId="19" borderId="34" xfId="1" applyNumberFormat="1" applyFont="1" applyFill="1" applyBorder="1" applyAlignment="1">
      <alignment horizontal="center" vertical="center"/>
    </xf>
    <xf numFmtId="202" fontId="74" fillId="19" borderId="34" xfId="1" applyNumberFormat="1" applyFont="1" applyFill="1" applyBorder="1" applyAlignment="1">
      <alignment horizontal="center" vertical="center"/>
    </xf>
    <xf numFmtId="0" fontId="80" fillId="19" borderId="34" xfId="1" applyFont="1" applyFill="1" applyBorder="1" applyAlignment="1">
      <alignment horizontal="center" vertical="center"/>
    </xf>
    <xf numFmtId="0" fontId="74" fillId="19" borderId="34" xfId="1" applyFont="1" applyFill="1" applyBorder="1" applyAlignment="1">
      <alignment horizontal="center" vertical="center"/>
    </xf>
    <xf numFmtId="0" fontId="81" fillId="19" borderId="34" xfId="1" applyFont="1" applyFill="1" applyBorder="1" applyAlignment="1">
      <alignment horizontal="center" vertical="center"/>
    </xf>
    <xf numFmtId="203" fontId="81" fillId="19" borderId="34" xfId="1" applyNumberFormat="1" applyFont="1" applyFill="1" applyBorder="1" applyAlignment="1">
      <alignment horizontal="center" vertical="center"/>
    </xf>
    <xf numFmtId="203" fontId="74" fillId="19" borderId="34" xfId="1" applyNumberFormat="1" applyFont="1" applyFill="1" applyBorder="1" applyAlignment="1">
      <alignment horizontal="center" vertical="center"/>
    </xf>
    <xf numFmtId="0" fontId="82" fillId="19" borderId="34" xfId="1" applyFont="1" applyFill="1" applyBorder="1" applyAlignment="1">
      <alignment horizontal="center" vertical="center"/>
    </xf>
    <xf numFmtId="0" fontId="73" fillId="19" borderId="34" xfId="1" applyFont="1" applyFill="1" applyBorder="1" applyAlignment="1">
      <alignment horizontal="center" vertical="center"/>
    </xf>
    <xf numFmtId="0" fontId="83" fillId="19" borderId="34" xfId="1" applyFont="1" applyFill="1" applyBorder="1" applyAlignment="1">
      <alignment horizontal="center" vertical="center"/>
    </xf>
    <xf numFmtId="0" fontId="58" fillId="17" borderId="35" xfId="1" applyFont="1" applyFill="1" applyBorder="1" applyAlignment="1">
      <alignment horizontal="center" vertical="center"/>
    </xf>
    <xf numFmtId="0" fontId="58" fillId="17" borderId="35" xfId="1" applyFont="1" applyFill="1" applyBorder="1" applyAlignment="1">
      <alignment horizontal="center" vertical="center"/>
    </xf>
    <xf numFmtId="0" fontId="67" fillId="15" borderId="34" xfId="1" applyFont="1" applyFill="1" applyBorder="1" applyAlignment="1">
      <alignment vertical="center"/>
    </xf>
    <xf numFmtId="202" fontId="59" fillId="15" borderId="34" xfId="1" applyNumberFormat="1" applyFont="1" applyFill="1" applyBorder="1" applyAlignment="1">
      <alignment horizontal="right" vertical="center"/>
    </xf>
    <xf numFmtId="202" fontId="67" fillId="15" borderId="34" xfId="1" applyNumberFormat="1" applyFont="1" applyFill="1" applyBorder="1" applyAlignment="1">
      <alignment horizontal="right" vertical="center"/>
    </xf>
    <xf numFmtId="202" fontId="84" fillId="15" borderId="34" xfId="1" applyNumberFormat="1" applyFont="1" applyFill="1" applyBorder="1" applyAlignment="1">
      <alignment horizontal="right" vertical="center"/>
    </xf>
    <xf numFmtId="203" fontId="84" fillId="15" borderId="34" xfId="1" applyNumberFormat="1" applyFont="1" applyFill="1" applyBorder="1" applyAlignment="1">
      <alignment horizontal="right" vertical="center"/>
    </xf>
    <xf numFmtId="204" fontId="59" fillId="15" borderId="34" xfId="1" applyNumberFormat="1" applyFont="1" applyFill="1" applyBorder="1" applyAlignment="1">
      <alignment horizontal="right" vertical="center"/>
    </xf>
    <xf numFmtId="0" fontId="67" fillId="15" borderId="34" xfId="1" applyFont="1" applyFill="1" applyBorder="1" applyAlignment="1">
      <alignment vertical="center"/>
    </xf>
    <xf numFmtId="0" fontId="67" fillId="0" borderId="34" xfId="1" applyFont="1" applyBorder="1" applyAlignment="1">
      <alignment vertical="center"/>
    </xf>
    <xf numFmtId="202" fontId="59" fillId="0" borderId="34" xfId="1" applyNumberFormat="1" applyFont="1" applyBorder="1" applyAlignment="1">
      <alignment horizontal="right" vertical="center"/>
    </xf>
    <xf numFmtId="202" fontId="67" fillId="0" borderId="34" xfId="1" applyNumberFormat="1" applyFont="1" applyBorder="1" applyAlignment="1">
      <alignment horizontal="right" vertical="center"/>
    </xf>
    <xf numFmtId="202" fontId="84" fillId="0" borderId="34" xfId="1" applyNumberFormat="1" applyFont="1" applyBorder="1" applyAlignment="1">
      <alignment horizontal="right" vertical="center"/>
    </xf>
    <xf numFmtId="203" fontId="84" fillId="0" borderId="34" xfId="1" applyNumberFormat="1" applyFont="1" applyBorder="1" applyAlignment="1">
      <alignment horizontal="right" vertical="center"/>
    </xf>
    <xf numFmtId="204" fontId="59" fillId="0" borderId="34" xfId="1" applyNumberFormat="1" applyFont="1" applyBorder="1" applyAlignment="1">
      <alignment horizontal="right" vertical="center"/>
    </xf>
    <xf numFmtId="0" fontId="67" fillId="0" borderId="34" xfId="1" applyFont="1" applyBorder="1" applyAlignment="1">
      <alignment vertical="center"/>
    </xf>
    <xf numFmtId="202" fontId="62" fillId="0" borderId="0" xfId="1" applyNumberFormat="1" applyAlignment="1"/>
    <xf numFmtId="0" fontId="67" fillId="14" borderId="34" xfId="1" applyFont="1" applyFill="1" applyBorder="1" applyAlignment="1">
      <alignment vertical="center"/>
    </xf>
    <xf numFmtId="202" fontId="59" fillId="14" borderId="34" xfId="1" applyNumberFormat="1" applyFont="1" applyFill="1" applyBorder="1" applyAlignment="1">
      <alignment horizontal="right" vertical="center"/>
    </xf>
    <xf numFmtId="202" fontId="67" fillId="14" borderId="34" xfId="1" applyNumberFormat="1" applyFont="1" applyFill="1" applyBorder="1" applyAlignment="1">
      <alignment horizontal="right" vertical="center"/>
    </xf>
    <xf numFmtId="202" fontId="84" fillId="14" borderId="34" xfId="1" applyNumberFormat="1" applyFont="1" applyFill="1" applyBorder="1" applyAlignment="1">
      <alignment horizontal="right" vertical="center"/>
    </xf>
    <xf numFmtId="203" fontId="84" fillId="14" borderId="34" xfId="1" applyNumberFormat="1" applyFont="1" applyFill="1" applyBorder="1" applyAlignment="1">
      <alignment horizontal="right" vertical="center"/>
    </xf>
    <xf numFmtId="204" fontId="59" fillId="14" borderId="34" xfId="1" applyNumberFormat="1" applyFont="1" applyFill="1" applyBorder="1" applyAlignment="1">
      <alignment horizontal="right" vertical="center"/>
    </xf>
    <xf numFmtId="0" fontId="67" fillId="14" borderId="34" xfId="1" applyFont="1" applyFill="1" applyBorder="1" applyAlignment="1">
      <alignment vertical="center"/>
    </xf>
    <xf numFmtId="0" fontId="84" fillId="15" borderId="36" xfId="1" applyFont="1" applyFill="1" applyBorder="1" applyAlignment="1">
      <alignment vertical="center"/>
    </xf>
    <xf numFmtId="0" fontId="64" fillId="15" borderId="37" xfId="1" applyFont="1" applyFill="1" applyBorder="1" applyAlignment="1">
      <alignment vertical="center"/>
    </xf>
    <xf numFmtId="0" fontId="64" fillId="15" borderId="38" xfId="1" applyFont="1" applyFill="1" applyBorder="1" applyAlignment="1">
      <alignment vertical="center"/>
    </xf>
    <xf numFmtId="0" fontId="64" fillId="15" borderId="39" xfId="1" applyFont="1" applyFill="1" applyBorder="1" applyAlignment="1">
      <alignment vertical="center"/>
    </xf>
    <xf numFmtId="0" fontId="64" fillId="15" borderId="0" xfId="1" applyFont="1" applyFill="1" applyAlignment="1">
      <alignment vertical="center"/>
    </xf>
    <xf numFmtId="0" fontId="64" fillId="15" borderId="40" xfId="1" applyFont="1" applyFill="1" applyBorder="1" applyAlignment="1">
      <alignment vertical="center"/>
    </xf>
    <xf numFmtId="0" fontId="64" fillId="15" borderId="41" xfId="1" applyFont="1" applyFill="1" applyBorder="1" applyAlignment="1">
      <alignment vertical="center"/>
    </xf>
    <xf numFmtId="0" fontId="64" fillId="15" borderId="42" xfId="1" applyFont="1" applyFill="1" applyBorder="1" applyAlignment="1">
      <alignment vertical="center"/>
    </xf>
    <xf numFmtId="0" fontId="64" fillId="15" borderId="43" xfId="1" applyFont="1" applyFill="1" applyBorder="1" applyAlignment="1">
      <alignment vertical="center"/>
    </xf>
    <xf numFmtId="201" fontId="59" fillId="0" borderId="34" xfId="1" applyNumberFormat="1" applyFont="1" applyBorder="1" applyAlignment="1">
      <alignment horizontal="center" vertical="center"/>
    </xf>
    <xf numFmtId="201" fontId="67" fillId="0" borderId="34" xfId="1" applyNumberFormat="1" applyFont="1" applyBorder="1" applyAlignment="1">
      <alignment horizontal="center" vertical="center"/>
    </xf>
    <xf numFmtId="202" fontId="84" fillId="0" borderId="34" xfId="1" applyNumberFormat="1" applyFont="1" applyBorder="1" applyAlignment="1">
      <alignment horizontal="right" vertical="center"/>
    </xf>
    <xf numFmtId="0" fontId="58" fillId="16" borderId="34" xfId="1" applyFont="1" applyFill="1" applyBorder="1" applyAlignment="1">
      <alignment vertical="center"/>
    </xf>
    <xf numFmtId="201" fontId="79" fillId="16" borderId="34" xfId="1" applyNumberFormat="1" applyFont="1" applyFill="1" applyBorder="1" applyAlignment="1">
      <alignment horizontal="center" vertical="center"/>
    </xf>
    <xf numFmtId="201" fontId="58" fillId="16" borderId="34" xfId="1" applyNumberFormat="1" applyFont="1" applyFill="1" applyBorder="1" applyAlignment="1">
      <alignment horizontal="center" vertical="center"/>
    </xf>
    <xf numFmtId="202" fontId="79" fillId="16" borderId="34" xfId="1" applyNumberFormat="1" applyFont="1" applyFill="1" applyBorder="1" applyAlignment="1">
      <alignment horizontal="right" vertical="center"/>
    </xf>
    <xf numFmtId="202" fontId="58" fillId="16" borderId="34" xfId="1" applyNumberFormat="1" applyFont="1" applyFill="1" applyBorder="1" applyAlignment="1">
      <alignment horizontal="right" vertical="center"/>
    </xf>
    <xf numFmtId="202" fontId="78" fillId="16" borderId="34" xfId="1" applyNumberFormat="1" applyFont="1" applyFill="1" applyBorder="1" applyAlignment="1">
      <alignment horizontal="right" vertical="center"/>
    </xf>
    <xf numFmtId="204" fontId="79" fillId="16" borderId="34" xfId="1" applyNumberFormat="1" applyFont="1" applyFill="1" applyBorder="1" applyAlignment="1">
      <alignment horizontal="right" vertical="center"/>
    </xf>
    <xf numFmtId="202" fontId="78" fillId="16" borderId="34" xfId="1" applyNumberFormat="1" applyFont="1" applyFill="1" applyBorder="1" applyAlignment="1">
      <alignment horizontal="right" vertical="center"/>
    </xf>
    <xf numFmtId="203" fontId="78" fillId="16" borderId="34" xfId="1" applyNumberFormat="1" applyFont="1" applyFill="1" applyBorder="1" applyAlignment="1">
      <alignment horizontal="right" vertical="center"/>
    </xf>
    <xf numFmtId="0" fontId="65" fillId="0" borderId="0" xfId="1" applyFont="1" applyAlignment="1">
      <alignment vertical="center"/>
    </xf>
    <xf numFmtId="0" fontId="84" fillId="17" borderId="0" xfId="1" applyFont="1" applyFill="1" applyAlignment="1">
      <alignment vertical="center"/>
    </xf>
    <xf numFmtId="0" fontId="59" fillId="0" borderId="34" xfId="1" applyFont="1" applyBorder="1" applyAlignment="1">
      <alignment vertical="center"/>
    </xf>
    <xf numFmtId="205" fontId="59" fillId="0" borderId="34" xfId="1" applyNumberFormat="1" applyFont="1" applyBorder="1" applyAlignment="1">
      <alignment horizontal="right" vertical="center"/>
    </xf>
    <xf numFmtId="205" fontId="67" fillId="0" borderId="34" xfId="1" applyNumberFormat="1" applyFont="1" applyBorder="1" applyAlignment="1">
      <alignment horizontal="right" vertical="center"/>
    </xf>
    <xf numFmtId="0" fontId="79" fillId="16" borderId="34" xfId="1" applyFont="1" applyFill="1" applyBorder="1" applyAlignment="1">
      <alignment vertical="center"/>
    </xf>
    <xf numFmtId="205" fontId="79" fillId="16" borderId="34" xfId="1" applyNumberFormat="1" applyFont="1" applyFill="1" applyBorder="1" applyAlignment="1">
      <alignment horizontal="right" vertical="center"/>
    </xf>
    <xf numFmtId="205" fontId="58" fillId="16" borderId="34" xfId="1" applyNumberFormat="1" applyFont="1" applyFill="1" applyBorder="1" applyAlignment="1">
      <alignment horizontal="right" vertical="center"/>
    </xf>
    <xf numFmtId="202" fontId="84" fillId="0" borderId="34" xfId="1" applyNumberFormat="1" applyFont="1" applyBorder="1" applyAlignment="1">
      <alignment vertical="center"/>
    </xf>
    <xf numFmtId="0" fontId="75" fillId="19" borderId="0" xfId="1" applyFont="1" applyFill="1" applyAlignment="1">
      <alignment vertical="center"/>
    </xf>
    <xf numFmtId="0" fontId="78" fillId="17" borderId="27" xfId="1" applyFont="1" applyFill="1" applyBorder="1" applyAlignment="1">
      <alignment vertical="center"/>
    </xf>
    <xf numFmtId="0" fontId="58" fillId="17" borderId="27" xfId="1" applyFont="1" applyFill="1" applyBorder="1" applyAlignment="1">
      <alignment vertical="center"/>
    </xf>
    <xf numFmtId="2" fontId="59" fillId="0" borderId="34" xfId="1" applyNumberFormat="1" applyFont="1" applyBorder="1" applyAlignment="1">
      <alignment horizontal="right" vertical="center"/>
    </xf>
    <xf numFmtId="2" fontId="67" fillId="0" borderId="34" xfId="1" applyNumberFormat="1" applyFont="1" applyBorder="1" applyAlignment="1">
      <alignment horizontal="right" vertical="center"/>
    </xf>
    <xf numFmtId="204" fontId="84" fillId="0" borderId="34" xfId="1" applyNumberFormat="1" applyFont="1" applyBorder="1" applyAlignment="1">
      <alignment horizontal="right" vertical="center"/>
    </xf>
    <xf numFmtId="204" fontId="67" fillId="0" borderId="34" xfId="1" applyNumberFormat="1" applyFont="1" applyBorder="1" applyAlignment="1">
      <alignment horizontal="right" vertical="center"/>
    </xf>
    <xf numFmtId="2" fontId="79" fillId="16" borderId="34" xfId="1" applyNumberFormat="1" applyFont="1" applyFill="1" applyBorder="1" applyAlignment="1">
      <alignment horizontal="right" vertical="center"/>
    </xf>
    <xf numFmtId="2" fontId="58" fillId="16" borderId="34" xfId="1" applyNumberFormat="1" applyFont="1" applyFill="1" applyBorder="1" applyAlignment="1">
      <alignment horizontal="right" vertical="center"/>
    </xf>
    <xf numFmtId="204" fontId="78" fillId="16" borderId="34" xfId="1" applyNumberFormat="1" applyFont="1" applyFill="1" applyBorder="1" applyAlignment="1">
      <alignment horizontal="right" vertical="center"/>
    </xf>
    <xf numFmtId="204" fontId="58" fillId="16" borderId="34" xfId="1" applyNumberFormat="1" applyFont="1" applyFill="1" applyBorder="1" applyAlignment="1">
      <alignment horizontal="right" vertical="center"/>
    </xf>
    <xf numFmtId="0" fontId="69" fillId="19" borderId="44" xfId="1" applyFont="1" applyFill="1" applyBorder="1" applyAlignment="1">
      <alignment vertical="center"/>
    </xf>
    <xf numFmtId="0" fontId="69" fillId="19" borderId="0" xfId="1" applyFont="1" applyFill="1" applyAlignment="1">
      <alignment vertical="center"/>
    </xf>
    <xf numFmtId="0" fontId="58" fillId="14" borderId="48" xfId="1" applyFont="1" applyFill="1" applyBorder="1" applyAlignment="1">
      <alignment vertical="center"/>
    </xf>
    <xf numFmtId="0" fontId="58" fillId="14" borderId="0" xfId="1" applyFont="1" applyFill="1" applyAlignment="1">
      <alignment vertical="center"/>
    </xf>
    <xf numFmtId="0" fontId="58" fillId="14" borderId="49" xfId="1" applyFont="1" applyFill="1" applyBorder="1" applyAlignment="1">
      <alignment vertical="center"/>
    </xf>
    <xf numFmtId="0" fontId="58" fillId="14" borderId="50" xfId="1" applyFont="1" applyFill="1" applyBorder="1" applyAlignment="1">
      <alignment vertical="center"/>
    </xf>
    <xf numFmtId="0" fontId="58" fillId="14" borderId="51" xfId="1" applyFont="1" applyFill="1" applyBorder="1" applyAlignment="1">
      <alignment vertical="center"/>
    </xf>
    <xf numFmtId="0" fontId="58" fillId="14" borderId="52" xfId="1" applyFont="1" applyFill="1" applyBorder="1" applyAlignment="1">
      <alignment vertical="center"/>
    </xf>
    <xf numFmtId="0" fontId="63" fillId="0" borderId="0" xfId="1" applyFont="1" applyAlignment="1"/>
    <xf numFmtId="0" fontId="58" fillId="17" borderId="0" xfId="1" applyFont="1" applyFill="1" applyAlignment="1">
      <alignment vertical="center"/>
    </xf>
    <xf numFmtId="204" fontId="67" fillId="0" borderId="34" xfId="1" applyNumberFormat="1" applyFont="1" applyBorder="1" applyAlignment="1">
      <alignment horizontal="right" vertical="center"/>
    </xf>
    <xf numFmtId="0" fontId="67" fillId="0" borderId="0" xfId="1" applyFont="1" applyAlignment="1">
      <alignment vertical="center"/>
    </xf>
    <xf numFmtId="204" fontId="84" fillId="0" borderId="34" xfId="1" applyNumberFormat="1" applyFont="1" applyBorder="1" applyAlignment="1">
      <alignment horizontal="right" vertical="center"/>
    </xf>
    <xf numFmtId="204" fontId="78" fillId="16" borderId="34" xfId="1" applyNumberFormat="1" applyFont="1" applyFill="1" applyBorder="1" applyAlignment="1">
      <alignment horizontal="right" vertical="center"/>
    </xf>
    <xf numFmtId="0" fontId="76" fillId="14" borderId="36" xfId="1" applyFont="1" applyFill="1" applyBorder="1" applyAlignment="1">
      <alignment vertical="center"/>
    </xf>
    <xf numFmtId="0" fontId="69" fillId="14" borderId="37" xfId="1" applyFont="1" applyFill="1" applyBorder="1" applyAlignment="1">
      <alignment vertical="center"/>
    </xf>
    <xf numFmtId="0" fontId="69" fillId="14" borderId="38" xfId="1" applyFont="1" applyFill="1" applyBorder="1" applyAlignment="1">
      <alignment vertical="center"/>
    </xf>
    <xf numFmtId="0" fontId="79" fillId="17" borderId="36" xfId="1" applyFont="1" applyFill="1" applyBorder="1" applyAlignment="1">
      <alignment vertical="center"/>
    </xf>
    <xf numFmtId="0" fontId="58" fillId="17" borderId="37" xfId="1" applyFont="1" applyFill="1" applyBorder="1" applyAlignment="1">
      <alignment vertical="center"/>
    </xf>
    <xf numFmtId="0" fontId="58" fillId="17" borderId="38" xfId="1" applyFont="1" applyFill="1" applyBorder="1" applyAlignment="1">
      <alignment vertical="center"/>
    </xf>
    <xf numFmtId="206" fontId="84" fillId="0" borderId="34" xfId="1" applyNumberFormat="1" applyFont="1" applyBorder="1" applyAlignment="1">
      <alignment horizontal="right" vertical="center"/>
    </xf>
    <xf numFmtId="0" fontId="69" fillId="15" borderId="39" xfId="1" applyFont="1" applyFill="1" applyBorder="1" applyAlignment="1">
      <alignment vertical="center"/>
    </xf>
    <xf numFmtId="0" fontId="69" fillId="15" borderId="0" xfId="1" applyFont="1" applyFill="1" applyAlignment="1">
      <alignment vertical="center"/>
    </xf>
    <xf numFmtId="0" fontId="69" fillId="15" borderId="40" xfId="1" applyFont="1" applyFill="1" applyBorder="1" applyAlignment="1">
      <alignment vertical="center"/>
    </xf>
    <xf numFmtId="0" fontId="69" fillId="15" borderId="41" xfId="1" applyFont="1" applyFill="1" applyBorder="1" applyAlignment="1">
      <alignment vertical="center"/>
    </xf>
    <xf numFmtId="0" fontId="69" fillId="15" borderId="42" xfId="1" applyFont="1" applyFill="1" applyBorder="1" applyAlignment="1">
      <alignment vertical="center"/>
    </xf>
    <xf numFmtId="0" fontId="69" fillId="15" borderId="43" xfId="1" applyFont="1" applyFill="1" applyBorder="1" applyAlignment="1">
      <alignment vertical="center"/>
    </xf>
    <xf numFmtId="0" fontId="70" fillId="19" borderId="34" xfId="1" applyFont="1" applyFill="1" applyBorder="1" applyAlignment="1">
      <alignment horizontal="center" vertical="center"/>
    </xf>
    <xf numFmtId="202" fontId="86" fillId="19" borderId="34" xfId="1" applyNumberFormat="1" applyFont="1" applyFill="1" applyBorder="1" applyAlignment="1">
      <alignment horizontal="center" vertical="center"/>
    </xf>
    <xf numFmtId="202" fontId="71" fillId="19" borderId="34" xfId="1" applyNumberFormat="1" applyFont="1" applyFill="1" applyBorder="1" applyAlignment="1">
      <alignment horizontal="center" vertical="center"/>
    </xf>
    <xf numFmtId="202" fontId="87" fillId="19" borderId="34" xfId="1" applyNumberFormat="1" applyFont="1" applyFill="1" applyBorder="1" applyAlignment="1">
      <alignment horizontal="center" vertical="center"/>
    </xf>
    <xf numFmtId="203" fontId="87" fillId="19" borderId="34" xfId="1" applyNumberFormat="1" applyFont="1" applyFill="1" applyBorder="1" applyAlignment="1">
      <alignment horizontal="center" vertical="center"/>
    </xf>
    <xf numFmtId="203" fontId="71" fillId="19" borderId="34" xfId="1" applyNumberFormat="1" applyFont="1" applyFill="1" applyBorder="1" applyAlignment="1">
      <alignment horizontal="center" vertical="center"/>
    </xf>
    <xf numFmtId="204" fontId="86" fillId="19" borderId="34" xfId="1" applyNumberFormat="1" applyFont="1" applyFill="1" applyBorder="1" applyAlignment="1">
      <alignment horizontal="center" vertical="center"/>
    </xf>
    <xf numFmtId="204" fontId="71" fillId="19" borderId="34" xfId="1" applyNumberFormat="1" applyFont="1" applyFill="1" applyBorder="1" applyAlignment="1">
      <alignment horizontal="center" vertical="center"/>
    </xf>
    <xf numFmtId="0" fontId="72" fillId="19" borderId="34" xfId="1" applyFont="1" applyFill="1" applyBorder="1" applyAlignment="1">
      <alignment horizontal="center" vertical="center"/>
    </xf>
    <xf numFmtId="203" fontId="59" fillId="0" borderId="34" xfId="1" applyNumberFormat="1" applyFont="1" applyBorder="1" applyAlignment="1">
      <alignment horizontal="right" vertical="center"/>
    </xf>
    <xf numFmtId="203" fontId="67" fillId="0" borderId="34" xfId="1" applyNumberFormat="1" applyFont="1" applyBorder="1" applyAlignment="1">
      <alignment horizontal="right" vertical="center"/>
    </xf>
    <xf numFmtId="2" fontId="59" fillId="0" borderId="34" xfId="0" applyNumberFormat="1" applyFont="1" applyBorder="1" applyAlignment="1">
      <alignment horizontal="right" vertical="center"/>
    </xf>
    <xf numFmtId="207" fontId="84" fillId="0" borderId="34" xfId="0" applyNumberFormat="1" applyFont="1" applyBorder="1" applyAlignment="1">
      <alignment horizontal="right" vertical="center"/>
    </xf>
    <xf numFmtId="207" fontId="84" fillId="0" borderId="34" xfId="1" applyNumberFormat="1" applyFont="1" applyBorder="1" applyAlignment="1">
      <alignment horizontal="right" vertical="center"/>
    </xf>
    <xf numFmtId="2" fontId="84" fillId="0" borderId="34" xfId="0" applyNumberFormat="1" applyFont="1" applyBorder="1" applyAlignment="1">
      <alignment horizontal="right" vertical="center"/>
    </xf>
    <xf numFmtId="0" fontId="88" fillId="14" borderId="36" xfId="1" applyFont="1" applyFill="1" applyBorder="1" applyAlignment="1">
      <alignment vertical="center"/>
    </xf>
    <xf numFmtId="0" fontId="69" fillId="14" borderId="39" xfId="1" applyFont="1" applyFill="1" applyBorder="1" applyAlignment="1">
      <alignment vertical="center"/>
    </xf>
    <xf numFmtId="0" fontId="69" fillId="14" borderId="0" xfId="1" applyFont="1" applyFill="1" applyAlignment="1">
      <alignment vertical="center"/>
    </xf>
    <xf numFmtId="0" fontId="69" fillId="14" borderId="40" xfId="1" applyFont="1" applyFill="1" applyBorder="1" applyAlignment="1">
      <alignment vertical="center"/>
    </xf>
    <xf numFmtId="0" fontId="69" fillId="14" borderId="41" xfId="1" applyFont="1" applyFill="1" applyBorder="1" applyAlignment="1">
      <alignment vertical="center"/>
    </xf>
    <xf numFmtId="0" fontId="69" fillId="14" borderId="42" xfId="1" applyFont="1" applyFill="1" applyBorder="1" applyAlignment="1">
      <alignment vertical="center"/>
    </xf>
    <xf numFmtId="216" fontId="69" fillId="14" borderId="42" xfId="0" applyNumberFormat="1" applyFont="1" applyFill="1" applyBorder="1" applyAlignment="1">
      <alignment vertical="center"/>
    </xf>
    <xf numFmtId="0" fontId="69" fillId="14" borderId="43" xfId="1" applyFont="1" applyFill="1" applyBorder="1" applyAlignment="1">
      <alignment vertical="center"/>
    </xf>
    <xf numFmtId="216" fontId="64" fillId="0" borderId="0" xfId="0" applyNumberFormat="1" applyFont="1" applyAlignment="1">
      <alignment vertical="center"/>
    </xf>
    <xf numFmtId="204" fontId="59" fillId="0" borderId="34" xfId="1" applyNumberFormat="1" applyFont="1" applyBorder="1" applyAlignment="1">
      <alignment horizontal="right" vertical="center"/>
    </xf>
    <xf numFmtId="0" fontId="59" fillId="19" borderId="36" xfId="1" applyFont="1" applyFill="1" applyBorder="1" applyAlignment="1">
      <alignment vertical="center"/>
    </xf>
    <xf numFmtId="0" fontId="67" fillId="19" borderId="37" xfId="1" applyFont="1" applyFill="1" applyBorder="1" applyAlignment="1">
      <alignment vertical="center"/>
    </xf>
    <xf numFmtId="0" fontId="67" fillId="19" borderId="38" xfId="1" applyFont="1" applyFill="1" applyBorder="1" applyAlignment="1">
      <alignment vertical="center"/>
    </xf>
    <xf numFmtId="0" fontId="67" fillId="19" borderId="36" xfId="1" applyFont="1" applyFill="1" applyBorder="1" applyAlignment="1">
      <alignment vertical="center"/>
    </xf>
    <xf numFmtId="0" fontId="67" fillId="19" borderId="39" xfId="1" applyFont="1" applyFill="1" applyBorder="1" applyAlignment="1">
      <alignment vertical="center"/>
    </xf>
    <xf numFmtId="0" fontId="67" fillId="19" borderId="0" xfId="1" applyFont="1" applyFill="1" applyAlignment="1">
      <alignment vertical="center"/>
    </xf>
    <xf numFmtId="0" fontId="67" fillId="19" borderId="40" xfId="1" applyFont="1" applyFill="1" applyBorder="1" applyAlignment="1">
      <alignment vertical="center"/>
    </xf>
    <xf numFmtId="0" fontId="67" fillId="19" borderId="41" xfId="1" applyFont="1" applyFill="1" applyBorder="1" applyAlignment="1">
      <alignment vertical="center"/>
    </xf>
    <xf numFmtId="0" fontId="67" fillId="19" borderId="42" xfId="1" applyFont="1" applyFill="1" applyBorder="1" applyAlignment="1">
      <alignment vertical="center"/>
    </xf>
    <xf numFmtId="0" fontId="67" fillId="19" borderId="43" xfId="1" applyFont="1" applyFill="1" applyBorder="1" applyAlignment="1">
      <alignment vertical="center"/>
    </xf>
    <xf numFmtId="0" fontId="62" fillId="0" borderId="0" xfId="1" applyAlignment="1">
      <alignment wrapText="1"/>
    </xf>
    <xf numFmtId="0" fontId="108" fillId="32" borderId="55" xfId="0" applyFont="1" applyFill="1" applyBorder="1" applyAlignment="1">
      <alignment wrapText="1"/>
    </xf>
    <xf numFmtId="214" fontId="0" fillId="0" borderId="0" xfId="0" applyNumberFormat="1" applyFill="1"/>
    <xf numFmtId="0" fontId="113" fillId="0" borderId="0" xfId="0" applyFont="1" applyFill="1" applyAlignment="1">
      <alignment horizontal="left" vertical="center"/>
    </xf>
    <xf numFmtId="0" fontId="113" fillId="0" borderId="0" xfId="0" applyFont="1" applyFill="1" applyAlignment="1">
      <alignment horizontal="left" vertical="center" wrapText="1"/>
    </xf>
    <xf numFmtId="0" fontId="113" fillId="0" borderId="0" xfId="0" applyFont="1" applyFill="1" applyAlignment="1">
      <alignment horizontal="left" vertical="center" wrapText="1"/>
    </xf>
    <xf numFmtId="0" fontId="113" fillId="0" borderId="0" xfId="0" applyFont="1" applyFill="1" applyAlignment="1">
      <alignment vertical="center"/>
    </xf>
    <xf numFmtId="0" fontId="113" fillId="0" borderId="0" xfId="0" applyFont="1" applyFill="1" applyAlignment="1">
      <alignment vertical="center" wrapText="1"/>
    </xf>
    <xf numFmtId="0" fontId="114" fillId="32" borderId="7" xfId="0" applyFont="1" applyFill="1" applyBorder="1" applyAlignment="1">
      <alignment vertical="center"/>
    </xf>
    <xf numFmtId="0" fontId="114" fillId="32" borderId="7" xfId="0" applyFont="1" applyFill="1" applyBorder="1" applyAlignment="1">
      <alignment vertical="center" wrapText="1"/>
    </xf>
    <xf numFmtId="0" fontId="111" fillId="0" borderId="10" xfId="0" applyFont="1" applyFill="1" applyBorder="1" applyAlignment="1">
      <alignment vertical="center"/>
    </xf>
    <xf numFmtId="0" fontId="111" fillId="0" borderId="10" xfId="0" applyFont="1" applyFill="1" applyBorder="1" applyAlignment="1">
      <alignment vertical="center" wrapText="1"/>
    </xf>
    <xf numFmtId="0" fontId="109" fillId="32" borderId="10" xfId="0" applyFont="1" applyFill="1" applyBorder="1" applyAlignment="1">
      <alignment vertical="center"/>
    </xf>
    <xf numFmtId="0" fontId="109" fillId="32" borderId="10" xfId="0" applyFont="1" applyFill="1" applyBorder="1" applyAlignment="1">
      <alignment vertical="center" wrapText="1"/>
    </xf>
    <xf numFmtId="0" fontId="110" fillId="30" borderId="0" xfId="0" applyFont="1" applyFill="1" applyAlignment="1">
      <alignment horizontal="left" vertical="center"/>
    </xf>
    <xf numFmtId="0" fontId="110" fillId="30" borderId="0" xfId="0" applyFont="1" applyFill="1" applyAlignment="1">
      <alignment horizontal="left" vertical="center" wrapText="1"/>
    </xf>
    <xf numFmtId="0" fontId="115" fillId="30" borderId="55" xfId="0" applyFont="1" applyFill="1" applyBorder="1" applyAlignment="1">
      <alignment vertical="center"/>
    </xf>
    <xf numFmtId="0" fontId="115" fillId="30" borderId="55" xfId="0" applyFont="1" applyFill="1" applyBorder="1" applyAlignment="1">
      <alignment vertical="center" wrapText="1"/>
    </xf>
    <xf numFmtId="0" fontId="110" fillId="30" borderId="55" xfId="0" applyFont="1" applyFill="1" applyBorder="1" applyAlignment="1">
      <alignment vertical="center"/>
    </xf>
    <xf numFmtId="0" fontId="110" fillId="30" borderId="55" xfId="0" applyFont="1" applyFill="1" applyBorder="1" applyAlignment="1">
      <alignment vertical="center" wrapText="1"/>
    </xf>
    <xf numFmtId="0" fontId="111" fillId="0" borderId="0" xfId="0" applyFont="1" applyFill="1" applyAlignment="1">
      <alignment horizontal="left" vertical="center" wrapText="1"/>
    </xf>
    <xf numFmtId="0" fontId="111" fillId="0" borderId="55" xfId="0" applyFont="1" applyFill="1" applyBorder="1" applyAlignment="1">
      <alignment vertical="center" wrapText="1"/>
    </xf>
    <xf numFmtId="0" fontId="112" fillId="31" borderId="55" xfId="0" applyFont="1" applyFill="1" applyBorder="1" applyAlignment="1">
      <alignment horizontal="center" vertical="center" wrapText="1"/>
    </xf>
    <xf numFmtId="0" fontId="113" fillId="0" borderId="57" xfId="0" applyFont="1" applyFill="1" applyBorder="1" applyAlignment="1">
      <alignment horizontal="left" vertical="center"/>
    </xf>
    <xf numFmtId="0" fontId="113" fillId="0" borderId="57" xfId="0" applyFont="1" applyFill="1" applyBorder="1" applyAlignment="1">
      <alignment horizontal="right" vertical="center"/>
    </xf>
    <xf numFmtId="187" fontId="113" fillId="0" borderId="57" xfId="0" applyNumberFormat="1" applyFont="1" applyFill="1" applyBorder="1" applyAlignment="1">
      <alignment horizontal="right" vertical="center"/>
    </xf>
    <xf numFmtId="174" fontId="113" fillId="0" borderId="57" xfId="0" applyNumberFormat="1" applyFont="1" applyFill="1" applyBorder="1" applyAlignment="1">
      <alignment horizontal="right" vertical="center"/>
    </xf>
    <xf numFmtId="164" fontId="113" fillId="0" borderId="57" xfId="0" applyNumberFormat="1" applyFont="1" applyFill="1" applyBorder="1" applyAlignment="1">
      <alignment horizontal="right" vertical="center"/>
    </xf>
    <xf numFmtId="182" fontId="113" fillId="0" borderId="57" xfId="0" applyNumberFormat="1" applyFont="1" applyFill="1" applyBorder="1" applyAlignment="1">
      <alignment horizontal="right" vertical="center"/>
    </xf>
    <xf numFmtId="0" fontId="113" fillId="0" borderId="57" xfId="0" applyFont="1" applyFill="1" applyBorder="1" applyAlignment="1">
      <alignment horizontal="left" vertical="center" wrapText="1"/>
    </xf>
    <xf numFmtId="0" fontId="113" fillId="0" borderId="58" xfId="0" applyFont="1" applyFill="1" applyBorder="1" applyAlignment="1">
      <alignment horizontal="left" vertical="center"/>
    </xf>
    <xf numFmtId="174" fontId="113" fillId="0" borderId="58" xfId="0" applyNumberFormat="1" applyFont="1" applyFill="1" applyBorder="1" applyAlignment="1">
      <alignment horizontal="right" vertical="center"/>
    </xf>
    <xf numFmtId="187" fontId="113" fillId="0" borderId="58" xfId="0" applyNumberFormat="1" applyFont="1" applyFill="1" applyBorder="1" applyAlignment="1">
      <alignment horizontal="right" vertical="center"/>
    </xf>
    <xf numFmtId="164" fontId="113" fillId="0" borderId="58" xfId="0" applyNumberFormat="1" applyFont="1" applyFill="1" applyBorder="1" applyAlignment="1">
      <alignment horizontal="right" vertical="center"/>
    </xf>
    <xf numFmtId="182" fontId="113" fillId="0" borderId="58" xfId="0" applyNumberFormat="1" applyFont="1" applyFill="1" applyBorder="1" applyAlignment="1">
      <alignment horizontal="right" vertical="center"/>
    </xf>
    <xf numFmtId="0" fontId="113" fillId="0" borderId="58" xfId="0" applyFont="1" applyFill="1" applyBorder="1" applyAlignment="1">
      <alignment horizontal="right" vertical="center"/>
    </xf>
    <xf numFmtId="0" fontId="113" fillId="0" borderId="58" xfId="0" applyFont="1" applyFill="1" applyBorder="1" applyAlignment="1">
      <alignment horizontal="left" vertical="center" wrapText="1"/>
    </xf>
    <xf numFmtId="0" fontId="112" fillId="0" borderId="58" xfId="0" applyFont="1" applyFill="1" applyBorder="1" applyAlignment="1">
      <alignment horizontal="left" vertical="center"/>
    </xf>
    <xf numFmtId="174" fontId="112" fillId="0" borderId="58" xfId="0" applyNumberFormat="1" applyFont="1" applyFill="1" applyBorder="1" applyAlignment="1">
      <alignment horizontal="right" vertical="center"/>
    </xf>
    <xf numFmtId="187" fontId="112" fillId="0" borderId="58" xfId="0" applyNumberFormat="1" applyFont="1" applyFill="1" applyBorder="1" applyAlignment="1">
      <alignment horizontal="right" vertical="center"/>
    </xf>
    <xf numFmtId="182" fontId="112" fillId="0" borderId="58" xfId="0" applyNumberFormat="1" applyFont="1" applyFill="1" applyBorder="1" applyAlignment="1">
      <alignment horizontal="right" vertical="center"/>
    </xf>
    <xf numFmtId="0" fontId="112" fillId="0" borderId="58" xfId="0" applyFont="1" applyFill="1" applyBorder="1" applyAlignment="1">
      <alignment horizontal="right" vertical="center"/>
    </xf>
    <xf numFmtId="0" fontId="112" fillId="0" borderId="58" xfId="0" applyFont="1" applyFill="1" applyBorder="1" applyAlignment="1">
      <alignment horizontal="left" vertical="center" wrapText="1"/>
    </xf>
    <xf numFmtId="0" fontId="113" fillId="0" borderId="59" xfId="0" applyFont="1" applyFill="1" applyBorder="1" applyAlignment="1">
      <alignment horizontal="left" vertical="center"/>
    </xf>
    <xf numFmtId="174" fontId="113" fillId="0" borderId="59" xfId="0" applyNumberFormat="1" applyFont="1" applyFill="1" applyBorder="1" applyAlignment="1">
      <alignment horizontal="right" vertical="center"/>
    </xf>
    <xf numFmtId="187" fontId="113" fillId="0" borderId="59" xfId="0" applyNumberFormat="1" applyFont="1" applyFill="1" applyBorder="1" applyAlignment="1">
      <alignment horizontal="right" vertical="center"/>
    </xf>
    <xf numFmtId="164" fontId="113" fillId="0" borderId="59" xfId="0" applyNumberFormat="1" applyFont="1" applyFill="1" applyBorder="1" applyAlignment="1">
      <alignment horizontal="right" vertical="center"/>
    </xf>
    <xf numFmtId="182" fontId="113" fillId="0" borderId="59" xfId="0" applyNumberFormat="1" applyFont="1" applyFill="1" applyBorder="1" applyAlignment="1">
      <alignment horizontal="right" vertical="center"/>
    </xf>
    <xf numFmtId="0" fontId="113" fillId="0" borderId="59" xfId="0" applyFont="1" applyFill="1" applyBorder="1" applyAlignment="1">
      <alignment horizontal="right" vertical="center"/>
    </xf>
    <xf numFmtId="0" fontId="113" fillId="0" borderId="59" xfId="0" applyFont="1" applyFill="1" applyBorder="1" applyAlignment="1">
      <alignment horizontal="left" vertical="center" wrapText="1"/>
    </xf>
    <xf numFmtId="0" fontId="112" fillId="0" borderId="59" xfId="0" applyFont="1" applyFill="1" applyBorder="1" applyAlignment="1">
      <alignment horizontal="left" vertical="center"/>
    </xf>
    <xf numFmtId="0" fontId="113" fillId="0" borderId="60" xfId="0" applyFont="1" applyFill="1" applyBorder="1" applyAlignment="1">
      <alignment horizontal="left" vertical="center"/>
    </xf>
    <xf numFmtId="187" fontId="113" fillId="0" borderId="60" xfId="0" applyNumberFormat="1" applyFont="1" applyFill="1" applyBorder="1" applyAlignment="1">
      <alignment horizontal="right" vertical="center"/>
    </xf>
    <xf numFmtId="0" fontId="113" fillId="0" borderId="60" xfId="0" applyFont="1" applyFill="1" applyBorder="1" applyAlignment="1">
      <alignment horizontal="left" vertical="center" wrapText="1"/>
    </xf>
    <xf numFmtId="0" fontId="113" fillId="0" borderId="60" xfId="0" applyFont="1" applyFill="1" applyBorder="1" applyAlignment="1">
      <alignment horizontal="left" vertical="center" wrapText="1"/>
    </xf>
    <xf numFmtId="0" fontId="112" fillId="0" borderId="60" xfId="0" applyFont="1" applyFill="1" applyBorder="1" applyAlignment="1">
      <alignment horizontal="left" vertical="center"/>
    </xf>
    <xf numFmtId="0" fontId="113" fillId="0" borderId="58" xfId="0" applyFont="1" applyFill="1" applyBorder="1" applyAlignment="1">
      <alignment horizontal="left" vertical="center" wrapText="1"/>
    </xf>
    <xf numFmtId="170" fontId="113" fillId="0" borderId="58" xfId="0" applyNumberFormat="1" applyFont="1" applyFill="1" applyBorder="1" applyAlignment="1">
      <alignment horizontal="right" vertical="center"/>
    </xf>
    <xf numFmtId="168" fontId="113" fillId="0" borderId="59" xfId="0" applyNumberFormat="1" applyFont="1" applyFill="1" applyBorder="1" applyAlignment="1">
      <alignment horizontal="right" vertical="center"/>
    </xf>
    <xf numFmtId="0" fontId="113" fillId="0" borderId="59" xfId="0" applyFont="1" applyFill="1" applyBorder="1" applyAlignment="1">
      <alignment horizontal="left" vertical="center" wrapText="1"/>
    </xf>
    <xf numFmtId="10" fontId="113" fillId="0" borderId="57" xfId="0" applyNumberFormat="1" applyFont="1" applyFill="1" applyBorder="1" applyAlignment="1">
      <alignment horizontal="right" vertical="center"/>
    </xf>
    <xf numFmtId="2" fontId="113" fillId="0" borderId="57" xfId="0" applyNumberFormat="1" applyFont="1" applyFill="1" applyBorder="1" applyAlignment="1">
      <alignment horizontal="right" vertical="center"/>
    </xf>
    <xf numFmtId="207" fontId="113" fillId="0" borderId="57" xfId="0" applyNumberFormat="1" applyFont="1" applyFill="1" applyBorder="1" applyAlignment="1">
      <alignment horizontal="right" vertical="center"/>
    </xf>
    <xf numFmtId="10" fontId="113" fillId="0" borderId="58" xfId="0" applyNumberFormat="1" applyFont="1" applyFill="1" applyBorder="1" applyAlignment="1">
      <alignment horizontal="right" vertical="center"/>
    </xf>
    <xf numFmtId="2" fontId="113" fillId="0" borderId="58" xfId="0" applyNumberFormat="1" applyFont="1" applyFill="1" applyBorder="1" applyAlignment="1">
      <alignment horizontal="right" vertical="center"/>
    </xf>
    <xf numFmtId="207" fontId="113" fillId="0" borderId="58" xfId="0" applyNumberFormat="1" applyFont="1" applyFill="1" applyBorder="1" applyAlignment="1">
      <alignment horizontal="right" vertical="center"/>
    </xf>
    <xf numFmtId="10" fontId="113" fillId="0" borderId="59" xfId="0" applyNumberFormat="1" applyFont="1" applyFill="1" applyBorder="1" applyAlignment="1">
      <alignment horizontal="right" vertical="center"/>
    </xf>
    <xf numFmtId="2" fontId="113" fillId="0" borderId="59" xfId="0" applyNumberFormat="1" applyFont="1" applyFill="1" applyBorder="1" applyAlignment="1">
      <alignment horizontal="right" vertical="center"/>
    </xf>
    <xf numFmtId="207" fontId="113" fillId="0" borderId="59" xfId="0" applyNumberFormat="1" applyFont="1" applyFill="1" applyBorder="1" applyAlignment="1">
      <alignment horizontal="right" vertical="center"/>
    </xf>
    <xf numFmtId="0" fontId="113" fillId="0" borderId="57" xfId="0" applyFont="1" applyFill="1" applyBorder="1" applyAlignment="1">
      <alignment vertical="center"/>
    </xf>
    <xf numFmtId="214" fontId="113" fillId="0" borderId="57" xfId="0" applyNumberFormat="1" applyFont="1" applyFill="1" applyBorder="1" applyAlignment="1">
      <alignment vertical="center"/>
    </xf>
    <xf numFmtId="0" fontId="113" fillId="0" borderId="57" xfId="0" applyFont="1" applyFill="1" applyBorder="1" applyAlignment="1">
      <alignment vertical="center" wrapText="1"/>
    </xf>
    <xf numFmtId="0" fontId="113" fillId="0" borderId="58" xfId="0" applyFont="1" applyFill="1" applyBorder="1" applyAlignment="1">
      <alignment vertical="center"/>
    </xf>
    <xf numFmtId="214" fontId="113" fillId="0" borderId="58" xfId="0" applyNumberFormat="1" applyFont="1" applyFill="1" applyBorder="1" applyAlignment="1">
      <alignment vertical="center"/>
    </xf>
    <xf numFmtId="0" fontId="113" fillId="0" borderId="58" xfId="0" applyFont="1" applyFill="1" applyBorder="1" applyAlignment="1">
      <alignment vertical="center" wrapText="1"/>
    </xf>
    <xf numFmtId="174" fontId="113" fillId="0" borderId="58" xfId="0" applyNumberFormat="1" applyFont="1" applyFill="1" applyBorder="1" applyAlignment="1">
      <alignment vertical="center"/>
    </xf>
    <xf numFmtId="0" fontId="113" fillId="0" borderId="59" xfId="0" applyFont="1" applyFill="1" applyBorder="1" applyAlignment="1">
      <alignment vertical="center"/>
    </xf>
    <xf numFmtId="174" fontId="113" fillId="0" borderId="59" xfId="0" applyNumberFormat="1" applyFont="1" applyFill="1" applyBorder="1" applyAlignment="1">
      <alignment vertical="center"/>
    </xf>
    <xf numFmtId="0" fontId="113" fillId="0" borderId="59" xfId="0" applyFont="1" applyFill="1" applyBorder="1" applyAlignment="1">
      <alignment vertical="center" wrapText="1"/>
    </xf>
    <xf numFmtId="0" fontId="113" fillId="0" borderId="55" xfId="0" applyFont="1" applyFill="1" applyBorder="1" applyAlignment="1">
      <alignment vertical="center"/>
    </xf>
    <xf numFmtId="0" fontId="113" fillId="0" borderId="60" xfId="0" applyFont="1" applyFill="1" applyBorder="1" applyAlignment="1">
      <alignment vertical="center"/>
    </xf>
    <xf numFmtId="0" fontId="113" fillId="0" borderId="60" xfId="0" applyFont="1" applyFill="1" applyBorder="1" applyAlignment="1">
      <alignment vertical="center" wrapText="1"/>
    </xf>
    <xf numFmtId="0" fontId="112" fillId="33" borderId="59" xfId="0" applyFont="1" applyFill="1" applyBorder="1" applyAlignment="1">
      <alignment horizontal="left" vertical="center"/>
    </xf>
    <xf numFmtId="187" fontId="112" fillId="33" borderId="59" xfId="0" applyNumberFormat="1" applyFont="1" applyFill="1" applyBorder="1" applyAlignment="1">
      <alignment horizontal="right" vertical="center"/>
    </xf>
    <xf numFmtId="174" fontId="112" fillId="33" borderId="59" xfId="0" applyNumberFormat="1" applyFont="1" applyFill="1" applyBorder="1" applyAlignment="1">
      <alignment horizontal="right" vertical="center"/>
    </xf>
    <xf numFmtId="182" fontId="112" fillId="33" borderId="59" xfId="0" applyNumberFormat="1" applyFont="1" applyFill="1" applyBorder="1" applyAlignment="1">
      <alignment horizontal="right" vertical="center"/>
    </xf>
    <xf numFmtId="0" fontId="112" fillId="33" borderId="59" xfId="0" applyFont="1" applyFill="1" applyBorder="1" applyAlignment="1">
      <alignment horizontal="left" vertical="center" wrapText="1"/>
    </xf>
    <xf numFmtId="0" fontId="112" fillId="33" borderId="59" xfId="0" applyFont="1" applyFill="1" applyBorder="1" applyAlignment="1">
      <alignment vertical="center"/>
    </xf>
    <xf numFmtId="214" fontId="112" fillId="33" borderId="59" xfId="0" applyNumberFormat="1" applyFont="1" applyFill="1" applyBorder="1" applyAlignment="1">
      <alignment vertical="center"/>
    </xf>
    <xf numFmtId="0" fontId="112" fillId="33" borderId="59" xfId="0" applyFont="1" applyFill="1" applyBorder="1" applyAlignment="1">
      <alignment vertical="center" wrapText="1"/>
    </xf>
    <xf numFmtId="0" fontId="112" fillId="33" borderId="58" xfId="0" applyFont="1" applyFill="1" applyBorder="1" applyAlignment="1">
      <alignment vertical="center"/>
    </xf>
    <xf numFmtId="214" fontId="112" fillId="33" borderId="58" xfId="0" applyNumberFormat="1" applyFont="1" applyFill="1" applyBorder="1" applyAlignment="1">
      <alignment vertical="center"/>
    </xf>
    <xf numFmtId="187" fontId="112" fillId="33" borderId="0" xfId="0" applyNumberFormat="1" applyFont="1" applyFill="1" applyAlignment="1">
      <alignment horizontal="right" vertical="center"/>
    </xf>
    <xf numFmtId="174" fontId="112" fillId="33" borderId="0" xfId="0" applyNumberFormat="1" applyFont="1" applyFill="1" applyAlignment="1">
      <alignment horizontal="right" vertical="center"/>
    </xf>
    <xf numFmtId="164" fontId="112" fillId="33" borderId="0" xfId="0" applyNumberFormat="1" applyFont="1" applyFill="1" applyAlignment="1">
      <alignment horizontal="right" vertical="center"/>
    </xf>
    <xf numFmtId="170" fontId="112" fillId="33" borderId="0" xfId="0" applyNumberFormat="1" applyFont="1" applyFill="1" applyAlignment="1">
      <alignment horizontal="right" vertical="center"/>
    </xf>
    <xf numFmtId="182" fontId="112" fillId="33" borderId="0" xfId="0" applyNumberFormat="1" applyFont="1" applyFill="1" applyAlignment="1">
      <alignment horizontal="right" vertical="center"/>
    </xf>
    <xf numFmtId="0" fontId="112" fillId="29" borderId="60" xfId="0" applyFont="1" applyFill="1" applyBorder="1" applyAlignment="1">
      <alignment horizontal="center" vertical="center"/>
    </xf>
    <xf numFmtId="0" fontId="112" fillId="29" borderId="58" xfId="0" applyFont="1" applyFill="1" applyBorder="1" applyAlignment="1">
      <alignment horizontal="center" vertical="center"/>
    </xf>
    <xf numFmtId="0" fontId="112" fillId="29" borderId="59" xfId="0" applyFont="1" applyFill="1" applyBorder="1" applyAlignment="1">
      <alignment horizontal="center" vertical="center"/>
    </xf>
    <xf numFmtId="0" fontId="112" fillId="34" borderId="58" xfId="0" applyFont="1" applyFill="1" applyBorder="1" applyAlignment="1">
      <alignment horizontal="right" vertical="center"/>
    </xf>
    <xf numFmtId="2" fontId="113" fillId="0" borderId="57" xfId="0" applyNumberFormat="1" applyFont="1" applyFill="1" applyBorder="1" applyAlignment="1">
      <alignment horizontal="right" vertical="center" wrapText="1"/>
    </xf>
    <xf numFmtId="210" fontId="113" fillId="0" borderId="57" xfId="0" applyNumberFormat="1" applyFont="1" applyFill="1" applyBorder="1" applyAlignment="1">
      <alignment horizontal="right" vertical="center" wrapText="1"/>
    </xf>
    <xf numFmtId="2" fontId="113" fillId="0" borderId="58" xfId="0" applyNumberFormat="1" applyFont="1" applyFill="1" applyBorder="1" applyAlignment="1">
      <alignment horizontal="right" vertical="center" wrapText="1"/>
    </xf>
    <xf numFmtId="210" fontId="113" fillId="0" borderId="58" xfId="0" applyNumberFormat="1" applyFont="1" applyFill="1" applyBorder="1" applyAlignment="1">
      <alignment horizontal="right" vertical="center" wrapText="1"/>
    </xf>
    <xf numFmtId="2" fontId="113" fillId="0" borderId="59" xfId="0" applyNumberFormat="1" applyFont="1" applyFill="1" applyBorder="1" applyAlignment="1">
      <alignment horizontal="right" vertical="center" wrapText="1"/>
    </xf>
    <xf numFmtId="210" fontId="113" fillId="0" borderId="59" xfId="0" applyNumberFormat="1" applyFont="1" applyFill="1" applyBorder="1" applyAlignment="1">
      <alignment horizontal="right" vertical="center" wrapText="1"/>
    </xf>
    <xf numFmtId="211" fontId="113" fillId="0" borderId="58" xfId="0" applyNumberFormat="1" applyFont="1" applyFill="1" applyBorder="1" applyAlignment="1">
      <alignment horizontal="right" vertical="center"/>
    </xf>
    <xf numFmtId="210" fontId="113" fillId="0" borderId="59" xfId="0" applyNumberFormat="1" applyFont="1" applyFill="1" applyBorder="1" applyAlignment="1">
      <alignment horizontal="right" vertical="center"/>
    </xf>
    <xf numFmtId="210" fontId="113" fillId="0" borderId="57" xfId="0" applyNumberFormat="1" applyFont="1" applyFill="1" applyBorder="1" applyAlignment="1">
      <alignment horizontal="right" vertical="center"/>
    </xf>
    <xf numFmtId="0" fontId="112" fillId="29" borderId="60" xfId="0" applyFont="1" applyFill="1" applyBorder="1" applyAlignment="1">
      <alignment horizontal="center" vertical="center" wrapText="1"/>
    </xf>
    <xf numFmtId="0" fontId="112" fillId="29" borderId="58" xfId="0" applyFont="1" applyFill="1" applyBorder="1" applyAlignment="1">
      <alignment horizontal="center" vertical="center" wrapText="1"/>
    </xf>
    <xf numFmtId="0" fontId="0" fillId="0" borderId="61" xfId="0" applyNumberFormat="1" applyFont="1" applyFill="1" applyBorder="1"/>
    <xf numFmtId="0" fontId="0" fillId="2" borderId="61" xfId="0" applyNumberFormat="1" applyFont="1" applyFill="1" applyBorder="1"/>
    <xf numFmtId="0" fontId="1" fillId="2" borderId="61" xfId="0" applyNumberFormat="1" applyFont="1" applyFill="1" applyBorder="1"/>
    <xf numFmtId="0" fontId="2" fillId="0" borderId="61" xfId="0" applyNumberFormat="1" applyFont="1" applyFill="1" applyBorder="1"/>
    <xf numFmtId="0" fontId="3" fillId="0" borderId="61" xfId="0" applyNumberFormat="1" applyFont="1" applyFill="1" applyBorder="1"/>
    <xf numFmtId="0" fontId="5" fillId="0" borderId="61" xfId="0" applyNumberFormat="1" applyFont="1" applyFill="1" applyBorder="1"/>
    <xf numFmtId="0" fontId="3" fillId="2" borderId="61" xfId="0" applyNumberFormat="1" applyFont="1" applyFill="1" applyBorder="1"/>
    <xf numFmtId="0" fontId="0" fillId="3" borderId="61" xfId="0" applyNumberFormat="1" applyFont="1" applyFill="1" applyBorder="1"/>
    <xf numFmtId="3" fontId="0" fillId="0" borderId="61" xfId="0" applyNumberFormat="1" applyFont="1" applyFill="1" applyBorder="1"/>
    <xf numFmtId="15" fontId="0" fillId="0" borderId="61" xfId="0" applyNumberFormat="1" applyFont="1" applyFill="1" applyBorder="1"/>
    <xf numFmtId="0" fontId="0" fillId="0" borderId="61" xfId="0" applyNumberFormat="1" applyFont="1" applyFill="1" applyBorder="1" applyAlignment="1">
      <alignment horizontal="right" vertical="top"/>
    </xf>
    <xf numFmtId="172" fontId="0" fillId="0" borderId="61" xfId="0" applyNumberFormat="1" applyFont="1" applyFill="1" applyBorder="1" applyAlignment="1">
      <alignment horizontal="right" vertical="top"/>
    </xf>
    <xf numFmtId="173" fontId="0" fillId="0" borderId="61" xfId="0" applyNumberFormat="1" applyFont="1" applyFill="1" applyBorder="1" applyAlignment="1">
      <alignment horizontal="right" vertical="top"/>
    </xf>
    <xf numFmtId="0" fontId="16" fillId="0" borderId="61" xfId="0" applyNumberFormat="1" applyFont="1" applyFill="1" applyBorder="1"/>
    <xf numFmtId="171" fontId="5" fillId="4" borderId="61" xfId="0" applyNumberFormat="1" applyFont="1" applyFill="1" applyBorder="1" applyAlignment="1">
      <alignment horizontal="right"/>
    </xf>
    <xf numFmtId="169" fontId="17" fillId="4" borderId="61" xfId="0" applyNumberFormat="1" applyFont="1" applyFill="1" applyBorder="1" applyAlignment="1">
      <alignment horizontal="right"/>
    </xf>
    <xf numFmtId="0" fontId="5" fillId="4" borderId="61" xfId="0" applyNumberFormat="1" applyFont="1" applyFill="1" applyBorder="1" applyAlignment="1">
      <alignment horizontal="right"/>
    </xf>
    <xf numFmtId="15" fontId="17" fillId="4" borderId="61" xfId="0" applyNumberFormat="1" applyFont="1" applyFill="1" applyBorder="1" applyAlignment="1">
      <alignment horizontal="right"/>
    </xf>
    <xf numFmtId="3" fontId="5" fillId="4" borderId="61" xfId="0" applyNumberFormat="1" applyFont="1" applyFill="1" applyBorder="1" applyAlignment="1">
      <alignment horizontal="right"/>
    </xf>
    <xf numFmtId="3" fontId="17" fillId="4" borderId="61" xfId="0" applyNumberFormat="1" applyFont="1" applyFill="1" applyBorder="1" applyAlignment="1">
      <alignment horizontal="right"/>
    </xf>
    <xf numFmtId="0" fontId="5" fillId="0" borderId="61" xfId="0" applyNumberFormat="1" applyFont="1" applyFill="1" applyBorder="1" applyAlignment="1">
      <alignment horizontal="right"/>
    </xf>
    <xf numFmtId="174" fontId="5" fillId="0" borderId="61" xfId="0" applyNumberFormat="1" applyFont="1" applyFill="1" applyBorder="1" applyAlignment="1">
      <alignment horizontal="right"/>
    </xf>
    <xf numFmtId="0" fontId="20" fillId="0" borderId="61" xfId="0" applyNumberFormat="1" applyFont="1" applyFill="1" applyBorder="1"/>
    <xf numFmtId="0" fontId="23" fillId="0" borderId="61" xfId="0" applyNumberFormat="1" applyFont="1" applyFill="1" applyBorder="1"/>
    <xf numFmtId="0" fontId="9" fillId="0" borderId="61" xfId="0" applyNumberFormat="1" applyFont="1" applyFill="1" applyBorder="1"/>
    <xf numFmtId="0" fontId="10" fillId="0" borderId="61" xfId="0" applyNumberFormat="1" applyFont="1" applyFill="1" applyBorder="1"/>
    <xf numFmtId="0" fontId="31" fillId="0" borderId="61" xfId="0" applyNumberFormat="1" applyFont="1" applyFill="1" applyBorder="1" applyAlignment="1">
      <alignment vertical="top"/>
    </xf>
    <xf numFmtId="10" fontId="31" fillId="0" borderId="61" xfId="0" applyNumberFormat="1" applyFont="1" applyFill="1" applyBorder="1" applyAlignment="1">
      <alignment horizontal="left" vertical="top"/>
    </xf>
    <xf numFmtId="10" fontId="31" fillId="0" borderId="61" xfId="0" applyNumberFormat="1" applyFont="1" applyFill="1" applyBorder="1" applyAlignment="1">
      <alignment horizontal="right" vertical="top"/>
    </xf>
    <xf numFmtId="182" fontId="31" fillId="0" borderId="61" xfId="0" applyNumberFormat="1" applyFont="1" applyFill="1" applyBorder="1" applyAlignment="1">
      <alignment horizontal="left" vertical="top"/>
    </xf>
    <xf numFmtId="184" fontId="31" fillId="0" borderId="61" xfId="0" applyNumberFormat="1" applyFont="1" applyFill="1" applyBorder="1" applyAlignment="1">
      <alignment horizontal="left" vertical="top"/>
    </xf>
    <xf numFmtId="0" fontId="3" fillId="8" borderId="61" xfId="0" applyNumberFormat="1" applyFont="1" applyFill="1" applyBorder="1"/>
    <xf numFmtId="169" fontId="13" fillId="8" borderId="61" xfId="0" applyNumberFormat="1" applyFont="1" applyFill="1" applyBorder="1"/>
    <xf numFmtId="178" fontId="13" fillId="8" borderId="61" xfId="0" applyNumberFormat="1" applyFont="1" applyFill="1" applyBorder="1"/>
    <xf numFmtId="169" fontId="5" fillId="8" borderId="61" xfId="0" applyNumberFormat="1" applyFont="1" applyFill="1" applyBorder="1"/>
    <xf numFmtId="3" fontId="5" fillId="8" borderId="61" xfId="0" applyNumberFormat="1" applyFont="1" applyFill="1" applyBorder="1" applyAlignment="1">
      <alignment horizontal="right"/>
    </xf>
    <xf numFmtId="9" fontId="5" fillId="8" borderId="61" xfId="0" applyNumberFormat="1" applyFont="1" applyFill="1" applyBorder="1" applyAlignment="1">
      <alignment horizontal="right"/>
    </xf>
    <xf numFmtId="10" fontId="5" fillId="8" borderId="61" xfId="0" applyNumberFormat="1" applyFont="1" applyFill="1" applyBorder="1" applyAlignment="1">
      <alignment horizontal="right"/>
    </xf>
    <xf numFmtId="164" fontId="5" fillId="8" borderId="61" xfId="0" applyNumberFormat="1" applyFont="1" applyFill="1" applyBorder="1" applyAlignment="1">
      <alignment horizontal="right"/>
    </xf>
    <xf numFmtId="164" fontId="13" fillId="8" borderId="61" xfId="0" applyNumberFormat="1" applyFont="1" applyFill="1" applyBorder="1" applyAlignment="1">
      <alignment horizontal="right"/>
    </xf>
    <xf numFmtId="10" fontId="13" fillId="8" borderId="61" xfId="0" applyNumberFormat="1" applyFont="1" applyFill="1" applyBorder="1" applyAlignment="1">
      <alignment horizontal="right"/>
    </xf>
    <xf numFmtId="169" fontId="13" fillId="8" borderId="61" xfId="0" applyNumberFormat="1" applyFont="1" applyFill="1" applyBorder="1" applyAlignment="1">
      <alignment horizontal="right"/>
    </xf>
    <xf numFmtId="169" fontId="9" fillId="8" borderId="61" xfId="0" applyNumberFormat="1" applyFont="1" applyFill="1" applyBorder="1" applyAlignment="1">
      <alignment horizontal="right"/>
    </xf>
    <xf numFmtId="3" fontId="13" fillId="8" borderId="61" xfId="0" applyNumberFormat="1" applyFont="1" applyFill="1" applyBorder="1" applyAlignment="1">
      <alignment horizontal="right"/>
    </xf>
    <xf numFmtId="3" fontId="9" fillId="8" borderId="61" xfId="0" applyNumberFormat="1" applyFont="1" applyFill="1" applyBorder="1" applyAlignment="1">
      <alignment horizontal="right"/>
    </xf>
    <xf numFmtId="164" fontId="9" fillId="8" borderId="61" xfId="0" applyNumberFormat="1" applyFont="1" applyFill="1" applyBorder="1" applyAlignment="1">
      <alignment horizontal="right"/>
    </xf>
    <xf numFmtId="169" fontId="20" fillId="8" borderId="62" xfId="0" applyNumberFormat="1" applyFont="1" applyFill="1" applyBorder="1" applyAlignment="1">
      <alignment horizontal="right"/>
    </xf>
    <xf numFmtId="3" fontId="26" fillId="8" borderId="62" xfId="0" applyNumberFormat="1" applyFont="1" applyFill="1" applyBorder="1" applyAlignment="1">
      <alignment horizontal="right"/>
    </xf>
    <xf numFmtId="174" fontId="9" fillId="8" borderId="61" xfId="0" applyNumberFormat="1" applyFont="1" applyFill="1" applyBorder="1" applyAlignment="1">
      <alignment horizontal="right"/>
    </xf>
    <xf numFmtId="174" fontId="13" fillId="8" borderId="61" xfId="0" applyNumberFormat="1" applyFont="1" applyFill="1" applyBorder="1" applyAlignment="1">
      <alignment horizontal="right"/>
    </xf>
    <xf numFmtId="174" fontId="5" fillId="8" borderId="61" xfId="0" applyNumberFormat="1" applyFont="1" applyFill="1" applyBorder="1" applyAlignment="1">
      <alignment horizontal="left"/>
    </xf>
    <xf numFmtId="174" fontId="5" fillId="8" borderId="61" xfId="0" applyNumberFormat="1" applyFont="1" applyFill="1" applyBorder="1" applyAlignment="1">
      <alignment horizontal="right"/>
    </xf>
    <xf numFmtId="176" fontId="5" fillId="8" borderId="61" xfId="0" applyNumberFormat="1" applyFont="1" applyFill="1" applyBorder="1" applyAlignment="1">
      <alignment horizontal="right"/>
    </xf>
    <xf numFmtId="176" fontId="13" fillId="8" borderId="61" xfId="0" applyNumberFormat="1" applyFont="1" applyFill="1" applyBorder="1" applyAlignment="1">
      <alignment horizontal="right"/>
    </xf>
    <xf numFmtId="175" fontId="5" fillId="8" borderId="61" xfId="0" applyNumberFormat="1" applyFont="1" applyFill="1" applyBorder="1" applyAlignment="1">
      <alignment horizontal="right"/>
    </xf>
    <xf numFmtId="0" fontId="10" fillId="8" borderId="61" xfId="0" applyNumberFormat="1" applyFont="1" applyFill="1" applyBorder="1"/>
    <xf numFmtId="174" fontId="26" fillId="8" borderId="61" xfId="0" applyNumberFormat="1" applyFont="1" applyFill="1" applyBorder="1" applyAlignment="1">
      <alignment horizontal="right"/>
    </xf>
    <xf numFmtId="3" fontId="20" fillId="8" borderId="61" xfId="0" applyNumberFormat="1" applyFont="1" applyFill="1" applyBorder="1" applyAlignment="1">
      <alignment horizontal="right"/>
    </xf>
    <xf numFmtId="4" fontId="3" fillId="8" borderId="61" xfId="0" applyNumberFormat="1" applyFont="1" applyFill="1" applyBorder="1"/>
    <xf numFmtId="166" fontId="4" fillId="8" borderId="61" xfId="0" applyNumberFormat="1" applyFont="1" applyFill="1" applyBorder="1" applyAlignment="1">
      <alignment horizontal="right"/>
    </xf>
    <xf numFmtId="170" fontId="4" fillId="8" borderId="61" xfId="0" applyNumberFormat="1" applyFont="1" applyFill="1" applyBorder="1" applyAlignment="1">
      <alignment horizontal="right"/>
    </xf>
    <xf numFmtId="170" fontId="6" fillId="8" borderId="61" xfId="0" applyNumberFormat="1" applyFont="1" applyFill="1" applyBorder="1" applyAlignment="1">
      <alignment horizontal="right"/>
    </xf>
    <xf numFmtId="168" fontId="4" fillId="8" borderId="61" xfId="0" applyNumberFormat="1" applyFont="1" applyFill="1" applyBorder="1" applyAlignment="1">
      <alignment horizontal="right"/>
    </xf>
    <xf numFmtId="9" fontId="13" fillId="8" borderId="61" xfId="0" applyNumberFormat="1" applyFont="1" applyFill="1" applyBorder="1" applyAlignment="1">
      <alignment horizontal="right"/>
    </xf>
    <xf numFmtId="164" fontId="20" fillId="8" borderId="61" xfId="0" applyNumberFormat="1" applyFont="1" applyFill="1" applyBorder="1" applyAlignment="1">
      <alignment horizontal="right"/>
    </xf>
    <xf numFmtId="182" fontId="20" fillId="8" borderId="61" xfId="0" applyNumberFormat="1" applyFont="1" applyFill="1" applyBorder="1" applyAlignment="1">
      <alignment horizontal="right"/>
    </xf>
    <xf numFmtId="10" fontId="20" fillId="8" borderId="61" xfId="0" applyNumberFormat="1" applyFont="1" applyFill="1" applyBorder="1" applyAlignment="1">
      <alignment horizontal="right"/>
    </xf>
    <xf numFmtId="184" fontId="20" fillId="8" borderId="61" xfId="0" applyNumberFormat="1" applyFont="1" applyFill="1" applyBorder="1" applyAlignment="1">
      <alignment horizontal="right"/>
    </xf>
    <xf numFmtId="164" fontId="5" fillId="0" borderId="61" xfId="0" applyNumberFormat="1" applyFont="1" applyFill="1" applyBorder="1" applyAlignment="1">
      <alignment horizontal="right"/>
    </xf>
    <xf numFmtId="164" fontId="13" fillId="3" borderId="61" xfId="0" applyNumberFormat="1" applyFont="1" applyFill="1" applyBorder="1" applyAlignment="1">
      <alignment horizontal="right"/>
    </xf>
    <xf numFmtId="165" fontId="5" fillId="3" borderId="61" xfId="0" applyNumberFormat="1" applyFont="1" applyFill="1" applyBorder="1" applyAlignment="1">
      <alignment horizontal="right"/>
    </xf>
    <xf numFmtId="4" fontId="5" fillId="4" borderId="61" xfId="0" applyNumberFormat="1" applyFont="1" applyFill="1" applyBorder="1" applyAlignment="1">
      <alignment horizontal="right"/>
    </xf>
    <xf numFmtId="181" fontId="5" fillId="4" borderId="61" xfId="0" applyNumberFormat="1" applyFont="1" applyFill="1" applyBorder="1" applyAlignment="1">
      <alignment horizontal="right"/>
    </xf>
    <xf numFmtId="164" fontId="5" fillId="4" borderId="61" xfId="0" applyNumberFormat="1" applyFont="1" applyFill="1" applyBorder="1" applyAlignment="1">
      <alignment horizontal="right"/>
    </xf>
    <xf numFmtId="174" fontId="9" fillId="8" borderId="61" xfId="0" applyNumberFormat="1" applyFont="1" applyFill="1" applyBorder="1"/>
    <xf numFmtId="9" fontId="9" fillId="8" borderId="61" xfId="0" applyNumberFormat="1" applyFont="1" applyFill="1" applyBorder="1" applyAlignment="1">
      <alignment horizontal="right"/>
    </xf>
    <xf numFmtId="9" fontId="5" fillId="8" borderId="61" xfId="0" applyNumberFormat="1" applyFont="1" applyFill="1" applyBorder="1"/>
    <xf numFmtId="164" fontId="5" fillId="8" borderId="61" xfId="0" applyNumberFormat="1" applyFont="1" applyFill="1" applyBorder="1"/>
    <xf numFmtId="174" fontId="13" fillId="8" borderId="61" xfId="0" applyNumberFormat="1" applyFont="1" applyFill="1" applyBorder="1" applyAlignment="1">
      <alignment horizontal="left"/>
    </xf>
    <xf numFmtId="174" fontId="9" fillId="8" borderId="61" xfId="0" applyNumberFormat="1" applyFont="1" applyFill="1" applyBorder="1" applyAlignment="1">
      <alignment horizontal="left"/>
    </xf>
    <xf numFmtId="10" fontId="5" fillId="8" borderId="63" xfId="0" applyNumberFormat="1" applyFont="1" applyFill="1" applyBorder="1"/>
    <xf numFmtId="182" fontId="5" fillId="8" borderId="63" xfId="0" applyNumberFormat="1" applyFont="1" applyFill="1" applyBorder="1" applyAlignment="1">
      <alignment horizontal="right"/>
    </xf>
    <xf numFmtId="3" fontId="9" fillId="8" borderId="61" xfId="0" applyNumberFormat="1" applyFont="1" applyFill="1" applyBorder="1" applyAlignment="1">
      <alignment horizontal="left"/>
    </xf>
    <xf numFmtId="10" fontId="5" fillId="0" borderId="61" xfId="0" applyNumberFormat="1" applyFont="1" applyFill="1" applyBorder="1" applyAlignment="1">
      <alignment horizontal="right"/>
    </xf>
    <xf numFmtId="169" fontId="33" fillId="0" borderId="61" xfId="0" applyNumberFormat="1" applyFont="1" applyFill="1" applyBorder="1"/>
    <xf numFmtId="0" fontId="3" fillId="0" borderId="64" xfId="0" applyNumberFormat="1" applyFont="1" applyFill="1" applyBorder="1"/>
    <xf numFmtId="0" fontId="3" fillId="0" borderId="65" xfId="0" applyNumberFormat="1" applyFont="1" applyFill="1" applyBorder="1"/>
    <xf numFmtId="0" fontId="3" fillId="0" borderId="66" xfId="0" applyNumberFormat="1" applyFont="1" applyFill="1" applyBorder="1"/>
    <xf numFmtId="0" fontId="3" fillId="0" borderId="67" xfId="0" applyNumberFormat="1" applyFont="1" applyFill="1" applyBorder="1"/>
    <xf numFmtId="164" fontId="33" fillId="0" borderId="61" xfId="0" applyNumberFormat="1" applyFont="1" applyFill="1" applyBorder="1"/>
    <xf numFmtId="174" fontId="33" fillId="0" borderId="61" xfId="0" applyNumberFormat="1" applyFont="1" applyFill="1" applyBorder="1"/>
    <xf numFmtId="182" fontId="33" fillId="0" borderId="61" xfId="0" applyNumberFormat="1" applyFont="1" applyFill="1" applyBorder="1"/>
    <xf numFmtId="10" fontId="33" fillId="0" borderId="68" xfId="0" applyNumberFormat="1" applyFont="1" applyFill="1" applyBorder="1"/>
    <xf numFmtId="10" fontId="33" fillId="0" borderId="61" xfId="0" applyNumberFormat="1" applyFont="1" applyFill="1" applyBorder="1"/>
    <xf numFmtId="0" fontId="3" fillId="0" borderId="61" xfId="0" applyNumberFormat="1" applyFont="1" applyFill="1" applyBorder="1" applyAlignment="1">
      <alignment horizontal="right"/>
    </xf>
    <xf numFmtId="4" fontId="33" fillId="0" borderId="61" xfId="0" applyNumberFormat="1" applyFont="1" applyFill="1" applyBorder="1"/>
    <xf numFmtId="184" fontId="33" fillId="0" borderId="61" xfId="0" applyNumberFormat="1" applyFont="1" applyFill="1" applyBorder="1"/>
    <xf numFmtId="184" fontId="33" fillId="0" borderId="68" xfId="0" applyNumberFormat="1" applyFont="1" applyFill="1" applyBorder="1"/>
    <xf numFmtId="174" fontId="33" fillId="0" borderId="67" xfId="0" applyNumberFormat="1" applyFont="1" applyFill="1" applyBorder="1"/>
    <xf numFmtId="164" fontId="33" fillId="0" borderId="67" xfId="0" applyNumberFormat="1" applyFont="1" applyFill="1" applyBorder="1"/>
    <xf numFmtId="4" fontId="33" fillId="0" borderId="67" xfId="0" applyNumberFormat="1" applyFont="1" applyFill="1" applyBorder="1"/>
    <xf numFmtId="169" fontId="33" fillId="0" borderId="67" xfId="0" applyNumberFormat="1" applyFont="1" applyFill="1" applyBorder="1"/>
    <xf numFmtId="0" fontId="10" fillId="0" borderId="65" xfId="0" applyNumberFormat="1" applyFont="1" applyFill="1" applyBorder="1"/>
    <xf numFmtId="0" fontId="37" fillId="2" borderId="69" xfId="0" applyNumberFormat="1" applyFont="1" applyFill="1" applyBorder="1"/>
    <xf numFmtId="0" fontId="36" fillId="2" borderId="64" xfId="0" applyNumberFormat="1" applyFont="1" applyFill="1" applyBorder="1"/>
    <xf numFmtId="0" fontId="37" fillId="2" borderId="70" xfId="0" applyNumberFormat="1" applyFont="1" applyFill="1" applyBorder="1" applyAlignment="1">
      <alignment horizontal="right"/>
    </xf>
    <xf numFmtId="0" fontId="3" fillId="2" borderId="65" xfId="0" applyNumberFormat="1" applyFont="1" applyFill="1" applyBorder="1"/>
    <xf numFmtId="0" fontId="3" fillId="2" borderId="68" xfId="0" applyNumberFormat="1" applyFont="1" applyFill="1" applyBorder="1" applyAlignment="1">
      <alignment horizontal="right" vertical="center"/>
    </xf>
    <xf numFmtId="0" fontId="3" fillId="9" borderId="65" xfId="0" applyNumberFormat="1" applyFont="1" applyFill="1" applyBorder="1"/>
    <xf numFmtId="0" fontId="3" fillId="9" borderId="61" xfId="0" applyNumberFormat="1" applyFont="1" applyFill="1" applyBorder="1"/>
    <xf numFmtId="0" fontId="3" fillId="9" borderId="61" xfId="0" applyNumberFormat="1" applyFont="1" applyFill="1" applyBorder="1" applyAlignment="1">
      <alignment horizontal="right"/>
    </xf>
    <xf numFmtId="0" fontId="3" fillId="9" borderId="61" xfId="0" applyNumberFormat="1" applyFont="1" applyFill="1" applyBorder="1" applyAlignment="1">
      <alignment horizontal="right" vertical="center"/>
    </xf>
    <xf numFmtId="0" fontId="3" fillId="9" borderId="68" xfId="0" applyNumberFormat="1" applyFont="1" applyFill="1" applyBorder="1" applyAlignment="1">
      <alignment horizontal="right" vertical="center"/>
    </xf>
    <xf numFmtId="4" fontId="33" fillId="0" borderId="61" xfId="0" applyNumberFormat="1" applyFont="1" applyFill="1" applyBorder="1" applyAlignment="1">
      <alignment horizontal="right"/>
    </xf>
    <xf numFmtId="164" fontId="33" fillId="0" borderId="61" xfId="0" applyNumberFormat="1" applyFont="1" applyFill="1" applyBorder="1" applyAlignment="1">
      <alignment horizontal="right"/>
    </xf>
    <xf numFmtId="174" fontId="33" fillId="0" borderId="68" xfId="0" applyNumberFormat="1" applyFont="1" applyFill="1" applyBorder="1"/>
    <xf numFmtId="184" fontId="3" fillId="8" borderId="61" xfId="0" applyNumberFormat="1" applyFont="1" applyFill="1" applyBorder="1" applyAlignment="1">
      <alignment horizontal="right"/>
    </xf>
    <xf numFmtId="10" fontId="3" fillId="8" borderId="61" xfId="0" applyNumberFormat="1" applyFont="1" applyFill="1" applyBorder="1" applyAlignment="1">
      <alignment horizontal="right"/>
    </xf>
    <xf numFmtId="10" fontId="4" fillId="8" borderId="61" xfId="0" applyNumberFormat="1" applyFont="1" applyFill="1" applyBorder="1" applyAlignment="1">
      <alignment horizontal="right"/>
    </xf>
    <xf numFmtId="10" fontId="3" fillId="8" borderId="71" xfId="0" applyNumberFormat="1" applyFont="1" applyFill="1" applyBorder="1" applyAlignment="1">
      <alignment horizontal="right"/>
    </xf>
    <xf numFmtId="10" fontId="4" fillId="8" borderId="71" xfId="0" applyNumberFormat="1" applyFont="1" applyFill="1" applyBorder="1" applyAlignment="1">
      <alignment horizontal="right"/>
    </xf>
    <xf numFmtId="189" fontId="39" fillId="0" borderId="61" xfId="0" applyNumberFormat="1" applyFont="1" applyFill="1" applyBorder="1" applyAlignment="1">
      <alignment horizontal="right"/>
    </xf>
    <xf numFmtId="165" fontId="5" fillId="8" borderId="61" xfId="0" applyNumberFormat="1" applyFont="1" applyFill="1" applyBorder="1" applyAlignment="1">
      <alignment horizontal="right"/>
    </xf>
    <xf numFmtId="165" fontId="20" fillId="8" borderId="61" xfId="0" applyNumberFormat="1" applyFont="1" applyFill="1" applyBorder="1" applyAlignment="1">
      <alignment horizontal="right"/>
    </xf>
    <xf numFmtId="165" fontId="13" fillId="8" borderId="61" xfId="0" applyNumberFormat="1" applyFont="1" applyFill="1" applyBorder="1" applyAlignment="1">
      <alignment horizontal="right"/>
    </xf>
    <xf numFmtId="165" fontId="9" fillId="8" borderId="61" xfId="0" applyNumberFormat="1" applyFont="1" applyFill="1" applyBorder="1" applyAlignment="1">
      <alignment horizontal="right"/>
    </xf>
    <xf numFmtId="165" fontId="26" fillId="8" borderId="62" xfId="0" applyNumberFormat="1" applyFont="1" applyFill="1" applyBorder="1" applyAlignment="1">
      <alignment horizontal="right"/>
    </xf>
    <xf numFmtId="0" fontId="1" fillId="0" borderId="61" xfId="0" applyNumberFormat="1" applyFont="1" applyFill="1" applyBorder="1"/>
    <xf numFmtId="190" fontId="3" fillId="8" borderId="61" xfId="0" applyNumberFormat="1" applyFont="1" applyFill="1" applyBorder="1"/>
    <xf numFmtId="4" fontId="13" fillId="8" borderId="61" xfId="0" applyNumberFormat="1" applyFont="1" applyFill="1" applyBorder="1" applyAlignment="1">
      <alignment horizontal="right"/>
    </xf>
    <xf numFmtId="10" fontId="9" fillId="8" borderId="61" xfId="0" applyNumberFormat="1" applyFont="1" applyFill="1" applyBorder="1" applyAlignment="1">
      <alignment horizontal="right"/>
    </xf>
    <xf numFmtId="4" fontId="9" fillId="8" borderId="61" xfId="0" applyNumberFormat="1" applyFont="1" applyFill="1" applyBorder="1" applyAlignment="1">
      <alignment horizontal="right"/>
    </xf>
    <xf numFmtId="179" fontId="5" fillId="8" borderId="61" xfId="0" applyNumberFormat="1" applyFont="1" applyFill="1" applyBorder="1" applyAlignment="1">
      <alignment horizontal="right"/>
    </xf>
    <xf numFmtId="164" fontId="26" fillId="8" borderId="61" xfId="0" applyNumberFormat="1" applyFont="1" applyFill="1" applyBorder="1" applyAlignment="1">
      <alignment horizontal="right"/>
    </xf>
    <xf numFmtId="164" fontId="25" fillId="8" borderId="61" xfId="0" applyNumberFormat="1" applyFont="1" applyFill="1" applyBorder="1" applyAlignment="1">
      <alignment horizontal="right"/>
    </xf>
    <xf numFmtId="4" fontId="26" fillId="8" borderId="61" xfId="0" applyNumberFormat="1" applyFont="1" applyFill="1" applyBorder="1" applyAlignment="1">
      <alignment horizontal="right"/>
    </xf>
    <xf numFmtId="3" fontId="3" fillId="8" borderId="61" xfId="0" applyNumberFormat="1" applyFont="1" applyFill="1" applyBorder="1" applyAlignment="1">
      <alignment horizontal="left"/>
    </xf>
    <xf numFmtId="183" fontId="9" fillId="8" borderId="61" xfId="0" applyNumberFormat="1" applyFont="1" applyFill="1" applyBorder="1" applyAlignment="1">
      <alignment horizontal="left"/>
    </xf>
    <xf numFmtId="185" fontId="13" fillId="8" borderId="61" xfId="0" applyNumberFormat="1" applyFont="1" applyFill="1" applyBorder="1" applyAlignment="1">
      <alignment horizontal="right"/>
    </xf>
    <xf numFmtId="3" fontId="5" fillId="8" borderId="61" xfId="0" applyNumberFormat="1" applyFont="1" applyFill="1" applyBorder="1" applyAlignment="1">
      <alignment horizontal="left"/>
    </xf>
    <xf numFmtId="186" fontId="13" fillId="8" borderId="61" xfId="0" applyNumberFormat="1" applyFont="1" applyFill="1" applyBorder="1" applyAlignment="1">
      <alignment horizontal="right"/>
    </xf>
    <xf numFmtId="191" fontId="13" fillId="8" borderId="61" xfId="0" applyNumberFormat="1" applyFont="1" applyFill="1" applyBorder="1"/>
    <xf numFmtId="171" fontId="5" fillId="0" borderId="61" xfId="0" applyNumberFormat="1" applyFont="1" applyFill="1" applyBorder="1" applyAlignment="1">
      <alignment horizontal="right"/>
    </xf>
    <xf numFmtId="3" fontId="33" fillId="0" borderId="61" xfId="0" applyNumberFormat="1" applyFont="1" applyFill="1" applyBorder="1"/>
    <xf numFmtId="0" fontId="3" fillId="0" borderId="61" xfId="0" applyNumberFormat="1" applyFont="1" applyFill="1" applyBorder="1" applyAlignment="1">
      <alignment horizontal="left"/>
    </xf>
    <xf numFmtId="0" fontId="6" fillId="0" borderId="61" xfId="0" applyNumberFormat="1" applyFont="1" applyFill="1" applyBorder="1"/>
    <xf numFmtId="169" fontId="9" fillId="0" borderId="61" xfId="0" applyNumberFormat="1" applyFont="1" applyFill="1" applyBorder="1"/>
    <xf numFmtId="0" fontId="6" fillId="0" borderId="61" xfId="0" applyNumberFormat="1" applyFont="1" applyFill="1" applyBorder="1" applyAlignment="1">
      <alignment horizontal="right"/>
    </xf>
    <xf numFmtId="0" fontId="9" fillId="0" borderId="61" xfId="0" applyNumberFormat="1" applyFont="1" applyFill="1" applyBorder="1" applyAlignment="1">
      <alignment horizontal="right"/>
    </xf>
    <xf numFmtId="174" fontId="9" fillId="0" borderId="61" xfId="0" applyNumberFormat="1" applyFont="1" applyFill="1" applyBorder="1"/>
    <xf numFmtId="164" fontId="3" fillId="0" borderId="61" xfId="0" applyNumberFormat="1" applyFont="1" applyFill="1" applyBorder="1"/>
    <xf numFmtId="164" fontId="3" fillId="0" borderId="61" xfId="0" applyNumberFormat="1" applyFont="1" applyFill="1" applyBorder="1" applyAlignment="1">
      <alignment horizontal="right"/>
    </xf>
    <xf numFmtId="169" fontId="3" fillId="0" borderId="61" xfId="0" applyNumberFormat="1" applyFont="1" applyFill="1" applyBorder="1"/>
    <xf numFmtId="0" fontId="5" fillId="0" borderId="67" xfId="0" applyNumberFormat="1" applyFont="1" applyFill="1" applyBorder="1" applyAlignment="1">
      <alignment horizontal="right"/>
    </xf>
    <xf numFmtId="0" fontId="6" fillId="0" borderId="67" xfId="0" applyNumberFormat="1" applyFont="1" applyFill="1" applyBorder="1"/>
    <xf numFmtId="171" fontId="5" fillId="0" borderId="69" xfId="0" applyNumberFormat="1" applyFont="1" applyFill="1" applyBorder="1"/>
    <xf numFmtId="0" fontId="5" fillId="0" borderId="64" xfId="0" applyNumberFormat="1" applyFont="1" applyFill="1" applyBorder="1" applyAlignment="1">
      <alignment horizontal="right"/>
    </xf>
    <xf numFmtId="0" fontId="9" fillId="0" borderId="66" xfId="0" applyNumberFormat="1" applyFont="1" applyFill="1" applyBorder="1"/>
    <xf numFmtId="0" fontId="3" fillId="0" borderId="65" xfId="0" applyNumberFormat="1" applyFont="1" applyFill="1" applyBorder="1" applyAlignment="1">
      <alignment horizontal="left"/>
    </xf>
    <xf numFmtId="0" fontId="6" fillId="0" borderId="66" xfId="0" applyNumberFormat="1" applyFont="1" applyFill="1" applyBorder="1"/>
    <xf numFmtId="171" fontId="3" fillId="0" borderId="61" xfId="0" applyNumberFormat="1" applyFont="1" applyFill="1" applyBorder="1"/>
    <xf numFmtId="164" fontId="6" fillId="0" borderId="67" xfId="0" applyNumberFormat="1" applyFont="1" applyFill="1" applyBorder="1" applyAlignment="1">
      <alignment horizontal="right"/>
    </xf>
    <xf numFmtId="164" fontId="6" fillId="0" borderId="67" xfId="0" applyNumberFormat="1" applyFont="1" applyFill="1" applyBorder="1" applyAlignment="1">
      <alignment horizontal="right" vertical="center"/>
    </xf>
    <xf numFmtId="164" fontId="6" fillId="0" borderId="72" xfId="0" applyNumberFormat="1" applyFont="1" applyFill="1" applyBorder="1" applyAlignment="1">
      <alignment horizontal="right" vertical="center"/>
    </xf>
    <xf numFmtId="164" fontId="6" fillId="0" borderId="61" xfId="0" applyNumberFormat="1" applyFont="1" applyFill="1" applyBorder="1" applyAlignment="1">
      <alignment horizontal="right"/>
    </xf>
    <xf numFmtId="164" fontId="6" fillId="0" borderId="68" xfId="0" applyNumberFormat="1" applyFont="1" applyFill="1" applyBorder="1" applyAlignment="1">
      <alignment horizontal="right"/>
    </xf>
    <xf numFmtId="3" fontId="6" fillId="8" borderId="61" xfId="0" applyNumberFormat="1" applyFont="1" applyFill="1" applyBorder="1"/>
    <xf numFmtId="164" fontId="17" fillId="3" borderId="61" xfId="0" applyNumberFormat="1" applyFont="1" applyFill="1" applyBorder="1" applyAlignment="1">
      <alignment horizontal="right"/>
    </xf>
    <xf numFmtId="169" fontId="9" fillId="8" borderId="61" xfId="0" applyNumberFormat="1" applyFont="1" applyFill="1" applyBorder="1" applyAlignment="1">
      <alignment horizontal="left"/>
    </xf>
    <xf numFmtId="169" fontId="5" fillId="8" borderId="61" xfId="0" applyNumberFormat="1" applyFont="1" applyFill="1" applyBorder="1" applyAlignment="1">
      <alignment horizontal="left"/>
    </xf>
    <xf numFmtId="169" fontId="13" fillId="8" borderId="61" xfId="0" applyNumberFormat="1" applyFont="1" applyFill="1" applyBorder="1" applyAlignment="1">
      <alignment horizontal="left"/>
    </xf>
    <xf numFmtId="177" fontId="13" fillId="8" borderId="61" xfId="0" applyNumberFormat="1" applyFont="1" applyFill="1" applyBorder="1" applyAlignment="1">
      <alignment horizontal="right"/>
    </xf>
    <xf numFmtId="171" fontId="17" fillId="4" borderId="61" xfId="0" applyNumberFormat="1" applyFont="1" applyFill="1" applyBorder="1" applyAlignment="1">
      <alignment horizontal="right"/>
    </xf>
    <xf numFmtId="169" fontId="5" fillId="0" borderId="61" xfId="0" applyNumberFormat="1" applyFont="1" applyFill="1" applyBorder="1" applyAlignment="1">
      <alignment horizontal="right"/>
    </xf>
    <xf numFmtId="169" fontId="5" fillId="4" borderId="61" xfId="0" applyNumberFormat="1" applyFont="1" applyFill="1" applyBorder="1" applyAlignment="1">
      <alignment horizontal="right"/>
    </xf>
    <xf numFmtId="168" fontId="9" fillId="4" borderId="61" xfId="0" applyNumberFormat="1" applyFont="1" applyFill="1" applyBorder="1" applyAlignment="1">
      <alignment horizontal="right"/>
    </xf>
    <xf numFmtId="15" fontId="5" fillId="0" borderId="61" xfId="0" applyNumberFormat="1" applyFont="1" applyFill="1" applyBorder="1" applyAlignment="1">
      <alignment horizontal="right"/>
    </xf>
    <xf numFmtId="15" fontId="5" fillId="4" borderId="61" xfId="0" applyNumberFormat="1" applyFont="1" applyFill="1" applyBorder="1" applyAlignment="1">
      <alignment horizontal="right"/>
    </xf>
    <xf numFmtId="164" fontId="20" fillId="0" borderId="61" xfId="0" applyNumberFormat="1" applyFont="1" applyFill="1" applyBorder="1" applyAlignment="1">
      <alignment horizontal="right"/>
    </xf>
    <xf numFmtId="10" fontId="42" fillId="0" borderId="61" xfId="0" applyNumberFormat="1" applyFont="1" applyFill="1" applyBorder="1" applyAlignment="1">
      <alignment horizontal="right"/>
    </xf>
    <xf numFmtId="10" fontId="5" fillId="4" borderId="61" xfId="0" applyNumberFormat="1" applyFont="1" applyFill="1" applyBorder="1" applyAlignment="1">
      <alignment horizontal="right"/>
    </xf>
    <xf numFmtId="169" fontId="0" fillId="0" borderId="61" xfId="0" applyNumberFormat="1" applyFont="1" applyFill="1" applyBorder="1" applyAlignment="1">
      <alignment horizontal="right"/>
    </xf>
    <xf numFmtId="0" fontId="0" fillId="0" borderId="61" xfId="0" applyNumberFormat="1" applyFont="1" applyFill="1" applyBorder="1" applyAlignment="1">
      <alignment horizontal="right"/>
    </xf>
    <xf numFmtId="9" fontId="5" fillId="4" borderId="61" xfId="0" applyNumberFormat="1" applyFont="1" applyFill="1" applyBorder="1" applyAlignment="1">
      <alignment horizontal="right"/>
    </xf>
    <xf numFmtId="164" fontId="0" fillId="0" borderId="61" xfId="0" applyNumberFormat="1" applyFont="1" applyFill="1" applyBorder="1" applyAlignment="1">
      <alignment horizontal="right"/>
    </xf>
    <xf numFmtId="180" fontId="5" fillId="4" borderId="61" xfId="0" applyNumberFormat="1" applyFont="1" applyFill="1" applyBorder="1" applyAlignment="1">
      <alignment horizontal="right"/>
    </xf>
    <xf numFmtId="164" fontId="5" fillId="0" borderId="73" xfId="0" applyNumberFormat="1" applyFont="1" applyFill="1" applyBorder="1" applyAlignment="1">
      <alignment horizontal="right"/>
    </xf>
    <xf numFmtId="164" fontId="5" fillId="4" borderId="61" xfId="0" applyNumberFormat="1" applyFont="1" applyFill="1" applyBorder="1" applyAlignment="1">
      <alignment horizontal="left"/>
    </xf>
    <xf numFmtId="164" fontId="20" fillId="4" borderId="61" xfId="0" applyNumberFormat="1" applyFont="1" applyFill="1" applyBorder="1" applyAlignment="1">
      <alignment horizontal="left"/>
    </xf>
    <xf numFmtId="193" fontId="45" fillId="4" borderId="61" xfId="0" applyNumberFormat="1" applyFont="1" applyFill="1" applyBorder="1" applyAlignment="1">
      <alignment horizontal="right"/>
    </xf>
    <xf numFmtId="192" fontId="5" fillId="4" borderId="61" xfId="0" applyNumberFormat="1" applyFont="1" applyFill="1" applyBorder="1" applyAlignment="1">
      <alignment horizontal="right"/>
    </xf>
    <xf numFmtId="0" fontId="5" fillId="4" borderId="61" xfId="0" applyNumberFormat="1" applyFont="1" applyFill="1" applyBorder="1" applyAlignment="1">
      <alignment horizontal="left"/>
    </xf>
    <xf numFmtId="3" fontId="5" fillId="4" borderId="61" xfId="0" applyNumberFormat="1" applyFont="1" applyFill="1" applyBorder="1" applyAlignment="1">
      <alignment horizontal="left"/>
    </xf>
    <xf numFmtId="3" fontId="20" fillId="4" borderId="61" xfId="0" applyNumberFormat="1" applyFont="1" applyFill="1" applyBorder="1" applyAlignment="1">
      <alignment horizontal="left"/>
    </xf>
    <xf numFmtId="174" fontId="5" fillId="4" borderId="61" xfId="0" applyNumberFormat="1" applyFont="1" applyFill="1" applyBorder="1" applyAlignment="1">
      <alignment horizontal="left"/>
    </xf>
    <xf numFmtId="0" fontId="5" fillId="0" borderId="61" xfId="0" applyNumberFormat="1" applyFont="1" applyFill="1" applyBorder="1" applyAlignment="1">
      <alignment horizontal="left"/>
    </xf>
    <xf numFmtId="0" fontId="36" fillId="2" borderId="64" xfId="0" applyNumberFormat="1" applyFont="1" applyFill="1" applyBorder="1" applyAlignment="1">
      <alignment horizontal="right"/>
    </xf>
    <xf numFmtId="0" fontId="3" fillId="2" borderId="61" xfId="0" applyNumberFormat="1" applyFont="1" applyFill="1" applyBorder="1" applyAlignment="1">
      <alignment horizontal="right"/>
    </xf>
    <xf numFmtId="0" fontId="3" fillId="2" borderId="61" xfId="0" applyNumberFormat="1" applyFont="1" applyFill="1" applyBorder="1" applyAlignment="1">
      <alignment horizontal="right" vertical="center"/>
    </xf>
    <xf numFmtId="171" fontId="5" fillId="0" borderId="64" xfId="0" applyNumberFormat="1" applyFont="1" applyFill="1" applyBorder="1" applyAlignment="1">
      <alignment horizontal="right"/>
    </xf>
    <xf numFmtId="171" fontId="3" fillId="0" borderId="64" xfId="0" applyNumberFormat="1" applyFont="1" applyFill="1" applyBorder="1" applyAlignment="1">
      <alignment horizontal="right"/>
    </xf>
    <xf numFmtId="171" fontId="3" fillId="0" borderId="64" xfId="0" applyNumberFormat="1" applyFont="1" applyFill="1" applyBorder="1" applyAlignment="1">
      <alignment horizontal="right" vertical="center"/>
    </xf>
    <xf numFmtId="171" fontId="3" fillId="0" borderId="70" xfId="0" applyNumberFormat="1" applyFont="1" applyFill="1" applyBorder="1" applyAlignment="1">
      <alignment horizontal="right" vertical="center"/>
    </xf>
    <xf numFmtId="170" fontId="9" fillId="0" borderId="67" xfId="0" applyNumberFormat="1" applyFont="1" applyFill="1" applyBorder="1" applyAlignment="1">
      <alignment horizontal="right"/>
    </xf>
    <xf numFmtId="170" fontId="6" fillId="0" borderId="67" xfId="0" applyNumberFormat="1" applyFont="1" applyFill="1" applyBorder="1" applyAlignment="1">
      <alignment horizontal="right"/>
    </xf>
    <xf numFmtId="170" fontId="6" fillId="0" borderId="67" xfId="0" applyNumberFormat="1" applyFont="1" applyFill="1" applyBorder="1" applyAlignment="1">
      <alignment horizontal="right" vertical="center"/>
    </xf>
    <xf numFmtId="170" fontId="6" fillId="0" borderId="72" xfId="0" applyNumberFormat="1" applyFont="1" applyFill="1" applyBorder="1" applyAlignment="1">
      <alignment horizontal="right" vertical="center"/>
    </xf>
    <xf numFmtId="167" fontId="6" fillId="0" borderId="61" xfId="0" applyNumberFormat="1" applyFont="1" applyFill="1" applyBorder="1" applyAlignment="1">
      <alignment horizontal="right"/>
    </xf>
    <xf numFmtId="0" fontId="6" fillId="0" borderId="61" xfId="0" applyNumberFormat="1" applyFont="1" applyFill="1" applyBorder="1" applyAlignment="1">
      <alignment horizontal="right" vertical="center"/>
    </xf>
    <xf numFmtId="0" fontId="6" fillId="0" borderId="68" xfId="0" applyNumberFormat="1" applyFont="1" applyFill="1" applyBorder="1" applyAlignment="1">
      <alignment horizontal="right" vertical="center"/>
    </xf>
    <xf numFmtId="164" fontId="6" fillId="0" borderId="61" xfId="0" applyNumberFormat="1" applyFont="1" applyFill="1" applyBorder="1" applyAlignment="1">
      <alignment horizontal="right" vertical="center"/>
    </xf>
    <xf numFmtId="164" fontId="6" fillId="0" borderId="68" xfId="0" applyNumberFormat="1" applyFont="1" applyFill="1" applyBorder="1" applyAlignment="1">
      <alignment horizontal="right" vertical="center"/>
    </xf>
    <xf numFmtId="164" fontId="24" fillId="0" borderId="61" xfId="0" applyNumberFormat="1" applyFont="1" applyFill="1" applyBorder="1" applyAlignment="1">
      <alignment horizontal="right"/>
    </xf>
    <xf numFmtId="164" fontId="46" fillId="0" borderId="61" xfId="0" applyNumberFormat="1" applyFont="1" applyFill="1" applyBorder="1" applyAlignment="1">
      <alignment horizontal="right"/>
    </xf>
    <xf numFmtId="164" fontId="6" fillId="0" borderId="72" xfId="0" applyNumberFormat="1" applyFont="1" applyFill="1" applyBorder="1" applyAlignment="1">
      <alignment horizontal="right"/>
    </xf>
    <xf numFmtId="171" fontId="3" fillId="0" borderId="61" xfId="0" applyNumberFormat="1" applyFont="1" applyFill="1" applyBorder="1" applyAlignment="1">
      <alignment horizontal="right"/>
    </xf>
    <xf numFmtId="169" fontId="3" fillId="0" borderId="61" xfId="0" applyNumberFormat="1" applyFont="1" applyFill="1" applyBorder="1" applyAlignment="1">
      <alignment horizontal="right"/>
    </xf>
    <xf numFmtId="4" fontId="33" fillId="0" borderId="68" xfId="0" applyNumberFormat="1" applyFont="1" applyFill="1" applyBorder="1"/>
    <xf numFmtId="174" fontId="33" fillId="0" borderId="61" xfId="0" applyNumberFormat="1" applyFont="1" applyFill="1" applyBorder="1" applyAlignment="1">
      <alignment horizontal="right"/>
    </xf>
    <xf numFmtId="3" fontId="4" fillId="8" borderId="61" xfId="0" applyNumberFormat="1" applyFont="1" applyFill="1" applyBorder="1" applyAlignment="1">
      <alignment horizontal="right"/>
    </xf>
    <xf numFmtId="0" fontId="2" fillId="3" borderId="61" xfId="0" applyNumberFormat="1" applyFont="1" applyFill="1" applyBorder="1"/>
    <xf numFmtId="174" fontId="47" fillId="8" borderId="61" xfId="0" applyNumberFormat="1" applyFont="1" applyFill="1" applyBorder="1" applyAlignment="1">
      <alignment horizontal="right"/>
    </xf>
    <xf numFmtId="174" fontId="31" fillId="4" borderId="61" xfId="0" applyNumberFormat="1" applyFont="1" applyFill="1" applyBorder="1" applyAlignment="1">
      <alignment horizontal="right"/>
    </xf>
    <xf numFmtId="169" fontId="49" fillId="8" borderId="61" xfId="0" applyNumberFormat="1" applyFont="1" applyFill="1" applyBorder="1" applyAlignment="1">
      <alignment horizontal="right"/>
    </xf>
    <xf numFmtId="174" fontId="20" fillId="8" borderId="61" xfId="0" applyNumberFormat="1" applyFont="1" applyFill="1" applyBorder="1" applyAlignment="1">
      <alignment horizontal="right"/>
    </xf>
    <xf numFmtId="10" fontId="5" fillId="8" borderId="63" xfId="0" applyNumberFormat="1" applyFont="1" applyFill="1" applyBorder="1" applyAlignment="1">
      <alignment horizontal="right"/>
    </xf>
    <xf numFmtId="0" fontId="5" fillId="4" borderId="61" xfId="0" applyNumberFormat="1" applyFont="1" applyFill="1" applyBorder="1"/>
    <xf numFmtId="164" fontId="5" fillId="4" borderId="61" xfId="0" applyNumberFormat="1" applyFont="1" applyFill="1" applyBorder="1"/>
    <xf numFmtId="164" fontId="20" fillId="4" borderId="61" xfId="0" applyNumberFormat="1" applyFont="1" applyFill="1" applyBorder="1"/>
    <xf numFmtId="10" fontId="49" fillId="8" borderId="61" xfId="0" applyNumberFormat="1" applyFont="1" applyFill="1" applyBorder="1" applyAlignment="1">
      <alignment horizontal="right"/>
    </xf>
    <xf numFmtId="10" fontId="5" fillId="4" borderId="61" xfId="0" applyNumberFormat="1" applyFont="1" applyFill="1" applyBorder="1"/>
    <xf numFmtId="3" fontId="5" fillId="4" borderId="61" xfId="0" applyNumberFormat="1" applyFont="1" applyFill="1" applyBorder="1"/>
    <xf numFmtId="10" fontId="45" fillId="8" borderId="61" xfId="0" applyNumberFormat="1" applyFont="1" applyFill="1" applyBorder="1" applyAlignment="1">
      <alignment horizontal="left"/>
    </xf>
    <xf numFmtId="182" fontId="5" fillId="8" borderId="61" xfId="0" applyNumberFormat="1" applyFont="1" applyFill="1" applyBorder="1" applyAlignment="1">
      <alignment horizontal="left"/>
    </xf>
    <xf numFmtId="169" fontId="5" fillId="0" borderId="61" xfId="0" applyNumberFormat="1" applyFont="1" applyFill="1" applyBorder="1"/>
    <xf numFmtId="164" fontId="5" fillId="0" borderId="61" xfId="0" applyNumberFormat="1" applyFont="1" applyFill="1" applyBorder="1"/>
    <xf numFmtId="10" fontId="5" fillId="8" borderId="61" xfId="0" applyNumberFormat="1" applyFont="1" applyFill="1" applyBorder="1" applyAlignment="1">
      <alignment horizontal="left"/>
    </xf>
    <xf numFmtId="3" fontId="52" fillId="8" borderId="61" xfId="0" applyNumberFormat="1" applyFont="1" applyFill="1" applyBorder="1"/>
    <xf numFmtId="194" fontId="53" fillId="8" borderId="61" xfId="0" applyNumberFormat="1" applyFont="1" applyFill="1" applyBorder="1" applyAlignment="1">
      <alignment horizontal="right"/>
    </xf>
    <xf numFmtId="177" fontId="3" fillId="8" borderId="61" xfId="0" applyNumberFormat="1" applyFont="1" applyFill="1" applyBorder="1"/>
    <xf numFmtId="195" fontId="4" fillId="8" borderId="61" xfId="0" applyNumberFormat="1" applyFont="1" applyFill="1" applyBorder="1" applyAlignment="1">
      <alignment horizontal="right"/>
    </xf>
    <xf numFmtId="169" fontId="45" fillId="8" borderId="61" xfId="0" applyNumberFormat="1" applyFont="1" applyFill="1" applyBorder="1" applyAlignment="1">
      <alignment horizontal="right"/>
    </xf>
    <xf numFmtId="196" fontId="31" fillId="0" borderId="61" xfId="0" applyNumberFormat="1" applyFont="1" applyFill="1" applyBorder="1" applyAlignment="1">
      <alignment horizontal="left" vertical="top"/>
    </xf>
    <xf numFmtId="197" fontId="5" fillId="8" borderId="61" xfId="0" applyNumberFormat="1" applyFont="1" applyFill="1" applyBorder="1" applyAlignment="1">
      <alignment horizontal="right"/>
    </xf>
    <xf numFmtId="192" fontId="45" fillId="8" borderId="61" xfId="0" applyNumberFormat="1" applyFont="1" applyFill="1" applyBorder="1" applyAlignment="1">
      <alignment horizontal="left"/>
    </xf>
    <xf numFmtId="0" fontId="0" fillId="2" borderId="65" xfId="0" applyNumberFormat="1" applyFont="1" applyFill="1" applyBorder="1"/>
    <xf numFmtId="3" fontId="3" fillId="0" borderId="61" xfId="0" applyNumberFormat="1" applyFont="1" applyFill="1" applyBorder="1"/>
    <xf numFmtId="9" fontId="3" fillId="0" borderId="61" xfId="0" applyNumberFormat="1" applyFont="1" applyFill="1" applyBorder="1"/>
    <xf numFmtId="0" fontId="3" fillId="12" borderId="61" xfId="0" applyNumberFormat="1" applyFont="1" applyFill="1" applyBorder="1"/>
    <xf numFmtId="171" fontId="3" fillId="12" borderId="61" xfId="0" applyNumberFormat="1" applyFont="1" applyFill="1" applyBorder="1"/>
    <xf numFmtId="3" fontId="3" fillId="12" borderId="61" xfId="0" applyNumberFormat="1" applyFont="1" applyFill="1" applyBorder="1"/>
    <xf numFmtId="9" fontId="3" fillId="12" borderId="61" xfId="0" applyNumberFormat="1" applyFont="1" applyFill="1" applyBorder="1"/>
    <xf numFmtId="164" fontId="45" fillId="0" borderId="61" xfId="0" applyNumberFormat="1" applyFont="1" applyFill="1" applyBorder="1" applyAlignment="1">
      <alignment horizontal="right"/>
    </xf>
    <xf numFmtId="169" fontId="5" fillId="4" borderId="61" xfId="0" applyNumberFormat="1" applyFont="1" applyFill="1" applyBorder="1"/>
    <xf numFmtId="165" fontId="5" fillId="4" borderId="61" xfId="0" applyNumberFormat="1" applyFont="1" applyFill="1" applyBorder="1"/>
    <xf numFmtId="169" fontId="31" fillId="6" borderId="61" xfId="0" applyNumberFormat="1" applyFont="1" applyFill="1" applyBorder="1"/>
    <xf numFmtId="10" fontId="45" fillId="0" borderId="61" xfId="0" applyNumberFormat="1" applyFont="1" applyFill="1" applyBorder="1" applyAlignment="1">
      <alignment horizontal="right"/>
    </xf>
    <xf numFmtId="164" fontId="49" fillId="0" borderId="61" xfId="0" applyNumberFormat="1" applyFont="1" applyFill="1" applyBorder="1" applyAlignment="1">
      <alignment horizontal="right"/>
    </xf>
    <xf numFmtId="10" fontId="49" fillId="0" borderId="61" xfId="0" applyNumberFormat="1" applyFont="1" applyFill="1" applyBorder="1" applyAlignment="1">
      <alignment horizontal="right"/>
    </xf>
    <xf numFmtId="3" fontId="45" fillId="0" borderId="61" xfId="0" applyNumberFormat="1" applyFont="1" applyFill="1" applyBorder="1" applyAlignment="1">
      <alignment horizontal="left"/>
    </xf>
    <xf numFmtId="4" fontId="49" fillId="8" borderId="61" xfId="0" applyNumberFormat="1" applyFont="1" applyFill="1" applyBorder="1" applyAlignment="1">
      <alignment horizontal="right"/>
    </xf>
    <xf numFmtId="174" fontId="45" fillId="13" borderId="61" xfId="0" applyNumberFormat="1" applyFont="1" applyFill="1" applyBorder="1" applyAlignment="1">
      <alignment horizontal="right"/>
    </xf>
    <xf numFmtId="174" fontId="5" fillId="13" borderId="61" xfId="0" applyNumberFormat="1" applyFont="1" applyFill="1" applyBorder="1" applyAlignment="1">
      <alignment horizontal="right"/>
    </xf>
    <xf numFmtId="10" fontId="5" fillId="13" borderId="61" xfId="0" applyNumberFormat="1" applyFont="1" applyFill="1" applyBorder="1" applyAlignment="1">
      <alignment horizontal="right"/>
    </xf>
    <xf numFmtId="187" fontId="5" fillId="4" borderId="61" xfId="0" applyNumberFormat="1" applyFont="1" applyFill="1" applyBorder="1" applyAlignment="1">
      <alignment horizontal="right"/>
    </xf>
    <xf numFmtId="174" fontId="5" fillId="4" borderId="74" xfId="0" applyNumberFormat="1" applyFont="1" applyFill="1" applyBorder="1" applyAlignment="1">
      <alignment horizontal="right"/>
    </xf>
    <xf numFmtId="174" fontId="5" fillId="4" borderId="61" xfId="0" applyNumberFormat="1" applyFont="1" applyFill="1" applyBorder="1" applyAlignment="1">
      <alignment horizontal="right"/>
    </xf>
    <xf numFmtId="0" fontId="58" fillId="3" borderId="61" xfId="0" applyNumberFormat="1" applyFont="1" applyFill="1" applyBorder="1" applyAlignment="1">
      <alignment horizontal="left" vertical="center"/>
    </xf>
    <xf numFmtId="0" fontId="10" fillId="2" borderId="61" xfId="0" applyNumberFormat="1" applyFont="1" applyFill="1" applyBorder="1" applyAlignment="1">
      <alignment horizontal="center" vertical="center" wrapText="1"/>
    </xf>
    <xf numFmtId="0" fontId="53" fillId="0" borderId="61" xfId="0" applyNumberFormat="1" applyFont="1" applyFill="1" applyBorder="1" applyAlignment="1">
      <alignment horizontal="left" vertical="center"/>
    </xf>
    <xf numFmtId="0" fontId="60" fillId="0" borderId="61" xfId="0" applyNumberFormat="1" applyFont="1" applyFill="1" applyBorder="1" applyAlignment="1">
      <alignment horizontal="left" vertical="center" wrapText="1"/>
    </xf>
    <xf numFmtId="187" fontId="53" fillId="0" borderId="61" xfId="0" applyNumberFormat="1" applyFont="1" applyFill="1" applyBorder="1" applyAlignment="1">
      <alignment horizontal="right" vertical="center"/>
    </xf>
    <xf numFmtId="187" fontId="52" fillId="0" borderId="61" xfId="0" applyNumberFormat="1" applyFont="1" applyFill="1" applyBorder="1" applyAlignment="1">
      <alignment horizontal="right" vertical="center"/>
    </xf>
    <xf numFmtId="187" fontId="59" fillId="0" borderId="61" xfId="0" applyNumberFormat="1" applyFont="1" applyFill="1" applyBorder="1" applyAlignment="1">
      <alignment horizontal="right" vertical="center"/>
    </xf>
    <xf numFmtId="174" fontId="53" fillId="0" borderId="61" xfId="0" applyNumberFormat="1" applyFont="1" applyFill="1" applyBorder="1" applyAlignment="1">
      <alignment horizontal="right" vertical="center"/>
    </xf>
    <xf numFmtId="174" fontId="59" fillId="0" borderId="61" xfId="0" applyNumberFormat="1" applyFont="1" applyFill="1" applyBorder="1" applyAlignment="1">
      <alignment horizontal="right" vertical="center"/>
    </xf>
    <xf numFmtId="182" fontId="53" fillId="0" borderId="61" xfId="0" applyNumberFormat="1" applyFont="1" applyFill="1" applyBorder="1" applyAlignment="1">
      <alignment horizontal="right" vertical="center"/>
    </xf>
    <xf numFmtId="170" fontId="59" fillId="0" borderId="61" xfId="0" applyNumberFormat="1" applyFont="1" applyFill="1" applyBorder="1" applyAlignment="1">
      <alignment horizontal="right" vertical="center"/>
    </xf>
    <xf numFmtId="164" fontId="53" fillId="0" borderId="61" xfId="0" applyNumberFormat="1" applyFont="1" applyFill="1" applyBorder="1" applyAlignment="1">
      <alignment horizontal="right" vertical="center"/>
    </xf>
    <xf numFmtId="164" fontId="59" fillId="0" borderId="61" xfId="0" applyNumberFormat="1" applyFont="1" applyFill="1" applyBorder="1" applyAlignment="1">
      <alignment horizontal="right" vertical="center"/>
    </xf>
    <xf numFmtId="168" fontId="53" fillId="0" borderId="61" xfId="0" applyNumberFormat="1" applyFont="1" applyFill="1" applyBorder="1" applyAlignment="1">
      <alignment horizontal="right" vertical="center"/>
    </xf>
    <xf numFmtId="187" fontId="58" fillId="3" borderId="61" xfId="0" applyNumberFormat="1" applyFont="1" applyFill="1" applyBorder="1" applyAlignment="1">
      <alignment horizontal="right" vertical="center"/>
    </xf>
    <xf numFmtId="174" fontId="58" fillId="3" borderId="61" xfId="0" applyNumberFormat="1" applyFont="1" applyFill="1" applyBorder="1" applyAlignment="1">
      <alignment horizontal="right" vertical="center"/>
    </xf>
    <xf numFmtId="182" fontId="58" fillId="3" borderId="61" xfId="0" applyNumberFormat="1" applyFont="1" applyFill="1" applyBorder="1" applyAlignment="1">
      <alignment horizontal="right" vertical="center"/>
    </xf>
    <xf numFmtId="0" fontId="61" fillId="3" borderId="61" xfId="0" applyNumberFormat="1" applyFont="1" applyFill="1" applyBorder="1" applyAlignment="1">
      <alignment horizontal="left" vertical="center"/>
    </xf>
    <xf numFmtId="0" fontId="53" fillId="0" borderId="61" xfId="0" applyNumberFormat="1" applyFont="1" applyFill="1" applyBorder="1" applyAlignment="1">
      <alignment horizontal="left" vertical="center" wrapText="1"/>
    </xf>
    <xf numFmtId="0" fontId="58" fillId="3" borderId="61" xfId="0" applyNumberFormat="1" applyFont="1" applyFill="1" applyBorder="1" applyAlignment="1">
      <alignment horizontal="left" vertical="center" wrapText="1"/>
    </xf>
    <xf numFmtId="0" fontId="0" fillId="0" borderId="61" xfId="0" applyNumberFormat="1" applyFont="1" applyFill="1" applyBorder="1" applyAlignment="1">
      <alignment wrapText="1"/>
    </xf>
    <xf numFmtId="0" fontId="3" fillId="2" borderId="61" xfId="0" applyNumberFormat="1" applyFont="1" applyFill="1" applyBorder="1" applyAlignment="1">
      <alignment vertical="center"/>
    </xf>
    <xf numFmtId="0" fontId="3" fillId="9" borderId="61" xfId="0" applyNumberFormat="1" applyFont="1" applyFill="1" applyBorder="1" applyAlignment="1">
      <alignment vertical="center"/>
    </xf>
    <xf numFmtId="0" fontId="3" fillId="0" borderId="69" xfId="0" applyNumberFormat="1" applyFont="1" applyFill="1" applyBorder="1"/>
    <xf numFmtId="0" fontId="33" fillId="0" borderId="64" xfId="0" applyNumberFormat="1" applyFont="1" applyFill="1" applyBorder="1"/>
    <xf numFmtId="0" fontId="33" fillId="0" borderId="70" xfId="0" applyNumberFormat="1" applyFont="1" applyFill="1" applyBorder="1" applyAlignment="1">
      <alignment horizontal="right"/>
    </xf>
    <xf numFmtId="0" fontId="10" fillId="0" borderId="69" xfId="0" applyNumberFormat="1" applyFont="1" applyFill="1" applyBorder="1" applyAlignment="1">
      <alignment wrapText="1"/>
    </xf>
    <xf numFmtId="0" fontId="3" fillId="0" borderId="70" xfId="0" applyNumberFormat="1" applyFont="1" applyFill="1" applyBorder="1"/>
    <xf numFmtId="0" fontId="33" fillId="0" borderId="61" xfId="0" applyNumberFormat="1" applyFont="1" applyFill="1" applyBorder="1"/>
    <xf numFmtId="0" fontId="4" fillId="0" borderId="62" xfId="0" applyNumberFormat="1" applyFont="1" applyFill="1" applyBorder="1"/>
    <xf numFmtId="0" fontId="4" fillId="0" borderId="75" xfId="0" applyNumberFormat="1" applyFont="1" applyFill="1" applyBorder="1"/>
    <xf numFmtId="0" fontId="4" fillId="0" borderId="76" xfId="0" applyNumberFormat="1" applyFont="1" applyFill="1" applyBorder="1"/>
    <xf numFmtId="0" fontId="4" fillId="0" borderId="77" xfId="0" applyNumberFormat="1" applyFont="1" applyFill="1" applyBorder="1"/>
    <xf numFmtId="0" fontId="3" fillId="0" borderId="68" xfId="0" applyNumberFormat="1" applyFont="1" applyFill="1" applyBorder="1"/>
    <xf numFmtId="0" fontId="4" fillId="0" borderId="78" xfId="0" applyNumberFormat="1" applyFont="1" applyFill="1" applyBorder="1"/>
    <xf numFmtId="0" fontId="4" fillId="0" borderId="79" xfId="0" applyNumberFormat="1" applyFont="1" applyFill="1" applyBorder="1"/>
    <xf numFmtId="0" fontId="27" fillId="11" borderId="80" xfId="0" applyNumberFormat="1" applyFont="1" applyFill="1" applyBorder="1" applyAlignment="1">
      <alignment horizontal="center" vertical="top"/>
    </xf>
    <xf numFmtId="0" fontId="33" fillId="0" borderId="64" xfId="0" applyNumberFormat="1" applyFont="1" applyFill="1" applyBorder="1" applyAlignment="1">
      <alignment horizontal="right"/>
    </xf>
    <xf numFmtId="198" fontId="33" fillId="0" borderId="61" xfId="0" applyNumberFormat="1" applyFont="1" applyFill="1" applyBorder="1"/>
    <xf numFmtId="198" fontId="33" fillId="0" borderId="68" xfId="0" applyNumberFormat="1" applyFont="1" applyFill="1" applyBorder="1"/>
    <xf numFmtId="199" fontId="33" fillId="0" borderId="61" xfId="0" applyNumberFormat="1" applyFont="1" applyFill="1" applyBorder="1"/>
    <xf numFmtId="0" fontId="33" fillId="0" borderId="61" xfId="0" applyNumberFormat="1" applyFont="1" applyFill="1" applyBorder="1" applyAlignment="1">
      <alignment horizontal="right"/>
    </xf>
    <xf numFmtId="0" fontId="33" fillId="0" borderId="68" xfId="0" applyNumberFormat="1" applyFont="1" applyFill="1" applyBorder="1" applyAlignment="1">
      <alignment horizontal="right"/>
    </xf>
    <xf numFmtId="198" fontId="33" fillId="0" borderId="61" xfId="0" applyNumberFormat="1" applyFont="1" applyFill="1" applyBorder="1" applyAlignment="1">
      <alignment horizontal="right"/>
    </xf>
    <xf numFmtId="200" fontId="33" fillId="0" borderId="61" xfId="0" applyNumberFormat="1" applyFont="1" applyFill="1" applyBorder="1"/>
    <xf numFmtId="0" fontId="38" fillId="0" borderId="61" xfId="0" applyNumberFormat="1" applyFont="1" applyFill="1" applyBorder="1"/>
    <xf numFmtId="199" fontId="33" fillId="0" borderId="68" xfId="0" applyNumberFormat="1" applyFont="1" applyFill="1" applyBorder="1"/>
    <xf numFmtId="0" fontId="9" fillId="0" borderId="61" xfId="0" applyNumberFormat="1" applyFont="1" applyFill="1" applyBorder="1" applyAlignment="1">
      <alignment horizontal="left"/>
    </xf>
    <xf numFmtId="198" fontId="33" fillId="0" borderId="72" xfId="0" applyNumberFormat="1" applyFont="1" applyFill="1" applyBorder="1"/>
    <xf numFmtId="0" fontId="9" fillId="0" borderId="67" xfId="0" applyNumberFormat="1" applyFont="1" applyFill="1" applyBorder="1" applyAlignment="1">
      <alignment horizontal="left"/>
    </xf>
    <xf numFmtId="0" fontId="9" fillId="0" borderId="67" xfId="0" applyNumberFormat="1" applyFont="1" applyFill="1" applyBorder="1" applyAlignment="1">
      <alignment horizontal="right"/>
    </xf>
    <xf numFmtId="184" fontId="33" fillId="0" borderId="67" xfId="0" applyNumberFormat="1" applyFont="1" applyFill="1" applyBorder="1"/>
    <xf numFmtId="199" fontId="33" fillId="0" borderId="72" xfId="0" applyNumberFormat="1" applyFont="1" applyFill="1" applyBorder="1"/>
    <xf numFmtId="3" fontId="54" fillId="0" borderId="61" xfId="0" applyNumberFormat="1" applyFont="1" applyFill="1" applyBorder="1"/>
    <xf numFmtId="0" fontId="3" fillId="0" borderId="72" xfId="0" applyNumberFormat="1" applyFont="1" applyFill="1" applyBorder="1"/>
    <xf numFmtId="0" fontId="7" fillId="0" borderId="61" xfId="0" applyNumberFormat="1" applyFont="1" applyFill="1" applyBorder="1" applyAlignment="1">
      <alignment horizontal="left"/>
    </xf>
    <xf numFmtId="0" fontId="8" fillId="0" borderId="61" xfId="0" applyNumberFormat="1" applyFont="1" applyFill="1" applyBorder="1" applyAlignment="1">
      <alignment horizontal="center"/>
    </xf>
    <xf numFmtId="0" fontId="18" fillId="0" borderId="61" xfId="0" applyNumberFormat="1" applyFont="1" applyFill="1" applyBorder="1" applyAlignment="1">
      <alignment vertical="top"/>
    </xf>
    <xf numFmtId="0" fontId="31" fillId="0" borderId="61" xfId="0" applyNumberFormat="1" applyFont="1" applyFill="1" applyBorder="1" applyAlignment="1">
      <alignment horizontal="right" vertical="top"/>
    </xf>
    <xf numFmtId="199" fontId="31" fillId="0" borderId="61" xfId="0" applyNumberFormat="1" applyFont="1" applyFill="1" applyBorder="1" applyAlignment="1">
      <alignment horizontal="left" vertical="top"/>
    </xf>
    <xf numFmtId="0" fontId="27" fillId="7" borderId="80" xfId="0" applyNumberFormat="1" applyFont="1" applyFill="1" applyBorder="1" applyAlignment="1">
      <alignment horizontal="right" vertical="top"/>
    </xf>
    <xf numFmtId="0" fontId="29" fillId="0" borderId="80" xfId="0" applyNumberFormat="1" applyFont="1" applyFill="1" applyBorder="1" applyAlignment="1">
      <alignment horizontal="right" vertical="top"/>
    </xf>
    <xf numFmtId="3" fontId="31" fillId="0" borderId="61" xfId="0" applyNumberFormat="1" applyFont="1" applyFill="1" applyBorder="1" applyAlignment="1">
      <alignment horizontal="right" vertical="top"/>
    </xf>
    <xf numFmtId="0" fontId="31" fillId="4" borderId="61" xfId="0" applyNumberFormat="1" applyFont="1" applyFill="1" applyBorder="1" applyAlignment="1">
      <alignment horizontal="left" vertical="top"/>
    </xf>
    <xf numFmtId="0" fontId="31" fillId="4" borderId="61" xfId="0" applyNumberFormat="1" applyFont="1" applyFill="1" applyBorder="1" applyAlignment="1">
      <alignment horizontal="right" vertical="top"/>
    </xf>
    <xf numFmtId="0" fontId="31" fillId="4" borderId="61" xfId="0" applyNumberFormat="1" applyFont="1" applyFill="1" applyBorder="1" applyAlignment="1">
      <alignment vertical="top"/>
    </xf>
    <xf numFmtId="0" fontId="27" fillId="0" borderId="61" xfId="0" applyNumberFormat="1" applyFont="1" applyFill="1" applyBorder="1" applyAlignment="1">
      <alignment horizontal="right" vertical="top"/>
    </xf>
    <xf numFmtId="0" fontId="29" fillId="0" borderId="61" xfId="0" applyNumberFormat="1" applyFont="1" applyFill="1" applyBorder="1" applyAlignment="1">
      <alignment horizontal="right" vertical="top"/>
    </xf>
    <xf numFmtId="0" fontId="3" fillId="2" borderId="61" xfId="0" applyNumberFormat="1" applyFont="1" applyFill="1" applyBorder="1" applyAlignment="1">
      <alignment horizontal="center" vertical="center"/>
    </xf>
    <xf numFmtId="0" fontId="5" fillId="2" borderId="61" xfId="0" applyNumberFormat="1" applyFont="1" applyFill="1" applyBorder="1"/>
    <xf numFmtId="0" fontId="5" fillId="2" borderId="61" xfId="0" applyNumberFormat="1" applyFont="1" applyFill="1" applyBorder="1" applyAlignment="1">
      <alignment horizontal="right"/>
    </xf>
    <xf numFmtId="0" fontId="5" fillId="4" borderId="74" xfId="0" applyNumberFormat="1" applyFont="1" applyFill="1" applyBorder="1" applyAlignment="1">
      <alignment horizontal="left"/>
    </xf>
    <xf numFmtId="0" fontId="5" fillId="4" borderId="74" xfId="0" applyNumberFormat="1" applyFont="1" applyFill="1" applyBorder="1" applyAlignment="1">
      <alignment horizontal="right"/>
    </xf>
    <xf numFmtId="0" fontId="1" fillId="2" borderId="67" xfId="0" applyNumberFormat="1" applyFont="1" applyFill="1" applyBorder="1"/>
    <xf numFmtId="0" fontId="0" fillId="2" borderId="67" xfId="0" applyNumberFormat="1" applyFont="1" applyFill="1" applyBorder="1"/>
    <xf numFmtId="0" fontId="18" fillId="2" borderId="67" xfId="0" applyNumberFormat="1" applyFont="1" applyFill="1" applyBorder="1" applyAlignment="1">
      <alignment horizontal="right"/>
    </xf>
    <xf numFmtId="0" fontId="4" fillId="8" borderId="72" xfId="0" applyNumberFormat="1" applyFont="1" applyFill="1" applyBorder="1" applyAlignment="1">
      <alignment horizontal="right"/>
    </xf>
    <xf numFmtId="0" fontId="5" fillId="10" borderId="61" xfId="0" applyNumberFormat="1" applyFont="1" applyFill="1" applyBorder="1"/>
    <xf numFmtId="0" fontId="5" fillId="10" borderId="61" xfId="0" applyNumberFormat="1" applyFont="1" applyFill="1" applyBorder="1" applyAlignment="1">
      <alignment horizontal="right"/>
    </xf>
    <xf numFmtId="0" fontId="5" fillId="8" borderId="61" xfId="0" applyNumberFormat="1" applyFont="1" applyFill="1" applyBorder="1"/>
    <xf numFmtId="0" fontId="4" fillId="8" borderId="61" xfId="0" applyNumberFormat="1" applyFont="1" applyFill="1" applyBorder="1" applyAlignment="1">
      <alignment horizontal="right"/>
    </xf>
    <xf numFmtId="0" fontId="6" fillId="8" borderId="61" xfId="0" applyNumberFormat="1" applyFont="1" applyFill="1" applyBorder="1" applyAlignment="1">
      <alignment horizontal="right"/>
    </xf>
    <xf numFmtId="0" fontId="5" fillId="8" borderId="61" xfId="0" applyNumberFormat="1" applyFont="1" applyFill="1" applyBorder="1" applyAlignment="1">
      <alignment horizontal="right"/>
    </xf>
    <xf numFmtId="174" fontId="6" fillId="8" borderId="61" xfId="0" applyNumberFormat="1" applyFont="1" applyFill="1" applyBorder="1" applyAlignment="1">
      <alignment horizontal="right"/>
    </xf>
    <xf numFmtId="174" fontId="53" fillId="8" borderId="61" xfId="0" applyNumberFormat="1" applyFont="1" applyFill="1" applyBorder="1" applyAlignment="1">
      <alignment horizontal="right"/>
    </xf>
    <xf numFmtId="0" fontId="5" fillId="5" borderId="61" xfId="0" applyNumberFormat="1" applyFont="1" applyFill="1" applyBorder="1" applyAlignment="1">
      <alignment horizontal="left"/>
    </xf>
    <xf numFmtId="0" fontId="5" fillId="5" borderId="61" xfId="0" applyNumberFormat="1" applyFont="1" applyFill="1" applyBorder="1" applyAlignment="1">
      <alignment horizontal="right"/>
    </xf>
    <xf numFmtId="0" fontId="20" fillId="4" borderId="61" xfId="0" applyNumberFormat="1" applyFont="1" applyFill="1" applyBorder="1" applyAlignment="1">
      <alignment horizontal="left"/>
    </xf>
    <xf numFmtId="0" fontId="3" fillId="3" borderId="61" xfId="0" applyNumberFormat="1" applyFont="1" applyFill="1" applyBorder="1" applyAlignment="1">
      <alignment horizontal="left"/>
    </xf>
    <xf numFmtId="0" fontId="3" fillId="3" borderId="61" xfId="0" applyNumberFormat="1" applyFont="1" applyFill="1" applyBorder="1"/>
    <xf numFmtId="0" fontId="38" fillId="3" borderId="61" xfId="0" applyNumberFormat="1" applyFont="1" applyFill="1" applyBorder="1"/>
    <xf numFmtId="0" fontId="53" fillId="8" borderId="61" xfId="0" applyNumberFormat="1" applyFont="1" applyFill="1" applyBorder="1" applyAlignment="1">
      <alignment horizontal="left"/>
    </xf>
    <xf numFmtId="0" fontId="13" fillId="8" borderId="61" xfId="0" applyNumberFormat="1" applyFont="1" applyFill="1" applyBorder="1" applyAlignment="1">
      <alignment horizontal="right"/>
    </xf>
    <xf numFmtId="200" fontId="5" fillId="8" borderId="61" xfId="0" applyNumberFormat="1" applyFont="1" applyFill="1" applyBorder="1" applyAlignment="1">
      <alignment horizontal="right"/>
    </xf>
    <xf numFmtId="198" fontId="13" fillId="8" borderId="61" xfId="0" applyNumberFormat="1" applyFont="1" applyFill="1" applyBorder="1" applyAlignment="1">
      <alignment horizontal="right"/>
    </xf>
    <xf numFmtId="198" fontId="5" fillId="0" borderId="61" xfId="0" applyNumberFormat="1" applyFont="1" applyFill="1" applyBorder="1" applyAlignment="1">
      <alignment horizontal="right"/>
    </xf>
    <xf numFmtId="198" fontId="5" fillId="4" borderId="61" xfId="0" applyNumberFormat="1" applyFont="1" applyFill="1" applyBorder="1" applyAlignment="1">
      <alignment horizontal="right"/>
    </xf>
    <xf numFmtId="0" fontId="52" fillId="8" borderId="61" xfId="0" applyNumberFormat="1" applyFont="1" applyFill="1" applyBorder="1" applyAlignment="1">
      <alignment horizontal="left"/>
    </xf>
    <xf numFmtId="198" fontId="5" fillId="8" borderId="61" xfId="0" applyNumberFormat="1" applyFont="1" applyFill="1" applyBorder="1" applyAlignment="1">
      <alignment horizontal="right"/>
    </xf>
    <xf numFmtId="0" fontId="6" fillId="8" borderId="61" xfId="0" applyNumberFormat="1" applyFont="1" applyFill="1" applyBorder="1"/>
    <xf numFmtId="198" fontId="9" fillId="8" borderId="61" xfId="0" applyNumberFormat="1" applyFont="1" applyFill="1" applyBorder="1" applyAlignment="1">
      <alignment horizontal="right"/>
    </xf>
    <xf numFmtId="0" fontId="4" fillId="8" borderId="61" xfId="0" applyNumberFormat="1" applyFont="1" applyFill="1" applyBorder="1"/>
    <xf numFmtId="0" fontId="4" fillId="8" borderId="61" xfId="0" applyNumberFormat="1" applyFont="1" applyFill="1" applyBorder="1" applyAlignment="1">
      <alignment horizontal="left"/>
    </xf>
    <xf numFmtId="0" fontId="6" fillId="8" borderId="61" xfId="0" applyNumberFormat="1" applyFont="1" applyFill="1" applyBorder="1" applyAlignment="1">
      <alignment horizontal="left"/>
    </xf>
    <xf numFmtId="0" fontId="9" fillId="8" borderId="61" xfId="0" applyNumberFormat="1" applyFont="1" applyFill="1" applyBorder="1" applyAlignment="1">
      <alignment horizontal="right"/>
    </xf>
    <xf numFmtId="200" fontId="9" fillId="8" borderId="61" xfId="0" applyNumberFormat="1" applyFont="1" applyFill="1" applyBorder="1" applyAlignment="1">
      <alignment horizontal="right"/>
    </xf>
    <xf numFmtId="198" fontId="9" fillId="0" borderId="61" xfId="0" applyNumberFormat="1" applyFont="1" applyFill="1" applyBorder="1" applyAlignment="1">
      <alignment horizontal="right"/>
    </xf>
    <xf numFmtId="0" fontId="9" fillId="4" borderId="61" xfId="0" applyNumberFormat="1" applyFont="1" applyFill="1" applyBorder="1" applyAlignment="1">
      <alignment horizontal="left"/>
    </xf>
    <xf numFmtId="0" fontId="9" fillId="4" borderId="61" xfId="0" applyNumberFormat="1" applyFont="1" applyFill="1" applyBorder="1" applyAlignment="1">
      <alignment horizontal="right"/>
    </xf>
    <xf numFmtId="0" fontId="40" fillId="0" borderId="61" xfId="0" applyNumberFormat="1" applyFont="1" applyFill="1" applyBorder="1"/>
    <xf numFmtId="0" fontId="24" fillId="8" borderId="62" xfId="0" applyNumberFormat="1" applyFont="1" applyFill="1" applyBorder="1"/>
    <xf numFmtId="200" fontId="26" fillId="8" borderId="62" xfId="0" applyNumberFormat="1" applyFont="1" applyFill="1" applyBorder="1" applyAlignment="1">
      <alignment horizontal="right"/>
    </xf>
    <xf numFmtId="0" fontId="20" fillId="0" borderId="61" xfId="0" applyNumberFormat="1" applyFont="1" applyFill="1" applyBorder="1" applyAlignment="1">
      <alignment horizontal="right"/>
    </xf>
    <xf numFmtId="198" fontId="20" fillId="0" borderId="61" xfId="0" applyNumberFormat="1" applyFont="1" applyFill="1" applyBorder="1" applyAlignment="1">
      <alignment horizontal="right"/>
    </xf>
    <xf numFmtId="0" fontId="20" fillId="4" borderId="61" xfId="0" applyNumberFormat="1" applyFont="1" applyFill="1" applyBorder="1"/>
    <xf numFmtId="0" fontId="17" fillId="0" borderId="61" xfId="0" applyNumberFormat="1" applyFont="1" applyFill="1" applyBorder="1"/>
    <xf numFmtId="0" fontId="3" fillId="8" borderId="61" xfId="0" applyNumberFormat="1" applyFont="1" applyFill="1" applyBorder="1" applyAlignment="1">
      <alignment horizontal="left"/>
    </xf>
    <xf numFmtId="0" fontId="17" fillId="0" borderId="61" xfId="0" applyNumberFormat="1" applyFont="1" applyFill="1" applyBorder="1" applyAlignment="1">
      <alignment horizontal="right"/>
    </xf>
    <xf numFmtId="198" fontId="17" fillId="0" borderId="61" xfId="0" applyNumberFormat="1" applyFont="1" applyFill="1" applyBorder="1"/>
    <xf numFmtId="3" fontId="1" fillId="0" borderId="61" xfId="0" applyNumberFormat="1" applyFont="1" applyFill="1" applyBorder="1"/>
    <xf numFmtId="0" fontId="49" fillId="8" borderId="61" xfId="0" applyNumberFormat="1" applyFont="1" applyFill="1" applyBorder="1" applyAlignment="1">
      <alignment horizontal="right"/>
    </xf>
    <xf numFmtId="0" fontId="45" fillId="8" borderId="61" xfId="0" applyNumberFormat="1" applyFont="1" applyFill="1" applyBorder="1" applyAlignment="1">
      <alignment horizontal="right"/>
    </xf>
    <xf numFmtId="0" fontId="27" fillId="7" borderId="80" xfId="0" applyNumberFormat="1" applyFont="1" applyFill="1" applyBorder="1" applyAlignment="1">
      <alignment horizontal="center" vertical="top"/>
    </xf>
    <xf numFmtId="0" fontId="29" fillId="0" borderId="80" xfId="0" applyNumberFormat="1" applyFont="1" applyFill="1" applyBorder="1" applyAlignment="1">
      <alignment horizontal="center" vertical="top"/>
    </xf>
    <xf numFmtId="0" fontId="20" fillId="8" borderId="61" xfId="0" applyNumberFormat="1" applyFont="1" applyFill="1" applyBorder="1" applyAlignment="1">
      <alignment horizontal="right"/>
    </xf>
    <xf numFmtId="200" fontId="20" fillId="8" borderId="61" xfId="0" applyNumberFormat="1" applyFont="1" applyFill="1" applyBorder="1" applyAlignment="1">
      <alignment horizontal="right"/>
    </xf>
    <xf numFmtId="0" fontId="5" fillId="3" borderId="61" xfId="0" applyNumberFormat="1" applyFont="1" applyFill="1" applyBorder="1"/>
    <xf numFmtId="3" fontId="40" fillId="0" borderId="61" xfId="0" applyNumberFormat="1" applyFont="1" applyFill="1" applyBorder="1"/>
    <xf numFmtId="198" fontId="5" fillId="0" borderId="61" xfId="0" applyNumberFormat="1" applyFont="1" applyFill="1" applyBorder="1"/>
    <xf numFmtId="0" fontId="3" fillId="8" borderId="61" xfId="0" applyNumberFormat="1" applyFont="1" applyFill="1" applyBorder="1" applyAlignment="1">
      <alignment horizontal="right"/>
    </xf>
    <xf numFmtId="174" fontId="4" fillId="8" borderId="61" xfId="0" applyNumberFormat="1" applyFont="1" applyFill="1" applyBorder="1" applyAlignment="1">
      <alignment horizontal="right"/>
    </xf>
    <xf numFmtId="174" fontId="13" fillId="8" borderId="61" xfId="0" applyNumberFormat="1" applyFont="1" applyFill="1" applyBorder="1"/>
    <xf numFmtId="174" fontId="51" fillId="4" borderId="61" xfId="0" applyNumberFormat="1" applyFont="1" applyFill="1" applyBorder="1"/>
    <xf numFmtId="174" fontId="5" fillId="4" borderId="61" xfId="0" applyNumberFormat="1" applyFont="1" applyFill="1" applyBorder="1"/>
    <xf numFmtId="0" fontId="0" fillId="4" borderId="61" xfId="0" applyNumberFormat="1" applyFont="1" applyFill="1" applyBorder="1" applyAlignment="1">
      <alignment horizontal="left"/>
    </xf>
    <xf numFmtId="0" fontId="0" fillId="4" borderId="61" xfId="0" applyNumberFormat="1" applyFont="1" applyFill="1" applyBorder="1" applyAlignment="1">
      <alignment horizontal="right"/>
    </xf>
    <xf numFmtId="0" fontId="0" fillId="4" borderId="61" xfId="0" applyNumberFormat="1" applyFont="1" applyFill="1" applyBorder="1"/>
    <xf numFmtId="0" fontId="9" fillId="8" borderId="61" xfId="0" applyNumberFormat="1" applyFont="1" applyFill="1" applyBorder="1" applyAlignment="1">
      <alignment horizontal="left"/>
    </xf>
    <xf numFmtId="0" fontId="13" fillId="8" borderId="61" xfId="0" applyNumberFormat="1" applyFont="1" applyFill="1" applyBorder="1" applyAlignment="1">
      <alignment horizontal="left"/>
    </xf>
    <xf numFmtId="198" fontId="5" fillId="4" borderId="61" xfId="0" applyNumberFormat="1" applyFont="1" applyFill="1" applyBorder="1" applyAlignment="1">
      <alignment horizontal="left"/>
    </xf>
    <xf numFmtId="198" fontId="5" fillId="4" borderId="61" xfId="0" applyNumberFormat="1" applyFont="1" applyFill="1" applyBorder="1"/>
    <xf numFmtId="174" fontId="45" fillId="8" borderId="61" xfId="0" applyNumberFormat="1" applyFont="1" applyFill="1" applyBorder="1" applyAlignment="1">
      <alignment horizontal="right"/>
    </xf>
    <xf numFmtId="198" fontId="45" fillId="8" borderId="61" xfId="0" applyNumberFormat="1" applyFont="1" applyFill="1" applyBorder="1" applyAlignment="1">
      <alignment horizontal="right"/>
    </xf>
    <xf numFmtId="0" fontId="41" fillId="0" borderId="61" xfId="0" applyNumberFormat="1" applyFont="1" applyFill="1" applyBorder="1"/>
    <xf numFmtId="0" fontId="25" fillId="8" borderId="61" xfId="0" applyNumberFormat="1" applyFont="1" applyFill="1" applyBorder="1" applyAlignment="1">
      <alignment horizontal="right"/>
    </xf>
    <xf numFmtId="0" fontId="10" fillId="0" borderId="61" xfId="0" applyNumberFormat="1" applyFont="1" applyFill="1" applyBorder="1" applyAlignment="1">
      <alignment horizontal="right"/>
    </xf>
    <xf numFmtId="0" fontId="10" fillId="4" borderId="61" xfId="0" applyNumberFormat="1" applyFont="1" applyFill="1" applyBorder="1" applyAlignment="1">
      <alignment horizontal="left"/>
    </xf>
    <xf numFmtId="0" fontId="10" fillId="4" borderId="61" xfId="0" applyNumberFormat="1" applyFont="1" applyFill="1" applyBorder="1" applyAlignment="1">
      <alignment horizontal="right"/>
    </xf>
    <xf numFmtId="0" fontId="10" fillId="4" borderId="61" xfId="0" applyNumberFormat="1" applyFont="1" applyFill="1" applyBorder="1"/>
    <xf numFmtId="0" fontId="4" fillId="3" borderId="61" xfId="0" applyNumberFormat="1" applyFont="1" applyFill="1" applyBorder="1"/>
    <xf numFmtId="0" fontId="31" fillId="4" borderId="61" xfId="0" applyNumberFormat="1" applyFont="1" applyFill="1" applyBorder="1" applyAlignment="1">
      <alignment horizontal="left"/>
    </xf>
    <xf numFmtId="0" fontId="31" fillId="4" borderId="61" xfId="0" applyNumberFormat="1" applyFont="1" applyFill="1" applyBorder="1" applyAlignment="1">
      <alignment horizontal="right"/>
    </xf>
    <xf numFmtId="0" fontId="24" fillId="8" borderId="61" xfId="0" applyNumberFormat="1" applyFont="1" applyFill="1" applyBorder="1" applyAlignment="1">
      <alignment horizontal="left"/>
    </xf>
    <xf numFmtId="198" fontId="20" fillId="8" borderId="61" xfId="0" applyNumberFormat="1" applyFont="1" applyFill="1" applyBorder="1" applyAlignment="1">
      <alignment horizontal="right"/>
    </xf>
    <xf numFmtId="0" fontId="23" fillId="0" borderId="61" xfId="0" applyNumberFormat="1" applyFont="1" applyFill="1" applyBorder="1" applyAlignment="1">
      <alignment horizontal="right"/>
    </xf>
    <xf numFmtId="0" fontId="23" fillId="4" borderId="61" xfId="0" applyNumberFormat="1" applyFont="1" applyFill="1" applyBorder="1" applyAlignment="1">
      <alignment horizontal="left"/>
    </xf>
    <xf numFmtId="0" fontId="23" fillId="4" borderId="61" xfId="0" applyNumberFormat="1" applyFont="1" applyFill="1" applyBorder="1" applyAlignment="1">
      <alignment horizontal="right"/>
    </xf>
    <xf numFmtId="0" fontId="23" fillId="4" borderId="61" xfId="0" applyNumberFormat="1" applyFont="1" applyFill="1" applyBorder="1"/>
    <xf numFmtId="0" fontId="0" fillId="0" borderId="61" xfId="0" applyNumberFormat="1" applyFont="1" applyFill="1" applyBorder="1" applyAlignment="1">
      <alignment horizontal="left"/>
    </xf>
    <xf numFmtId="0" fontId="3" fillId="6" borderId="61" xfId="0" applyNumberFormat="1" applyFont="1" applyFill="1" applyBorder="1"/>
    <xf numFmtId="0" fontId="3" fillId="6" borderId="61" xfId="0" applyNumberFormat="1" applyFont="1" applyFill="1" applyBorder="1" applyAlignment="1">
      <alignment horizontal="right"/>
    </xf>
    <xf numFmtId="0" fontId="52" fillId="6" borderId="61" xfId="0" applyNumberFormat="1" applyFont="1" applyFill="1" applyBorder="1" applyAlignment="1">
      <alignment horizontal="left"/>
    </xf>
    <xf numFmtId="0" fontId="3" fillId="6" borderId="61" xfId="0" applyNumberFormat="1" applyFont="1" applyFill="1" applyBorder="1" applyAlignment="1">
      <alignment horizontal="left"/>
    </xf>
    <xf numFmtId="0" fontId="31" fillId="6" borderId="61" xfId="0" applyNumberFormat="1" applyFont="1" applyFill="1" applyBorder="1" applyAlignment="1">
      <alignment horizontal="right"/>
    </xf>
    <xf numFmtId="0" fontId="5" fillId="8" borderId="61" xfId="0" applyNumberFormat="1" applyFont="1" applyFill="1" applyBorder="1" applyAlignment="1">
      <alignment horizontal="left"/>
    </xf>
    <xf numFmtId="0" fontId="49" fillId="0" borderId="61" xfId="0" applyNumberFormat="1" applyFont="1" applyFill="1" applyBorder="1" applyAlignment="1">
      <alignment horizontal="left"/>
    </xf>
    <xf numFmtId="198" fontId="45" fillId="0" borderId="61" xfId="0" applyNumberFormat="1" applyFont="1" applyFill="1" applyBorder="1" applyAlignment="1">
      <alignment horizontal="right"/>
    </xf>
    <xf numFmtId="0" fontId="17" fillId="8" borderId="61" xfId="0" applyNumberFormat="1" applyFont="1" applyFill="1" applyBorder="1" applyAlignment="1">
      <alignment horizontal="right"/>
    </xf>
    <xf numFmtId="0" fontId="45" fillId="0" borderId="61" xfId="0" applyNumberFormat="1" applyFont="1" applyFill="1" applyBorder="1" applyAlignment="1">
      <alignment horizontal="left"/>
    </xf>
    <xf numFmtId="0" fontId="49" fillId="0" borderId="61" xfId="0" applyNumberFormat="1" applyFont="1" applyFill="1" applyBorder="1" applyAlignment="1">
      <alignment horizontal="right"/>
    </xf>
    <xf numFmtId="198" fontId="49" fillId="0" borderId="61" xfId="0" applyNumberFormat="1" applyFont="1" applyFill="1" applyBorder="1" applyAlignment="1">
      <alignment horizontal="right"/>
    </xf>
    <xf numFmtId="0" fontId="56" fillId="0" borderId="61" xfId="0" applyNumberFormat="1" applyFont="1" applyFill="1" applyBorder="1" applyAlignment="1">
      <alignment horizontal="right"/>
    </xf>
    <xf numFmtId="0" fontId="5" fillId="8" borderId="61" xfId="0" applyNumberFormat="1" applyFont="1" applyFill="1" applyBorder="1" applyAlignment="1">
      <alignment horizontal="center"/>
    </xf>
    <xf numFmtId="0" fontId="3" fillId="6" borderId="71" xfId="0" applyNumberFormat="1" applyFont="1" applyFill="1" applyBorder="1" applyAlignment="1">
      <alignment horizontal="right"/>
    </xf>
    <xf numFmtId="0" fontId="5" fillId="8" borderId="71" xfId="0" applyNumberFormat="1" applyFont="1" applyFill="1" applyBorder="1" applyAlignment="1">
      <alignment horizontal="left"/>
    </xf>
    <xf numFmtId="0" fontId="5" fillId="8" borderId="71" xfId="0" applyNumberFormat="1" applyFont="1" applyFill="1" applyBorder="1" applyAlignment="1">
      <alignment horizontal="right"/>
    </xf>
    <xf numFmtId="198" fontId="20" fillId="8" borderId="71" xfId="0" applyNumberFormat="1" applyFont="1" applyFill="1" applyBorder="1" applyAlignment="1">
      <alignment horizontal="right"/>
    </xf>
    <xf numFmtId="0" fontId="20" fillId="10" borderId="61" xfId="0" applyNumberFormat="1" applyFont="1" applyFill="1" applyBorder="1"/>
    <xf numFmtId="0" fontId="20" fillId="10" borderId="61" xfId="0" applyNumberFormat="1" applyFont="1" applyFill="1" applyBorder="1" applyAlignment="1">
      <alignment horizontal="right"/>
    </xf>
    <xf numFmtId="0" fontId="20" fillId="4" borderId="61" xfId="0" applyNumberFormat="1" applyFont="1" applyFill="1" applyBorder="1" applyAlignment="1">
      <alignment horizontal="right"/>
    </xf>
    <xf numFmtId="3" fontId="5" fillId="2" borderId="61" xfId="0" applyNumberFormat="1" applyFont="1" applyFill="1" applyBorder="1" applyAlignment="1">
      <alignment horizontal="right"/>
    </xf>
    <xf numFmtId="0" fontId="5" fillId="6" borderId="61" xfId="0" applyNumberFormat="1" applyFont="1" applyFill="1" applyBorder="1" applyAlignment="1">
      <alignment horizontal="right"/>
    </xf>
    <xf numFmtId="198" fontId="5" fillId="4" borderId="74" xfId="0" applyNumberFormat="1" applyFont="1" applyFill="1" applyBorder="1" applyAlignment="1">
      <alignment horizontal="right"/>
    </xf>
    <xf numFmtId="0" fontId="17" fillId="4" borderId="74" xfId="0" applyNumberFormat="1" applyFont="1" applyFill="1" applyBorder="1" applyAlignment="1">
      <alignment horizontal="right"/>
    </xf>
    <xf numFmtId="198" fontId="17" fillId="4" borderId="74" xfId="0" applyNumberFormat="1" applyFont="1" applyFill="1" applyBorder="1" applyAlignment="1">
      <alignment horizontal="right"/>
    </xf>
    <xf numFmtId="199" fontId="20" fillId="8" borderId="61" xfId="0" applyNumberFormat="1" applyFont="1" applyFill="1" applyBorder="1" applyAlignment="1">
      <alignment horizontal="right"/>
    </xf>
    <xf numFmtId="0" fontId="20" fillId="4" borderId="63" xfId="0" applyNumberFormat="1" applyFont="1" applyFill="1" applyBorder="1" applyAlignment="1">
      <alignment horizontal="left"/>
    </xf>
    <xf numFmtId="0" fontId="5" fillId="4" borderId="63" xfId="0" applyNumberFormat="1" applyFont="1" applyFill="1" applyBorder="1" applyAlignment="1">
      <alignment horizontal="right"/>
    </xf>
    <xf numFmtId="198" fontId="5" fillId="4" borderId="63" xfId="0" applyNumberFormat="1" applyFont="1" applyFill="1" applyBorder="1" applyAlignment="1">
      <alignment horizontal="right"/>
    </xf>
    <xf numFmtId="0" fontId="45" fillId="8" borderId="61" xfId="0" applyNumberFormat="1" applyFont="1" applyFill="1" applyBorder="1" applyAlignment="1">
      <alignment horizontal="left"/>
    </xf>
    <xf numFmtId="199" fontId="5" fillId="13" borderId="61" xfId="0" applyNumberFormat="1" applyFont="1" applyFill="1" applyBorder="1" applyAlignment="1">
      <alignment horizontal="right"/>
    </xf>
    <xf numFmtId="0" fontId="5" fillId="4" borderId="63" xfId="0" applyNumberFormat="1" applyFont="1" applyFill="1" applyBorder="1" applyAlignment="1">
      <alignment horizontal="left"/>
    </xf>
    <xf numFmtId="199" fontId="5" fillId="8" borderId="61" xfId="0" applyNumberFormat="1" applyFont="1" applyFill="1" applyBorder="1" applyAlignment="1">
      <alignment horizontal="right"/>
    </xf>
    <xf numFmtId="0" fontId="5" fillId="0" borderId="73" xfId="0" applyNumberFormat="1" applyFont="1" applyFill="1" applyBorder="1"/>
    <xf numFmtId="0" fontId="5" fillId="0" borderId="73" xfId="0" applyNumberFormat="1" applyFont="1" applyFill="1" applyBorder="1" applyAlignment="1">
      <alignment horizontal="right"/>
    </xf>
    <xf numFmtId="0" fontId="10" fillId="8" borderId="81" xfId="0" applyNumberFormat="1" applyFont="1" applyFill="1" applyBorder="1"/>
    <xf numFmtId="0" fontId="9" fillId="8" borderId="61" xfId="0" applyNumberFormat="1" applyFont="1" applyFill="1" applyBorder="1"/>
    <xf numFmtId="0" fontId="13" fillId="8" borderId="61" xfId="0" applyNumberFormat="1" applyFont="1" applyFill="1" applyBorder="1"/>
    <xf numFmtId="174" fontId="5" fillId="8" borderId="61" xfId="0" applyNumberFormat="1" applyFont="1" applyFill="1" applyBorder="1"/>
    <xf numFmtId="198" fontId="5" fillId="8" borderId="61" xfId="0" applyNumberFormat="1" applyFont="1" applyFill="1" applyBorder="1"/>
    <xf numFmtId="0" fontId="5" fillId="13" borderId="61" xfId="0" applyNumberFormat="1" applyFont="1" applyFill="1" applyBorder="1"/>
    <xf numFmtId="0" fontId="45" fillId="13" borderId="61" xfId="0" applyNumberFormat="1" applyFont="1" applyFill="1" applyBorder="1" applyAlignment="1">
      <alignment horizontal="left"/>
    </xf>
    <xf numFmtId="0" fontId="20" fillId="4" borderId="74" xfId="0" applyNumberFormat="1" applyFont="1" applyFill="1" applyBorder="1" applyAlignment="1">
      <alignment horizontal="left"/>
    </xf>
    <xf numFmtId="0" fontId="3" fillId="8" borderId="63" xfId="0" applyNumberFormat="1" applyFont="1" applyFill="1" applyBorder="1"/>
    <xf numFmtId="0" fontId="5" fillId="8" borderId="63" xfId="0" applyNumberFormat="1" applyFont="1" applyFill="1" applyBorder="1"/>
    <xf numFmtId="199" fontId="5" fillId="8" borderId="63" xfId="0" applyNumberFormat="1" applyFont="1" applyFill="1" applyBorder="1"/>
    <xf numFmtId="174" fontId="5" fillId="8" borderId="63" xfId="0" applyNumberFormat="1" applyFont="1" applyFill="1" applyBorder="1" applyAlignment="1">
      <alignment horizontal="right"/>
    </xf>
    <xf numFmtId="198" fontId="5" fillId="8" borderId="63" xfId="0" applyNumberFormat="1" applyFont="1" applyFill="1" applyBorder="1"/>
    <xf numFmtId="198" fontId="5" fillId="0" borderId="73" xfId="0" applyNumberFormat="1" applyFont="1" applyFill="1" applyBorder="1" applyAlignment="1">
      <alignment horizontal="right"/>
    </xf>
    <xf numFmtId="199" fontId="5" fillId="8" borderId="63" xfId="0" applyNumberFormat="1" applyFont="1" applyFill="1" applyBorder="1" applyAlignment="1">
      <alignment horizontal="right"/>
    </xf>
    <xf numFmtId="0" fontId="3" fillId="8" borderId="71" xfId="0" applyNumberFormat="1" applyFont="1" applyFill="1" applyBorder="1"/>
    <xf numFmtId="0" fontId="6" fillId="8" borderId="71" xfId="0" applyNumberFormat="1" applyFont="1" applyFill="1" applyBorder="1" applyAlignment="1">
      <alignment horizontal="right"/>
    </xf>
    <xf numFmtId="199" fontId="3" fillId="8" borderId="61" xfId="0" applyNumberFormat="1" applyFont="1" applyFill="1" applyBorder="1" applyAlignment="1">
      <alignment horizontal="left"/>
    </xf>
    <xf numFmtId="0" fontId="3" fillId="8" borderId="71" xfId="0" applyNumberFormat="1" applyFont="1" applyFill="1" applyBorder="1" applyAlignment="1">
      <alignment horizontal="right"/>
    </xf>
    <xf numFmtId="0" fontId="3" fillId="2" borderId="61" xfId="0" applyNumberFormat="1" applyFont="1" applyFill="1" applyBorder="1" applyAlignment="1">
      <alignment wrapText="1"/>
    </xf>
    <xf numFmtId="0" fontId="3" fillId="2" borderId="65" xfId="0" applyNumberFormat="1" applyFont="1" applyFill="1" applyBorder="1" applyAlignment="1">
      <alignment horizontal="left" vertical="center"/>
    </xf>
    <xf numFmtId="0" fontId="62" fillId="0" borderId="61" xfId="0" applyNumberFormat="1" applyFont="1" applyFill="1" applyBorder="1"/>
    <xf numFmtId="0" fontId="64" fillId="0" borderId="61" xfId="0" applyNumberFormat="1" applyFont="1" applyFill="1" applyBorder="1" applyAlignment="1">
      <alignment vertical="center" wrapText="1"/>
    </xf>
    <xf numFmtId="0" fontId="59" fillId="0" borderId="61" xfId="0" applyNumberFormat="1" applyFont="1" applyFill="1" applyBorder="1" applyAlignment="1">
      <alignment horizontal="left" vertical="center" wrapText="1"/>
    </xf>
    <xf numFmtId="0" fontId="78" fillId="3" borderId="61" xfId="0" applyNumberFormat="1" applyFont="1" applyFill="1" applyBorder="1" applyAlignment="1">
      <alignment horizontal="left" vertical="center"/>
    </xf>
    <xf numFmtId="0" fontId="10" fillId="2" borderId="82" xfId="0" applyNumberFormat="1" applyFont="1" applyFill="1" applyBorder="1" applyAlignment="1">
      <alignment horizontal="center" vertical="center" wrapText="1"/>
    </xf>
    <xf numFmtId="0" fontId="53" fillId="0" borderId="82" xfId="0" applyNumberFormat="1" applyFont="1" applyFill="1" applyBorder="1" applyAlignment="1">
      <alignment horizontal="left" vertical="center"/>
    </xf>
    <xf numFmtId="0" fontId="60" fillId="0" borderId="82" xfId="0" applyNumberFormat="1" applyFont="1" applyFill="1" applyBorder="1" applyAlignment="1">
      <alignment horizontal="left" vertical="center" wrapText="1"/>
    </xf>
    <xf numFmtId="0" fontId="53" fillId="0" borderId="82" xfId="0" applyNumberFormat="1" applyFont="1" applyFill="1" applyBorder="1" applyAlignment="1">
      <alignment horizontal="left" vertical="center" wrapText="1"/>
    </xf>
    <xf numFmtId="170" fontId="59" fillId="0" borderId="82" xfId="0" applyNumberFormat="1" applyFont="1" applyFill="1" applyBorder="1" applyAlignment="1">
      <alignment horizontal="right" vertical="center"/>
    </xf>
    <xf numFmtId="164" fontId="59" fillId="0" borderId="82" xfId="0" applyNumberFormat="1" applyFont="1" applyFill="1" applyBorder="1" applyAlignment="1">
      <alignment horizontal="right" vertical="center"/>
    </xf>
    <xf numFmtId="187" fontId="59" fillId="0" borderId="82" xfId="0" applyNumberFormat="1" applyFont="1" applyFill="1" applyBorder="1" applyAlignment="1">
      <alignment horizontal="right" vertical="center"/>
    </xf>
    <xf numFmtId="187" fontId="53" fillId="0" borderId="82" xfId="0" applyNumberFormat="1" applyFont="1" applyFill="1" applyBorder="1" applyAlignment="1">
      <alignment horizontal="right" vertical="center"/>
    </xf>
    <xf numFmtId="174" fontId="59" fillId="0" borderId="82" xfId="0" applyNumberFormat="1" applyFont="1" applyFill="1" applyBorder="1" applyAlignment="1">
      <alignment horizontal="right" vertical="center"/>
    </xf>
    <xf numFmtId="182" fontId="53" fillId="0" borderId="82" xfId="0" applyNumberFormat="1" applyFont="1" applyFill="1" applyBorder="1" applyAlignment="1">
      <alignment horizontal="right" vertical="center"/>
    </xf>
    <xf numFmtId="187" fontId="52" fillId="20" borderId="82" xfId="0" applyNumberFormat="1" applyFont="1" applyFill="1" applyBorder="1" applyAlignment="1">
      <alignment horizontal="right" vertical="center"/>
    </xf>
    <xf numFmtId="0" fontId="76" fillId="0" borderId="82" xfId="0" applyNumberFormat="1" applyFont="1" applyFill="1" applyBorder="1" applyAlignment="1">
      <alignment horizontal="left" vertical="center" wrapText="1"/>
    </xf>
    <xf numFmtId="187" fontId="59" fillId="0" borderId="61" xfId="0" applyNumberFormat="1" applyFont="1" applyFill="1" applyBorder="1" applyAlignment="1">
      <alignment horizontal="right" vertical="center" wrapText="1"/>
    </xf>
    <xf numFmtId="0" fontId="91" fillId="0" borderId="61" xfId="0" applyNumberFormat="1" applyFont="1" applyFill="1" applyBorder="1" applyAlignment="1">
      <alignment horizontal="left" vertical="center" wrapText="1"/>
    </xf>
    <xf numFmtId="0" fontId="89" fillId="2" borderId="61" xfId="0" applyNumberFormat="1" applyFont="1" applyFill="1" applyBorder="1" applyAlignment="1">
      <alignment horizontal="center" vertical="center" wrapText="1"/>
    </xf>
    <xf numFmtId="187" fontId="59" fillId="20" borderId="82" xfId="0" applyNumberFormat="1" applyFont="1" applyFill="1" applyBorder="1" applyAlignment="1">
      <alignment horizontal="right" vertical="center"/>
    </xf>
    <xf numFmtId="187" fontId="52" fillId="20" borderId="82" xfId="0" applyNumberFormat="1" applyFont="1" applyFill="1" applyBorder="1" applyAlignment="1">
      <alignment horizontal="right" vertical="center" wrapText="1"/>
    </xf>
    <xf numFmtId="208" fontId="53" fillId="20" borderId="82" xfId="0" applyNumberFormat="1" applyFont="1" applyFill="1" applyBorder="1" applyAlignment="1">
      <alignment horizontal="right" vertical="center" wrapText="1"/>
    </xf>
    <xf numFmtId="174" fontId="52" fillId="20" borderId="82" xfId="0" applyNumberFormat="1" applyFont="1" applyFill="1" applyBorder="1" applyAlignment="1">
      <alignment horizontal="right" vertical="center" wrapText="1"/>
    </xf>
    <xf numFmtId="174" fontId="53" fillId="20" borderId="82" xfId="0" applyNumberFormat="1" applyFont="1" applyFill="1" applyBorder="1" applyAlignment="1">
      <alignment horizontal="right" vertical="center" wrapText="1"/>
    </xf>
    <xf numFmtId="0" fontId="89" fillId="21" borderId="61" xfId="0" applyNumberFormat="1" applyFont="1" applyFill="1" applyBorder="1" applyAlignment="1">
      <alignment horizontal="left" vertical="center" wrapText="1"/>
    </xf>
    <xf numFmtId="0" fontId="90" fillId="21" borderId="61" xfId="0" applyNumberFormat="1" applyFont="1" applyFill="1" applyBorder="1" applyAlignment="1">
      <alignment wrapText="1"/>
    </xf>
    <xf numFmtId="174" fontId="0" fillId="0" borderId="61" xfId="0" applyNumberFormat="1" applyFont="1" applyFill="1" applyBorder="1"/>
    <xf numFmtId="201" fontId="59" fillId="20" borderId="82" xfId="0" applyNumberFormat="1" applyFont="1" applyFill="1" applyBorder="1" applyAlignment="1">
      <alignment horizontal="right" vertical="center"/>
    </xf>
    <xf numFmtId="4" fontId="59" fillId="20" borderId="82" xfId="0" applyNumberFormat="1" applyFont="1" applyFill="1" applyBorder="1" applyAlignment="1">
      <alignment horizontal="right" vertical="center"/>
    </xf>
    <xf numFmtId="174" fontId="59" fillId="20" borderId="82" xfId="0" applyNumberFormat="1" applyFont="1" applyFill="1" applyBorder="1" applyAlignment="1">
      <alignment horizontal="right" vertical="center"/>
    </xf>
    <xf numFmtId="201" fontId="59" fillId="0" borderId="61" xfId="0" applyNumberFormat="1" applyFont="1" applyFill="1" applyBorder="1" applyAlignment="1">
      <alignment horizontal="right" vertical="center"/>
    </xf>
    <xf numFmtId="209" fontId="59" fillId="0" borderId="61" xfId="0" applyNumberFormat="1" applyFont="1" applyFill="1" applyBorder="1" applyAlignment="1">
      <alignment horizontal="right" vertical="center"/>
    </xf>
    <xf numFmtId="209" fontId="0" fillId="0" borderId="61" xfId="0" applyNumberFormat="1" applyFont="1" applyFill="1" applyBorder="1"/>
    <xf numFmtId="209" fontId="10" fillId="2" borderId="61" xfId="0" applyNumberFormat="1" applyFont="1" applyFill="1" applyBorder="1" applyAlignment="1">
      <alignment horizontal="center" vertical="center" wrapText="1"/>
    </xf>
    <xf numFmtId="1" fontId="59" fillId="0" borderId="61" xfId="0" applyNumberFormat="1" applyFont="1" applyFill="1" applyBorder="1" applyAlignment="1">
      <alignment horizontal="right" vertical="center"/>
    </xf>
    <xf numFmtId="210" fontId="59" fillId="0" borderId="61" xfId="0" applyNumberFormat="1" applyFont="1" applyFill="1" applyBorder="1" applyAlignment="1">
      <alignment horizontal="right" vertical="center"/>
    </xf>
    <xf numFmtId="174" fontId="52" fillId="0" borderId="61" xfId="0" applyNumberFormat="1" applyFont="1" applyFill="1" applyBorder="1" applyAlignment="1">
      <alignment horizontal="right" vertical="center"/>
    </xf>
    <xf numFmtId="210" fontId="53" fillId="0" borderId="61" xfId="0" applyNumberFormat="1" applyFont="1" applyFill="1" applyBorder="1" applyAlignment="1">
      <alignment horizontal="left" vertical="center" wrapText="1"/>
    </xf>
    <xf numFmtId="201" fontId="0" fillId="0" borderId="61" xfId="0" applyNumberFormat="1" applyFont="1" applyFill="1" applyBorder="1"/>
    <xf numFmtId="210" fontId="0" fillId="0" borderId="61" xfId="0" applyNumberFormat="1" applyFont="1" applyFill="1" applyBorder="1"/>
    <xf numFmtId="207" fontId="0" fillId="0" borderId="61" xfId="0" applyNumberFormat="1" applyFont="1" applyFill="1" applyBorder="1"/>
    <xf numFmtId="0" fontId="95" fillId="0" borderId="61" xfId="0" applyNumberFormat="1" applyFont="1" applyFill="1" applyBorder="1"/>
    <xf numFmtId="0" fontId="97" fillId="23" borderId="83" xfId="0" applyNumberFormat="1" applyFont="1" applyFill="1" applyBorder="1" applyAlignment="1">
      <alignment wrapText="1"/>
    </xf>
    <xf numFmtId="0" fontId="98" fillId="23" borderId="61" xfId="0" applyNumberFormat="1" applyFont="1" applyFill="1" applyBorder="1"/>
    <xf numFmtId="0" fontId="98" fillId="25" borderId="61" xfId="0" applyNumberFormat="1" applyFont="1" applyFill="1" applyBorder="1"/>
    <xf numFmtId="211" fontId="95" fillId="0" borderId="61" xfId="0" applyNumberFormat="1" applyFont="1" applyFill="1" applyBorder="1"/>
    <xf numFmtId="211" fontId="98" fillId="23" borderId="61" xfId="0" applyNumberFormat="1" applyFont="1" applyFill="1" applyBorder="1"/>
    <xf numFmtId="211" fontId="98" fillId="25" borderId="61" xfId="0" applyNumberFormat="1" applyFont="1" applyFill="1" applyBorder="1"/>
    <xf numFmtId="211" fontId="93" fillId="0" borderId="61" xfId="0" applyNumberFormat="1" applyFont="1" applyFill="1" applyBorder="1"/>
    <xf numFmtId="211" fontId="99" fillId="0" borderId="61" xfId="0" applyNumberFormat="1" applyFont="1" applyFill="1" applyBorder="1"/>
    <xf numFmtId="0" fontId="95" fillId="0" borderId="61" xfId="0" applyNumberFormat="1" applyFont="1" applyFill="1" applyBorder="1" applyAlignment="1">
      <alignment wrapText="1"/>
    </xf>
    <xf numFmtId="4" fontId="95" fillId="0" borderId="61" xfId="0" applyNumberFormat="1" applyFont="1" applyFill="1" applyBorder="1" applyAlignment="1">
      <alignment wrapText="1"/>
    </xf>
    <xf numFmtId="211" fontId="93" fillId="0" borderId="61" xfId="0" applyNumberFormat="1" applyFont="1" applyFill="1" applyBorder="1" applyAlignment="1">
      <alignment wrapText="1"/>
    </xf>
    <xf numFmtId="211" fontId="99" fillId="0" borderId="61" xfId="0" applyNumberFormat="1" applyFont="1" applyFill="1" applyBorder="1" applyAlignment="1">
      <alignment wrapText="1"/>
    </xf>
    <xf numFmtId="0" fontId="98" fillId="23" borderId="61" xfId="0" applyNumberFormat="1" applyFont="1" applyFill="1" applyBorder="1" applyAlignment="1">
      <alignment wrapText="1"/>
    </xf>
    <xf numFmtId="211" fontId="100" fillId="23" borderId="61" xfId="0" applyNumberFormat="1" applyFont="1" applyFill="1" applyBorder="1" applyAlignment="1">
      <alignment wrapText="1"/>
    </xf>
    <xf numFmtId="211" fontId="95" fillId="0" borderId="61" xfId="0" applyNumberFormat="1" applyFont="1" applyFill="1" applyBorder="1" applyAlignment="1">
      <alignment wrapText="1"/>
    </xf>
    <xf numFmtId="0" fontId="98" fillId="25" borderId="61" xfId="0" applyNumberFormat="1" applyFont="1" applyFill="1" applyBorder="1" applyAlignment="1">
      <alignment wrapText="1"/>
    </xf>
    <xf numFmtId="0" fontId="99" fillId="0" borderId="61" xfId="0" applyNumberFormat="1" applyFont="1" applyFill="1" applyBorder="1"/>
    <xf numFmtId="174" fontId="98" fillId="25" borderId="61" xfId="0" applyNumberFormat="1" applyFont="1" applyFill="1" applyBorder="1"/>
    <xf numFmtId="174" fontId="99" fillId="0" borderId="61" xfId="0" applyNumberFormat="1" applyFont="1" applyFill="1" applyBorder="1"/>
    <xf numFmtId="174" fontId="95" fillId="0" borderId="61" xfId="0" applyNumberFormat="1" applyFont="1" applyFill="1" applyBorder="1" applyAlignment="1">
      <alignment wrapText="1"/>
    </xf>
    <xf numFmtId="174" fontId="99" fillId="0" borderId="61" xfId="0" applyNumberFormat="1" applyFont="1" applyFill="1" applyBorder="1" applyAlignment="1">
      <alignment wrapText="1"/>
    </xf>
    <xf numFmtId="0" fontId="99" fillId="0" borderId="61" xfId="0" applyNumberFormat="1" applyFont="1" applyFill="1" applyBorder="1" applyAlignment="1">
      <alignment wrapText="1"/>
    </xf>
    <xf numFmtId="4" fontId="93" fillId="0" borderId="61" xfId="0" applyNumberFormat="1" applyFont="1" applyFill="1" applyBorder="1" applyAlignment="1">
      <alignment wrapText="1"/>
    </xf>
    <xf numFmtId="4" fontId="99" fillId="0" borderId="61" xfId="0" applyNumberFormat="1" applyFont="1" applyFill="1" applyBorder="1" applyAlignment="1">
      <alignment wrapText="1"/>
    </xf>
    <xf numFmtId="187" fontId="0" fillId="0" borderId="61" xfId="0" applyNumberFormat="1" applyFont="1" applyFill="1" applyBorder="1"/>
    <xf numFmtId="169" fontId="5" fillId="8" borderId="61" xfId="0" applyNumberFormat="1" applyFont="1" applyFill="1" applyBorder="1" applyAlignment="1">
      <alignment horizontal="right"/>
    </xf>
    <xf numFmtId="200" fontId="13" fillId="8" borderId="61" xfId="0" applyNumberFormat="1" applyFont="1" applyFill="1" applyBorder="1" applyAlignment="1">
      <alignment horizontal="right"/>
    </xf>
    <xf numFmtId="2" fontId="53" fillId="0" borderId="61" xfId="0" applyNumberFormat="1" applyFont="1" applyFill="1" applyBorder="1" applyAlignment="1">
      <alignment horizontal="right" vertical="center"/>
    </xf>
    <xf numFmtId="207" fontId="53" fillId="0" borderId="61" xfId="0" applyNumberFormat="1" applyFont="1" applyFill="1" applyBorder="1" applyAlignment="1">
      <alignment horizontal="right" vertical="center"/>
    </xf>
    <xf numFmtId="10" fontId="53" fillId="0" borderId="61" xfId="0" applyNumberFormat="1" applyFont="1" applyFill="1" applyBorder="1" applyAlignment="1">
      <alignment horizontal="right" vertical="center"/>
    </xf>
    <xf numFmtId="2" fontId="52" fillId="0" borderId="61" xfId="0" applyNumberFormat="1" applyFont="1" applyFill="1" applyBorder="1" applyAlignment="1">
      <alignment horizontal="right" vertical="center"/>
    </xf>
    <xf numFmtId="2" fontId="58" fillId="3" borderId="61" xfId="0" applyNumberFormat="1" applyFont="1" applyFill="1" applyBorder="1" applyAlignment="1">
      <alignment horizontal="right" vertical="center"/>
    </xf>
    <xf numFmtId="10" fontId="58" fillId="3" borderId="61" xfId="0" applyNumberFormat="1" applyFont="1" applyFill="1" applyBorder="1" applyAlignment="1">
      <alignment horizontal="right" vertical="center"/>
    </xf>
    <xf numFmtId="10" fontId="0" fillId="0" borderId="61" xfId="0" applyNumberFormat="1" applyFont="1" applyFill="1" applyBorder="1"/>
    <xf numFmtId="2" fontId="0" fillId="0" borderId="61" xfId="0" applyNumberFormat="1" applyFont="1" applyFill="1" applyBorder="1"/>
    <xf numFmtId="210" fontId="53" fillId="0" borderId="61" xfId="0" applyNumberFormat="1" applyFont="1" applyFill="1" applyBorder="1" applyAlignment="1">
      <alignment horizontal="right" vertical="center"/>
    </xf>
    <xf numFmtId="170" fontId="0" fillId="0" borderId="61" xfId="0" applyNumberFormat="1" applyFont="1" applyFill="1" applyBorder="1"/>
    <xf numFmtId="213" fontId="0" fillId="0" borderId="61" xfId="0" applyNumberFormat="1" applyFont="1" applyFill="1" applyBorder="1"/>
    <xf numFmtId="214" fontId="0" fillId="0" borderId="61" xfId="0" applyNumberFormat="1" applyFont="1" applyFill="1" applyBorder="1"/>
    <xf numFmtId="214" fontId="59" fillId="20" borderId="82" xfId="0" applyNumberFormat="1" applyFont="1" applyFill="1" applyBorder="1" applyAlignment="1">
      <alignment horizontal="right" vertical="center"/>
    </xf>
    <xf numFmtId="15" fontId="60" fillId="0" borderId="82" xfId="0" applyNumberFormat="1" applyFont="1" applyFill="1" applyBorder="1" applyAlignment="1">
      <alignment horizontal="left" vertical="center" wrapText="1"/>
    </xf>
    <xf numFmtId="214" fontId="52" fillId="20" borderId="82" xfId="0" applyNumberFormat="1" applyFont="1" applyFill="1" applyBorder="1" applyAlignment="1">
      <alignment horizontal="right" vertical="center"/>
    </xf>
    <xf numFmtId="214" fontId="53" fillId="20" borderId="82" xfId="0" applyNumberFormat="1" applyFont="1" applyFill="1" applyBorder="1" applyAlignment="1">
      <alignment horizontal="right" vertical="center" wrapText="1"/>
    </xf>
    <xf numFmtId="210" fontId="59" fillId="20" borderId="82" xfId="0" applyNumberFormat="1" applyFont="1" applyFill="1" applyBorder="1" applyAlignment="1">
      <alignment horizontal="right" vertical="center"/>
    </xf>
    <xf numFmtId="3" fontId="49" fillId="0" borderId="68" xfId="0" applyNumberFormat="1" applyFont="1" applyFill="1" applyBorder="1" applyAlignment="1">
      <alignment wrapText="1"/>
    </xf>
    <xf numFmtId="0" fontId="49" fillId="0" borderId="68" xfId="0" applyNumberFormat="1" applyFont="1" applyFill="1" applyBorder="1" applyAlignment="1">
      <alignment horizontal="right" wrapText="1"/>
    </xf>
    <xf numFmtId="168" fontId="49" fillId="0" borderId="68" xfId="0" applyNumberFormat="1" applyFont="1" applyFill="1" applyBorder="1" applyAlignment="1">
      <alignment horizontal="right" wrapText="1"/>
    </xf>
    <xf numFmtId="0" fontId="49" fillId="0" borderId="68" xfId="0" applyNumberFormat="1" applyFont="1" applyFill="1" applyBorder="1" applyAlignment="1">
      <alignment wrapText="1"/>
    </xf>
    <xf numFmtId="170" fontId="49" fillId="0" borderId="72" xfId="0" applyNumberFormat="1" applyFont="1" applyFill="1" applyBorder="1" applyAlignment="1">
      <alignment wrapText="1"/>
    </xf>
    <xf numFmtId="0" fontId="103" fillId="27" borderId="65" xfId="0" applyNumberFormat="1" applyFont="1" applyFill="1" applyBorder="1" applyAlignment="1">
      <alignment horizontal="center" vertical="center" wrapText="1"/>
    </xf>
    <xf numFmtId="0" fontId="103" fillId="27" borderId="66" xfId="0" applyNumberFormat="1" applyFont="1" applyFill="1" applyBorder="1" applyAlignment="1">
      <alignment horizontal="center" vertical="center" wrapText="1"/>
    </xf>
    <xf numFmtId="201" fontId="0" fillId="0" borderId="61" xfId="0" applyNumberFormat="1" applyFont="1" applyFill="1" applyBorder="1" applyAlignment="1">
      <alignment wrapText="1"/>
    </xf>
    <xf numFmtId="0" fontId="104" fillId="0" borderId="61" xfId="0" applyNumberFormat="1" applyFont="1" applyFill="1" applyBorder="1" applyAlignment="1">
      <alignment horizontal="center"/>
    </xf>
    <xf numFmtId="17" fontId="3" fillId="0" borderId="61" xfId="0" applyNumberFormat="1" applyFont="1" applyFill="1" applyBorder="1" applyAlignment="1">
      <alignment horizontal="right"/>
    </xf>
    <xf numFmtId="17" fontId="3" fillId="0" borderId="61" xfId="0" applyNumberFormat="1" applyFont="1" applyFill="1" applyBorder="1"/>
    <xf numFmtId="215" fontId="0" fillId="0" borderId="61" xfId="0" applyNumberFormat="1" applyFont="1" applyFill="1" applyBorder="1"/>
    <xf numFmtId="10" fontId="95" fillId="0" borderId="61" xfId="0" applyNumberFormat="1" applyFont="1" applyFill="1" applyBorder="1" applyAlignment="1">
      <alignment wrapText="1"/>
    </xf>
    <xf numFmtId="10" fontId="99" fillId="0" borderId="61" xfId="0" applyNumberFormat="1" applyFont="1" applyFill="1" applyBorder="1" applyAlignment="1">
      <alignment wrapText="1"/>
    </xf>
    <xf numFmtId="10" fontId="100" fillId="23" borderId="61" xfId="0" applyNumberFormat="1" applyFont="1" applyFill="1" applyBorder="1" applyAlignment="1">
      <alignment wrapText="1"/>
    </xf>
    <xf numFmtId="1" fontId="49" fillId="0" borderId="68" xfId="0" applyNumberFormat="1" applyFont="1" applyFill="1" applyBorder="1" applyAlignment="1">
      <alignment wrapText="1"/>
    </xf>
    <xf numFmtId="201" fontId="49" fillId="0" borderId="68" xfId="0" applyNumberFormat="1" applyFont="1" applyFill="1" applyBorder="1" applyAlignment="1">
      <alignment wrapText="1"/>
    </xf>
    <xf numFmtId="0" fontId="13" fillId="0" borderId="84" xfId="0" applyNumberFormat="1" applyFont="1" applyFill="1" applyBorder="1"/>
    <xf numFmtId="0" fontId="13" fillId="0" borderId="85" xfId="0" applyNumberFormat="1" applyFont="1" applyFill="1" applyBorder="1"/>
    <xf numFmtId="0" fontId="13" fillId="0" borderId="86" xfId="0" applyNumberFormat="1" applyFont="1" applyFill="1" applyBorder="1"/>
    <xf numFmtId="0" fontId="105" fillId="24" borderId="61" xfId="0" applyNumberFormat="1" applyFont="1" applyFill="1" applyBorder="1" applyAlignment="1">
      <alignment horizontal="center" vertical="center" wrapText="1"/>
    </xf>
    <xf numFmtId="0" fontId="72" fillId="0" borderId="61" xfId="0" applyNumberFormat="1" applyFont="1" applyFill="1" applyBorder="1" applyAlignment="1">
      <alignment horizontal="center" vertical="center" wrapText="1"/>
    </xf>
    <xf numFmtId="0" fontId="72" fillId="0" borderId="68" xfId="0" applyNumberFormat="1" applyFont="1" applyFill="1" applyBorder="1" applyAlignment="1">
      <alignment horizontal="center" vertical="center" wrapText="1"/>
    </xf>
    <xf numFmtId="0" fontId="72" fillId="0" borderId="67" xfId="0" applyNumberFormat="1" applyFont="1" applyFill="1" applyBorder="1" applyAlignment="1">
      <alignment horizontal="center" vertical="center" wrapText="1"/>
    </xf>
    <xf numFmtId="0" fontId="72" fillId="0" borderId="72" xfId="0" applyNumberFormat="1" applyFont="1" applyFill="1" applyBorder="1" applyAlignment="1">
      <alignment horizontal="center" vertical="center" wrapText="1"/>
    </xf>
    <xf numFmtId="0" fontId="27" fillId="11" borderId="87" xfId="0" applyNumberFormat="1" applyFont="1" applyFill="1" applyBorder="1" applyAlignment="1">
      <alignment horizontal="center" vertical="top"/>
    </xf>
    <xf numFmtId="0" fontId="27" fillId="11" borderId="88" xfId="0" applyNumberFormat="1" applyFont="1" applyFill="1" applyBorder="1" applyAlignment="1">
      <alignment horizontal="center" vertical="top"/>
    </xf>
    <xf numFmtId="0" fontId="27" fillId="11" borderId="89" xfId="0" applyNumberFormat="1" applyFont="1" applyFill="1" applyBorder="1" applyAlignment="1">
      <alignment horizontal="center" vertical="top"/>
    </xf>
    <xf numFmtId="0" fontId="102" fillId="26" borderId="69" xfId="0" applyNumberFormat="1" applyFont="1" applyFill="1" applyBorder="1" applyAlignment="1">
      <alignment horizontal="left" vertical="center"/>
    </xf>
    <xf numFmtId="0" fontId="102" fillId="26" borderId="64" xfId="0" applyNumberFormat="1" applyFont="1" applyFill="1" applyBorder="1" applyAlignment="1">
      <alignment horizontal="left" vertical="center"/>
    </xf>
    <xf numFmtId="0" fontId="102" fillId="26" borderId="70" xfId="0" applyNumberFormat="1" applyFont="1" applyFill="1" applyBorder="1" applyAlignment="1">
      <alignment horizontal="left" vertical="center"/>
    </xf>
    <xf numFmtId="0" fontId="0" fillId="0" borderId="61" xfId="0" applyNumberFormat="1" applyFont="1" applyFill="1" applyBorder="1" applyAlignment="1">
      <alignment horizontal="center"/>
    </xf>
    <xf numFmtId="0" fontId="3" fillId="0" borderId="68" xfId="0" applyNumberFormat="1" applyFont="1" applyFill="1" applyBorder="1" applyAlignment="1">
      <alignment horizontal="left" vertical="center"/>
    </xf>
    <xf numFmtId="0" fontId="3" fillId="0" borderId="66" xfId="0" applyNumberFormat="1" applyFont="1" applyFill="1" applyBorder="1" applyAlignment="1">
      <alignment horizontal="center" vertical="center"/>
    </xf>
    <xf numFmtId="0" fontId="3" fillId="0" borderId="68" xfId="0" applyNumberFormat="1" applyFont="1" applyFill="1" applyBorder="1" applyAlignment="1">
      <alignment horizontal="center" vertical="center"/>
    </xf>
    <xf numFmtId="0" fontId="78" fillId="3" borderId="61" xfId="0" applyNumberFormat="1" applyFont="1" applyFill="1" applyBorder="1" applyAlignment="1">
      <alignment horizontal="left" vertical="center" wrapText="1"/>
    </xf>
    <xf numFmtId="0" fontId="37" fillId="2" borderId="65" xfId="0" applyNumberFormat="1" applyFont="1" applyFill="1" applyBorder="1"/>
    <xf numFmtId="0" fontId="37" fillId="2" borderId="61" xfId="0" applyNumberFormat="1" applyFont="1" applyFill="1" applyBorder="1"/>
    <xf numFmtId="0" fontId="84" fillId="19" borderId="90" xfId="0" applyNumberFormat="1" applyFont="1" applyFill="1" applyBorder="1" applyAlignment="1">
      <alignment vertical="center" wrapText="1"/>
    </xf>
    <xf numFmtId="0" fontId="53" fillId="19" borderId="91" xfId="0" applyNumberFormat="1" applyFont="1" applyFill="1" applyBorder="1" applyAlignment="1">
      <alignment vertical="center" wrapText="1"/>
    </xf>
    <xf numFmtId="0" fontId="53" fillId="19" borderId="92" xfId="0" applyNumberFormat="1" applyFont="1" applyFill="1" applyBorder="1" applyAlignment="1">
      <alignment vertical="center" wrapText="1"/>
    </xf>
    <xf numFmtId="0" fontId="84" fillId="15" borderId="93" xfId="0" applyNumberFormat="1" applyFont="1" applyFill="1" applyBorder="1" applyAlignment="1">
      <alignment vertical="center" wrapText="1"/>
    </xf>
    <xf numFmtId="0" fontId="64" fillId="15" borderId="94" xfId="0" applyNumberFormat="1" applyFont="1" applyFill="1" applyBorder="1" applyAlignment="1">
      <alignment vertical="center" wrapText="1"/>
    </xf>
    <xf numFmtId="0" fontId="64" fillId="15" borderId="95" xfId="0" applyNumberFormat="1" applyFont="1" applyFill="1" applyBorder="1" applyAlignment="1">
      <alignment vertical="center" wrapText="1"/>
    </xf>
    <xf numFmtId="0" fontId="69" fillId="19" borderId="96" xfId="0" applyNumberFormat="1" applyFont="1" applyFill="1" applyBorder="1" applyAlignment="1">
      <alignment vertical="center" wrapText="1"/>
    </xf>
    <xf numFmtId="0" fontId="69" fillId="19" borderId="61" xfId="0" applyNumberFormat="1" applyFont="1" applyFill="1" applyBorder="1" applyAlignment="1">
      <alignment vertical="center" wrapText="1"/>
    </xf>
    <xf numFmtId="0" fontId="53" fillId="14" borderId="93" xfId="0" applyNumberFormat="1" applyFont="1" applyFill="1" applyBorder="1" applyAlignment="1">
      <alignment vertical="center" wrapText="1"/>
    </xf>
    <xf numFmtId="0" fontId="53" fillId="14" borderId="94" xfId="0" applyNumberFormat="1" applyFont="1" applyFill="1" applyBorder="1" applyAlignment="1">
      <alignment vertical="center" wrapText="1"/>
    </xf>
    <xf numFmtId="0" fontId="53" fillId="14" borderId="95" xfId="0" applyNumberFormat="1" applyFont="1" applyFill="1" applyBorder="1" applyAlignment="1">
      <alignment vertical="center" wrapText="1"/>
    </xf>
    <xf numFmtId="0" fontId="53" fillId="14" borderId="97" xfId="0" applyNumberFormat="1" applyFont="1" applyFill="1" applyBorder="1" applyAlignment="1">
      <alignment vertical="center" wrapText="1"/>
    </xf>
    <xf numFmtId="0" fontId="53" fillId="14" borderId="98" xfId="0" applyNumberFormat="1" applyFont="1" applyFill="1" applyBorder="1" applyAlignment="1">
      <alignment vertical="center" wrapText="1"/>
    </xf>
    <xf numFmtId="0" fontId="53" fillId="14" borderId="99" xfId="0" applyNumberFormat="1" applyFont="1" applyFill="1" applyBorder="1" applyAlignment="1">
      <alignment vertical="center" wrapText="1"/>
    </xf>
    <xf numFmtId="0" fontId="58" fillId="19" borderId="100" xfId="0" applyNumberFormat="1" applyFont="1" applyFill="1" applyBorder="1" applyAlignment="1">
      <alignment vertical="center" wrapText="1"/>
    </xf>
    <xf numFmtId="0" fontId="69" fillId="19" borderId="101" xfId="0" applyNumberFormat="1" applyFont="1" applyFill="1" applyBorder="1" applyAlignment="1">
      <alignment vertical="center" wrapText="1"/>
    </xf>
    <xf numFmtId="0" fontId="68" fillId="19" borderId="101" xfId="0" applyNumberFormat="1" applyFont="1" applyFill="1" applyBorder="1" applyAlignment="1">
      <alignment vertical="center" wrapText="1"/>
    </xf>
    <xf numFmtId="0" fontId="58" fillId="14" borderId="102" xfId="0" applyNumberFormat="1" applyFont="1" applyFill="1" applyBorder="1" applyAlignment="1">
      <alignment vertical="center" wrapText="1"/>
    </xf>
    <xf numFmtId="0" fontId="58" fillId="14" borderId="103" xfId="0" applyNumberFormat="1" applyFont="1" applyFill="1" applyBorder="1" applyAlignment="1">
      <alignment vertical="center" wrapText="1"/>
    </xf>
    <xf numFmtId="0" fontId="58" fillId="14" borderId="104" xfId="0" applyNumberFormat="1" applyFont="1" applyFill="1" applyBorder="1" applyAlignment="1">
      <alignment vertical="center" wrapText="1"/>
    </xf>
    <xf numFmtId="0" fontId="96" fillId="22" borderId="61" xfId="0" applyNumberFormat="1" applyFont="1" applyFill="1" applyBorder="1" applyAlignment="1">
      <alignment vertical="center"/>
    </xf>
    <xf numFmtId="0" fontId="94" fillId="23" borderId="61" xfId="0" applyNumberFormat="1" applyFont="1" applyFill="1" applyBorder="1" applyAlignment="1">
      <alignment vertical="center" wrapText="1"/>
    </xf>
    <xf numFmtId="0" fontId="96" fillId="24" borderId="61" xfId="0" applyNumberFormat="1" applyFont="1" applyFill="1" applyBorder="1"/>
    <xf numFmtId="0" fontId="96" fillId="24" borderId="61" xfId="0" applyNumberFormat="1" applyFont="1" applyFill="1" applyBorder="1" applyAlignment="1">
      <alignment wrapText="1"/>
    </xf>
    <xf numFmtId="0" fontId="105" fillId="30" borderId="61" xfId="0" applyNumberFormat="1" applyFont="1" applyFill="1" applyBorder="1"/>
    <xf numFmtId="0" fontId="98" fillId="23" borderId="61" xfId="0" applyNumberFormat="1" applyFont="1" applyFill="1" applyBorder="1" applyAlignment="1">
      <alignment horizontal="center" wrapText="1"/>
    </xf>
    <xf numFmtId="0" fontId="107" fillId="0" borderId="61" xfId="0" applyNumberFormat="1" applyFont="1" applyFill="1" applyBorder="1"/>
    <xf numFmtId="220" fontId="99" fillId="0" borderId="61" xfId="0" applyNumberFormat="1" applyFont="1" applyFill="1" applyBorder="1" applyAlignment="1">
      <alignment wrapText="1"/>
    </xf>
    <xf numFmtId="0" fontId="106" fillId="22" borderId="61" xfId="0" applyNumberFormat="1" applyFont="1" applyFill="1" applyBorder="1"/>
    <xf numFmtId="0" fontId="98" fillId="23" borderId="61" xfId="0" applyNumberFormat="1" applyFont="1" applyFill="1" applyBorder="1" applyAlignment="1">
      <alignment horizontal="center"/>
    </xf>
    <xf numFmtId="4" fontId="95" fillId="0" borderId="61" xfId="0" applyNumberFormat="1" applyFont="1" applyFill="1" applyBorder="1"/>
    <xf numFmtId="0" fontId="23" fillId="33" borderId="61" xfId="0" applyNumberFormat="1" applyFont="1" applyFill="1" applyBorder="1"/>
    <xf numFmtId="0" fontId="98" fillId="33" borderId="61" xfId="0" applyNumberFormat="1" applyFont="1" applyFill="1" applyBorder="1"/>
    <xf numFmtId="211" fontId="98" fillId="33" borderId="61" xfId="0" applyNumberFormat="1" applyFont="1" applyFill="1" applyBorder="1"/>
    <xf numFmtId="214" fontId="95" fillId="0" borderId="61" xfId="0" applyNumberFormat="1" applyFont="1" applyFill="1" applyBorder="1"/>
    <xf numFmtId="214" fontId="98" fillId="33" borderId="61" xfId="0" applyNumberFormat="1" applyFont="1" applyFill="1" applyBorder="1"/>
    <xf numFmtId="0" fontId="96" fillId="22" borderId="61" xfId="0" applyNumberFormat="1" applyFont="1" applyFill="1" applyBorder="1" applyAlignment="1">
      <alignment vertical="center" wrapText="1"/>
    </xf>
    <xf numFmtId="0" fontId="105" fillId="30" borderId="61" xfId="0" applyNumberFormat="1" applyFont="1" applyFill="1" applyBorder="1" applyAlignment="1">
      <alignment wrapText="1"/>
    </xf>
    <xf numFmtId="0" fontId="107" fillId="0" borderId="61" xfId="0" applyNumberFormat="1" applyFont="1" applyFill="1" applyBorder="1" applyAlignment="1">
      <alignment wrapText="1"/>
    </xf>
    <xf numFmtId="0" fontId="106" fillId="22" borderId="61" xfId="0" applyNumberFormat="1" applyFont="1" applyFill="1" applyBorder="1" applyAlignment="1">
      <alignment wrapText="1"/>
    </xf>
    <xf numFmtId="0" fontId="23" fillId="33" borderId="61" xfId="0" applyNumberFormat="1" applyFont="1" applyFill="1" applyBorder="1" applyAlignment="1">
      <alignment wrapText="1"/>
    </xf>
    <xf numFmtId="0" fontId="23" fillId="23" borderId="61" xfId="0" applyNumberFormat="1" applyFont="1" applyFill="1" applyBorder="1"/>
    <xf numFmtId="0" fontId="23" fillId="23" borderId="61" xfId="0" applyNumberFormat="1" applyFont="1" applyFill="1" applyBorder="1" applyAlignment="1">
      <alignment horizontal="center"/>
    </xf>
    <xf numFmtId="211" fontId="0" fillId="0" borderId="61" xfId="0" applyNumberFormat="1" applyFont="1" applyFill="1" applyBorder="1"/>
    <xf numFmtId="1" fontId="0" fillId="0" borderId="61" xfId="0" applyNumberFormat="1" applyFont="1" applyFill="1" applyBorder="1"/>
    <xf numFmtId="0" fontId="23" fillId="23" borderId="61" xfId="0" applyNumberFormat="1" applyFont="1" applyFill="1" applyBorder="1" applyAlignment="1">
      <alignment horizontal="center" wrapText="1"/>
    </xf>
    <xf numFmtId="211" fontId="0" fillId="0" borderId="61" xfId="0" applyNumberFormat="1" applyFont="1" applyFill="1" applyBorder="1" applyAlignment="1">
      <alignment wrapText="1"/>
    </xf>
    <xf numFmtId="174" fontId="0" fillId="0" borderId="61" xfId="0" applyNumberFormat="1" applyFont="1" applyFill="1" applyBorder="1" applyAlignment="1">
      <alignment wrapText="1"/>
    </xf>
    <xf numFmtId="4" fontId="0" fillId="0" borderId="61" xfId="0" applyNumberFormat="1" applyFont="1" applyFill="1" applyBorder="1"/>
    <xf numFmtId="0" fontId="85" fillId="19" borderId="105" xfId="0" applyNumberFormat="1" applyFont="1" applyFill="1" applyBorder="1" applyAlignment="1">
      <alignment horizontal="center" vertical="center" wrapText="1"/>
    </xf>
    <xf numFmtId="0" fontId="85" fillId="19" borderId="61" xfId="0" applyNumberFormat="1" applyFont="1" applyFill="1" applyBorder="1" applyAlignment="1">
      <alignment horizontal="center" vertical="center" wrapText="1"/>
    </xf>
    <xf numFmtId="0" fontId="66" fillId="17" borderId="100" xfId="0" applyNumberFormat="1" applyFont="1" applyFill="1" applyBorder="1" applyAlignment="1">
      <alignment vertical="center"/>
    </xf>
    <xf numFmtId="0" fontId="59" fillId="17" borderId="61" xfId="0" applyNumberFormat="1" applyFont="1" applyFill="1" applyBorder="1" applyAlignment="1">
      <alignment vertical="center"/>
    </xf>
    <xf numFmtId="0" fontId="53" fillId="17" borderId="61" xfId="0" applyNumberFormat="1" applyFont="1" applyFill="1" applyBorder="1" applyAlignment="1">
      <alignment vertical="center"/>
    </xf>
    <xf numFmtId="0" fontId="58" fillId="18" borderId="61" xfId="0" applyNumberFormat="1" applyFont="1" applyFill="1" applyBorder="1" applyAlignment="1">
      <alignment horizontal="center" vertical="center"/>
    </xf>
    <xf numFmtId="0" fontId="58" fillId="18" borderId="106" xfId="0" applyNumberFormat="1" applyFont="1" applyFill="1" applyBorder="1" applyAlignment="1">
      <alignment horizontal="left" vertical="center"/>
    </xf>
    <xf numFmtId="0" fontId="58" fillId="18" borderId="107" xfId="0" applyNumberFormat="1" applyFont="1" applyFill="1" applyBorder="1" applyAlignment="1">
      <alignment horizontal="left" vertical="center"/>
    </xf>
    <xf numFmtId="0" fontId="58" fillId="18" borderId="108" xfId="0" applyNumberFormat="1" applyFont="1" applyFill="1" applyBorder="1" applyAlignment="1">
      <alignment horizontal="left" vertical="center"/>
    </xf>
    <xf numFmtId="0" fontId="10" fillId="18" borderId="106" xfId="0" applyNumberFormat="1" applyFont="1" applyFill="1" applyBorder="1" applyAlignment="1">
      <alignment horizontal="left" vertical="center"/>
    </xf>
    <xf numFmtId="201" fontId="79" fillId="18" borderId="61" xfId="0" applyNumberFormat="1" applyFont="1" applyFill="1" applyBorder="1" applyAlignment="1">
      <alignment horizontal="center" vertical="center"/>
    </xf>
    <xf numFmtId="201" fontId="58" fillId="18" borderId="61" xfId="0" applyNumberFormat="1" applyFont="1" applyFill="1" applyBorder="1" applyAlignment="1">
      <alignment horizontal="center" vertical="center"/>
    </xf>
    <xf numFmtId="0" fontId="79" fillId="18" borderId="61" xfId="0" applyNumberFormat="1" applyFont="1" applyFill="1" applyBorder="1" applyAlignment="1">
      <alignment vertical="center"/>
    </xf>
    <xf numFmtId="0" fontId="58" fillId="18" borderId="61" xfId="0" applyNumberFormat="1" applyFont="1" applyFill="1" applyBorder="1" applyAlignment="1">
      <alignment vertical="center"/>
    </xf>
    <xf numFmtId="0" fontId="79" fillId="18" borderId="61" xfId="0" applyNumberFormat="1" applyFont="1" applyFill="1" applyBorder="1" applyAlignment="1">
      <alignment horizontal="center" vertical="center"/>
    </xf>
    <xf numFmtId="0" fontId="58" fillId="18" borderId="100" xfId="0" applyNumberFormat="1" applyFont="1" applyFill="1" applyBorder="1" applyAlignment="1">
      <alignment horizontal="left" vertical="center"/>
    </xf>
    <xf numFmtId="0" fontId="64" fillId="0" borderId="61" xfId="0" applyNumberFormat="1" applyFont="1" applyFill="1" applyBorder="1" applyAlignment="1">
      <alignment vertical="center"/>
    </xf>
    <xf numFmtId="0" fontId="68" fillId="19" borderId="101" xfId="0" applyNumberFormat="1" applyFont="1" applyFill="1" applyBorder="1" applyAlignment="1">
      <alignment horizontal="center" vertical="center"/>
    </xf>
    <xf numFmtId="202" fontId="80" fillId="19" borderId="101" xfId="0" applyNumberFormat="1" applyFont="1" applyFill="1" applyBorder="1" applyAlignment="1">
      <alignment horizontal="center" vertical="center"/>
    </xf>
    <xf numFmtId="202" fontId="74" fillId="19" borderId="101" xfId="0" applyNumberFormat="1" applyFont="1" applyFill="1" applyBorder="1" applyAlignment="1">
      <alignment horizontal="center" vertical="center"/>
    </xf>
    <xf numFmtId="0" fontId="80" fillId="19" borderId="101" xfId="0" applyNumberFormat="1" applyFont="1" applyFill="1" applyBorder="1" applyAlignment="1">
      <alignment horizontal="center" vertical="center"/>
    </xf>
    <xf numFmtId="0" fontId="74" fillId="19" borderId="101" xfId="0" applyNumberFormat="1" applyFont="1" applyFill="1" applyBorder="1" applyAlignment="1">
      <alignment horizontal="center" vertical="center"/>
    </xf>
    <xf numFmtId="0" fontId="81" fillId="19" borderId="101" xfId="0" applyNumberFormat="1" applyFont="1" applyFill="1" applyBorder="1" applyAlignment="1">
      <alignment horizontal="center" vertical="center"/>
    </xf>
    <xf numFmtId="203" fontId="81" fillId="19" borderId="101" xfId="0" applyNumberFormat="1" applyFont="1" applyFill="1" applyBorder="1" applyAlignment="1">
      <alignment horizontal="center" vertical="center"/>
    </xf>
    <xf numFmtId="203" fontId="74" fillId="19" borderId="101" xfId="0" applyNumberFormat="1" applyFont="1" applyFill="1" applyBorder="1" applyAlignment="1">
      <alignment horizontal="center" vertical="center"/>
    </xf>
    <xf numFmtId="0" fontId="82" fillId="19" borderId="101" xfId="0" applyNumberFormat="1" applyFont="1" applyFill="1" applyBorder="1" applyAlignment="1">
      <alignment horizontal="center" vertical="center"/>
    </xf>
    <xf numFmtId="0" fontId="49" fillId="19" borderId="101" xfId="0" applyNumberFormat="1" applyFont="1" applyFill="1" applyBorder="1" applyAlignment="1">
      <alignment horizontal="center" vertical="center"/>
    </xf>
    <xf numFmtId="0" fontId="83" fillId="19" borderId="101" xfId="0" applyNumberFormat="1" applyFont="1" applyFill="1" applyBorder="1" applyAlignment="1">
      <alignment horizontal="center" vertical="center"/>
    </xf>
    <xf numFmtId="0" fontId="58" fillId="17" borderId="109" xfId="0" applyNumberFormat="1" applyFont="1" applyFill="1" applyBorder="1" applyAlignment="1">
      <alignment horizontal="center" vertical="center"/>
    </xf>
    <xf numFmtId="0" fontId="53" fillId="15" borderId="101" xfId="0" applyNumberFormat="1" applyFont="1" applyFill="1" applyBorder="1" applyAlignment="1">
      <alignment vertical="center"/>
    </xf>
    <xf numFmtId="202" fontId="59" fillId="15" borderId="101" xfId="0" applyNumberFormat="1" applyFont="1" applyFill="1" applyBorder="1" applyAlignment="1">
      <alignment horizontal="right" vertical="center"/>
    </xf>
    <xf numFmtId="202" fontId="53" fillId="15" borderId="101" xfId="0" applyNumberFormat="1" applyFont="1" applyFill="1" applyBorder="1" applyAlignment="1">
      <alignment horizontal="right" vertical="center"/>
    </xf>
    <xf numFmtId="202" fontId="84" fillId="15" borderId="101" xfId="0" applyNumberFormat="1" applyFont="1" applyFill="1" applyBorder="1" applyAlignment="1">
      <alignment horizontal="right" vertical="center"/>
    </xf>
    <xf numFmtId="203" fontId="84" fillId="15" borderId="101" xfId="0" applyNumberFormat="1" applyFont="1" applyFill="1" applyBorder="1" applyAlignment="1">
      <alignment horizontal="right" vertical="center"/>
    </xf>
    <xf numFmtId="204" fontId="59" fillId="15" borderId="101" xfId="0" applyNumberFormat="1" applyFont="1" applyFill="1" applyBorder="1" applyAlignment="1">
      <alignment horizontal="right" vertical="center"/>
    </xf>
    <xf numFmtId="0" fontId="53" fillId="0" borderId="101" xfId="0" applyNumberFormat="1" applyFont="1" applyFill="1" applyBorder="1" applyAlignment="1">
      <alignment vertical="center"/>
    </xf>
    <xf numFmtId="202" fontId="59" fillId="0" borderId="101" xfId="0" applyNumberFormat="1" applyFont="1" applyFill="1" applyBorder="1" applyAlignment="1">
      <alignment horizontal="right" vertical="center"/>
    </xf>
    <xf numFmtId="202" fontId="53" fillId="0" borderId="101" xfId="0" applyNumberFormat="1" applyFont="1" applyFill="1" applyBorder="1" applyAlignment="1">
      <alignment horizontal="right" vertical="center"/>
    </xf>
    <xf numFmtId="202" fontId="84" fillId="0" borderId="101" xfId="0" applyNumberFormat="1" applyFont="1" applyFill="1" applyBorder="1" applyAlignment="1">
      <alignment horizontal="right" vertical="center"/>
    </xf>
    <xf numFmtId="203" fontId="84" fillId="0" borderId="101" xfId="0" applyNumberFormat="1" applyFont="1" applyFill="1" applyBorder="1" applyAlignment="1">
      <alignment horizontal="right" vertical="center"/>
    </xf>
    <xf numFmtId="204" fontId="59" fillId="0" borderId="101" xfId="0" applyNumberFormat="1" applyFont="1" applyFill="1" applyBorder="1" applyAlignment="1">
      <alignment horizontal="right" vertical="center"/>
    </xf>
    <xf numFmtId="202" fontId="62" fillId="0" borderId="61" xfId="0" applyNumberFormat="1" applyFont="1" applyFill="1" applyBorder="1"/>
    <xf numFmtId="0" fontId="53" fillId="14" borderId="101" xfId="0" applyNumberFormat="1" applyFont="1" applyFill="1" applyBorder="1" applyAlignment="1">
      <alignment vertical="center"/>
    </xf>
    <xf numFmtId="202" fontId="59" fillId="14" borderId="101" xfId="0" applyNumberFormat="1" applyFont="1" applyFill="1" applyBorder="1" applyAlignment="1">
      <alignment horizontal="right" vertical="center"/>
    </xf>
    <xf numFmtId="202" fontId="53" fillId="14" borderId="101" xfId="0" applyNumberFormat="1" applyFont="1" applyFill="1" applyBorder="1" applyAlignment="1">
      <alignment horizontal="right" vertical="center"/>
    </xf>
    <xf numFmtId="202" fontId="84" fillId="14" borderId="101" xfId="0" applyNumberFormat="1" applyFont="1" applyFill="1" applyBorder="1" applyAlignment="1">
      <alignment horizontal="right" vertical="center"/>
    </xf>
    <xf numFmtId="203" fontId="84" fillId="14" borderId="101" xfId="0" applyNumberFormat="1" applyFont="1" applyFill="1" applyBorder="1" applyAlignment="1">
      <alignment horizontal="right" vertical="center"/>
    </xf>
    <xf numFmtId="204" fontId="59" fillId="14" borderId="101" xfId="0" applyNumberFormat="1" applyFont="1" applyFill="1" applyBorder="1" applyAlignment="1">
      <alignment horizontal="right" vertical="center"/>
    </xf>
    <xf numFmtId="0" fontId="84" fillId="15" borderId="93" xfId="0" applyNumberFormat="1" applyFont="1" applyFill="1" applyBorder="1" applyAlignment="1">
      <alignment vertical="center"/>
    </xf>
    <xf numFmtId="0" fontId="64" fillId="15" borderId="94" xfId="0" applyNumberFormat="1" applyFont="1" applyFill="1" applyBorder="1" applyAlignment="1">
      <alignment vertical="center"/>
    </xf>
    <xf numFmtId="0" fontId="64" fillId="15" borderId="95" xfId="0" applyNumberFormat="1" applyFont="1" applyFill="1" applyBorder="1" applyAlignment="1">
      <alignment vertical="center"/>
    </xf>
    <xf numFmtId="0" fontId="64" fillId="15" borderId="105" xfId="0" applyNumberFormat="1" applyFont="1" applyFill="1" applyBorder="1" applyAlignment="1">
      <alignment vertical="center"/>
    </xf>
    <xf numFmtId="0" fontId="64" fillId="15" borderId="61" xfId="0" applyNumberFormat="1" applyFont="1" applyFill="1" applyBorder="1" applyAlignment="1">
      <alignment vertical="center"/>
    </xf>
    <xf numFmtId="0" fontId="64" fillId="15" borderId="110" xfId="0" applyNumberFormat="1" applyFont="1" applyFill="1" applyBorder="1" applyAlignment="1">
      <alignment vertical="center"/>
    </xf>
    <xf numFmtId="0" fontId="64" fillId="15" borderId="97" xfId="0" applyNumberFormat="1" applyFont="1" applyFill="1" applyBorder="1" applyAlignment="1">
      <alignment vertical="center"/>
    </xf>
    <xf numFmtId="0" fontId="64" fillId="15" borderId="98" xfId="0" applyNumberFormat="1" applyFont="1" applyFill="1" applyBorder="1" applyAlignment="1">
      <alignment vertical="center"/>
    </xf>
    <xf numFmtId="0" fontId="64" fillId="15" borderId="99" xfId="0" applyNumberFormat="1" applyFont="1" applyFill="1" applyBorder="1" applyAlignment="1">
      <alignment vertical="center"/>
    </xf>
    <xf numFmtId="201" fontId="59" fillId="0" borderId="101" xfId="0" applyNumberFormat="1" applyFont="1" applyFill="1" applyBorder="1" applyAlignment="1">
      <alignment horizontal="center" vertical="center"/>
    </xf>
    <xf numFmtId="201" fontId="53" fillId="0" borderId="101" xfId="0" applyNumberFormat="1" applyFont="1" applyFill="1" applyBorder="1" applyAlignment="1">
      <alignment horizontal="center" vertical="center"/>
    </xf>
    <xf numFmtId="0" fontId="58" fillId="16" borderId="101" xfId="0" applyNumberFormat="1" applyFont="1" applyFill="1" applyBorder="1" applyAlignment="1">
      <alignment vertical="center"/>
    </xf>
    <xf numFmtId="201" fontId="79" fillId="16" borderId="101" xfId="0" applyNumberFormat="1" applyFont="1" applyFill="1" applyBorder="1" applyAlignment="1">
      <alignment horizontal="center" vertical="center"/>
    </xf>
    <xf numFmtId="201" fontId="58" fillId="16" borderId="101" xfId="0" applyNumberFormat="1" applyFont="1" applyFill="1" applyBorder="1" applyAlignment="1">
      <alignment horizontal="center" vertical="center"/>
    </xf>
    <xf numFmtId="202" fontId="79" fillId="16" borderId="101" xfId="0" applyNumberFormat="1" applyFont="1" applyFill="1" applyBorder="1" applyAlignment="1">
      <alignment horizontal="right" vertical="center"/>
    </xf>
    <xf numFmtId="202" fontId="58" fillId="16" borderId="101" xfId="0" applyNumberFormat="1" applyFont="1" applyFill="1" applyBorder="1" applyAlignment="1">
      <alignment horizontal="right" vertical="center"/>
    </xf>
    <xf numFmtId="202" fontId="78" fillId="16" borderId="101" xfId="0" applyNumberFormat="1" applyFont="1" applyFill="1" applyBorder="1" applyAlignment="1">
      <alignment horizontal="right" vertical="center"/>
    </xf>
    <xf numFmtId="204" fontId="79" fillId="16" borderId="101" xfId="0" applyNumberFormat="1" applyFont="1" applyFill="1" applyBorder="1" applyAlignment="1">
      <alignment horizontal="right" vertical="center"/>
    </xf>
    <xf numFmtId="203" fontId="78" fillId="16" borderId="101" xfId="0" applyNumberFormat="1" applyFont="1" applyFill="1" applyBorder="1" applyAlignment="1">
      <alignment horizontal="right" vertical="center"/>
    </xf>
    <xf numFmtId="0" fontId="65" fillId="0" borderId="61" xfId="0" applyNumberFormat="1" applyFont="1" applyFill="1" applyBorder="1" applyAlignment="1">
      <alignment vertical="center"/>
    </xf>
    <xf numFmtId="0" fontId="84" fillId="17" borderId="61" xfId="0" applyNumberFormat="1" applyFont="1" applyFill="1" applyBorder="1" applyAlignment="1">
      <alignment vertical="center"/>
    </xf>
    <xf numFmtId="0" fontId="59" fillId="0" borderId="101" xfId="0" applyNumberFormat="1" applyFont="1" applyFill="1" applyBorder="1" applyAlignment="1">
      <alignment vertical="center"/>
    </xf>
    <xf numFmtId="205" fontId="59" fillId="0" borderId="101" xfId="0" applyNumberFormat="1" applyFont="1" applyFill="1" applyBorder="1" applyAlignment="1">
      <alignment horizontal="right" vertical="center"/>
    </xf>
    <xf numFmtId="205" fontId="53" fillId="0" borderId="101" xfId="0" applyNumberFormat="1" applyFont="1" applyFill="1" applyBorder="1" applyAlignment="1">
      <alignment horizontal="right" vertical="center"/>
    </xf>
    <xf numFmtId="0" fontId="79" fillId="16" borderId="101" xfId="0" applyNumberFormat="1" applyFont="1" applyFill="1" applyBorder="1" applyAlignment="1">
      <alignment vertical="center"/>
    </xf>
    <xf numFmtId="205" fontId="79" fillId="16" borderId="101" xfId="0" applyNumberFormat="1" applyFont="1" applyFill="1" applyBorder="1" applyAlignment="1">
      <alignment horizontal="right" vertical="center"/>
    </xf>
    <xf numFmtId="205" fontId="58" fillId="16" borderId="101" xfId="0" applyNumberFormat="1" applyFont="1" applyFill="1" applyBorder="1" applyAlignment="1">
      <alignment horizontal="right" vertical="center"/>
    </xf>
    <xf numFmtId="202" fontId="84" fillId="0" borderId="101" xfId="0" applyNumberFormat="1" applyFont="1" applyFill="1" applyBorder="1" applyAlignment="1">
      <alignment vertical="center"/>
    </xf>
    <xf numFmtId="0" fontId="56" fillId="19" borderId="61" xfId="0" applyNumberFormat="1" applyFont="1" applyFill="1" applyBorder="1" applyAlignment="1">
      <alignment vertical="center"/>
    </xf>
    <xf numFmtId="0" fontId="78" fillId="17" borderId="100" xfId="0" applyNumberFormat="1" applyFont="1" applyFill="1" applyBorder="1" applyAlignment="1">
      <alignment vertical="center"/>
    </xf>
    <xf numFmtId="0" fontId="58" fillId="17" borderId="100" xfId="0" applyNumberFormat="1" applyFont="1" applyFill="1" applyBorder="1" applyAlignment="1">
      <alignment vertical="center"/>
    </xf>
    <xf numFmtId="2" fontId="59" fillId="0" borderId="101" xfId="0" applyNumberFormat="1" applyFont="1" applyFill="1" applyBorder="1" applyAlignment="1">
      <alignment horizontal="right" vertical="center"/>
    </xf>
    <xf numFmtId="2" fontId="53" fillId="0" borderId="101" xfId="0" applyNumberFormat="1" applyFont="1" applyFill="1" applyBorder="1" applyAlignment="1">
      <alignment horizontal="right" vertical="center"/>
    </xf>
    <xf numFmtId="204" fontId="84" fillId="0" borderId="101" xfId="0" applyNumberFormat="1" applyFont="1" applyFill="1" applyBorder="1" applyAlignment="1">
      <alignment horizontal="right" vertical="center"/>
    </xf>
    <xf numFmtId="204" fontId="53" fillId="0" borderId="101" xfId="0" applyNumberFormat="1" applyFont="1" applyFill="1" applyBorder="1" applyAlignment="1">
      <alignment horizontal="right" vertical="center"/>
    </xf>
    <xf numFmtId="2" fontId="79" fillId="16" borderId="101" xfId="0" applyNumberFormat="1" applyFont="1" applyFill="1" applyBorder="1" applyAlignment="1">
      <alignment horizontal="right" vertical="center"/>
    </xf>
    <xf numFmtId="2" fontId="58" fillId="16" borderId="101" xfId="0" applyNumberFormat="1" applyFont="1" applyFill="1" applyBorder="1" applyAlignment="1">
      <alignment horizontal="right" vertical="center"/>
    </xf>
    <xf numFmtId="204" fontId="78" fillId="16" borderId="101" xfId="0" applyNumberFormat="1" applyFont="1" applyFill="1" applyBorder="1" applyAlignment="1">
      <alignment horizontal="right" vertical="center"/>
    </xf>
    <xf numFmtId="204" fontId="58" fillId="16" borderId="101" xfId="0" applyNumberFormat="1" applyFont="1" applyFill="1" applyBorder="1" applyAlignment="1">
      <alignment horizontal="right" vertical="center"/>
    </xf>
    <xf numFmtId="0" fontId="69" fillId="19" borderId="96" xfId="0" applyNumberFormat="1" applyFont="1" applyFill="1" applyBorder="1" applyAlignment="1">
      <alignment vertical="center"/>
    </xf>
    <xf numFmtId="0" fontId="69" fillId="19" borderId="61" xfId="0" applyNumberFormat="1" applyFont="1" applyFill="1" applyBorder="1" applyAlignment="1">
      <alignment vertical="center"/>
    </xf>
    <xf numFmtId="0" fontId="58" fillId="14" borderId="111" xfId="0" applyNumberFormat="1" applyFont="1" applyFill="1" applyBorder="1" applyAlignment="1">
      <alignment vertical="center"/>
    </xf>
    <xf numFmtId="0" fontId="58" fillId="14" borderId="61" xfId="0" applyNumberFormat="1" applyFont="1" applyFill="1" applyBorder="1" applyAlignment="1">
      <alignment vertical="center"/>
    </xf>
    <xf numFmtId="0" fontId="58" fillId="14" borderId="112" xfId="0" applyNumberFormat="1" applyFont="1" applyFill="1" applyBorder="1" applyAlignment="1">
      <alignment vertical="center"/>
    </xf>
    <xf numFmtId="0" fontId="58" fillId="14" borderId="113" xfId="0" applyNumberFormat="1" applyFont="1" applyFill="1" applyBorder="1" applyAlignment="1">
      <alignment vertical="center"/>
    </xf>
    <xf numFmtId="0" fontId="58" fillId="14" borderId="114" xfId="0" applyNumberFormat="1" applyFont="1" applyFill="1" applyBorder="1" applyAlignment="1">
      <alignment vertical="center"/>
    </xf>
    <xf numFmtId="0" fontId="58" fillId="14" borderId="115" xfId="0" applyNumberFormat="1" applyFont="1" applyFill="1" applyBorder="1" applyAlignment="1">
      <alignment vertical="center"/>
    </xf>
    <xf numFmtId="0" fontId="63" fillId="0" borderId="61" xfId="0" applyNumberFormat="1" applyFont="1" applyFill="1" applyBorder="1"/>
    <xf numFmtId="0" fontId="58" fillId="17" borderId="61" xfId="0" applyNumberFormat="1" applyFont="1" applyFill="1" applyBorder="1" applyAlignment="1">
      <alignment vertical="center"/>
    </xf>
    <xf numFmtId="0" fontId="53" fillId="0" borderId="61" xfId="0" applyNumberFormat="1" applyFont="1" applyFill="1" applyBorder="1" applyAlignment="1">
      <alignment vertical="center"/>
    </xf>
    <xf numFmtId="0" fontId="76" fillId="14" borderId="93" xfId="0" applyNumberFormat="1" applyFont="1" applyFill="1" applyBorder="1" applyAlignment="1">
      <alignment vertical="center"/>
    </xf>
    <xf numFmtId="0" fontId="69" fillId="14" borderId="94" xfId="0" applyNumberFormat="1" applyFont="1" applyFill="1" applyBorder="1" applyAlignment="1">
      <alignment vertical="center"/>
    </xf>
    <xf numFmtId="0" fontId="69" fillId="14" borderId="95" xfId="0" applyNumberFormat="1" applyFont="1" applyFill="1" applyBorder="1" applyAlignment="1">
      <alignment vertical="center"/>
    </xf>
    <xf numFmtId="0" fontId="79" fillId="17" borderId="93" xfId="0" applyNumberFormat="1" applyFont="1" applyFill="1" applyBorder="1" applyAlignment="1">
      <alignment vertical="center"/>
    </xf>
    <xf numFmtId="0" fontId="58" fillId="17" borderId="94" xfId="0" applyNumberFormat="1" applyFont="1" applyFill="1" applyBorder="1" applyAlignment="1">
      <alignment vertical="center"/>
    </xf>
    <xf numFmtId="0" fontId="58" fillId="17" borderId="95" xfId="0" applyNumberFormat="1" applyFont="1" applyFill="1" applyBorder="1" applyAlignment="1">
      <alignment vertical="center"/>
    </xf>
    <xf numFmtId="206" fontId="84" fillId="0" borderId="101" xfId="0" applyNumberFormat="1" applyFont="1" applyFill="1" applyBorder="1" applyAlignment="1">
      <alignment horizontal="right" vertical="center"/>
    </xf>
    <xf numFmtId="0" fontId="69" fillId="15" borderId="105" xfId="0" applyNumberFormat="1" applyFont="1" applyFill="1" applyBorder="1" applyAlignment="1">
      <alignment vertical="center"/>
    </xf>
    <xf numFmtId="0" fontId="69" fillId="15" borderId="61" xfId="0" applyNumberFormat="1" applyFont="1" applyFill="1" applyBorder="1" applyAlignment="1">
      <alignment vertical="center"/>
    </xf>
    <xf numFmtId="0" fontId="69" fillId="15" borderId="110" xfId="0" applyNumberFormat="1" applyFont="1" applyFill="1" applyBorder="1" applyAlignment="1">
      <alignment vertical="center"/>
    </xf>
    <xf numFmtId="0" fontId="69" fillId="15" borderId="97" xfId="0" applyNumberFormat="1" applyFont="1" applyFill="1" applyBorder="1" applyAlignment="1">
      <alignment vertical="center"/>
    </xf>
    <xf numFmtId="0" fontId="69" fillId="15" borderId="98" xfId="0" applyNumberFormat="1" applyFont="1" applyFill="1" applyBorder="1" applyAlignment="1">
      <alignment vertical="center"/>
    </xf>
    <xf numFmtId="0" fontId="69" fillId="15" borderId="99" xfId="0" applyNumberFormat="1" applyFont="1" applyFill="1" applyBorder="1" applyAlignment="1">
      <alignment vertical="center"/>
    </xf>
    <xf numFmtId="0" fontId="70" fillId="19" borderId="101" xfId="0" applyNumberFormat="1" applyFont="1" applyFill="1" applyBorder="1" applyAlignment="1">
      <alignment horizontal="center" vertical="center"/>
    </xf>
    <xf numFmtId="202" fontId="86" fillId="19" borderId="101" xfId="0" applyNumberFormat="1" applyFont="1" applyFill="1" applyBorder="1" applyAlignment="1">
      <alignment horizontal="center" vertical="center"/>
    </xf>
    <xf numFmtId="202" fontId="71" fillId="19" borderId="101" xfId="0" applyNumberFormat="1" applyFont="1" applyFill="1" applyBorder="1" applyAlignment="1">
      <alignment horizontal="center" vertical="center"/>
    </xf>
    <xf numFmtId="202" fontId="87" fillId="19" borderId="101" xfId="0" applyNumberFormat="1" applyFont="1" applyFill="1" applyBorder="1" applyAlignment="1">
      <alignment horizontal="center" vertical="center"/>
    </xf>
    <xf numFmtId="203" fontId="87" fillId="19" borderId="101" xfId="0" applyNumberFormat="1" applyFont="1" applyFill="1" applyBorder="1" applyAlignment="1">
      <alignment horizontal="center" vertical="center"/>
    </xf>
    <xf numFmtId="203" fontId="71" fillId="19" borderId="101" xfId="0" applyNumberFormat="1" applyFont="1" applyFill="1" applyBorder="1" applyAlignment="1">
      <alignment horizontal="center" vertical="center"/>
    </xf>
    <xf numFmtId="204" fontId="86" fillId="19" borderId="101" xfId="0" applyNumberFormat="1" applyFont="1" applyFill="1" applyBorder="1" applyAlignment="1">
      <alignment horizontal="center" vertical="center"/>
    </xf>
    <xf numFmtId="204" fontId="71" fillId="19" borderId="101" xfId="0" applyNumberFormat="1" applyFont="1" applyFill="1" applyBorder="1" applyAlignment="1">
      <alignment horizontal="center" vertical="center"/>
    </xf>
    <xf numFmtId="0" fontId="72" fillId="19" borderId="101" xfId="0" applyNumberFormat="1" applyFont="1" applyFill="1" applyBorder="1" applyAlignment="1">
      <alignment horizontal="center" vertical="center"/>
    </xf>
    <xf numFmtId="203" fontId="59" fillId="0" borderId="101" xfId="0" applyNumberFormat="1" applyFont="1" applyFill="1" applyBorder="1" applyAlignment="1">
      <alignment horizontal="right" vertical="center"/>
    </xf>
    <xf numFmtId="203" fontId="53" fillId="0" borderId="101" xfId="0" applyNumberFormat="1" applyFont="1" applyFill="1" applyBorder="1" applyAlignment="1">
      <alignment horizontal="right" vertical="center"/>
    </xf>
    <xf numFmtId="207" fontId="84" fillId="0" borderId="101" xfId="0" applyNumberFormat="1" applyFont="1" applyFill="1" applyBorder="1" applyAlignment="1">
      <alignment horizontal="right" vertical="center"/>
    </xf>
    <xf numFmtId="2" fontId="84" fillId="0" borderId="101" xfId="0" applyNumberFormat="1" applyFont="1" applyFill="1" applyBorder="1" applyAlignment="1">
      <alignment horizontal="right" vertical="center"/>
    </xf>
    <xf numFmtId="0" fontId="88" fillId="14" borderId="93" xfId="0" applyNumberFormat="1" applyFont="1" applyFill="1" applyBorder="1" applyAlignment="1">
      <alignment vertical="center"/>
    </xf>
    <xf numFmtId="0" fontId="69" fillId="14" borderId="105" xfId="0" applyNumberFormat="1" applyFont="1" applyFill="1" applyBorder="1" applyAlignment="1">
      <alignment vertical="center"/>
    </xf>
    <xf numFmtId="0" fontId="69" fillId="14" borderId="61" xfId="0" applyNumberFormat="1" applyFont="1" applyFill="1" applyBorder="1" applyAlignment="1">
      <alignment vertical="center"/>
    </xf>
    <xf numFmtId="0" fontId="69" fillId="14" borderId="110" xfId="0" applyNumberFormat="1" applyFont="1" applyFill="1" applyBorder="1" applyAlignment="1">
      <alignment vertical="center"/>
    </xf>
    <xf numFmtId="0" fontId="69" fillId="14" borderId="97" xfId="0" applyNumberFormat="1" applyFont="1" applyFill="1" applyBorder="1" applyAlignment="1">
      <alignment vertical="center"/>
    </xf>
    <xf numFmtId="0" fontId="69" fillId="14" borderId="98" xfId="0" applyNumberFormat="1" applyFont="1" applyFill="1" applyBorder="1" applyAlignment="1">
      <alignment vertical="center"/>
    </xf>
    <xf numFmtId="216" fontId="69" fillId="14" borderId="98" xfId="0" applyNumberFormat="1" applyFont="1" applyFill="1" applyBorder="1" applyAlignment="1">
      <alignment vertical="center"/>
    </xf>
    <xf numFmtId="0" fontId="69" fillId="14" borderId="99" xfId="0" applyNumberFormat="1" applyFont="1" applyFill="1" applyBorder="1" applyAlignment="1">
      <alignment vertical="center"/>
    </xf>
    <xf numFmtId="216" fontId="64" fillId="0" borderId="61" xfId="0" applyNumberFormat="1" applyFont="1" applyFill="1" applyBorder="1" applyAlignment="1">
      <alignment vertical="center"/>
    </xf>
    <xf numFmtId="0" fontId="59" fillId="19" borderId="93" xfId="0" applyNumberFormat="1" applyFont="1" applyFill="1" applyBorder="1" applyAlignment="1">
      <alignment vertical="center"/>
    </xf>
    <xf numFmtId="0" fontId="53" fillId="19" borderId="94" xfId="0" applyNumberFormat="1" applyFont="1" applyFill="1" applyBorder="1" applyAlignment="1">
      <alignment vertical="center"/>
    </xf>
    <xf numFmtId="0" fontId="53" fillId="19" borderId="95" xfId="0" applyNumberFormat="1" applyFont="1" applyFill="1" applyBorder="1" applyAlignment="1">
      <alignment vertical="center"/>
    </xf>
    <xf numFmtId="0" fontId="53" fillId="19" borderId="93" xfId="0" applyNumberFormat="1" applyFont="1" applyFill="1" applyBorder="1" applyAlignment="1">
      <alignment vertical="center"/>
    </xf>
    <xf numFmtId="0" fontId="53" fillId="19" borderId="105" xfId="0" applyNumberFormat="1" applyFont="1" applyFill="1" applyBorder="1" applyAlignment="1">
      <alignment vertical="center"/>
    </xf>
    <xf numFmtId="0" fontId="53" fillId="19" borderId="61" xfId="0" applyNumberFormat="1" applyFont="1" applyFill="1" applyBorder="1" applyAlignment="1">
      <alignment vertical="center"/>
    </xf>
    <xf numFmtId="0" fontId="53" fillId="19" borderId="110" xfId="0" applyNumberFormat="1" applyFont="1" applyFill="1" applyBorder="1" applyAlignment="1">
      <alignment vertical="center"/>
    </xf>
    <xf numFmtId="0" fontId="53" fillId="19" borderId="97" xfId="0" applyNumberFormat="1" applyFont="1" applyFill="1" applyBorder="1" applyAlignment="1">
      <alignment vertical="center"/>
    </xf>
    <xf numFmtId="0" fontId="53" fillId="19" borderId="98" xfId="0" applyNumberFormat="1" applyFont="1" applyFill="1" applyBorder="1" applyAlignment="1">
      <alignment vertical="center"/>
    </xf>
    <xf numFmtId="0" fontId="53" fillId="19" borderId="99" xfId="0" applyNumberFormat="1" applyFont="1" applyFill="1" applyBorder="1" applyAlignment="1">
      <alignment vertical="center"/>
    </xf>
    <xf numFmtId="0" fontId="62" fillId="0" borderId="61" xfId="0" applyNumberFormat="1" applyFont="1" applyFill="1" applyBorder="1" applyAlignment="1">
      <alignment wrapText="1"/>
    </xf>
    <xf numFmtId="0" fontId="108" fillId="22" borderId="61" xfId="0" applyNumberFormat="1" applyFont="1" applyFill="1" applyBorder="1" applyAlignment="1">
      <alignment wrapText="1"/>
    </xf>
    <xf numFmtId="0" fontId="113" fillId="0" borderId="61" xfId="0" applyNumberFormat="1" applyFont="1" applyFill="1" applyBorder="1" applyAlignment="1">
      <alignment horizontal="left" vertical="center"/>
    </xf>
    <xf numFmtId="0" fontId="113" fillId="0" borderId="61" xfId="0" applyNumberFormat="1" applyFont="1" applyFill="1" applyBorder="1" applyAlignment="1">
      <alignment horizontal="left" vertical="center" wrapText="1"/>
    </xf>
    <xf numFmtId="0" fontId="113" fillId="0" borderId="61" xfId="0" applyNumberFormat="1" applyFont="1" applyFill="1" applyBorder="1" applyAlignment="1">
      <alignment vertical="center"/>
    </xf>
    <xf numFmtId="0" fontId="113" fillId="0" borderId="61" xfId="0" applyNumberFormat="1" applyFont="1" applyFill="1" applyBorder="1" applyAlignment="1">
      <alignment vertical="center" wrapText="1"/>
    </xf>
    <xf numFmtId="0" fontId="114" fillId="22" borderId="69" xfId="0" applyNumberFormat="1" applyFont="1" applyFill="1" applyBorder="1" applyAlignment="1">
      <alignment vertical="center"/>
    </xf>
    <xf numFmtId="0" fontId="114" fillId="22" borderId="69" xfId="0" applyNumberFormat="1" applyFont="1" applyFill="1" applyBorder="1" applyAlignment="1">
      <alignment vertical="center" wrapText="1"/>
    </xf>
    <xf numFmtId="0" fontId="111" fillId="0" borderId="65" xfId="0" applyNumberFormat="1" applyFont="1" applyFill="1" applyBorder="1" applyAlignment="1">
      <alignment vertical="center"/>
    </xf>
    <xf numFmtId="0" fontId="111" fillId="0" borderId="65" xfId="0" applyNumberFormat="1" applyFont="1" applyFill="1" applyBorder="1" applyAlignment="1">
      <alignment vertical="center" wrapText="1"/>
    </xf>
    <xf numFmtId="0" fontId="109" fillId="22" borderId="65" xfId="0" applyNumberFormat="1" applyFont="1" applyFill="1" applyBorder="1" applyAlignment="1">
      <alignment vertical="center"/>
    </xf>
    <xf numFmtId="0" fontId="109" fillId="22" borderId="65" xfId="0" applyNumberFormat="1" applyFont="1" applyFill="1" applyBorder="1" applyAlignment="1">
      <alignment vertical="center" wrapText="1"/>
    </xf>
    <xf numFmtId="0" fontId="110" fillId="30" borderId="61" xfId="0" applyNumberFormat="1" applyFont="1" applyFill="1" applyBorder="1" applyAlignment="1">
      <alignment horizontal="left" vertical="center"/>
    </xf>
    <xf numFmtId="0" fontId="110" fillId="30" borderId="61" xfId="0" applyNumberFormat="1" applyFont="1" applyFill="1" applyBorder="1" applyAlignment="1">
      <alignment horizontal="left" vertical="center" wrapText="1"/>
    </xf>
    <xf numFmtId="0" fontId="115" fillId="30" borderId="61" xfId="0" applyNumberFormat="1" applyFont="1" applyFill="1" applyBorder="1" applyAlignment="1">
      <alignment vertical="center"/>
    </xf>
    <xf numFmtId="0" fontId="115" fillId="30" borderId="61" xfId="0" applyNumberFormat="1" applyFont="1" applyFill="1" applyBorder="1" applyAlignment="1">
      <alignment vertical="center" wrapText="1"/>
    </xf>
    <xf numFmtId="0" fontId="110" fillId="30" borderId="61" xfId="0" applyNumberFormat="1" applyFont="1" applyFill="1" applyBorder="1" applyAlignment="1">
      <alignment vertical="center"/>
    </xf>
    <xf numFmtId="0" fontId="110" fillId="30" borderId="61" xfId="0" applyNumberFormat="1" applyFont="1" applyFill="1" applyBorder="1" applyAlignment="1">
      <alignment vertical="center" wrapText="1"/>
    </xf>
    <xf numFmtId="0" fontId="111" fillId="0" borderId="61" xfId="0" applyNumberFormat="1" applyFont="1" applyFill="1" applyBorder="1" applyAlignment="1">
      <alignment horizontal="left" vertical="center" wrapText="1"/>
    </xf>
    <xf numFmtId="0" fontId="111" fillId="0" borderId="61" xfId="0" applyNumberFormat="1" applyFont="1" applyFill="1" applyBorder="1" applyAlignment="1">
      <alignment vertical="center" wrapText="1"/>
    </xf>
    <xf numFmtId="0" fontId="112" fillId="23" borderId="61" xfId="0" applyNumberFormat="1" applyFont="1" applyFill="1" applyBorder="1" applyAlignment="1">
      <alignment horizontal="center" vertical="center" wrapText="1"/>
    </xf>
    <xf numFmtId="0" fontId="113" fillId="0" borderId="116" xfId="0" applyNumberFormat="1" applyFont="1" applyFill="1" applyBorder="1" applyAlignment="1">
      <alignment horizontal="left" vertical="center"/>
    </xf>
    <xf numFmtId="0" fontId="113" fillId="0" borderId="116" xfId="0" applyNumberFormat="1" applyFont="1" applyFill="1" applyBorder="1" applyAlignment="1">
      <alignment horizontal="right" vertical="center"/>
    </xf>
    <xf numFmtId="187" fontId="113" fillId="0" borderId="116" xfId="0" applyNumberFormat="1" applyFont="1" applyFill="1" applyBorder="1" applyAlignment="1">
      <alignment horizontal="right" vertical="center"/>
    </xf>
    <xf numFmtId="174" fontId="113" fillId="0" borderId="116" xfId="0" applyNumberFormat="1" applyFont="1" applyFill="1" applyBorder="1" applyAlignment="1">
      <alignment horizontal="right" vertical="center"/>
    </xf>
    <xf numFmtId="164" fontId="113" fillId="0" borderId="116" xfId="0" applyNumberFormat="1" applyFont="1" applyFill="1" applyBorder="1" applyAlignment="1">
      <alignment horizontal="right" vertical="center"/>
    </xf>
    <xf numFmtId="182" fontId="113" fillId="0" borderId="116" xfId="0" applyNumberFormat="1" applyFont="1" applyFill="1" applyBorder="1" applyAlignment="1">
      <alignment horizontal="right" vertical="center"/>
    </xf>
    <xf numFmtId="0" fontId="113" fillId="0" borderId="116" xfId="0" applyNumberFormat="1" applyFont="1" applyFill="1" applyBorder="1" applyAlignment="1">
      <alignment horizontal="left" vertical="center" wrapText="1"/>
    </xf>
    <xf numFmtId="0" fontId="113" fillId="0" borderId="117" xfId="0" applyNumberFormat="1" applyFont="1" applyFill="1" applyBorder="1" applyAlignment="1">
      <alignment horizontal="left" vertical="center"/>
    </xf>
    <xf numFmtId="174" fontId="113" fillId="0" borderId="117" xfId="0" applyNumberFormat="1" applyFont="1" applyFill="1" applyBorder="1" applyAlignment="1">
      <alignment horizontal="right" vertical="center"/>
    </xf>
    <xf numFmtId="187" fontId="113" fillId="0" borderId="117" xfId="0" applyNumberFormat="1" applyFont="1" applyFill="1" applyBorder="1" applyAlignment="1">
      <alignment horizontal="right" vertical="center"/>
    </xf>
    <xf numFmtId="164" fontId="113" fillId="0" borderId="117" xfId="0" applyNumberFormat="1" applyFont="1" applyFill="1" applyBorder="1" applyAlignment="1">
      <alignment horizontal="right" vertical="center"/>
    </xf>
    <xf numFmtId="182" fontId="113" fillId="0" borderId="117" xfId="0" applyNumberFormat="1" applyFont="1" applyFill="1" applyBorder="1" applyAlignment="1">
      <alignment horizontal="right" vertical="center"/>
    </xf>
    <xf numFmtId="0" fontId="113" fillId="0" borderId="117" xfId="0" applyNumberFormat="1" applyFont="1" applyFill="1" applyBorder="1" applyAlignment="1">
      <alignment horizontal="right" vertical="center"/>
    </xf>
    <xf numFmtId="0" fontId="113" fillId="0" borderId="117" xfId="0" applyNumberFormat="1" applyFont="1" applyFill="1" applyBorder="1" applyAlignment="1">
      <alignment horizontal="left" vertical="center" wrapText="1"/>
    </xf>
    <xf numFmtId="0" fontId="112" fillId="0" borderId="117" xfId="0" applyNumberFormat="1" applyFont="1" applyFill="1" applyBorder="1" applyAlignment="1">
      <alignment horizontal="left" vertical="center"/>
    </xf>
    <xf numFmtId="174" fontId="112" fillId="0" borderId="117" xfId="0" applyNumberFormat="1" applyFont="1" applyFill="1" applyBorder="1" applyAlignment="1">
      <alignment horizontal="right" vertical="center"/>
    </xf>
    <xf numFmtId="187" fontId="112" fillId="0" borderId="117" xfId="0" applyNumberFormat="1" applyFont="1" applyFill="1" applyBorder="1" applyAlignment="1">
      <alignment horizontal="right" vertical="center"/>
    </xf>
    <xf numFmtId="182" fontId="112" fillId="0" borderId="117" xfId="0" applyNumberFormat="1" applyFont="1" applyFill="1" applyBorder="1" applyAlignment="1">
      <alignment horizontal="right" vertical="center"/>
    </xf>
    <xf numFmtId="0" fontId="112" fillId="0" borderId="117" xfId="0" applyNumberFormat="1" applyFont="1" applyFill="1" applyBorder="1" applyAlignment="1">
      <alignment horizontal="right" vertical="center"/>
    </xf>
    <xf numFmtId="0" fontId="112" fillId="0" borderId="117" xfId="0" applyNumberFormat="1" applyFont="1" applyFill="1" applyBorder="1" applyAlignment="1">
      <alignment horizontal="left" vertical="center" wrapText="1"/>
    </xf>
    <xf numFmtId="0" fontId="113" fillId="0" borderId="118" xfId="0" applyNumberFormat="1" applyFont="1" applyFill="1" applyBorder="1" applyAlignment="1">
      <alignment horizontal="left" vertical="center"/>
    </xf>
    <xf numFmtId="174" fontId="113" fillId="0" borderId="118" xfId="0" applyNumberFormat="1" applyFont="1" applyFill="1" applyBorder="1" applyAlignment="1">
      <alignment horizontal="right" vertical="center"/>
    </xf>
    <xf numFmtId="187" fontId="113" fillId="0" borderId="118" xfId="0" applyNumberFormat="1" applyFont="1" applyFill="1" applyBorder="1" applyAlignment="1">
      <alignment horizontal="right" vertical="center"/>
    </xf>
    <xf numFmtId="164" fontId="113" fillId="0" borderId="118" xfId="0" applyNumberFormat="1" applyFont="1" applyFill="1" applyBorder="1" applyAlignment="1">
      <alignment horizontal="right" vertical="center"/>
    </xf>
    <xf numFmtId="182" fontId="113" fillId="0" borderId="118" xfId="0" applyNumberFormat="1" applyFont="1" applyFill="1" applyBorder="1" applyAlignment="1">
      <alignment horizontal="right" vertical="center"/>
    </xf>
    <xf numFmtId="0" fontId="113" fillId="0" borderId="118" xfId="0" applyNumberFormat="1" applyFont="1" applyFill="1" applyBorder="1" applyAlignment="1">
      <alignment horizontal="right" vertical="center"/>
    </xf>
    <xf numFmtId="0" fontId="113" fillId="0" borderId="118" xfId="0" applyNumberFormat="1" applyFont="1" applyFill="1" applyBorder="1" applyAlignment="1">
      <alignment horizontal="left" vertical="center" wrapText="1"/>
    </xf>
    <xf numFmtId="0" fontId="112" fillId="0" borderId="118" xfId="0" applyNumberFormat="1" applyFont="1" applyFill="1" applyBorder="1" applyAlignment="1">
      <alignment horizontal="left" vertical="center"/>
    </xf>
    <xf numFmtId="0" fontId="113" fillId="0" borderId="119" xfId="0" applyNumberFormat="1" applyFont="1" applyFill="1" applyBorder="1" applyAlignment="1">
      <alignment horizontal="left" vertical="center"/>
    </xf>
    <xf numFmtId="187" fontId="113" fillId="0" borderId="119" xfId="0" applyNumberFormat="1" applyFont="1" applyFill="1" applyBorder="1" applyAlignment="1">
      <alignment horizontal="right" vertical="center"/>
    </xf>
    <xf numFmtId="0" fontId="113" fillId="0" borderId="119" xfId="0" applyNumberFormat="1" applyFont="1" applyFill="1" applyBorder="1" applyAlignment="1">
      <alignment horizontal="left" vertical="center" wrapText="1"/>
    </xf>
    <xf numFmtId="0" fontId="112" fillId="0" borderId="119" xfId="0" applyNumberFormat="1" applyFont="1" applyFill="1" applyBorder="1" applyAlignment="1">
      <alignment horizontal="left" vertical="center"/>
    </xf>
    <xf numFmtId="170" fontId="113" fillId="0" borderId="117" xfId="0" applyNumberFormat="1" applyFont="1" applyFill="1" applyBorder="1" applyAlignment="1">
      <alignment horizontal="right" vertical="center"/>
    </xf>
    <xf numFmtId="168" fontId="113" fillId="0" borderId="118" xfId="0" applyNumberFormat="1" applyFont="1" applyFill="1" applyBorder="1" applyAlignment="1">
      <alignment horizontal="right" vertical="center"/>
    </xf>
    <xf numFmtId="10" fontId="113" fillId="0" borderId="116" xfId="0" applyNumberFormat="1" applyFont="1" applyFill="1" applyBorder="1" applyAlignment="1">
      <alignment horizontal="right" vertical="center"/>
    </xf>
    <xf numFmtId="2" fontId="113" fillId="0" borderId="116" xfId="0" applyNumberFormat="1" applyFont="1" applyFill="1" applyBorder="1" applyAlignment="1">
      <alignment horizontal="right" vertical="center"/>
    </xf>
    <xf numFmtId="207" fontId="113" fillId="0" borderId="116" xfId="0" applyNumberFormat="1" applyFont="1" applyFill="1" applyBorder="1" applyAlignment="1">
      <alignment horizontal="right" vertical="center"/>
    </xf>
    <xf numFmtId="10" fontId="113" fillId="0" borderId="117" xfId="0" applyNumberFormat="1" applyFont="1" applyFill="1" applyBorder="1" applyAlignment="1">
      <alignment horizontal="right" vertical="center"/>
    </xf>
    <xf numFmtId="2" fontId="113" fillId="0" borderId="117" xfId="0" applyNumberFormat="1" applyFont="1" applyFill="1" applyBorder="1" applyAlignment="1">
      <alignment horizontal="right" vertical="center"/>
    </xf>
    <xf numFmtId="207" fontId="113" fillId="0" borderId="117" xfId="0" applyNumberFormat="1" applyFont="1" applyFill="1" applyBorder="1" applyAlignment="1">
      <alignment horizontal="right" vertical="center"/>
    </xf>
    <xf numFmtId="10" fontId="113" fillId="0" borderId="118" xfId="0" applyNumberFormat="1" applyFont="1" applyFill="1" applyBorder="1" applyAlignment="1">
      <alignment horizontal="right" vertical="center"/>
    </xf>
    <xf numFmtId="2" fontId="113" fillId="0" borderId="118" xfId="0" applyNumberFormat="1" applyFont="1" applyFill="1" applyBorder="1" applyAlignment="1">
      <alignment horizontal="right" vertical="center"/>
    </xf>
    <xf numFmtId="207" fontId="113" fillId="0" borderId="118" xfId="0" applyNumberFormat="1" applyFont="1" applyFill="1" applyBorder="1" applyAlignment="1">
      <alignment horizontal="right" vertical="center"/>
    </xf>
    <xf numFmtId="0" fontId="113" fillId="0" borderId="116" xfId="0" applyNumberFormat="1" applyFont="1" applyFill="1" applyBorder="1" applyAlignment="1">
      <alignment vertical="center"/>
    </xf>
    <xf numFmtId="214" fontId="113" fillId="0" borderId="116" xfId="0" applyNumberFormat="1" applyFont="1" applyFill="1" applyBorder="1" applyAlignment="1">
      <alignment vertical="center"/>
    </xf>
    <xf numFmtId="0" fontId="113" fillId="0" borderId="116" xfId="0" applyNumberFormat="1" applyFont="1" applyFill="1" applyBorder="1" applyAlignment="1">
      <alignment vertical="center" wrapText="1"/>
    </xf>
    <xf numFmtId="0" fontId="113" fillId="0" borderId="117" xfId="0" applyNumberFormat="1" applyFont="1" applyFill="1" applyBorder="1" applyAlignment="1">
      <alignment vertical="center"/>
    </xf>
    <xf numFmtId="214" fontId="113" fillId="0" borderId="117" xfId="0" applyNumberFormat="1" applyFont="1" applyFill="1" applyBorder="1" applyAlignment="1">
      <alignment vertical="center"/>
    </xf>
    <xf numFmtId="0" fontId="113" fillId="0" borderId="117" xfId="0" applyNumberFormat="1" applyFont="1" applyFill="1" applyBorder="1" applyAlignment="1">
      <alignment vertical="center" wrapText="1"/>
    </xf>
    <xf numFmtId="174" fontId="113" fillId="0" borderId="117" xfId="0" applyNumberFormat="1" applyFont="1" applyFill="1" applyBorder="1" applyAlignment="1">
      <alignment vertical="center"/>
    </xf>
    <xf numFmtId="0" fontId="113" fillId="0" borderId="118" xfId="0" applyNumberFormat="1" applyFont="1" applyFill="1" applyBorder="1" applyAlignment="1">
      <alignment vertical="center"/>
    </xf>
    <xf numFmtId="174" fontId="113" fillId="0" borderId="118" xfId="0" applyNumberFormat="1" applyFont="1" applyFill="1" applyBorder="1" applyAlignment="1">
      <alignment vertical="center"/>
    </xf>
    <xf numFmtId="0" fontId="113" fillId="0" borderId="118" xfId="0" applyNumberFormat="1" applyFont="1" applyFill="1" applyBorder="1" applyAlignment="1">
      <alignment vertical="center" wrapText="1"/>
    </xf>
    <xf numFmtId="0" fontId="113" fillId="0" borderId="119" xfId="0" applyNumberFormat="1" applyFont="1" applyFill="1" applyBorder="1" applyAlignment="1">
      <alignment vertical="center"/>
    </xf>
    <xf numFmtId="0" fontId="113" fillId="0" borderId="119" xfId="0" applyNumberFormat="1" applyFont="1" applyFill="1" applyBorder="1" applyAlignment="1">
      <alignment vertical="center" wrapText="1"/>
    </xf>
    <xf numFmtId="0" fontId="112" fillId="33" borderId="118" xfId="0" applyNumberFormat="1" applyFont="1" applyFill="1" applyBorder="1" applyAlignment="1">
      <alignment horizontal="left" vertical="center"/>
    </xf>
    <xf numFmtId="187" fontId="112" fillId="33" borderId="118" xfId="0" applyNumberFormat="1" applyFont="1" applyFill="1" applyBorder="1" applyAlignment="1">
      <alignment horizontal="right" vertical="center"/>
    </xf>
    <xf numFmtId="174" fontId="112" fillId="33" borderId="118" xfId="0" applyNumberFormat="1" applyFont="1" applyFill="1" applyBorder="1" applyAlignment="1">
      <alignment horizontal="right" vertical="center"/>
    </xf>
    <xf numFmtId="182" fontId="112" fillId="33" borderId="118" xfId="0" applyNumberFormat="1" applyFont="1" applyFill="1" applyBorder="1" applyAlignment="1">
      <alignment horizontal="right" vertical="center"/>
    </xf>
    <xf numFmtId="0" fontId="112" fillId="33" borderId="118" xfId="0" applyNumberFormat="1" applyFont="1" applyFill="1" applyBorder="1" applyAlignment="1">
      <alignment horizontal="left" vertical="center" wrapText="1"/>
    </xf>
    <xf numFmtId="0" fontId="112" fillId="33" borderId="118" xfId="0" applyNumberFormat="1" applyFont="1" applyFill="1" applyBorder="1" applyAlignment="1">
      <alignment vertical="center"/>
    </xf>
    <xf numFmtId="214" fontId="112" fillId="33" borderId="118" xfId="0" applyNumberFormat="1" applyFont="1" applyFill="1" applyBorder="1" applyAlignment="1">
      <alignment vertical="center"/>
    </xf>
    <xf numFmtId="0" fontId="112" fillId="33" borderId="118" xfId="0" applyNumberFormat="1" applyFont="1" applyFill="1" applyBorder="1" applyAlignment="1">
      <alignment vertical="center" wrapText="1"/>
    </xf>
    <xf numFmtId="0" fontId="112" fillId="33" borderId="117" xfId="0" applyNumberFormat="1" applyFont="1" applyFill="1" applyBorder="1" applyAlignment="1">
      <alignment vertical="center"/>
    </xf>
    <xf numFmtId="214" fontId="112" fillId="33" borderId="117" xfId="0" applyNumberFormat="1" applyFont="1" applyFill="1" applyBorder="1" applyAlignment="1">
      <alignment vertical="center"/>
    </xf>
    <xf numFmtId="187" fontId="112" fillId="33" borderId="61" xfId="0" applyNumberFormat="1" applyFont="1" applyFill="1" applyBorder="1" applyAlignment="1">
      <alignment horizontal="right" vertical="center"/>
    </xf>
    <xf numFmtId="174" fontId="112" fillId="33" borderId="61" xfId="0" applyNumberFormat="1" applyFont="1" applyFill="1" applyBorder="1" applyAlignment="1">
      <alignment horizontal="right" vertical="center"/>
    </xf>
    <xf numFmtId="164" fontId="112" fillId="33" borderId="61" xfId="0" applyNumberFormat="1" applyFont="1" applyFill="1" applyBorder="1" applyAlignment="1">
      <alignment horizontal="right" vertical="center"/>
    </xf>
    <xf numFmtId="170" fontId="112" fillId="33" borderId="61" xfId="0" applyNumberFormat="1" applyFont="1" applyFill="1" applyBorder="1" applyAlignment="1">
      <alignment horizontal="right" vertical="center"/>
    </xf>
    <xf numFmtId="182" fontId="112" fillId="33" borderId="61" xfId="0" applyNumberFormat="1" applyFont="1" applyFill="1" applyBorder="1" applyAlignment="1">
      <alignment horizontal="right" vertical="center"/>
    </xf>
    <xf numFmtId="0" fontId="112" fillId="25" borderId="119" xfId="0" applyNumberFormat="1" applyFont="1" applyFill="1" applyBorder="1" applyAlignment="1">
      <alignment horizontal="center" vertical="center"/>
    </xf>
    <xf numFmtId="0" fontId="112" fillId="25" borderId="117" xfId="0" applyNumberFormat="1" applyFont="1" applyFill="1" applyBorder="1" applyAlignment="1">
      <alignment horizontal="center" vertical="center"/>
    </xf>
    <xf numFmtId="0" fontId="112" fillId="25" borderId="118" xfId="0" applyNumberFormat="1" applyFont="1" applyFill="1" applyBorder="1" applyAlignment="1">
      <alignment horizontal="center" vertical="center"/>
    </xf>
    <xf numFmtId="0" fontId="112" fillId="34" borderId="117" xfId="0" applyNumberFormat="1" applyFont="1" applyFill="1" applyBorder="1" applyAlignment="1">
      <alignment horizontal="right" vertical="center"/>
    </xf>
    <xf numFmtId="2" fontId="113" fillId="0" borderId="116" xfId="0" applyNumberFormat="1" applyFont="1" applyFill="1" applyBorder="1" applyAlignment="1">
      <alignment horizontal="right" vertical="center" wrapText="1"/>
    </xf>
    <xf numFmtId="210" fontId="113" fillId="0" borderId="116" xfId="0" applyNumberFormat="1" applyFont="1" applyFill="1" applyBorder="1" applyAlignment="1">
      <alignment horizontal="right" vertical="center" wrapText="1"/>
    </xf>
    <xf numFmtId="2" fontId="113" fillId="0" borderId="117" xfId="0" applyNumberFormat="1" applyFont="1" applyFill="1" applyBorder="1" applyAlignment="1">
      <alignment horizontal="right" vertical="center" wrapText="1"/>
    </xf>
    <xf numFmtId="210" fontId="113" fillId="0" borderId="117" xfId="0" applyNumberFormat="1" applyFont="1" applyFill="1" applyBorder="1" applyAlignment="1">
      <alignment horizontal="right" vertical="center" wrapText="1"/>
    </xf>
    <xf numFmtId="2" fontId="113" fillId="0" borderId="118" xfId="0" applyNumberFormat="1" applyFont="1" applyFill="1" applyBorder="1" applyAlignment="1">
      <alignment horizontal="right" vertical="center" wrapText="1"/>
    </xf>
    <xf numFmtId="210" fontId="113" fillId="0" borderId="118" xfId="0" applyNumberFormat="1" applyFont="1" applyFill="1" applyBorder="1" applyAlignment="1">
      <alignment horizontal="right" vertical="center" wrapText="1"/>
    </xf>
    <xf numFmtId="211" fontId="113" fillId="0" borderId="117" xfId="0" applyNumberFormat="1" applyFont="1" applyFill="1" applyBorder="1" applyAlignment="1">
      <alignment horizontal="right" vertical="center"/>
    </xf>
    <xf numFmtId="210" fontId="113" fillId="0" borderId="118" xfId="0" applyNumberFormat="1" applyFont="1" applyFill="1" applyBorder="1" applyAlignment="1">
      <alignment horizontal="right" vertical="center"/>
    </xf>
    <xf numFmtId="210" fontId="113" fillId="0" borderId="116" xfId="0" applyNumberFormat="1" applyFont="1" applyFill="1" applyBorder="1" applyAlignment="1">
      <alignment horizontal="right" vertical="center"/>
    </xf>
    <xf numFmtId="0" fontId="112" fillId="25" borderId="119" xfId="0" applyNumberFormat="1" applyFont="1" applyFill="1" applyBorder="1" applyAlignment="1">
      <alignment horizontal="center" vertical="center" wrapText="1"/>
    </xf>
    <xf numFmtId="0" fontId="112" fillId="25" borderId="117" xfId="0" applyNumberFormat="1" applyFont="1" applyFill="1" applyBorder="1" applyAlignment="1">
      <alignment horizontal="center" vertical="center" wrapText="1"/>
    </xf>
    <xf numFmtId="0" fontId="116" fillId="0" borderId="0" xfId="0" applyNumberFormat="1" applyFont="1" applyFill="1" applyBorder="1"/>
    <xf numFmtId="0" fontId="116" fillId="0" borderId="0" xfId="0" applyNumberFormat="1" applyFont="1" applyFill="1" applyBorder="1" applyAlignment="1">
      <alignment wrapText="1"/>
    </xf>
    <xf numFmtId="0" fontId="117" fillId="22" borderId="0" xfId="0" applyNumberFormat="1" applyFont="1" applyFill="1" applyBorder="1" applyAlignment="1">
      <alignment vertical="center"/>
    </xf>
    <xf numFmtId="0" fontId="117" fillId="22" borderId="0" xfId="0" applyNumberFormat="1" applyFont="1" applyFill="1" applyBorder="1" applyAlignment="1">
      <alignment vertical="center" wrapText="1"/>
    </xf>
    <xf numFmtId="0" fontId="118" fillId="23" borderId="0" xfId="0" applyNumberFormat="1" applyFont="1" applyFill="1" applyBorder="1" applyAlignment="1">
      <alignment vertical="center" wrapText="1"/>
    </xf>
    <xf numFmtId="0" fontId="117" fillId="24" borderId="0" xfId="0" applyNumberFormat="1" applyFont="1" applyFill="1" applyBorder="1"/>
    <xf numFmtId="0" fontId="117" fillId="24" borderId="0" xfId="0" applyNumberFormat="1" applyFont="1" applyFill="1" applyBorder="1" applyAlignment="1">
      <alignment wrapText="1"/>
    </xf>
    <xf numFmtId="0" fontId="117" fillId="23" borderId="54" xfId="0" applyNumberFormat="1" applyFont="1" applyFill="1" applyBorder="1" applyAlignment="1">
      <alignment wrapText="1"/>
    </xf>
    <xf numFmtId="4" fontId="116" fillId="0" borderId="0" xfId="0" applyNumberFormat="1" applyFont="1" applyFill="1" applyBorder="1" applyAlignment="1">
      <alignment wrapText="1"/>
    </xf>
    <xf numFmtId="211" fontId="116" fillId="0" borderId="0" xfId="0" applyNumberFormat="1" applyFont="1" applyFill="1" applyBorder="1" applyAlignment="1">
      <alignment wrapText="1"/>
    </xf>
    <xf numFmtId="220" fontId="116" fillId="0" borderId="0" xfId="0" applyNumberFormat="1" applyFont="1" applyFill="1" applyBorder="1" applyAlignment="1">
      <alignment wrapText="1"/>
    </xf>
    <xf numFmtId="0" fontId="117" fillId="30" borderId="0" xfId="0" applyNumberFormat="1" applyFont="1" applyFill="1" applyBorder="1"/>
    <xf numFmtId="0" fontId="117" fillId="30" borderId="0" xfId="0" applyNumberFormat="1" applyFont="1" applyFill="1" applyBorder="1" applyAlignment="1">
      <alignment wrapText="1"/>
    </xf>
    <xf numFmtId="0" fontId="117" fillId="23" borderId="0" xfId="0" applyNumberFormat="1" applyFont="1" applyFill="1" applyBorder="1" applyAlignment="1">
      <alignment horizontal="center" wrapText="1"/>
    </xf>
    <xf numFmtId="0" fontId="118" fillId="0" borderId="0" xfId="0" applyNumberFormat="1" applyFont="1" applyFill="1" applyBorder="1"/>
    <xf numFmtId="0" fontId="118" fillId="0" borderId="0" xfId="0" applyNumberFormat="1" applyFont="1" applyFill="1" applyBorder="1" applyAlignment="1">
      <alignment wrapText="1"/>
    </xf>
    <xf numFmtId="0" fontId="117" fillId="25" borderId="0" xfId="0" applyNumberFormat="1" applyFont="1" applyFill="1" applyBorder="1" applyAlignment="1">
      <alignment wrapText="1"/>
    </xf>
    <xf numFmtId="0" fontId="117" fillId="23" borderId="0" xfId="0" applyNumberFormat="1" applyFont="1" applyFill="1" applyBorder="1" applyAlignment="1">
      <alignment horizontal="center"/>
    </xf>
    <xf numFmtId="4" fontId="116" fillId="0" borderId="0" xfId="0" applyNumberFormat="1" applyFont="1" applyFill="1" applyBorder="1"/>
    <xf numFmtId="211" fontId="116" fillId="0" borderId="0" xfId="0" applyNumberFormat="1" applyFont="1" applyFill="1" applyBorder="1"/>
    <xf numFmtId="0" fontId="117" fillId="22" borderId="0" xfId="0" applyNumberFormat="1" applyFont="1" applyFill="1" applyBorder="1"/>
    <xf numFmtId="0" fontId="117" fillId="22" borderId="0" xfId="0" applyNumberFormat="1" applyFont="1" applyFill="1" applyBorder="1" applyAlignment="1">
      <alignment wrapText="1"/>
    </xf>
    <xf numFmtId="0" fontId="117" fillId="33" borderId="0" xfId="0" applyNumberFormat="1" applyFont="1" applyFill="1" applyBorder="1"/>
    <xf numFmtId="211" fontId="117" fillId="33" borderId="0" xfId="0" applyNumberFormat="1" applyFont="1" applyFill="1" applyBorder="1"/>
    <xf numFmtId="0" fontId="117" fillId="33" borderId="0" xfId="0" applyNumberFormat="1" applyFont="1" applyFill="1" applyBorder="1" applyAlignment="1">
      <alignment wrapText="1"/>
    </xf>
    <xf numFmtId="0" fontId="117" fillId="23" borderId="0" xfId="0" applyNumberFormat="1" applyFont="1" applyFill="1" applyBorder="1"/>
    <xf numFmtId="214" fontId="116" fillId="0" borderId="0" xfId="0" applyNumberFormat="1" applyFont="1" applyFill="1" applyBorder="1"/>
    <xf numFmtId="214" fontId="117" fillId="33" borderId="0" xfId="0" applyNumberFormat="1" applyFont="1" applyFill="1" applyBorder="1"/>
    <xf numFmtId="174" fontId="116" fillId="0" borderId="0" xfId="0" applyNumberFormat="1" applyFont="1" applyFill="1" applyBorder="1"/>
    <xf numFmtId="174" fontId="116" fillId="0" borderId="0" xfId="0" applyNumberFormat="1" applyFont="1" applyFill="1" applyBorder="1" applyAlignment="1">
      <alignment wrapText="1"/>
    </xf>
    <xf numFmtId="1" fontId="116" fillId="0" borderId="0" xfId="0" applyNumberFormat="1" applyFont="1" applyFill="1" applyBorder="1"/>
    <xf numFmtId="170" fontId="116" fillId="0" borderId="0" xfId="0" applyNumberFormat="1" applyFont="1" applyFill="1" applyBorder="1"/>
    <xf numFmtId="201" fontId="116" fillId="0" borderId="0" xfId="0" applyNumberFormat="1" applyFont="1" applyFill="1" applyBorder="1"/>
    <xf numFmtId="0" fontId="116" fillId="0" borderId="61" xfId="0" applyNumberFormat="1" applyFont="1" applyFill="1" applyBorder="1"/>
    <xf numFmtId="0" fontId="116" fillId="0" borderId="61" xfId="0" applyNumberFormat="1" applyFont="1" applyFill="1" applyBorder="1" applyAlignment="1">
      <alignment wrapText="1"/>
    </xf>
    <xf numFmtId="0" fontId="117" fillId="22" borderId="61" xfId="0" applyNumberFormat="1" applyFont="1" applyFill="1" applyBorder="1" applyAlignment="1">
      <alignment vertical="center"/>
    </xf>
    <xf numFmtId="0" fontId="117" fillId="22" borderId="61" xfId="0" applyNumberFormat="1" applyFont="1" applyFill="1" applyBorder="1" applyAlignment="1">
      <alignment vertical="center" wrapText="1"/>
    </xf>
    <xf numFmtId="0" fontId="118" fillId="23" borderId="61" xfId="0" applyNumberFormat="1" applyFont="1" applyFill="1" applyBorder="1" applyAlignment="1">
      <alignment vertical="center" wrapText="1"/>
    </xf>
    <xf numFmtId="0" fontId="117" fillId="24" borderId="61" xfId="0" applyNumberFormat="1" applyFont="1" applyFill="1" applyBorder="1"/>
    <xf numFmtId="0" fontId="117" fillId="24" borderId="61" xfId="0" applyNumberFormat="1" applyFont="1" applyFill="1" applyBorder="1" applyAlignment="1">
      <alignment wrapText="1"/>
    </xf>
    <xf numFmtId="0" fontId="117" fillId="23" borderId="83" xfId="0" applyNumberFormat="1" applyFont="1" applyFill="1" applyBorder="1" applyAlignment="1">
      <alignment wrapText="1"/>
    </xf>
    <xf numFmtId="4" fontId="116" fillId="0" borderId="61" xfId="0" applyNumberFormat="1" applyFont="1" applyFill="1" applyBorder="1" applyAlignment="1">
      <alignment wrapText="1"/>
    </xf>
    <xf numFmtId="211" fontId="116" fillId="0" borderId="61" xfId="0" applyNumberFormat="1" applyFont="1" applyFill="1" applyBorder="1" applyAlignment="1">
      <alignment wrapText="1"/>
    </xf>
    <xf numFmtId="220" fontId="116" fillId="0" borderId="61" xfId="0" applyNumberFormat="1" applyFont="1" applyFill="1" applyBorder="1" applyAlignment="1">
      <alignment wrapText="1"/>
    </xf>
    <xf numFmtId="0" fontId="117" fillId="30" borderId="61" xfId="0" applyNumberFormat="1" applyFont="1" applyFill="1" applyBorder="1"/>
    <xf numFmtId="0" fontId="117" fillId="30" borderId="61" xfId="0" applyNumberFormat="1" applyFont="1" applyFill="1" applyBorder="1" applyAlignment="1">
      <alignment wrapText="1"/>
    </xf>
    <xf numFmtId="0" fontId="117" fillId="23" borderId="61" xfId="0" applyNumberFormat="1" applyFont="1" applyFill="1" applyBorder="1" applyAlignment="1">
      <alignment horizontal="center" wrapText="1"/>
    </xf>
    <xf numFmtId="0" fontId="118" fillId="0" borderId="61" xfId="0" applyNumberFormat="1" applyFont="1" applyFill="1" applyBorder="1"/>
    <xf numFmtId="0" fontId="118" fillId="0" borderId="61" xfId="0" applyNumberFormat="1" applyFont="1" applyFill="1" applyBorder="1" applyAlignment="1">
      <alignment wrapText="1"/>
    </xf>
    <xf numFmtId="0" fontId="117" fillId="25" borderId="61" xfId="0" applyNumberFormat="1" applyFont="1" applyFill="1" applyBorder="1" applyAlignment="1">
      <alignment wrapText="1"/>
    </xf>
    <xf numFmtId="0" fontId="117" fillId="23" borderId="61" xfId="0" applyNumberFormat="1" applyFont="1" applyFill="1" applyBorder="1" applyAlignment="1">
      <alignment horizontal="center"/>
    </xf>
    <xf numFmtId="4" fontId="116" fillId="0" borderId="61" xfId="0" applyNumberFormat="1" applyFont="1" applyFill="1" applyBorder="1"/>
    <xf numFmtId="211" fontId="116" fillId="0" borderId="61" xfId="0" applyNumberFormat="1" applyFont="1" applyFill="1" applyBorder="1"/>
    <xf numFmtId="0" fontId="117" fillId="22" borderId="61" xfId="0" applyNumberFormat="1" applyFont="1" applyFill="1" applyBorder="1"/>
    <xf numFmtId="0" fontId="117" fillId="22" borderId="61" xfId="0" applyNumberFormat="1" applyFont="1" applyFill="1" applyBorder="1" applyAlignment="1">
      <alignment wrapText="1"/>
    </xf>
    <xf numFmtId="0" fontId="117" fillId="33" borderId="61" xfId="0" applyNumberFormat="1" applyFont="1" applyFill="1" applyBorder="1"/>
    <xf numFmtId="211" fontId="117" fillId="33" borderId="61" xfId="0" applyNumberFormat="1" applyFont="1" applyFill="1" applyBorder="1"/>
    <xf numFmtId="0" fontId="117" fillId="33" borderId="61" xfId="0" applyNumberFormat="1" applyFont="1" applyFill="1" applyBorder="1" applyAlignment="1">
      <alignment wrapText="1"/>
    </xf>
    <xf numFmtId="0" fontId="117" fillId="23" borderId="61" xfId="0" applyNumberFormat="1" applyFont="1" applyFill="1" applyBorder="1"/>
    <xf numFmtId="214" fontId="116" fillId="0" borderId="61" xfId="0" applyNumberFormat="1" applyFont="1" applyFill="1" applyBorder="1"/>
    <xf numFmtId="214" fontId="117" fillId="33" borderId="61" xfId="0" applyNumberFormat="1" applyFont="1" applyFill="1" applyBorder="1"/>
    <xf numFmtId="174" fontId="116" fillId="0" borderId="61" xfId="0" applyNumberFormat="1" applyFont="1" applyFill="1" applyBorder="1"/>
    <xf numFmtId="174" fontId="116" fillId="0" borderId="61" xfId="0" applyNumberFormat="1" applyFont="1" applyFill="1" applyBorder="1" applyAlignment="1">
      <alignment wrapText="1"/>
    </xf>
    <xf numFmtId="1" fontId="116" fillId="0" borderId="61" xfId="0" applyNumberFormat="1" applyFont="1" applyFill="1" applyBorder="1"/>
    <xf numFmtId="170" fontId="116" fillId="0" borderId="61" xfId="0" applyNumberFormat="1" applyFont="1" applyFill="1" applyBorder="1"/>
    <xf numFmtId="201" fontId="116" fillId="0" borderId="61" xfId="0" applyNumberFormat="1" applyFont="1" applyFill="1" applyBorder="1"/>
    <xf numFmtId="0" fontId="116" fillId="0" borderId="0" xfId="0" applyNumberFormat="1" applyFont="1" applyFill="1" applyBorder="1" applyAlignment="1">
      <alignment vertical="center"/>
    </xf>
    <xf numFmtId="0" fontId="116" fillId="0" borderId="0" xfId="0" applyNumberFormat="1" applyFont="1" applyFill="1" applyBorder="1" applyAlignment="1">
      <alignment vertical="center" wrapText="1"/>
    </xf>
    <xf numFmtId="0" fontId="117" fillId="24" borderId="0" xfId="0" applyNumberFormat="1" applyFont="1" applyFill="1" applyBorder="1" applyAlignment="1">
      <alignment vertical="center"/>
    </xf>
    <xf numFmtId="0" fontId="117" fillId="24" borderId="0" xfId="0" applyNumberFormat="1" applyFont="1" applyFill="1" applyBorder="1" applyAlignment="1">
      <alignment vertical="center" wrapText="1"/>
    </xf>
    <xf numFmtId="0" fontId="117" fillId="23" borderId="54" xfId="0" applyNumberFormat="1" applyFont="1" applyFill="1" applyBorder="1" applyAlignment="1">
      <alignment vertical="center" wrapText="1"/>
    </xf>
    <xf numFmtId="4" fontId="116" fillId="0" borderId="0" xfId="0" applyNumberFormat="1" applyFont="1" applyFill="1" applyBorder="1" applyAlignment="1">
      <alignment vertical="center" wrapText="1"/>
    </xf>
    <xf numFmtId="211" fontId="116" fillId="0" borderId="0" xfId="0" applyNumberFormat="1" applyFont="1" applyFill="1" applyBorder="1" applyAlignment="1">
      <alignment vertical="center" wrapText="1"/>
    </xf>
    <xf numFmtId="220" fontId="116" fillId="0" borderId="0" xfId="0" applyNumberFormat="1" applyFont="1" applyFill="1" applyBorder="1" applyAlignment="1">
      <alignment vertical="center" wrapText="1"/>
    </xf>
    <xf numFmtId="0" fontId="117" fillId="30" borderId="0" xfId="0" applyNumberFormat="1" applyFont="1" applyFill="1" applyBorder="1" applyAlignment="1">
      <alignment vertical="center"/>
    </xf>
    <xf numFmtId="0" fontId="117" fillId="30" borderId="0" xfId="0" applyNumberFormat="1" applyFont="1" applyFill="1" applyBorder="1" applyAlignment="1">
      <alignment vertical="center" wrapText="1"/>
    </xf>
    <xf numFmtId="0" fontId="117" fillId="23" borderId="0" xfId="0" applyNumberFormat="1" applyFont="1" applyFill="1" applyBorder="1" applyAlignment="1">
      <alignment horizontal="center" vertical="center" wrapText="1"/>
    </xf>
    <xf numFmtId="0" fontId="118" fillId="0" borderId="0" xfId="0" applyNumberFormat="1" applyFont="1" applyFill="1" applyBorder="1" applyAlignment="1">
      <alignment vertical="center"/>
    </xf>
    <xf numFmtId="0" fontId="118" fillId="0" borderId="0" xfId="0" applyNumberFormat="1" applyFont="1" applyFill="1" applyBorder="1" applyAlignment="1">
      <alignment vertical="center" wrapText="1"/>
    </xf>
    <xf numFmtId="0" fontId="117" fillId="25" borderId="0" xfId="0" applyNumberFormat="1" applyFont="1" applyFill="1" applyBorder="1" applyAlignment="1">
      <alignment vertical="center" wrapText="1"/>
    </xf>
    <xf numFmtId="0" fontId="117" fillId="23" borderId="0" xfId="0" applyNumberFormat="1" applyFont="1" applyFill="1" applyBorder="1" applyAlignment="1">
      <alignment horizontal="center" vertical="center"/>
    </xf>
    <xf numFmtId="4" fontId="116" fillId="0" borderId="0" xfId="0" applyNumberFormat="1" applyFont="1" applyFill="1" applyBorder="1" applyAlignment="1">
      <alignment vertical="center"/>
    </xf>
    <xf numFmtId="211" fontId="116" fillId="0" borderId="0" xfId="0" applyNumberFormat="1" applyFont="1" applyFill="1" applyBorder="1" applyAlignment="1">
      <alignment vertical="center"/>
    </xf>
    <xf numFmtId="0" fontId="117" fillId="33" borderId="0" xfId="0" applyNumberFormat="1" applyFont="1" applyFill="1" applyBorder="1" applyAlignment="1">
      <alignment vertical="center"/>
    </xf>
    <xf numFmtId="211" fontId="117" fillId="33" borderId="0" xfId="0" applyNumberFormat="1" applyFont="1" applyFill="1" applyBorder="1" applyAlignment="1">
      <alignment vertical="center"/>
    </xf>
    <xf numFmtId="0" fontId="117" fillId="33" borderId="0" xfId="0" applyNumberFormat="1" applyFont="1" applyFill="1" applyBorder="1" applyAlignment="1">
      <alignment vertical="center" wrapText="1"/>
    </xf>
    <xf numFmtId="0" fontId="117" fillId="23" borderId="0" xfId="0" applyNumberFormat="1" applyFont="1" applyFill="1" applyBorder="1" applyAlignment="1">
      <alignment vertical="center"/>
    </xf>
    <xf numFmtId="214" fontId="116" fillId="0" borderId="0" xfId="0" applyNumberFormat="1" applyFont="1" applyFill="1" applyBorder="1" applyAlignment="1">
      <alignment vertical="center"/>
    </xf>
    <xf numFmtId="214" fontId="117" fillId="33" borderId="0" xfId="0" applyNumberFormat="1" applyFont="1" applyFill="1" applyBorder="1" applyAlignment="1">
      <alignment vertical="center"/>
    </xf>
    <xf numFmtId="174" fontId="116" fillId="0" borderId="0" xfId="0" applyNumberFormat="1" applyFont="1" applyFill="1" applyBorder="1" applyAlignment="1">
      <alignment vertical="center"/>
    </xf>
    <xf numFmtId="174" fontId="116" fillId="0" borderId="0" xfId="0" applyNumberFormat="1" applyFont="1" applyFill="1" applyBorder="1" applyAlignment="1">
      <alignment vertical="center" wrapText="1"/>
    </xf>
    <xf numFmtId="1" fontId="116" fillId="0" borderId="0" xfId="0" applyNumberFormat="1" applyFont="1" applyFill="1" applyBorder="1" applyAlignment="1">
      <alignment vertical="center"/>
    </xf>
    <xf numFmtId="170" fontId="116" fillId="0" borderId="0" xfId="0" applyNumberFormat="1" applyFont="1" applyFill="1" applyBorder="1" applyAlignment="1">
      <alignment vertical="center"/>
    </xf>
    <xf numFmtId="201" fontId="116" fillId="0" borderId="0" xfId="0" applyNumberFormat="1" applyFont="1" applyFill="1" applyBorder="1" applyAlignment="1">
      <alignment vertical="center"/>
    </xf>
    <xf numFmtId="0" fontId="116" fillId="0" borderId="61" xfId="0" applyNumberFormat="1" applyFont="1" applyFill="1" applyBorder="1" applyAlignment="1">
      <alignment vertical="center"/>
    </xf>
    <xf numFmtId="0" fontId="116" fillId="0" borderId="61" xfId="0" applyNumberFormat="1" applyFont="1" applyFill="1" applyBorder="1" applyAlignment="1">
      <alignment vertical="center" wrapText="1"/>
    </xf>
    <xf numFmtId="0" fontId="117" fillId="24" borderId="61" xfId="0" applyNumberFormat="1" applyFont="1" applyFill="1" applyBorder="1" applyAlignment="1">
      <alignment vertical="center"/>
    </xf>
    <xf numFmtId="0" fontId="117" fillId="24" borderId="61" xfId="0" applyNumberFormat="1" applyFont="1" applyFill="1" applyBorder="1" applyAlignment="1">
      <alignment vertical="center" wrapText="1"/>
    </xf>
    <xf numFmtId="0" fontId="117" fillId="23" borderId="83" xfId="0" applyNumberFormat="1" applyFont="1" applyFill="1" applyBorder="1" applyAlignment="1">
      <alignment vertical="center" wrapText="1"/>
    </xf>
    <xf numFmtId="4" fontId="116" fillId="0" borderId="61" xfId="0" applyNumberFormat="1" applyFont="1" applyFill="1" applyBorder="1" applyAlignment="1">
      <alignment vertical="center" wrapText="1"/>
    </xf>
    <xf numFmtId="211" fontId="116" fillId="0" borderId="61" xfId="0" applyNumberFormat="1" applyFont="1" applyFill="1" applyBorder="1" applyAlignment="1">
      <alignment vertical="center" wrapText="1"/>
    </xf>
    <xf numFmtId="220" fontId="116" fillId="0" borderId="61" xfId="0" applyNumberFormat="1" applyFont="1" applyFill="1" applyBorder="1" applyAlignment="1">
      <alignment vertical="center" wrapText="1"/>
    </xf>
    <xf numFmtId="0" fontId="117" fillId="30" borderId="61" xfId="0" applyNumberFormat="1" applyFont="1" applyFill="1" applyBorder="1" applyAlignment="1">
      <alignment vertical="center"/>
    </xf>
    <xf numFmtId="0" fontId="117" fillId="30" borderId="61" xfId="0" applyNumberFormat="1" applyFont="1" applyFill="1" applyBorder="1" applyAlignment="1">
      <alignment vertical="center" wrapText="1"/>
    </xf>
    <xf numFmtId="0" fontId="117" fillId="23" borderId="61" xfId="0" applyNumberFormat="1" applyFont="1" applyFill="1" applyBorder="1" applyAlignment="1">
      <alignment horizontal="center" vertical="center" wrapText="1"/>
    </xf>
    <xf numFmtId="0" fontId="118" fillId="0" borderId="61" xfId="0" applyNumberFormat="1" applyFont="1" applyFill="1" applyBorder="1" applyAlignment="1">
      <alignment vertical="center"/>
    </xf>
    <xf numFmtId="0" fontId="118" fillId="0" borderId="61" xfId="0" applyNumberFormat="1" applyFont="1" applyFill="1" applyBorder="1" applyAlignment="1">
      <alignment vertical="center" wrapText="1"/>
    </xf>
    <xf numFmtId="0" fontId="117" fillId="25" borderId="61" xfId="0" applyNumberFormat="1" applyFont="1" applyFill="1" applyBorder="1" applyAlignment="1">
      <alignment vertical="center" wrapText="1"/>
    </xf>
    <xf numFmtId="0" fontId="117" fillId="23" borderId="61" xfId="0" applyNumberFormat="1" applyFont="1" applyFill="1" applyBorder="1" applyAlignment="1">
      <alignment horizontal="center" vertical="center"/>
    </xf>
    <xf numFmtId="4" fontId="116" fillId="0" borderId="61" xfId="0" applyNumberFormat="1" applyFont="1" applyFill="1" applyBorder="1" applyAlignment="1">
      <alignment vertical="center"/>
    </xf>
    <xf numFmtId="211" fontId="116" fillId="0" borderId="61" xfId="0" applyNumberFormat="1" applyFont="1" applyFill="1" applyBorder="1" applyAlignment="1">
      <alignment vertical="center"/>
    </xf>
    <xf numFmtId="0" fontId="117" fillId="33" borderId="61" xfId="0" applyNumberFormat="1" applyFont="1" applyFill="1" applyBorder="1" applyAlignment="1">
      <alignment vertical="center"/>
    </xf>
    <xf numFmtId="211" fontId="117" fillId="33" borderId="61" xfId="0" applyNumberFormat="1" applyFont="1" applyFill="1" applyBorder="1" applyAlignment="1">
      <alignment vertical="center"/>
    </xf>
    <xf numFmtId="0" fontId="117" fillId="33" borderId="61" xfId="0" applyNumberFormat="1" applyFont="1" applyFill="1" applyBorder="1" applyAlignment="1">
      <alignment vertical="center" wrapText="1"/>
    </xf>
    <xf numFmtId="0" fontId="117" fillId="23" borderId="61" xfId="0" applyNumberFormat="1" applyFont="1" applyFill="1" applyBorder="1" applyAlignment="1">
      <alignment vertical="center"/>
    </xf>
    <xf numFmtId="214" fontId="116" fillId="0" borderId="61" xfId="0" applyNumberFormat="1" applyFont="1" applyFill="1" applyBorder="1" applyAlignment="1">
      <alignment vertical="center"/>
    </xf>
    <xf numFmtId="214" fontId="117" fillId="33" borderId="61" xfId="0" applyNumberFormat="1" applyFont="1" applyFill="1" applyBorder="1" applyAlignment="1">
      <alignment vertical="center"/>
    </xf>
    <xf numFmtId="174" fontId="116" fillId="0" borderId="61" xfId="0" applyNumberFormat="1" applyFont="1" applyFill="1" applyBorder="1" applyAlignment="1">
      <alignment vertical="center"/>
    </xf>
    <xf numFmtId="174" fontId="116" fillId="0" borderId="61" xfId="0" applyNumberFormat="1" applyFont="1" applyFill="1" applyBorder="1" applyAlignment="1">
      <alignment vertical="center" wrapText="1"/>
    </xf>
    <xf numFmtId="1" fontId="116" fillId="0" borderId="61" xfId="0" applyNumberFormat="1" applyFont="1" applyFill="1" applyBorder="1" applyAlignment="1">
      <alignment vertical="center"/>
    </xf>
    <xf numFmtId="170" fontId="116" fillId="0" borderId="61" xfId="0" applyNumberFormat="1" applyFont="1" applyFill="1" applyBorder="1" applyAlignment="1">
      <alignment vertical="center"/>
    </xf>
    <xf numFmtId="201" fontId="116" fillId="0" borderId="61" xfId="0" applyNumberFormat="1" applyFont="1" applyFill="1" applyBorder="1" applyAlignment="1">
      <alignment vertical="center"/>
    </xf>
    <xf numFmtId="0" fontId="117" fillId="23" borderId="0" xfId="0" applyNumberFormat="1" applyFont="1" applyFill="1" applyBorder="1" applyAlignment="1">
      <alignment vertical="center" wrapText="1"/>
    </xf>
    <xf numFmtId="214" fontId="116" fillId="0" borderId="0" xfId="0" applyNumberFormat="1" applyFont="1" applyFill="1" applyBorder="1" applyAlignment="1">
      <alignment vertical="center" wrapText="1"/>
    </xf>
    <xf numFmtId="214" fontId="117" fillId="33" borderId="0" xfId="0" applyNumberFormat="1" applyFont="1" applyFill="1" applyBorder="1" applyAlignment="1">
      <alignment vertical="center" wrapText="1"/>
    </xf>
    <xf numFmtId="1" fontId="116" fillId="0" borderId="0" xfId="0" applyNumberFormat="1" applyFont="1" applyFill="1" applyBorder="1" applyAlignment="1">
      <alignment vertical="center" wrapText="1"/>
    </xf>
    <xf numFmtId="170" fontId="116" fillId="0" borderId="0" xfId="0" applyNumberFormat="1" applyFont="1" applyFill="1" applyBorder="1" applyAlignment="1">
      <alignment vertical="center" wrapText="1"/>
    </xf>
    <xf numFmtId="201" fontId="116" fillId="0" borderId="0" xfId="0" applyNumberFormat="1" applyFont="1" applyFill="1" applyBorder="1" applyAlignment="1">
      <alignment vertical="center" wrapText="1"/>
    </xf>
    <xf numFmtId="0" fontId="117" fillId="23" borderId="61" xfId="0" applyNumberFormat="1" applyFont="1" applyFill="1" applyBorder="1" applyAlignment="1">
      <alignment vertical="center" wrapText="1"/>
    </xf>
    <xf numFmtId="214" fontId="116" fillId="0" borderId="61" xfId="0" applyNumberFormat="1" applyFont="1" applyFill="1" applyBorder="1" applyAlignment="1">
      <alignment vertical="center" wrapText="1"/>
    </xf>
    <xf numFmtId="214" fontId="117" fillId="33" borderId="61" xfId="0" applyNumberFormat="1" applyFont="1" applyFill="1" applyBorder="1" applyAlignment="1">
      <alignment vertical="center" wrapText="1"/>
    </xf>
    <xf numFmtId="1" fontId="116" fillId="0" borderId="61" xfId="0" applyNumberFormat="1" applyFont="1" applyFill="1" applyBorder="1" applyAlignment="1">
      <alignment vertical="center" wrapText="1"/>
    </xf>
    <xf numFmtId="170" fontId="116" fillId="0" borderId="61" xfId="0" applyNumberFormat="1" applyFont="1" applyFill="1" applyBorder="1" applyAlignment="1">
      <alignment vertical="center" wrapText="1"/>
    </xf>
    <xf numFmtId="201" fontId="116" fillId="0" borderId="61" xfId="0" applyNumberFormat="1" applyFont="1" applyFill="1" applyBorder="1" applyAlignment="1">
      <alignment vertical="center" wrapText="1"/>
    </xf>
    <xf numFmtId="0" fontId="117" fillId="35" borderId="0" xfId="0" applyNumberFormat="1" applyFont="1" applyFill="1" applyBorder="1" applyAlignment="1">
      <alignment vertical="center"/>
    </xf>
    <xf numFmtId="0" fontId="117" fillId="35" borderId="0" xfId="0" applyNumberFormat="1" applyFont="1" applyFill="1" applyBorder="1" applyAlignment="1">
      <alignment vertical="center" wrapText="1"/>
    </xf>
    <xf numFmtId="0" fontId="116" fillId="35" borderId="0" xfId="0" applyNumberFormat="1" applyFont="1" applyFill="1" applyBorder="1" applyAlignment="1">
      <alignment vertical="center" wrapText="1"/>
    </xf>
    <xf numFmtId="0" fontId="119" fillId="35" borderId="0" xfId="0" applyNumberFormat="1" applyFont="1" applyFill="1" applyBorder="1" applyAlignment="1">
      <alignment vertical="center"/>
    </xf>
    <xf numFmtId="0" fontId="119" fillId="35" borderId="0" xfId="0" applyNumberFormat="1" applyFont="1" applyFill="1" applyBorder="1" applyAlignment="1">
      <alignment vertical="center" wrapText="1"/>
    </xf>
    <xf numFmtId="0" fontId="119" fillId="35" borderId="0" xfId="0" applyNumberFormat="1" applyFont="1" applyFill="1" applyBorder="1" applyAlignment="1">
      <alignment horizontal="left" vertical="center"/>
    </xf>
    <xf numFmtId="0" fontId="119" fillId="35" borderId="0" xfId="0" applyNumberFormat="1" applyFont="1" applyFill="1" applyBorder="1" applyAlignment="1">
      <alignment horizontal="left" vertical="center" wrapText="1"/>
    </xf>
    <xf numFmtId="0" fontId="117" fillId="35" borderId="61" xfId="0" applyNumberFormat="1" applyFont="1" applyFill="1" applyBorder="1" applyAlignment="1">
      <alignment vertical="center"/>
    </xf>
    <xf numFmtId="0" fontId="117" fillId="35" borderId="61" xfId="0" applyNumberFormat="1" applyFont="1" applyFill="1" applyBorder="1" applyAlignment="1">
      <alignment vertical="center" wrapText="1"/>
    </xf>
    <xf numFmtId="0" fontId="116" fillId="35" borderId="61" xfId="0" applyNumberFormat="1" applyFont="1" applyFill="1" applyBorder="1" applyAlignment="1">
      <alignment vertical="center" wrapText="1"/>
    </xf>
    <xf numFmtId="0" fontId="119" fillId="35" borderId="61" xfId="0" applyNumberFormat="1" applyFont="1" applyFill="1" applyBorder="1" applyAlignment="1">
      <alignment vertical="center"/>
    </xf>
    <xf numFmtId="0" fontId="119" fillId="35" borderId="61" xfId="0" applyNumberFormat="1" applyFont="1" applyFill="1" applyBorder="1" applyAlignment="1">
      <alignment vertical="center" wrapText="1"/>
    </xf>
    <xf numFmtId="0" fontId="119" fillId="35" borderId="61" xfId="0" applyNumberFormat="1" applyFont="1" applyFill="1" applyBorder="1" applyAlignment="1">
      <alignment horizontal="left" vertical="center"/>
    </xf>
    <xf numFmtId="0" fontId="119" fillId="35" borderId="61" xfId="0" applyNumberFormat="1" applyFont="1" applyFill="1" applyBorder="1" applyAlignment="1">
      <alignment horizontal="left" vertical="center" wrapText="1"/>
    </xf>
    <xf numFmtId="0" fontId="116" fillId="36" borderId="0" xfId="0" applyNumberFormat="1" applyFont="1" applyFill="1" applyBorder="1" applyAlignment="1">
      <alignment vertical="center"/>
    </xf>
    <xf numFmtId="0" fontId="116" fillId="36" borderId="0" xfId="0" applyNumberFormat="1" applyFont="1" applyFill="1" applyBorder="1" applyAlignment="1">
      <alignment vertical="center" wrapText="1"/>
    </xf>
    <xf numFmtId="0" fontId="120" fillId="36" borderId="0" xfId="0" applyNumberFormat="1" applyFont="1" applyFill="1" applyBorder="1" applyAlignment="1">
      <alignment vertical="center"/>
    </xf>
    <xf numFmtId="0" fontId="120" fillId="36" borderId="0" xfId="0" applyNumberFormat="1" applyFont="1" applyFill="1" applyBorder="1" applyAlignment="1">
      <alignment vertical="center" wrapText="1"/>
    </xf>
    <xf numFmtId="0" fontId="120" fillId="36" borderId="0" xfId="0" applyNumberFormat="1" applyFont="1" applyFill="1" applyBorder="1" applyAlignment="1">
      <alignment horizontal="left" vertical="center"/>
    </xf>
    <xf numFmtId="0" fontId="120" fillId="36" borderId="0" xfId="0" applyNumberFormat="1" applyFont="1" applyFill="1" applyBorder="1" applyAlignment="1">
      <alignment horizontal="left" vertical="center" wrapText="1"/>
    </xf>
    <xf numFmtId="0" fontId="116" fillId="36" borderId="61" xfId="0" applyNumberFormat="1" applyFont="1" applyFill="1" applyBorder="1" applyAlignment="1">
      <alignment vertical="center"/>
    </xf>
    <xf numFmtId="0" fontId="116" fillId="36" borderId="61" xfId="0" applyNumberFormat="1" applyFont="1" applyFill="1" applyBorder="1" applyAlignment="1">
      <alignment vertical="center" wrapText="1"/>
    </xf>
    <xf numFmtId="0" fontId="120" fillId="36" borderId="61" xfId="0" applyNumberFormat="1" applyFont="1" applyFill="1" applyBorder="1" applyAlignment="1">
      <alignment vertical="center"/>
    </xf>
    <xf numFmtId="0" fontId="120" fillId="36" borderId="61" xfId="0" applyNumberFormat="1" applyFont="1" applyFill="1" applyBorder="1" applyAlignment="1">
      <alignment vertical="center" wrapText="1"/>
    </xf>
    <xf numFmtId="0" fontId="120" fillId="36" borderId="61" xfId="0" applyNumberFormat="1" applyFont="1" applyFill="1" applyBorder="1" applyAlignment="1">
      <alignment horizontal="left" vertical="center"/>
    </xf>
    <xf numFmtId="0" fontId="120" fillId="36" borderId="61" xfId="0" applyNumberFormat="1" applyFont="1" applyFill="1" applyBorder="1" applyAlignment="1">
      <alignment horizontal="left" vertical="center" wrapText="1"/>
    </xf>
    <xf numFmtId="0" fontId="118" fillId="37" borderId="0" xfId="0" applyNumberFormat="1" applyFont="1" applyFill="1" applyBorder="1" applyAlignment="1">
      <alignment vertical="center" wrapText="1"/>
    </xf>
    <xf numFmtId="0" fontId="116" fillId="37" borderId="0" xfId="0" applyNumberFormat="1" applyFont="1" applyFill="1" applyBorder="1" applyAlignment="1">
      <alignment vertical="center" wrapText="1"/>
    </xf>
    <xf numFmtId="0" fontId="121" fillId="37" borderId="0" xfId="0" applyNumberFormat="1" applyFont="1" applyFill="1" applyBorder="1" applyAlignment="1">
      <alignment vertical="center" wrapText="1"/>
    </xf>
    <xf numFmtId="0" fontId="121" fillId="37" borderId="0" xfId="0" applyNumberFormat="1" applyFont="1" applyFill="1" applyBorder="1" applyAlignment="1">
      <alignment horizontal="left" vertical="center" wrapText="1"/>
    </xf>
    <xf numFmtId="0" fontId="118" fillId="37" borderId="61" xfId="0" applyNumberFormat="1" applyFont="1" applyFill="1" applyBorder="1" applyAlignment="1">
      <alignment vertical="center" wrapText="1"/>
    </xf>
    <xf numFmtId="0" fontId="116" fillId="37" borderId="61" xfId="0" applyNumberFormat="1" applyFont="1" applyFill="1" applyBorder="1" applyAlignment="1">
      <alignment vertical="center" wrapText="1"/>
    </xf>
    <xf numFmtId="0" fontId="121" fillId="37" borderId="61" xfId="0" applyNumberFormat="1" applyFont="1" applyFill="1" applyBorder="1" applyAlignment="1">
      <alignment vertical="center" wrapText="1"/>
    </xf>
    <xf numFmtId="0" fontId="121" fillId="37" borderId="61" xfId="0" applyNumberFormat="1" applyFont="1" applyFill="1" applyBorder="1" applyAlignment="1">
      <alignment horizontal="left" vertical="center" wrapText="1"/>
    </xf>
    <xf numFmtId="0" fontId="117" fillId="38" borderId="0" xfId="0" applyNumberFormat="1" applyFont="1" applyFill="1" applyBorder="1" applyAlignment="1">
      <alignment vertical="center"/>
    </xf>
    <xf numFmtId="0" fontId="117" fillId="38" borderId="54" xfId="0" applyNumberFormat="1" applyFont="1" applyFill="1" applyBorder="1" applyAlignment="1">
      <alignment vertical="center" wrapText="1"/>
    </xf>
    <xf numFmtId="0" fontId="116" fillId="38" borderId="0" xfId="0" applyNumberFormat="1" applyFont="1" applyFill="1" applyBorder="1" applyAlignment="1">
      <alignment vertical="center" wrapText="1"/>
    </xf>
    <xf numFmtId="0" fontId="117" fillId="38" borderId="0" xfId="0" applyNumberFormat="1" applyFont="1" applyFill="1" applyBorder="1" applyAlignment="1">
      <alignment vertical="center" wrapText="1"/>
    </xf>
    <xf numFmtId="0" fontId="117" fillId="38" borderId="61" xfId="0" applyNumberFormat="1" applyFont="1" applyFill="1" applyBorder="1" applyAlignment="1">
      <alignment vertical="center"/>
    </xf>
    <xf numFmtId="0" fontId="117" fillId="38" borderId="83" xfId="0" applyNumberFormat="1" applyFont="1" applyFill="1" applyBorder="1" applyAlignment="1">
      <alignment vertical="center" wrapText="1"/>
    </xf>
    <xf numFmtId="0" fontId="116" fillId="38" borderId="61" xfId="0" applyNumberFormat="1" applyFont="1" applyFill="1" applyBorder="1" applyAlignment="1">
      <alignment vertical="center" wrapText="1"/>
    </xf>
    <xf numFmtId="0" fontId="117" fillId="38" borderId="61" xfId="0" applyNumberFormat="1" applyFont="1" applyFill="1" applyBorder="1" applyAlignment="1">
      <alignment vertical="center" wrapText="1"/>
    </xf>
    <xf numFmtId="4" fontId="116" fillId="38" borderId="0" xfId="0" applyNumberFormat="1" applyFont="1" applyFill="1" applyBorder="1" applyAlignment="1">
      <alignment vertical="center" wrapText="1"/>
    </xf>
    <xf numFmtId="4" fontId="117" fillId="38" borderId="0" xfId="0" applyNumberFormat="1" applyFont="1" applyFill="1" applyBorder="1" applyAlignment="1">
      <alignment vertical="center" wrapText="1"/>
    </xf>
    <xf numFmtId="4" fontId="116" fillId="38" borderId="61" xfId="0" applyNumberFormat="1" applyFont="1" applyFill="1" applyBorder="1" applyAlignment="1">
      <alignment vertical="center" wrapText="1"/>
    </xf>
    <xf numFmtId="4" fontId="117" fillId="38" borderId="61" xfId="0" applyNumberFormat="1" applyFont="1" applyFill="1" applyBorder="1" applyAlignment="1">
      <alignment vertical="center" wrapText="1"/>
    </xf>
    <xf numFmtId="0" fontId="117" fillId="37" borderId="0" xfId="0" applyNumberFormat="1" applyFont="1" applyFill="1" applyBorder="1" applyAlignment="1">
      <alignment vertical="center" wrapText="1"/>
    </xf>
    <xf numFmtId="0" fontId="117" fillId="37" borderId="54" xfId="0" applyNumberFormat="1" applyFont="1" applyFill="1" applyBorder="1" applyAlignment="1">
      <alignment vertical="center" wrapText="1"/>
    </xf>
    <xf numFmtId="0" fontId="122" fillId="37" borderId="0" xfId="0" applyNumberFormat="1" applyFont="1" applyFill="1" applyBorder="1" applyAlignment="1">
      <alignment vertical="center" wrapText="1"/>
    </xf>
    <xf numFmtId="0" fontId="122" fillId="37" borderId="54" xfId="0" applyNumberFormat="1" applyFont="1" applyFill="1" applyBorder="1" applyAlignment="1">
      <alignment vertical="center" wrapText="1"/>
    </xf>
    <xf numFmtId="0" fontId="117" fillId="37" borderId="61" xfId="0" applyNumberFormat="1" applyFont="1" applyFill="1" applyBorder="1" applyAlignment="1">
      <alignment vertical="center" wrapText="1"/>
    </xf>
    <xf numFmtId="0" fontId="117" fillId="37" borderId="83" xfId="0" applyNumberFormat="1" applyFont="1" applyFill="1" applyBorder="1" applyAlignment="1">
      <alignment vertical="center" wrapText="1"/>
    </xf>
    <xf numFmtId="0" fontId="122" fillId="37" borderId="61" xfId="0" applyNumberFormat="1" applyFont="1" applyFill="1" applyBorder="1" applyAlignment="1">
      <alignment vertical="center" wrapText="1"/>
    </xf>
    <xf numFmtId="0" fontId="122" fillId="37" borderId="83" xfId="0" applyNumberFormat="1" applyFont="1" applyFill="1" applyBorder="1" applyAlignment="1">
      <alignment vertical="center" wrapText="1"/>
    </xf>
    <xf numFmtId="0" fontId="117" fillId="37" borderId="0" xfId="0" applyNumberFormat="1" applyFont="1" applyFill="1" applyBorder="1" applyAlignment="1">
      <alignment vertical="center"/>
    </xf>
    <xf numFmtId="0" fontId="122" fillId="37" borderId="0" xfId="0" applyNumberFormat="1" applyFont="1" applyFill="1" applyBorder="1" applyAlignment="1">
      <alignment vertical="center"/>
    </xf>
    <xf numFmtId="0" fontId="117" fillId="37" borderId="61" xfId="0" applyNumberFormat="1" applyFont="1" applyFill="1" applyBorder="1" applyAlignment="1">
      <alignment vertical="center"/>
    </xf>
    <xf numFmtId="0" fontId="122" fillId="37" borderId="61" xfId="0" applyNumberFormat="1" applyFont="1" applyFill="1" applyBorder="1" applyAlignment="1">
      <alignment vertical="center"/>
    </xf>
    <xf numFmtId="221" fontId="122" fillId="37" borderId="0" xfId="0" applyNumberFormat="1" applyFont="1" applyFill="1" applyBorder="1" applyAlignment="1">
      <alignment vertical="center" wrapText="1"/>
    </xf>
    <xf numFmtId="221" fontId="122" fillId="37" borderId="61" xfId="0" applyNumberFormat="1" applyFont="1" applyFill="1" applyBorder="1" applyAlignment="1">
      <alignment vertical="center" wrapText="1"/>
    </xf>
    <xf numFmtId="0" fontId="116" fillId="39" borderId="0" xfId="0" applyNumberFormat="1" applyFont="1" applyFill="1" applyBorder="1" applyAlignment="1">
      <alignment vertical="center" wrapText="1"/>
    </xf>
    <xf numFmtId="4" fontId="116" fillId="39" borderId="0" xfId="0" applyNumberFormat="1" applyFont="1" applyFill="1" applyBorder="1" applyAlignment="1">
      <alignment vertical="center" wrapText="1"/>
    </xf>
    <xf numFmtId="0" fontId="117" fillId="39" borderId="0" xfId="0" applyNumberFormat="1" applyFont="1" applyFill="1" applyBorder="1" applyAlignment="1">
      <alignment vertical="center" wrapText="1"/>
    </xf>
    <xf numFmtId="4" fontId="117" fillId="39" borderId="0" xfId="0" applyNumberFormat="1" applyFont="1" applyFill="1" applyBorder="1" applyAlignment="1">
      <alignment vertical="center" wrapText="1"/>
    </xf>
    <xf numFmtId="0" fontId="117" fillId="39" borderId="0" xfId="0" applyNumberFormat="1" applyFont="1" applyFill="1" applyBorder="1" applyAlignment="1">
      <alignment horizontal="left" vertical="center" wrapText="1"/>
    </xf>
    <xf numFmtId="4" fontId="117" fillId="39" borderId="0" xfId="0" applyNumberFormat="1" applyFont="1" applyFill="1" applyBorder="1" applyAlignment="1">
      <alignment horizontal="left" vertical="center" wrapText="1"/>
    </xf>
    <xf numFmtId="0" fontId="116" fillId="39" borderId="61" xfId="0" applyNumberFormat="1" applyFont="1" applyFill="1" applyBorder="1" applyAlignment="1">
      <alignment vertical="center" wrapText="1"/>
    </xf>
    <xf numFmtId="4" fontId="116" fillId="39" borderId="61" xfId="0" applyNumberFormat="1" applyFont="1" applyFill="1" applyBorder="1" applyAlignment="1">
      <alignment vertical="center" wrapText="1"/>
    </xf>
    <xf numFmtId="0" fontId="117" fillId="39" borderId="61" xfId="0" applyNumberFormat="1" applyFont="1" applyFill="1" applyBorder="1" applyAlignment="1">
      <alignment vertical="center" wrapText="1"/>
    </xf>
    <xf numFmtId="4" fontId="117" fillId="39" borderId="61" xfId="0" applyNumberFormat="1" applyFont="1" applyFill="1" applyBorder="1" applyAlignment="1">
      <alignment vertical="center" wrapText="1"/>
    </xf>
    <xf numFmtId="0" fontId="117" fillId="39" borderId="61" xfId="0" applyNumberFormat="1" applyFont="1" applyFill="1" applyBorder="1" applyAlignment="1">
      <alignment horizontal="left" vertical="center" wrapText="1"/>
    </xf>
    <xf numFmtId="4" fontId="117" fillId="39" borderId="61" xfId="0" applyNumberFormat="1" applyFont="1" applyFill="1" applyBorder="1" applyAlignment="1">
      <alignment horizontal="left" vertical="center" wrapText="1"/>
    </xf>
    <xf numFmtId="0" fontId="118" fillId="39" borderId="0" xfId="0" applyNumberFormat="1" applyFont="1" applyFill="1" applyBorder="1" applyAlignment="1">
      <alignment vertical="center" wrapText="1"/>
    </xf>
    <xf numFmtId="0" fontId="123" fillId="39" borderId="0" xfId="0" applyNumberFormat="1" applyFont="1" applyFill="1" applyBorder="1" applyAlignment="1">
      <alignment vertical="center" wrapText="1"/>
    </xf>
    <xf numFmtId="0" fontId="123" fillId="39" borderId="0" xfId="0" applyNumberFormat="1" applyFont="1" applyFill="1" applyBorder="1" applyAlignment="1">
      <alignment horizontal="left" vertical="center" wrapText="1"/>
    </xf>
    <xf numFmtId="0" fontId="118" fillId="39" borderId="61" xfId="0" applyNumberFormat="1" applyFont="1" applyFill="1" applyBorder="1" applyAlignment="1">
      <alignment vertical="center" wrapText="1"/>
    </xf>
    <xf numFmtId="0" fontId="123" fillId="39" borderId="61" xfId="0" applyNumberFormat="1" applyFont="1" applyFill="1" applyBorder="1" applyAlignment="1">
      <alignment vertical="center" wrapText="1"/>
    </xf>
    <xf numFmtId="0" fontId="123" fillId="39" borderId="61" xfId="0" applyNumberFormat="1" applyFont="1" applyFill="1" applyBorder="1" applyAlignment="1">
      <alignment horizontal="left" vertical="center" wrapText="1"/>
    </xf>
    <xf numFmtId="0" fontId="116" fillId="39" borderId="0" xfId="0" applyNumberFormat="1" applyFont="1" applyFill="1" applyBorder="1" applyAlignment="1">
      <alignment vertical="center"/>
    </xf>
    <xf numFmtId="211" fontId="116" fillId="39" borderId="0" xfId="0" applyNumberFormat="1" applyFont="1" applyFill="1" applyBorder="1" applyAlignment="1">
      <alignment vertical="center" wrapText="1"/>
    </xf>
    <xf numFmtId="0" fontId="117" fillId="39" borderId="0" xfId="0" applyNumberFormat="1" applyFont="1" applyFill="1" applyBorder="1" applyAlignment="1">
      <alignment vertical="center"/>
    </xf>
    <xf numFmtId="211" fontId="117" fillId="39" borderId="0" xfId="0" applyNumberFormat="1" applyFont="1" applyFill="1" applyBorder="1" applyAlignment="1">
      <alignment vertical="center" wrapText="1"/>
    </xf>
    <xf numFmtId="0" fontId="117" fillId="39" borderId="0" xfId="0" applyNumberFormat="1" applyFont="1" applyFill="1" applyBorder="1" applyAlignment="1">
      <alignment horizontal="left" vertical="center"/>
    </xf>
    <xf numFmtId="211" fontId="117" fillId="39" borderId="0" xfId="0" applyNumberFormat="1" applyFont="1" applyFill="1" applyBorder="1" applyAlignment="1">
      <alignment horizontal="left" vertical="center" wrapText="1"/>
    </xf>
    <xf numFmtId="0" fontId="116" fillId="39" borderId="61" xfId="0" applyNumberFormat="1" applyFont="1" applyFill="1" applyBorder="1" applyAlignment="1">
      <alignment vertical="center"/>
    </xf>
    <xf numFmtId="211" fontId="116" fillId="39" borderId="61" xfId="0" applyNumberFormat="1" applyFont="1" applyFill="1" applyBorder="1" applyAlignment="1">
      <alignment vertical="center" wrapText="1"/>
    </xf>
    <xf numFmtId="0" fontId="117" fillId="39" borderId="61" xfId="0" applyNumberFormat="1" applyFont="1" applyFill="1" applyBorder="1" applyAlignment="1">
      <alignment vertical="center"/>
    </xf>
    <xf numFmtId="211" fontId="117" fillId="39" borderId="61" xfId="0" applyNumberFormat="1" applyFont="1" applyFill="1" applyBorder="1" applyAlignment="1">
      <alignment vertical="center" wrapText="1"/>
    </xf>
    <xf numFmtId="0" fontId="117" fillId="39" borderId="61" xfId="0" applyNumberFormat="1" applyFont="1" applyFill="1" applyBorder="1" applyAlignment="1">
      <alignment horizontal="left" vertical="center"/>
    </xf>
    <xf numFmtId="211" fontId="117" fillId="39" borderId="61" xfId="0" applyNumberFormat="1" applyFont="1" applyFill="1" applyBorder="1" applyAlignment="1">
      <alignment horizontal="left" vertical="center" wrapText="1"/>
    </xf>
    <xf numFmtId="0" fontId="117" fillId="39" borderId="54" xfId="0" applyNumberFormat="1" applyFont="1" applyFill="1" applyBorder="1" applyAlignment="1">
      <alignment vertical="center" wrapText="1"/>
    </xf>
    <xf numFmtId="0" fontId="117" fillId="39" borderId="54" xfId="0" applyNumberFormat="1" applyFont="1" applyFill="1" applyBorder="1" applyAlignment="1">
      <alignment horizontal="left" vertical="center" wrapText="1"/>
    </xf>
    <xf numFmtId="0" fontId="117" fillId="39" borderId="83" xfId="0" applyNumberFormat="1" applyFont="1" applyFill="1" applyBorder="1" applyAlignment="1">
      <alignment vertical="center" wrapText="1"/>
    </xf>
    <xf numFmtId="0" fontId="117" fillId="39" borderId="83" xfId="0" applyNumberFormat="1" applyFont="1" applyFill="1" applyBorder="1" applyAlignment="1">
      <alignment horizontal="left" vertical="center" wrapText="1"/>
    </xf>
    <xf numFmtId="220" fontId="116" fillId="39" borderId="0" xfId="0" applyNumberFormat="1" applyFont="1" applyFill="1" applyBorder="1" applyAlignment="1">
      <alignment vertical="center" wrapText="1"/>
    </xf>
    <xf numFmtId="220" fontId="117" fillId="39" borderId="0" xfId="0" applyNumberFormat="1" applyFont="1" applyFill="1" applyBorder="1" applyAlignment="1">
      <alignment vertical="center" wrapText="1"/>
    </xf>
    <xf numFmtId="220" fontId="117" fillId="39" borderId="0" xfId="0" applyNumberFormat="1" applyFont="1" applyFill="1" applyBorder="1" applyAlignment="1">
      <alignment horizontal="left" vertical="center" wrapText="1"/>
    </xf>
    <xf numFmtId="220" fontId="116" fillId="39" borderId="61" xfId="0" applyNumberFormat="1" applyFont="1" applyFill="1" applyBorder="1" applyAlignment="1">
      <alignment vertical="center" wrapText="1"/>
    </xf>
    <xf numFmtId="220" fontId="117" fillId="39" borderId="61" xfId="0" applyNumberFormat="1" applyFont="1" applyFill="1" applyBorder="1" applyAlignment="1">
      <alignment vertical="center" wrapText="1"/>
    </xf>
    <xf numFmtId="220" fontId="117" fillId="39" borderId="61" xfId="0" applyNumberFormat="1" applyFont="1" applyFill="1" applyBorder="1" applyAlignment="1">
      <alignment horizontal="left" vertical="center" wrapText="1"/>
    </xf>
    <xf numFmtId="0" fontId="118" fillId="39" borderId="0" xfId="0" applyNumberFormat="1" applyFont="1" applyFill="1" applyBorder="1" applyAlignment="1">
      <alignment vertical="center"/>
    </xf>
    <xf numFmtId="0" fontId="123" fillId="39" borderId="0" xfId="0" applyNumberFormat="1" applyFont="1" applyFill="1" applyBorder="1" applyAlignment="1">
      <alignment vertical="center"/>
    </xf>
    <xf numFmtId="0" fontId="123" fillId="39" borderId="0" xfId="0" applyNumberFormat="1" applyFont="1" applyFill="1" applyBorder="1" applyAlignment="1">
      <alignment horizontal="left" vertical="center"/>
    </xf>
    <xf numFmtId="0" fontId="118" fillId="39" borderId="61" xfId="0" applyNumberFormat="1" applyFont="1" applyFill="1" applyBorder="1" applyAlignment="1">
      <alignment vertical="center"/>
    </xf>
    <xf numFmtId="0" fontId="123" fillId="39" borderId="61" xfId="0" applyNumberFormat="1" applyFont="1" applyFill="1" applyBorder="1" applyAlignment="1">
      <alignment vertical="center"/>
    </xf>
    <xf numFmtId="0" fontId="123" fillId="39" borderId="61" xfId="0" applyNumberFormat="1" applyFont="1" applyFill="1" applyBorder="1" applyAlignment="1">
      <alignment horizontal="left" vertical="center"/>
    </xf>
    <xf numFmtId="211" fontId="116" fillId="39" borderId="0" xfId="0" applyNumberFormat="1" applyFont="1" applyFill="1" applyBorder="1" applyAlignment="1">
      <alignment vertical="center"/>
    </xf>
    <xf numFmtId="211" fontId="117" fillId="39" borderId="0" xfId="0" applyNumberFormat="1" applyFont="1" applyFill="1" applyBorder="1" applyAlignment="1">
      <alignment vertical="center"/>
    </xf>
    <xf numFmtId="211" fontId="117" fillId="39" borderId="0" xfId="0" applyNumberFormat="1" applyFont="1" applyFill="1" applyBorder="1" applyAlignment="1">
      <alignment horizontal="left" vertical="center"/>
    </xf>
    <xf numFmtId="211" fontId="116" fillId="39" borderId="61" xfId="0" applyNumberFormat="1" applyFont="1" applyFill="1" applyBorder="1" applyAlignment="1">
      <alignment vertical="center"/>
    </xf>
    <xf numFmtId="211" fontId="117" fillId="39" borderId="61" xfId="0" applyNumberFormat="1" applyFont="1" applyFill="1" applyBorder="1" applyAlignment="1">
      <alignment vertical="center"/>
    </xf>
    <xf numFmtId="211" fontId="117" fillId="39" borderId="61" xfId="0" applyNumberFormat="1" applyFont="1" applyFill="1" applyBorder="1" applyAlignment="1">
      <alignment horizontal="left" vertical="center"/>
    </xf>
    <xf numFmtId="0" fontId="117" fillId="38" borderId="0" xfId="0" applyNumberFormat="1" applyFont="1" applyFill="1" applyBorder="1" applyAlignment="1">
      <alignment horizontal="center" vertical="center" wrapText="1"/>
    </xf>
    <xf numFmtId="0" fontId="117" fillId="38" borderId="61" xfId="0" applyNumberFormat="1" applyFont="1" applyFill="1" applyBorder="1" applyAlignment="1">
      <alignment horizontal="center" vertical="center" wrapText="1"/>
    </xf>
    <xf numFmtId="0" fontId="116" fillId="38" borderId="0" xfId="0" applyNumberFormat="1" applyFont="1" applyFill="1" applyBorder="1" applyAlignment="1">
      <alignment vertical="center"/>
    </xf>
    <xf numFmtId="174" fontId="116" fillId="38" borderId="0" xfId="0" applyNumberFormat="1" applyFont="1" applyFill="1" applyBorder="1" applyAlignment="1">
      <alignment vertical="center" wrapText="1"/>
    </xf>
    <xf numFmtId="174" fontId="117" fillId="38" borderId="0" xfId="0" applyNumberFormat="1" applyFont="1" applyFill="1" applyBorder="1" applyAlignment="1">
      <alignment vertical="center" wrapText="1"/>
    </xf>
    <xf numFmtId="174" fontId="117" fillId="38" borderId="0" xfId="0" applyNumberFormat="1" applyFont="1" applyFill="1" applyBorder="1" applyAlignment="1">
      <alignment horizontal="center" vertical="center" wrapText="1"/>
    </xf>
    <xf numFmtId="0" fontId="116" fillId="38" borderId="61" xfId="0" applyNumberFormat="1" applyFont="1" applyFill="1" applyBorder="1" applyAlignment="1">
      <alignment vertical="center"/>
    </xf>
    <xf numFmtId="174" fontId="116" fillId="38" borderId="61" xfId="0" applyNumberFormat="1" applyFont="1" applyFill="1" applyBorder="1" applyAlignment="1">
      <alignment vertical="center" wrapText="1"/>
    </xf>
    <xf numFmtId="174" fontId="117" fillId="38" borderId="61" xfId="0" applyNumberFormat="1" applyFont="1" applyFill="1" applyBorder="1" applyAlignment="1">
      <alignment vertical="center" wrapText="1"/>
    </xf>
    <xf numFmtId="174" fontId="117" fillId="38" borderId="61" xfId="0" applyNumberFormat="1" applyFont="1" applyFill="1" applyBorder="1" applyAlignment="1">
      <alignment horizontal="center" vertical="center" wrapText="1"/>
    </xf>
    <xf numFmtId="4" fontId="117" fillId="38" borderId="0" xfId="0" applyNumberFormat="1" applyFont="1" applyFill="1" applyBorder="1" applyAlignment="1">
      <alignment horizontal="center" vertical="center" wrapText="1"/>
    </xf>
    <xf numFmtId="4" fontId="117" fillId="38" borderId="61" xfId="0" applyNumberFormat="1" applyFont="1" applyFill="1" applyBorder="1" applyAlignment="1">
      <alignment horizontal="center" vertical="center" wrapText="1"/>
    </xf>
    <xf numFmtId="0" fontId="117" fillId="38" borderId="0" xfId="0" applyNumberFormat="1" applyFont="1" applyFill="1" applyBorder="1" applyAlignment="1">
      <alignment horizontal="center" vertical="center"/>
    </xf>
    <xf numFmtId="0" fontId="117" fillId="38" borderId="61" xfId="0" applyNumberFormat="1" applyFont="1" applyFill="1" applyBorder="1" applyAlignment="1">
      <alignment horizontal="center" vertical="center"/>
    </xf>
    <xf numFmtId="211" fontId="116" fillId="38" borderId="0" xfId="0" applyNumberFormat="1" applyFont="1" applyFill="1" applyBorder="1" applyAlignment="1">
      <alignment vertical="center" wrapText="1"/>
    </xf>
    <xf numFmtId="211" fontId="116" fillId="38" borderId="0" xfId="0" applyNumberFormat="1" applyFont="1" applyFill="1" applyBorder="1" applyAlignment="1">
      <alignment vertical="center"/>
    </xf>
    <xf numFmtId="211" fontId="117" fillId="38" borderId="0" xfId="0" applyNumberFormat="1" applyFont="1" applyFill="1" applyBorder="1" applyAlignment="1">
      <alignment vertical="center" wrapText="1"/>
    </xf>
    <xf numFmtId="211" fontId="117" fillId="38" borderId="0" xfId="0" applyNumberFormat="1" applyFont="1" applyFill="1" applyBorder="1" applyAlignment="1">
      <alignment vertical="center"/>
    </xf>
    <xf numFmtId="211" fontId="117" fillId="38" borderId="0" xfId="0" applyNumberFormat="1" applyFont="1" applyFill="1" applyBorder="1" applyAlignment="1">
      <alignment horizontal="center" vertical="center" wrapText="1"/>
    </xf>
    <xf numFmtId="211" fontId="116" fillId="38" borderId="61" xfId="0" applyNumberFormat="1" applyFont="1" applyFill="1" applyBorder="1" applyAlignment="1">
      <alignment vertical="center" wrapText="1"/>
    </xf>
    <xf numFmtId="211" fontId="116" fillId="38" borderId="61" xfId="0" applyNumberFormat="1" applyFont="1" applyFill="1" applyBorder="1" applyAlignment="1">
      <alignment vertical="center"/>
    </xf>
    <xf numFmtId="211" fontId="117" fillId="38" borderId="61" xfId="0" applyNumberFormat="1" applyFont="1" applyFill="1" applyBorder="1" applyAlignment="1">
      <alignment vertical="center" wrapText="1"/>
    </xf>
    <xf numFmtId="211" fontId="117" fillId="38" borderId="61" xfId="0" applyNumberFormat="1" applyFont="1" applyFill="1" applyBorder="1" applyAlignment="1">
      <alignment vertical="center"/>
    </xf>
    <xf numFmtId="211" fontId="117" fillId="38" borderId="61" xfId="0" applyNumberFormat="1" applyFont="1" applyFill="1" applyBorder="1" applyAlignment="1">
      <alignment horizontal="center" vertical="center" wrapText="1"/>
    </xf>
    <xf numFmtId="201" fontId="116" fillId="38" borderId="0" xfId="0" applyNumberFormat="1" applyFont="1" applyFill="1" applyBorder="1" applyAlignment="1">
      <alignment vertical="center" wrapText="1"/>
    </xf>
    <xf numFmtId="201" fontId="117" fillId="38" borderId="0" xfId="0" applyNumberFormat="1" applyFont="1" applyFill="1" applyBorder="1" applyAlignment="1">
      <alignment vertical="center" wrapText="1"/>
    </xf>
    <xf numFmtId="201" fontId="117" fillId="38" borderId="0" xfId="0" applyNumberFormat="1" applyFont="1" applyFill="1" applyBorder="1" applyAlignment="1">
      <alignment horizontal="center" vertical="center" wrapText="1"/>
    </xf>
    <xf numFmtId="201" fontId="116" fillId="38" borderId="61" xfId="0" applyNumberFormat="1" applyFont="1" applyFill="1" applyBorder="1" applyAlignment="1">
      <alignment vertical="center" wrapText="1"/>
    </xf>
    <xf numFmtId="201" fontId="117" fillId="38" borderId="61" xfId="0" applyNumberFormat="1" applyFont="1" applyFill="1" applyBorder="1" applyAlignment="1">
      <alignment vertical="center" wrapText="1"/>
    </xf>
    <xf numFmtId="201" fontId="117" fillId="38" borderId="61" xfId="0" applyNumberFormat="1" applyFont="1" applyFill="1" applyBorder="1" applyAlignment="1">
      <alignment horizontal="center" vertical="center" wrapText="1"/>
    </xf>
    <xf numFmtId="0" fontId="116" fillId="37" borderId="0" xfId="0" applyNumberFormat="1" applyFont="1" applyFill="1" applyBorder="1" applyAlignment="1">
      <alignment vertical="center"/>
    </xf>
    <xf numFmtId="0" fontId="121" fillId="37" borderId="0" xfId="0" applyNumberFormat="1" applyFont="1" applyFill="1" applyBorder="1" applyAlignment="1">
      <alignment vertical="center"/>
    </xf>
    <xf numFmtId="0" fontId="116" fillId="37" borderId="61" xfId="0" applyNumberFormat="1" applyFont="1" applyFill="1" applyBorder="1" applyAlignment="1">
      <alignment vertical="center"/>
    </xf>
    <xf numFmtId="0" fontId="121" fillId="37" borderId="61" xfId="0" applyNumberFormat="1" applyFont="1" applyFill="1" applyBorder="1" applyAlignment="1">
      <alignment vertical="center"/>
    </xf>
    <xf numFmtId="222" fontId="116" fillId="0" borderId="0" xfId="0" applyNumberFormat="1" applyFont="1" applyFill="1" applyBorder="1" applyAlignment="1">
      <alignment vertical="center" wrapText="1"/>
    </xf>
    <xf numFmtId="222" fontId="117" fillId="30" borderId="0" xfId="0" applyNumberFormat="1" applyFont="1" applyFill="1" applyBorder="1" applyAlignment="1">
      <alignment vertical="center" wrapText="1"/>
    </xf>
    <xf numFmtId="222" fontId="117" fillId="23" borderId="0" xfId="0" applyNumberFormat="1" applyFont="1" applyFill="1" applyBorder="1" applyAlignment="1">
      <alignment horizontal="center" vertical="center" wrapText="1"/>
    </xf>
    <xf numFmtId="222" fontId="118" fillId="0" borderId="0" xfId="0" applyNumberFormat="1" applyFont="1" applyFill="1" applyBorder="1" applyAlignment="1">
      <alignment vertical="center" wrapText="1"/>
    </xf>
    <xf numFmtId="222" fontId="117" fillId="24" borderId="0" xfId="0" applyNumberFormat="1" applyFont="1" applyFill="1" applyBorder="1" applyAlignment="1">
      <alignment vertical="center" wrapText="1"/>
    </xf>
    <xf numFmtId="222" fontId="117" fillId="23" borderId="54" xfId="0" applyNumberFormat="1" applyFont="1" applyFill="1" applyBorder="1" applyAlignment="1">
      <alignment vertical="center" wrapText="1"/>
    </xf>
    <xf numFmtId="222" fontId="117" fillId="25" borderId="0" xfId="0" applyNumberFormat="1" applyFont="1" applyFill="1" applyBorder="1" applyAlignment="1">
      <alignment vertical="center" wrapText="1"/>
    </xf>
    <xf numFmtId="222" fontId="117" fillId="22" borderId="0" xfId="0" applyNumberFormat="1" applyFont="1" applyFill="1" applyBorder="1" applyAlignment="1">
      <alignment vertical="center" wrapText="1"/>
    </xf>
    <xf numFmtId="222" fontId="116" fillId="0" borderId="61" xfId="0" applyNumberFormat="1" applyFont="1" applyFill="1" applyBorder="1" applyAlignment="1">
      <alignment vertical="center" wrapText="1"/>
    </xf>
    <xf numFmtId="222" fontId="117" fillId="30" borderId="61" xfId="0" applyNumberFormat="1" applyFont="1" applyFill="1" applyBorder="1" applyAlignment="1">
      <alignment vertical="center" wrapText="1"/>
    </xf>
    <xf numFmtId="222" fontId="117" fillId="23" borderId="61" xfId="0" applyNumberFormat="1" applyFont="1" applyFill="1" applyBorder="1" applyAlignment="1">
      <alignment horizontal="center" vertical="center" wrapText="1"/>
    </xf>
    <xf numFmtId="222" fontId="118" fillId="0" borderId="61" xfId="0" applyNumberFormat="1" applyFont="1" applyFill="1" applyBorder="1" applyAlignment="1">
      <alignment vertical="center" wrapText="1"/>
    </xf>
    <xf numFmtId="222" fontId="117" fillId="24" borderId="61" xfId="0" applyNumberFormat="1" applyFont="1" applyFill="1" applyBorder="1" applyAlignment="1">
      <alignment vertical="center" wrapText="1"/>
    </xf>
    <xf numFmtId="222" fontId="117" fillId="23" borderId="83" xfId="0" applyNumberFormat="1" applyFont="1" applyFill="1" applyBorder="1" applyAlignment="1">
      <alignment vertical="center" wrapText="1"/>
    </xf>
    <xf numFmtId="222" fontId="117" fillId="25" borderId="61" xfId="0" applyNumberFormat="1" applyFont="1" applyFill="1" applyBorder="1" applyAlignment="1">
      <alignment vertical="center" wrapText="1"/>
    </xf>
    <xf numFmtId="222" fontId="117" fillId="22" borderId="61" xfId="0" applyNumberFormat="1" applyFont="1" applyFill="1" applyBorder="1" applyAlignment="1">
      <alignment vertical="center" wrapText="1"/>
    </xf>
    <xf numFmtId="223" fontId="116" fillId="0" borderId="0" xfId="0" applyNumberFormat="1" applyFont="1" applyFill="1" applyBorder="1" applyAlignment="1">
      <alignment vertical="center" wrapText="1"/>
    </xf>
    <xf numFmtId="223" fontId="117" fillId="30" borderId="0" xfId="0" applyNumberFormat="1" applyFont="1" applyFill="1" applyBorder="1" applyAlignment="1">
      <alignment vertical="center" wrapText="1"/>
    </xf>
    <xf numFmtId="223" fontId="117" fillId="23" borderId="0" xfId="0" applyNumberFormat="1" applyFont="1" applyFill="1" applyBorder="1" applyAlignment="1">
      <alignment horizontal="center" vertical="center" wrapText="1"/>
    </xf>
    <xf numFmtId="223" fontId="118" fillId="0" borderId="0" xfId="0" applyNumberFormat="1" applyFont="1" applyFill="1" applyBorder="1" applyAlignment="1">
      <alignment vertical="center" wrapText="1"/>
    </xf>
    <xf numFmtId="223" fontId="117" fillId="24" borderId="0" xfId="0" applyNumberFormat="1" applyFont="1" applyFill="1" applyBorder="1" applyAlignment="1">
      <alignment vertical="center" wrapText="1"/>
    </xf>
    <xf numFmtId="223" fontId="117" fillId="22" borderId="0" xfId="0" applyNumberFormat="1" applyFont="1" applyFill="1" applyBorder="1" applyAlignment="1">
      <alignment vertical="center" wrapText="1"/>
    </xf>
    <xf numFmtId="223" fontId="116" fillId="0" borderId="61" xfId="0" applyNumberFormat="1" applyFont="1" applyFill="1" applyBorder="1" applyAlignment="1">
      <alignment vertical="center" wrapText="1"/>
    </xf>
    <xf numFmtId="223" fontId="117" fillId="30" borderId="61" xfId="0" applyNumberFormat="1" applyFont="1" applyFill="1" applyBorder="1" applyAlignment="1">
      <alignment vertical="center" wrapText="1"/>
    </xf>
    <xf numFmtId="223" fontId="117" fillId="23" borderId="61" xfId="0" applyNumberFormat="1" applyFont="1" applyFill="1" applyBorder="1" applyAlignment="1">
      <alignment horizontal="center" vertical="center" wrapText="1"/>
    </xf>
    <xf numFmtId="223" fontId="118" fillId="0" borderId="61" xfId="0" applyNumberFormat="1" applyFont="1" applyFill="1" applyBorder="1" applyAlignment="1">
      <alignment vertical="center" wrapText="1"/>
    </xf>
    <xf numFmtId="223" fontId="117" fillId="24" borderId="61" xfId="0" applyNumberFormat="1" applyFont="1" applyFill="1" applyBorder="1" applyAlignment="1">
      <alignment vertical="center" wrapText="1"/>
    </xf>
    <xf numFmtId="223" fontId="117" fillId="22" borderId="61" xfId="0" applyNumberFormat="1" applyFont="1" applyFill="1" applyBorder="1" applyAlignment="1">
      <alignment vertical="center" wrapText="1"/>
    </xf>
    <xf numFmtId="224" fontId="116" fillId="0" borderId="0" xfId="0" applyNumberFormat="1" applyFont="1" applyFill="1" applyBorder="1" applyAlignment="1">
      <alignment vertical="center" wrapText="1"/>
    </xf>
    <xf numFmtId="224" fontId="117" fillId="30" borderId="0" xfId="0" applyNumberFormat="1" applyFont="1" applyFill="1" applyBorder="1" applyAlignment="1">
      <alignment vertical="center" wrapText="1"/>
    </xf>
    <xf numFmtId="224" fontId="117" fillId="23" borderId="0" xfId="0" applyNumberFormat="1" applyFont="1" applyFill="1" applyBorder="1" applyAlignment="1">
      <alignment horizontal="center" vertical="center" wrapText="1"/>
    </xf>
    <xf numFmtId="224" fontId="118" fillId="0" borderId="0" xfId="0" applyNumberFormat="1" applyFont="1" applyFill="1" applyBorder="1" applyAlignment="1">
      <alignment vertical="center" wrapText="1"/>
    </xf>
    <xf numFmtId="224" fontId="117" fillId="24" borderId="0" xfId="0" applyNumberFormat="1" applyFont="1" applyFill="1" applyBorder="1" applyAlignment="1">
      <alignment vertical="center" wrapText="1"/>
    </xf>
    <xf numFmtId="224" fontId="117" fillId="22" borderId="0" xfId="0" applyNumberFormat="1" applyFont="1" applyFill="1" applyBorder="1" applyAlignment="1">
      <alignment vertical="center" wrapText="1"/>
    </xf>
    <xf numFmtId="224" fontId="116" fillId="0" borderId="61" xfId="0" applyNumberFormat="1" applyFont="1" applyFill="1" applyBorder="1" applyAlignment="1">
      <alignment vertical="center" wrapText="1"/>
    </xf>
    <xf numFmtId="224" fontId="117" fillId="30" borderId="61" xfId="0" applyNumberFormat="1" applyFont="1" applyFill="1" applyBorder="1" applyAlignment="1">
      <alignment vertical="center" wrapText="1"/>
    </xf>
    <xf numFmtId="224" fontId="117" fillId="23" borderId="61" xfId="0" applyNumberFormat="1" applyFont="1" applyFill="1" applyBorder="1" applyAlignment="1">
      <alignment horizontal="center" vertical="center" wrapText="1"/>
    </xf>
    <xf numFmtId="224" fontId="118" fillId="0" borderId="61" xfId="0" applyNumberFormat="1" applyFont="1" applyFill="1" applyBorder="1" applyAlignment="1">
      <alignment vertical="center" wrapText="1"/>
    </xf>
    <xf numFmtId="224" fontId="117" fillId="24" borderId="61" xfId="0" applyNumberFormat="1" applyFont="1" applyFill="1" applyBorder="1" applyAlignment="1">
      <alignment vertical="center" wrapText="1"/>
    </xf>
    <xf numFmtId="224" fontId="117" fillId="22" borderId="61" xfId="0" applyNumberFormat="1" applyFont="1" applyFill="1" applyBorder="1" applyAlignment="1">
      <alignment vertical="center" wrapText="1"/>
    </xf>
    <xf numFmtId="222" fontId="116" fillId="0" borderId="0" xfId="0" applyNumberFormat="1" applyFont="1" applyFill="1" applyBorder="1" applyAlignment="1">
      <alignment horizontal="right" vertical="center" wrapText="1"/>
    </xf>
    <xf numFmtId="223" fontId="116" fillId="0" borderId="0" xfId="0" applyNumberFormat="1" applyFont="1" applyFill="1" applyBorder="1" applyAlignment="1">
      <alignment horizontal="right" vertical="center" wrapText="1"/>
    </xf>
    <xf numFmtId="224" fontId="116" fillId="0" borderId="0" xfId="0" applyNumberFormat="1" applyFont="1" applyFill="1" applyBorder="1" applyAlignment="1">
      <alignment horizontal="right" vertical="center" wrapText="1"/>
    </xf>
    <xf numFmtId="222" fontId="117" fillId="30" borderId="0" xfId="0" applyNumberFormat="1" applyFont="1" applyFill="1" applyBorder="1" applyAlignment="1">
      <alignment horizontal="right" vertical="center" wrapText="1"/>
    </xf>
    <xf numFmtId="223" fontId="117" fillId="30" borderId="0" xfId="0" applyNumberFormat="1" applyFont="1" applyFill="1" applyBorder="1" applyAlignment="1">
      <alignment horizontal="right" vertical="center" wrapText="1"/>
    </xf>
    <xf numFmtId="224" fontId="117" fillId="30" borderId="0" xfId="0" applyNumberFormat="1" applyFont="1" applyFill="1" applyBorder="1" applyAlignment="1">
      <alignment horizontal="right" vertical="center" wrapText="1"/>
    </xf>
    <xf numFmtId="222" fontId="117" fillId="23" borderId="0" xfId="0" applyNumberFormat="1" applyFont="1" applyFill="1" applyBorder="1" applyAlignment="1">
      <alignment horizontal="right" vertical="center" wrapText="1"/>
    </xf>
    <xf numFmtId="223" fontId="117" fillId="23" borderId="0" xfId="0" applyNumberFormat="1" applyFont="1" applyFill="1" applyBorder="1" applyAlignment="1">
      <alignment horizontal="right" vertical="center" wrapText="1"/>
    </xf>
    <xf numFmtId="224" fontId="117" fillId="23" borderId="0" xfId="0" applyNumberFormat="1" applyFont="1" applyFill="1" applyBorder="1" applyAlignment="1">
      <alignment horizontal="right" vertical="center" wrapText="1"/>
    </xf>
    <xf numFmtId="222" fontId="118" fillId="0" borderId="0" xfId="0" applyNumberFormat="1" applyFont="1" applyFill="1" applyBorder="1" applyAlignment="1">
      <alignment horizontal="right" vertical="center" wrapText="1"/>
    </xf>
    <xf numFmtId="223" fontId="118" fillId="0" borderId="0" xfId="0" applyNumberFormat="1" applyFont="1" applyFill="1" applyBorder="1" applyAlignment="1">
      <alignment horizontal="right" vertical="center" wrapText="1"/>
    </xf>
    <xf numFmtId="224" fontId="118" fillId="0" borderId="0" xfId="0" applyNumberFormat="1" applyFont="1" applyFill="1" applyBorder="1" applyAlignment="1">
      <alignment horizontal="right" vertical="center" wrapText="1"/>
    </xf>
    <xf numFmtId="222" fontId="117" fillId="24" borderId="0" xfId="0" applyNumberFormat="1" applyFont="1" applyFill="1" applyBorder="1" applyAlignment="1">
      <alignment horizontal="right" vertical="center" wrapText="1"/>
    </xf>
    <xf numFmtId="223" fontId="117" fillId="24" borderId="0" xfId="0" applyNumberFormat="1" applyFont="1" applyFill="1" applyBorder="1" applyAlignment="1">
      <alignment horizontal="right" vertical="center" wrapText="1"/>
    </xf>
    <xf numFmtId="224" fontId="117" fillId="24" borderId="0" xfId="0" applyNumberFormat="1" applyFont="1" applyFill="1" applyBorder="1" applyAlignment="1">
      <alignment horizontal="right" vertical="center" wrapText="1"/>
    </xf>
    <xf numFmtId="222" fontId="117" fillId="23" borderId="54" xfId="0" applyNumberFormat="1" applyFont="1" applyFill="1" applyBorder="1" applyAlignment="1">
      <alignment horizontal="right" vertical="center" wrapText="1"/>
    </xf>
    <xf numFmtId="222" fontId="117" fillId="25" borderId="0" xfId="0" applyNumberFormat="1" applyFont="1" applyFill="1" applyBorder="1" applyAlignment="1">
      <alignment horizontal="right" vertical="center" wrapText="1"/>
    </xf>
    <xf numFmtId="222" fontId="117" fillId="22" borderId="0" xfId="0" applyNumberFormat="1" applyFont="1" applyFill="1" applyBorder="1" applyAlignment="1">
      <alignment horizontal="right" vertical="center" wrapText="1"/>
    </xf>
    <xf numFmtId="223" fontId="117" fillId="22" borderId="0" xfId="0" applyNumberFormat="1" applyFont="1" applyFill="1" applyBorder="1" applyAlignment="1">
      <alignment horizontal="right" vertical="center" wrapText="1"/>
    </xf>
    <xf numFmtId="224" fontId="117" fillId="22" borderId="0" xfId="0" applyNumberFormat="1" applyFont="1" applyFill="1" applyBorder="1" applyAlignment="1">
      <alignment horizontal="right" vertical="center" wrapText="1"/>
    </xf>
    <xf numFmtId="222" fontId="116" fillId="0" borderId="61" xfId="0" applyNumberFormat="1" applyFont="1" applyFill="1" applyBorder="1" applyAlignment="1">
      <alignment horizontal="right" vertical="center" wrapText="1"/>
    </xf>
    <xf numFmtId="223" fontId="116" fillId="0" borderId="61" xfId="0" applyNumberFormat="1" applyFont="1" applyFill="1" applyBorder="1" applyAlignment="1">
      <alignment horizontal="right" vertical="center" wrapText="1"/>
    </xf>
    <xf numFmtId="224" fontId="116" fillId="0" borderId="61" xfId="0" applyNumberFormat="1" applyFont="1" applyFill="1" applyBorder="1" applyAlignment="1">
      <alignment horizontal="right" vertical="center" wrapText="1"/>
    </xf>
    <xf numFmtId="222" fontId="117" fillId="30" borderId="61" xfId="0" applyNumberFormat="1" applyFont="1" applyFill="1" applyBorder="1" applyAlignment="1">
      <alignment horizontal="right" vertical="center" wrapText="1"/>
    </xf>
    <xf numFmtId="223" fontId="117" fillId="30" borderId="61" xfId="0" applyNumberFormat="1" applyFont="1" applyFill="1" applyBorder="1" applyAlignment="1">
      <alignment horizontal="right" vertical="center" wrapText="1"/>
    </xf>
    <xf numFmtId="224" fontId="117" fillId="30" borderId="61" xfId="0" applyNumberFormat="1" applyFont="1" applyFill="1" applyBorder="1" applyAlignment="1">
      <alignment horizontal="right" vertical="center" wrapText="1"/>
    </xf>
    <xf numFmtId="222" fontId="117" fillId="23" borderId="61" xfId="0" applyNumberFormat="1" applyFont="1" applyFill="1" applyBorder="1" applyAlignment="1">
      <alignment horizontal="right" vertical="center" wrapText="1"/>
    </xf>
    <xf numFmtId="223" fontId="117" fillId="23" borderId="61" xfId="0" applyNumberFormat="1" applyFont="1" applyFill="1" applyBorder="1" applyAlignment="1">
      <alignment horizontal="right" vertical="center" wrapText="1"/>
    </xf>
    <xf numFmtId="224" fontId="117" fillId="23" borderId="61" xfId="0" applyNumberFormat="1" applyFont="1" applyFill="1" applyBorder="1" applyAlignment="1">
      <alignment horizontal="right" vertical="center" wrapText="1"/>
    </xf>
    <xf numFmtId="222" fontId="118" fillId="0" borderId="61" xfId="0" applyNumberFormat="1" applyFont="1" applyFill="1" applyBorder="1" applyAlignment="1">
      <alignment horizontal="right" vertical="center" wrapText="1"/>
    </xf>
    <xf numFmtId="223" fontId="118" fillId="0" borderId="61" xfId="0" applyNumberFormat="1" applyFont="1" applyFill="1" applyBorder="1" applyAlignment="1">
      <alignment horizontal="right" vertical="center" wrapText="1"/>
    </xf>
    <xf numFmtId="224" fontId="118" fillId="0" borderId="61" xfId="0" applyNumberFormat="1" applyFont="1" applyFill="1" applyBorder="1" applyAlignment="1">
      <alignment horizontal="right" vertical="center" wrapText="1"/>
    </xf>
    <xf numFmtId="222" fontId="117" fillId="24" borderId="61" xfId="0" applyNumberFormat="1" applyFont="1" applyFill="1" applyBorder="1" applyAlignment="1">
      <alignment horizontal="right" vertical="center" wrapText="1"/>
    </xf>
    <xf numFmtId="223" fontId="117" fillId="24" borderId="61" xfId="0" applyNumberFormat="1" applyFont="1" applyFill="1" applyBorder="1" applyAlignment="1">
      <alignment horizontal="right" vertical="center" wrapText="1"/>
    </xf>
    <xf numFmtId="224" fontId="117" fillId="24" borderId="61" xfId="0" applyNumberFormat="1" applyFont="1" applyFill="1" applyBorder="1" applyAlignment="1">
      <alignment horizontal="right" vertical="center" wrapText="1"/>
    </xf>
    <xf numFmtId="222" fontId="117" fillId="23" borderId="83" xfId="0" applyNumberFormat="1" applyFont="1" applyFill="1" applyBorder="1" applyAlignment="1">
      <alignment horizontal="right" vertical="center" wrapText="1"/>
    </xf>
    <xf numFmtId="222" fontId="117" fillId="25" borderId="61" xfId="0" applyNumberFormat="1" applyFont="1" applyFill="1" applyBorder="1" applyAlignment="1">
      <alignment horizontal="right" vertical="center" wrapText="1"/>
    </xf>
    <xf numFmtId="222" fontId="117" fillId="22" borderId="61" xfId="0" applyNumberFormat="1" applyFont="1" applyFill="1" applyBorder="1" applyAlignment="1">
      <alignment horizontal="right" vertical="center" wrapText="1"/>
    </xf>
    <xf numFmtId="223" fontId="117" fillId="22" borderId="61" xfId="0" applyNumberFormat="1" applyFont="1" applyFill="1" applyBorder="1" applyAlignment="1">
      <alignment horizontal="right" vertical="center" wrapText="1"/>
    </xf>
    <xf numFmtId="224" fontId="117" fillId="22" borderId="61" xfId="0" applyNumberFormat="1" applyFont="1" applyFill="1" applyBorder="1" applyAlignment="1">
      <alignment horizontal="right" vertical="center" wrapText="1"/>
    </xf>
    <xf numFmtId="222" fontId="117" fillId="37" borderId="0" xfId="0" applyNumberFormat="1" applyFont="1" applyFill="1" applyBorder="1" applyAlignment="1">
      <alignment horizontal="right" vertical="center" wrapText="1"/>
    </xf>
    <xf numFmtId="223" fontId="117" fillId="37" borderId="0" xfId="0" applyNumberFormat="1" applyFont="1" applyFill="1" applyBorder="1" applyAlignment="1">
      <alignment horizontal="right" vertical="center" wrapText="1"/>
    </xf>
    <xf numFmtId="224" fontId="117" fillId="37" borderId="0" xfId="0" applyNumberFormat="1" applyFont="1" applyFill="1" applyBorder="1" applyAlignment="1">
      <alignment horizontal="right" vertical="center" wrapText="1"/>
    </xf>
    <xf numFmtId="0" fontId="117" fillId="37" borderId="120" xfId="0" applyNumberFormat="1" applyFont="1" applyFill="1" applyBorder="1" applyAlignment="1">
      <alignment vertical="center" wrapText="1"/>
    </xf>
    <xf numFmtId="222" fontId="117" fillId="37" borderId="120" xfId="0" applyNumberFormat="1" applyFont="1" applyFill="1" applyBorder="1" applyAlignment="1">
      <alignment horizontal="right" vertical="center" wrapText="1"/>
    </xf>
    <xf numFmtId="223" fontId="117" fillId="37" borderId="120" xfId="0" applyNumberFormat="1" applyFont="1" applyFill="1" applyBorder="1" applyAlignment="1">
      <alignment horizontal="right" vertical="center" wrapText="1"/>
    </xf>
    <xf numFmtId="224" fontId="117" fillId="37" borderId="120" xfId="0" applyNumberFormat="1" applyFont="1" applyFill="1" applyBorder="1" applyAlignment="1">
      <alignment horizontal="right" vertical="center" wrapText="1"/>
    </xf>
    <xf numFmtId="222" fontId="117" fillId="37" borderId="61" xfId="0" applyNumberFormat="1" applyFont="1" applyFill="1" applyBorder="1" applyAlignment="1">
      <alignment horizontal="right" vertical="center" wrapText="1"/>
    </xf>
    <xf numFmtId="223" fontId="117" fillId="37" borderId="61" xfId="0" applyNumberFormat="1" applyFont="1" applyFill="1" applyBorder="1" applyAlignment="1">
      <alignment horizontal="right" vertical="center" wrapText="1"/>
    </xf>
    <xf numFmtId="224" fontId="117" fillId="37" borderId="61" xfId="0" applyNumberFormat="1" applyFont="1" applyFill="1" applyBorder="1" applyAlignment="1">
      <alignment horizontal="right" vertical="center" wrapText="1"/>
    </xf>
    <xf numFmtId="0" fontId="117" fillId="37" borderId="121" xfId="0" applyNumberFormat="1" applyFont="1" applyFill="1" applyBorder="1" applyAlignment="1">
      <alignment vertical="center" wrapText="1"/>
    </xf>
    <xf numFmtId="222" fontId="117" fillId="37" borderId="121" xfId="0" applyNumberFormat="1" applyFont="1" applyFill="1" applyBorder="1" applyAlignment="1">
      <alignment horizontal="right" vertical="center" wrapText="1"/>
    </xf>
    <xf numFmtId="223" fontId="117" fillId="37" borderId="121" xfId="0" applyNumberFormat="1" applyFont="1" applyFill="1" applyBorder="1" applyAlignment="1">
      <alignment horizontal="right" vertical="center" wrapText="1"/>
    </xf>
    <xf numFmtId="224" fontId="117" fillId="37" borderId="121" xfId="0" applyNumberFormat="1" applyFont="1" applyFill="1" applyBorder="1" applyAlignment="1">
      <alignment horizontal="right" vertical="center" wrapText="1"/>
    </xf>
    <xf numFmtId="211" fontId="117" fillId="33" borderId="0" xfId="0" applyNumberFormat="1" applyFont="1" applyFill="1" applyBorder="1" applyAlignment="1">
      <alignment vertical="center" wrapText="1"/>
    </xf>
    <xf numFmtId="211" fontId="117" fillId="33" borderId="61" xfId="0" applyNumberFormat="1" applyFont="1" applyFill="1" applyBorder="1" applyAlignment="1">
      <alignment vertical="center" wrapText="1"/>
    </xf>
    <xf numFmtId="0" fontId="117" fillId="39" borderId="54" xfId="0" applyNumberFormat="1" applyFont="1" applyFill="1" applyBorder="1" applyAlignment="1">
      <alignment horizontal="right" vertical="center" wrapText="1"/>
    </xf>
    <xf numFmtId="0" fontId="117" fillId="38" borderId="0" xfId="0" applyNumberFormat="1" applyFont="1" applyFill="1" applyBorder="1" applyAlignment="1">
      <alignment horizontal="right" vertical="center" wrapText="1"/>
    </xf>
    <xf numFmtId="0" fontId="116" fillId="0" borderId="0" xfId="0" applyNumberFormat="1" applyFont="1" applyFill="1" applyBorder="1" applyAlignment="1">
      <alignment horizontal="right" vertical="center" wrapText="1"/>
    </xf>
    <xf numFmtId="0" fontId="117" fillId="39" borderId="0" xfId="0" applyNumberFormat="1" applyFont="1" applyFill="1" applyBorder="1" applyAlignment="1">
      <alignment horizontal="right" vertical="center" wrapText="1"/>
    </xf>
    <xf numFmtId="0" fontId="117" fillId="23" borderId="0" xfId="0" applyNumberFormat="1" applyFont="1" applyFill="1" applyBorder="1" applyAlignment="1">
      <alignment horizontal="right" vertical="center" wrapText="1"/>
    </xf>
    <xf numFmtId="211" fontId="116" fillId="0" borderId="0" xfId="0" applyNumberFormat="1" applyFont="1" applyFill="1" applyBorder="1" applyAlignment="1">
      <alignment horizontal="right" vertical="center" wrapText="1"/>
    </xf>
    <xf numFmtId="0" fontId="118" fillId="0" borderId="0" xfId="0" applyNumberFormat="1" applyFont="1" applyFill="1" applyBorder="1" applyAlignment="1">
      <alignment horizontal="right" vertical="center" wrapText="1"/>
    </xf>
    <xf numFmtId="0" fontId="117" fillId="24" borderId="0" xfId="0" applyNumberFormat="1" applyFont="1" applyFill="1" applyBorder="1" applyAlignment="1">
      <alignment horizontal="right" vertical="center" wrapText="1"/>
    </xf>
    <xf numFmtId="0" fontId="118" fillId="23" borderId="0" xfId="0" applyNumberFormat="1" applyFont="1" applyFill="1" applyBorder="1" applyAlignment="1">
      <alignment horizontal="right" vertical="center" wrapText="1"/>
    </xf>
    <xf numFmtId="0" fontId="117" fillId="23" borderId="54" xfId="0" applyNumberFormat="1" applyFont="1" applyFill="1" applyBorder="1" applyAlignment="1">
      <alignment horizontal="right" vertical="center" wrapText="1"/>
    </xf>
    <xf numFmtId="0" fontId="117" fillId="30" borderId="0" xfId="0" applyNumberFormat="1" applyFont="1" applyFill="1" applyBorder="1" applyAlignment="1">
      <alignment horizontal="right" vertical="center" wrapText="1"/>
    </xf>
    <xf numFmtId="0" fontId="117" fillId="22" borderId="0" xfId="0" applyNumberFormat="1" applyFont="1" applyFill="1" applyBorder="1" applyAlignment="1">
      <alignment horizontal="right" vertical="center" wrapText="1"/>
    </xf>
    <xf numFmtId="0" fontId="123" fillId="39" borderId="0" xfId="0" applyNumberFormat="1" applyFont="1" applyFill="1" applyBorder="1" applyAlignment="1">
      <alignment horizontal="right" vertical="center" wrapText="1"/>
    </xf>
    <xf numFmtId="0" fontId="117" fillId="33" borderId="0" xfId="0" applyNumberFormat="1" applyFont="1" applyFill="1" applyBorder="1" applyAlignment="1">
      <alignment horizontal="right" vertical="center" wrapText="1"/>
    </xf>
    <xf numFmtId="211" fontId="117" fillId="33" borderId="0" xfId="0" applyNumberFormat="1" applyFont="1" applyFill="1" applyBorder="1" applyAlignment="1">
      <alignment horizontal="right" vertical="center" wrapText="1"/>
    </xf>
    <xf numFmtId="211" fontId="117" fillId="39" borderId="0" xfId="0" applyNumberFormat="1" applyFont="1" applyFill="1" applyBorder="1" applyAlignment="1">
      <alignment horizontal="right" vertical="center" wrapText="1"/>
    </xf>
    <xf numFmtId="211" fontId="117" fillId="38" borderId="0" xfId="0" applyNumberFormat="1" applyFont="1" applyFill="1" applyBorder="1" applyAlignment="1">
      <alignment horizontal="right" vertical="center" wrapText="1"/>
    </xf>
    <xf numFmtId="174" fontId="116" fillId="0" borderId="0" xfId="0" applyNumberFormat="1" applyFont="1" applyFill="1" applyBorder="1" applyAlignment="1">
      <alignment horizontal="right" vertical="center" wrapText="1"/>
    </xf>
    <xf numFmtId="0" fontId="117" fillId="39" borderId="83" xfId="0" applyNumberFormat="1" applyFont="1" applyFill="1" applyBorder="1" applyAlignment="1">
      <alignment horizontal="right" vertical="center" wrapText="1"/>
    </xf>
    <xf numFmtId="0" fontId="117" fillId="38" borderId="61" xfId="0" applyNumberFormat="1" applyFont="1" applyFill="1" applyBorder="1" applyAlignment="1">
      <alignment horizontal="right" vertical="center" wrapText="1"/>
    </xf>
    <xf numFmtId="0" fontId="116" fillId="0" borderId="61" xfId="0" applyNumberFormat="1" applyFont="1" applyFill="1" applyBorder="1" applyAlignment="1">
      <alignment horizontal="right" vertical="center" wrapText="1"/>
    </xf>
    <xf numFmtId="0" fontId="117" fillId="39" borderId="61" xfId="0" applyNumberFormat="1" applyFont="1" applyFill="1" applyBorder="1" applyAlignment="1">
      <alignment horizontal="right" vertical="center" wrapText="1"/>
    </xf>
    <xf numFmtId="0" fontId="117" fillId="23" borderId="61" xfId="0" applyNumberFormat="1" applyFont="1" applyFill="1" applyBorder="1" applyAlignment="1">
      <alignment horizontal="right" vertical="center" wrapText="1"/>
    </xf>
    <xf numFmtId="211" fontId="116" fillId="0" borderId="61" xfId="0" applyNumberFormat="1" applyFont="1" applyFill="1" applyBorder="1" applyAlignment="1">
      <alignment horizontal="right" vertical="center" wrapText="1"/>
    </xf>
    <xf numFmtId="0" fontId="118" fillId="0" borderId="61" xfId="0" applyNumberFormat="1" applyFont="1" applyFill="1" applyBorder="1" applyAlignment="1">
      <alignment horizontal="right" vertical="center" wrapText="1"/>
    </xf>
    <xf numFmtId="0" fontId="117" fillId="24" borderId="61" xfId="0" applyNumberFormat="1" applyFont="1" applyFill="1" applyBorder="1" applyAlignment="1">
      <alignment horizontal="right" vertical="center" wrapText="1"/>
    </xf>
    <xf numFmtId="0" fontId="118" fillId="23" borderId="61" xfId="0" applyNumberFormat="1" applyFont="1" applyFill="1" applyBorder="1" applyAlignment="1">
      <alignment horizontal="right" vertical="center" wrapText="1"/>
    </xf>
    <xf numFmtId="0" fontId="117" fillId="23" borderId="83" xfId="0" applyNumberFormat="1" applyFont="1" applyFill="1" applyBorder="1" applyAlignment="1">
      <alignment horizontal="right" vertical="center" wrapText="1"/>
    </xf>
    <xf numFmtId="0" fontId="117" fillId="30" borderId="61" xfId="0" applyNumberFormat="1" applyFont="1" applyFill="1" applyBorder="1" applyAlignment="1">
      <alignment horizontal="right" vertical="center" wrapText="1"/>
    </xf>
    <xf numFmtId="0" fontId="117" fillId="22" borderId="61" xfId="0" applyNumberFormat="1" applyFont="1" applyFill="1" applyBorder="1" applyAlignment="1">
      <alignment horizontal="right" vertical="center" wrapText="1"/>
    </xf>
    <xf numFmtId="0" fontId="123" fillId="39" borderId="61" xfId="0" applyNumberFormat="1" applyFont="1" applyFill="1" applyBorder="1" applyAlignment="1">
      <alignment horizontal="right" vertical="center" wrapText="1"/>
    </xf>
    <xf numFmtId="0" fontId="117" fillId="33" borderId="61" xfId="0" applyNumberFormat="1" applyFont="1" applyFill="1" applyBorder="1" applyAlignment="1">
      <alignment horizontal="right" vertical="center" wrapText="1"/>
    </xf>
    <xf numFmtId="211" fontId="117" fillId="33" borderId="61" xfId="0" applyNumberFormat="1" applyFont="1" applyFill="1" applyBorder="1" applyAlignment="1">
      <alignment horizontal="right" vertical="center" wrapText="1"/>
    </xf>
    <xf numFmtId="211" fontId="117" fillId="39" borderId="61" xfId="0" applyNumberFormat="1" applyFont="1" applyFill="1" applyBorder="1" applyAlignment="1">
      <alignment horizontal="right" vertical="center" wrapText="1"/>
    </xf>
    <xf numFmtId="211" fontId="117" fillId="38" borderId="61" xfId="0" applyNumberFormat="1" applyFont="1" applyFill="1" applyBorder="1" applyAlignment="1">
      <alignment horizontal="right" vertical="center" wrapText="1"/>
    </xf>
    <xf numFmtId="174" fontId="116" fillId="0" borderId="61" xfId="0" applyNumberFormat="1" applyFont="1" applyFill="1" applyBorder="1" applyAlignment="1">
      <alignment horizontal="right" vertical="center" wrapText="1"/>
    </xf>
    <xf numFmtId="0" fontId="122" fillId="39" borderId="0" xfId="0" applyNumberFormat="1" applyFont="1" applyFill="1" applyBorder="1" applyAlignment="1">
      <alignment horizontal="left" vertical="center" wrapText="1"/>
    </xf>
    <xf numFmtId="0" fontId="122" fillId="38" borderId="0" xfId="0" applyNumberFormat="1" applyFont="1" applyFill="1" applyBorder="1" applyAlignment="1">
      <alignment horizontal="center" vertical="center" wrapText="1"/>
    </xf>
    <xf numFmtId="0" fontId="124" fillId="0" borderId="0" xfId="0" applyNumberFormat="1" applyFont="1" applyFill="1" applyBorder="1" applyAlignment="1">
      <alignment vertical="center" wrapText="1"/>
    </xf>
    <xf numFmtId="0" fontId="122" fillId="39" borderId="61" xfId="0" applyNumberFormat="1" applyFont="1" applyFill="1" applyBorder="1" applyAlignment="1">
      <alignment horizontal="left" vertical="center" wrapText="1"/>
    </xf>
    <xf numFmtId="0" fontId="122" fillId="38" borderId="61" xfId="0" applyNumberFormat="1" applyFont="1" applyFill="1" applyBorder="1" applyAlignment="1">
      <alignment horizontal="center" vertical="center" wrapText="1"/>
    </xf>
    <xf numFmtId="0" fontId="124" fillId="0" borderId="61" xfId="0" applyNumberFormat="1" applyFont="1" applyFill="1" applyBorder="1" applyAlignment="1">
      <alignment vertical="center" wrapText="1"/>
    </xf>
    <xf numFmtId="174" fontId="116" fillId="40" borderId="0" xfId="0" applyNumberFormat="1" applyFont="1" applyFill="1" applyBorder="1" applyAlignment="1">
      <alignment vertical="center" wrapText="1"/>
    </xf>
    <xf numFmtId="0" fontId="116" fillId="40" borderId="0" xfId="0" applyNumberFormat="1" applyFont="1" applyFill="1" applyBorder="1" applyAlignment="1">
      <alignment vertical="center" wrapText="1"/>
    </xf>
    <xf numFmtId="0" fontId="117" fillId="40" borderId="0" xfId="0" applyNumberFormat="1" applyFont="1" applyFill="1" applyBorder="1" applyAlignment="1">
      <alignment vertical="center" wrapText="1"/>
    </xf>
    <xf numFmtId="174" fontId="125" fillId="40" borderId="0" xfId="0" applyNumberFormat="1" applyFont="1" applyFill="1" applyBorder="1" applyAlignment="1">
      <alignment vertical="center" wrapText="1"/>
    </xf>
    <xf numFmtId="0" fontId="125" fillId="40" borderId="0" xfId="0" applyNumberFormat="1" applyFont="1" applyFill="1" applyBorder="1" applyAlignment="1">
      <alignment vertical="center" wrapText="1"/>
    </xf>
    <xf numFmtId="174" fontId="116" fillId="40" borderId="61" xfId="0" applyNumberFormat="1" applyFont="1" applyFill="1" applyBorder="1" applyAlignment="1">
      <alignment vertical="center" wrapText="1"/>
    </xf>
    <xf numFmtId="0" fontId="116" fillId="40" borderId="61" xfId="0" applyNumberFormat="1" applyFont="1" applyFill="1" applyBorder="1" applyAlignment="1">
      <alignment vertical="center" wrapText="1"/>
    </xf>
    <xf numFmtId="0" fontId="117" fillId="40" borderId="61" xfId="0" applyNumberFormat="1" applyFont="1" applyFill="1" applyBorder="1" applyAlignment="1">
      <alignment vertical="center" wrapText="1"/>
    </xf>
    <xf numFmtId="174" fontId="125" fillId="40" borderId="61" xfId="0" applyNumberFormat="1" applyFont="1" applyFill="1" applyBorder="1" applyAlignment="1">
      <alignment vertical="center" wrapText="1"/>
    </xf>
    <xf numFmtId="0" fontId="125" fillId="40" borderId="61" xfId="0" applyNumberFormat="1" applyFont="1" applyFill="1" applyBorder="1" applyAlignment="1">
      <alignment vertical="center" wrapText="1"/>
    </xf>
    <xf numFmtId="0" fontId="117" fillId="0" borderId="0" xfId="0" applyNumberFormat="1" applyFont="1" applyFill="1" applyBorder="1" applyAlignment="1">
      <alignment vertical="center" wrapText="1"/>
    </xf>
    <xf numFmtId="0" fontId="117" fillId="0" borderId="61" xfId="0" applyNumberFormat="1" applyFont="1" applyFill="1" applyBorder="1" applyAlignment="1">
      <alignment vertical="center" wrapText="1"/>
    </xf>
    <xf numFmtId="0" fontId="117" fillId="0" borderId="0" xfId="0" applyNumberFormat="1" applyFont="1" applyFill="1" applyBorder="1" applyAlignment="1">
      <alignment horizontal="center" vertical="center" wrapText="1"/>
    </xf>
    <xf numFmtId="0" fontId="117" fillId="0" borderId="61" xfId="0" applyNumberFormat="1" applyFont="1" applyFill="1" applyBorder="1" applyAlignment="1">
      <alignment horizontal="center" vertical="center" wrapText="1"/>
    </xf>
    <xf numFmtId="221" fontId="116" fillId="0" borderId="0" xfId="0" applyNumberFormat="1" applyFont="1" applyFill="1" applyBorder="1" applyAlignment="1">
      <alignment vertical="center" wrapText="1"/>
    </xf>
    <xf numFmtId="221" fontId="116" fillId="0" borderId="61" xfId="0" applyNumberFormat="1" applyFont="1" applyFill="1" applyBorder="1" applyAlignment="1">
      <alignment vertical="center" wrapText="1"/>
    </xf>
    <xf numFmtId="214" fontId="116" fillId="38" borderId="0" xfId="0" applyNumberFormat="1" applyFont="1" applyFill="1" applyBorder="1" applyAlignment="1">
      <alignment vertical="center" wrapText="1"/>
    </xf>
    <xf numFmtId="0" fontId="116" fillId="38" borderId="0" xfId="0" applyNumberFormat="1" applyFont="1" applyFill="1" applyBorder="1" applyAlignment="1">
      <alignment horizontal="right" vertical="center" wrapText="1"/>
    </xf>
    <xf numFmtId="0" fontId="124" fillId="38" borderId="0" xfId="0" applyNumberFormat="1" applyFont="1" applyFill="1" applyBorder="1" applyAlignment="1">
      <alignment vertical="center" wrapText="1"/>
    </xf>
    <xf numFmtId="214" fontId="117" fillId="38" borderId="0" xfId="0" applyNumberFormat="1" applyFont="1" applyFill="1" applyBorder="1" applyAlignment="1">
      <alignment vertical="center" wrapText="1"/>
    </xf>
    <xf numFmtId="0" fontId="121" fillId="38" borderId="0" xfId="0" applyNumberFormat="1" applyFont="1" applyFill="1" applyBorder="1" applyAlignment="1">
      <alignment vertical="center" wrapText="1"/>
    </xf>
    <xf numFmtId="214" fontId="121" fillId="38" borderId="0" xfId="0" applyNumberFormat="1" applyFont="1" applyFill="1" applyBorder="1" applyAlignment="1">
      <alignment vertical="center" wrapText="1"/>
    </xf>
    <xf numFmtId="0" fontId="121" fillId="38" borderId="0" xfId="0" applyNumberFormat="1" applyFont="1" applyFill="1" applyBorder="1" applyAlignment="1">
      <alignment horizontal="right" vertical="center" wrapText="1"/>
    </xf>
    <xf numFmtId="0" fontId="126" fillId="38" borderId="0" xfId="0" applyNumberFormat="1" applyFont="1" applyFill="1" applyBorder="1" applyAlignment="1">
      <alignment vertical="center" wrapText="1"/>
    </xf>
    <xf numFmtId="214" fontId="126" fillId="38" borderId="0" xfId="0" applyNumberFormat="1" applyFont="1" applyFill="1" applyBorder="1" applyAlignment="1">
      <alignment vertical="center" wrapText="1"/>
    </xf>
    <xf numFmtId="214" fontId="116" fillId="38" borderId="61" xfId="0" applyNumberFormat="1" applyFont="1" applyFill="1" applyBorder="1" applyAlignment="1">
      <alignment vertical="center" wrapText="1"/>
    </xf>
    <xf numFmtId="0" fontId="116" fillId="38" borderId="61" xfId="0" applyNumberFormat="1" applyFont="1" applyFill="1" applyBorder="1" applyAlignment="1">
      <alignment horizontal="right" vertical="center" wrapText="1"/>
    </xf>
    <xf numFmtId="0" fontId="124" fillId="38" borderId="61" xfId="0" applyNumberFormat="1" applyFont="1" applyFill="1" applyBorder="1" applyAlignment="1">
      <alignment vertical="center" wrapText="1"/>
    </xf>
    <xf numFmtId="214" fontId="117" fillId="38" borderId="61" xfId="0" applyNumberFormat="1" applyFont="1" applyFill="1" applyBorder="1" applyAlignment="1">
      <alignment vertical="center" wrapText="1"/>
    </xf>
    <xf numFmtId="0" fontId="121" fillId="38" borderId="61" xfId="0" applyNumberFormat="1" applyFont="1" applyFill="1" applyBorder="1" applyAlignment="1">
      <alignment vertical="center" wrapText="1"/>
    </xf>
    <xf numFmtId="214" fontId="121" fillId="38" borderId="61" xfId="0" applyNumberFormat="1" applyFont="1" applyFill="1" applyBorder="1" applyAlignment="1">
      <alignment vertical="center" wrapText="1"/>
    </xf>
    <xf numFmtId="0" fontId="121" fillId="38" borderId="61" xfId="0" applyNumberFormat="1" applyFont="1" applyFill="1" applyBorder="1" applyAlignment="1">
      <alignment horizontal="right" vertical="center" wrapText="1"/>
    </xf>
    <xf numFmtId="0" fontId="126" fillId="38" borderId="61" xfId="0" applyNumberFormat="1" applyFont="1" applyFill="1" applyBorder="1" applyAlignment="1">
      <alignment vertical="center" wrapText="1"/>
    </xf>
    <xf numFmtId="214" fontId="126" fillId="38" borderId="61" xfId="0" applyNumberFormat="1" applyFont="1" applyFill="1" applyBorder="1" applyAlignment="1">
      <alignment vertical="center" wrapText="1"/>
    </xf>
    <xf numFmtId="214" fontId="127" fillId="38" borderId="0" xfId="0" applyNumberFormat="1" applyFont="1" applyFill="1" applyBorder="1" applyAlignment="1">
      <alignment vertical="center" wrapText="1"/>
    </xf>
    <xf numFmtId="223" fontId="127" fillId="38" borderId="0" xfId="0" applyNumberFormat="1" applyFont="1" applyFill="1" applyBorder="1" applyAlignment="1">
      <alignment vertical="center" wrapText="1"/>
    </xf>
    <xf numFmtId="214" fontId="127" fillId="38" borderId="61" xfId="0" applyNumberFormat="1" applyFont="1" applyFill="1" applyBorder="1" applyAlignment="1">
      <alignment vertical="center" wrapText="1"/>
    </xf>
    <xf numFmtId="223" fontId="127" fillId="38" borderId="61" xfId="0" applyNumberFormat="1" applyFont="1" applyFill="1" applyBorder="1" applyAlignment="1">
      <alignment vertical="center" wrapText="1"/>
    </xf>
    <xf numFmtId="225" fontId="116" fillId="0" borderId="0" xfId="0" applyNumberFormat="1" applyFont="1" applyFill="1" applyBorder="1" applyAlignment="1">
      <alignment horizontal="right" vertical="center" wrapText="1"/>
    </xf>
    <xf numFmtId="225" fontId="116" fillId="0" borderId="61" xfId="0" applyNumberFormat="1" applyFont="1" applyFill="1" applyBorder="1" applyAlignment="1">
      <alignment horizontal="right" vertical="center" wrapText="1"/>
    </xf>
    <xf numFmtId="225" fontId="117" fillId="22" borderId="0" xfId="0" applyNumberFormat="1" applyFont="1" applyFill="1" applyBorder="1" applyAlignment="1">
      <alignment horizontal="right" vertical="center" wrapText="1"/>
    </xf>
    <xf numFmtId="225" fontId="117" fillId="22" borderId="61" xfId="0" applyNumberFormat="1" applyFont="1" applyFill="1" applyBorder="1" applyAlignment="1">
      <alignment horizontal="right" vertical="center" wrapText="1"/>
    </xf>
    <xf numFmtId="225" fontId="117" fillId="23" borderId="54" xfId="0" applyNumberFormat="1" applyFont="1" applyFill="1" applyBorder="1" applyAlignment="1">
      <alignment horizontal="right" vertical="center" wrapText="1"/>
    </xf>
    <xf numFmtId="225" fontId="117" fillId="23" borderId="83" xfId="0" applyNumberFormat="1" applyFont="1" applyFill="1" applyBorder="1" applyAlignment="1">
      <alignment horizontal="right" vertical="center" wrapText="1"/>
    </xf>
    <xf numFmtId="221" fontId="117" fillId="23" borderId="0" xfId="0" applyNumberFormat="1" applyFont="1" applyFill="1" applyBorder="1" applyAlignment="1">
      <alignment horizontal="right" vertical="center" wrapText="1"/>
    </xf>
    <xf numFmtId="221" fontId="117" fillId="23" borderId="61" xfId="0" applyNumberFormat="1" applyFont="1" applyFill="1" applyBorder="1" applyAlignment="1">
      <alignment horizontal="right" vertical="center" wrapText="1"/>
    </xf>
    <xf numFmtId="221" fontId="116" fillId="0" borderId="0" xfId="0" applyNumberFormat="1" applyFont="1" applyFill="1" applyBorder="1" applyAlignment="1">
      <alignment horizontal="right" vertical="center" wrapText="1"/>
    </xf>
    <xf numFmtId="221" fontId="116" fillId="0" borderId="61" xfId="0" applyNumberFormat="1" applyFont="1" applyFill="1" applyBorder="1" applyAlignment="1">
      <alignment horizontal="right" vertical="center" wrapText="1"/>
    </xf>
    <xf numFmtId="222" fontId="118" fillId="23" borderId="0" xfId="0" applyNumberFormat="1" applyFont="1" applyFill="1" applyBorder="1" applyAlignment="1">
      <alignment horizontal="right" vertical="center" wrapText="1"/>
    </xf>
    <xf numFmtId="222" fontId="118" fillId="23" borderId="61" xfId="0" applyNumberFormat="1" applyFont="1" applyFill="1" applyBorder="1" applyAlignment="1">
      <alignment horizontal="right" vertical="center" wrapText="1"/>
    </xf>
    <xf numFmtId="223" fontId="118" fillId="23" borderId="0" xfId="0" applyNumberFormat="1" applyFont="1" applyFill="1" applyBorder="1" applyAlignment="1">
      <alignment horizontal="right" vertical="center" wrapText="1"/>
    </xf>
    <xf numFmtId="223" fontId="117" fillId="23" borderId="54" xfId="0" applyNumberFormat="1" applyFont="1" applyFill="1" applyBorder="1" applyAlignment="1">
      <alignment horizontal="right" vertical="center" wrapText="1"/>
    </xf>
    <xf numFmtId="223" fontId="118" fillId="23" borderId="61" xfId="0" applyNumberFormat="1" applyFont="1" applyFill="1" applyBorder="1" applyAlignment="1">
      <alignment horizontal="right" vertical="center" wrapText="1"/>
    </xf>
    <xf numFmtId="223" fontId="117" fillId="23" borderId="83" xfId="0" applyNumberFormat="1" applyFont="1" applyFill="1" applyBorder="1" applyAlignment="1">
      <alignment horizontal="right" vertical="center" wrapText="1"/>
    </xf>
    <xf numFmtId="223" fontId="117" fillId="33" borderId="0" xfId="0" applyNumberFormat="1" applyFont="1" applyFill="1" applyBorder="1" applyAlignment="1">
      <alignment horizontal="right" vertical="center" wrapText="1"/>
    </xf>
    <xf numFmtId="223" fontId="117" fillId="33" borderId="61" xfId="0" applyNumberFormat="1" applyFont="1" applyFill="1" applyBorder="1" applyAlignment="1">
      <alignment horizontal="right" vertical="center" wrapText="1"/>
    </xf>
    <xf numFmtId="224" fontId="118" fillId="23" borderId="0" xfId="0" applyNumberFormat="1" applyFont="1" applyFill="1" applyBorder="1" applyAlignment="1">
      <alignment horizontal="right" vertical="center" wrapText="1"/>
    </xf>
    <xf numFmtId="224" fontId="117" fillId="23" borderId="54" xfId="0" applyNumberFormat="1" applyFont="1" applyFill="1" applyBorder="1" applyAlignment="1">
      <alignment horizontal="right" vertical="center" wrapText="1"/>
    </xf>
    <xf numFmtId="224" fontId="118" fillId="23" borderId="61" xfId="0" applyNumberFormat="1" applyFont="1" applyFill="1" applyBorder="1" applyAlignment="1">
      <alignment horizontal="right" vertical="center" wrapText="1"/>
    </xf>
    <xf numFmtId="224" fontId="117" fillId="23" borderId="83" xfId="0" applyNumberFormat="1" applyFont="1" applyFill="1" applyBorder="1" applyAlignment="1">
      <alignment horizontal="right" vertical="center" wrapText="1"/>
    </xf>
    <xf numFmtId="174" fontId="118" fillId="0" borderId="0" xfId="0" applyNumberFormat="1" applyFont="1" applyFill="1" applyBorder="1" applyAlignment="1">
      <alignment horizontal="right" vertical="center" wrapText="1"/>
    </xf>
    <xf numFmtId="174" fontId="117" fillId="24" borderId="0" xfId="0" applyNumberFormat="1" applyFont="1" applyFill="1" applyBorder="1" applyAlignment="1">
      <alignment horizontal="right" vertical="center" wrapText="1"/>
    </xf>
    <xf numFmtId="174" fontId="118" fillId="0" borderId="61" xfId="0" applyNumberFormat="1" applyFont="1" applyFill="1" applyBorder="1" applyAlignment="1">
      <alignment horizontal="right" vertical="center" wrapText="1"/>
    </xf>
    <xf numFmtId="174" fontId="117" fillId="24" borderId="61" xfId="0" applyNumberFormat="1" applyFont="1" applyFill="1" applyBorder="1" applyAlignment="1">
      <alignment horizontal="right" vertical="center" wrapText="1"/>
    </xf>
    <xf numFmtId="174" fontId="118" fillId="23" borderId="0" xfId="0" applyNumberFormat="1" applyFont="1" applyFill="1" applyBorder="1" applyAlignment="1">
      <alignment horizontal="right" vertical="center" wrapText="1"/>
    </xf>
    <xf numFmtId="174" fontId="118" fillId="23" borderId="61" xfId="0" applyNumberFormat="1" applyFont="1" applyFill="1" applyBorder="1" applyAlignment="1">
      <alignment horizontal="right" vertical="center" wrapText="1"/>
    </xf>
    <xf numFmtId="174" fontId="117" fillId="22" borderId="0" xfId="0" applyNumberFormat="1" applyFont="1" applyFill="1" applyBorder="1" applyAlignment="1">
      <alignment horizontal="right" vertical="center" wrapText="1"/>
    </xf>
    <xf numFmtId="174" fontId="117" fillId="30" borderId="0" xfId="0" applyNumberFormat="1" applyFont="1" applyFill="1" applyBorder="1" applyAlignment="1">
      <alignment horizontal="right" vertical="center" wrapText="1"/>
    </xf>
    <xf numFmtId="174" fontId="117" fillId="22" borderId="61" xfId="0" applyNumberFormat="1" applyFont="1" applyFill="1" applyBorder="1" applyAlignment="1">
      <alignment horizontal="right" vertical="center" wrapText="1"/>
    </xf>
    <xf numFmtId="174" fontId="117" fillId="30" borderId="61" xfId="0" applyNumberFormat="1" applyFont="1" applyFill="1" applyBorder="1" applyAlignment="1">
      <alignment horizontal="right" vertical="center" wrapText="1"/>
    </xf>
    <xf numFmtId="174" fontId="117" fillId="23" borderId="0" xfId="0" applyNumberFormat="1" applyFont="1" applyFill="1" applyBorder="1" applyAlignment="1">
      <alignment horizontal="right" vertical="center" wrapText="1"/>
    </xf>
    <xf numFmtId="174" fontId="117" fillId="23" borderId="61" xfId="0" applyNumberFormat="1" applyFont="1" applyFill="1" applyBorder="1" applyAlignment="1">
      <alignment horizontal="right" vertical="center" wrapText="1"/>
    </xf>
    <xf numFmtId="226" fontId="116" fillId="0" borderId="0" xfId="0" applyNumberFormat="1" applyFont="1" applyFill="1" applyBorder="1" applyAlignment="1">
      <alignment horizontal="right" vertical="center" wrapText="1"/>
    </xf>
    <xf numFmtId="226" fontId="116" fillId="0" borderId="61" xfId="0" applyNumberFormat="1" applyFont="1" applyFill="1" applyBorder="1" applyAlignment="1">
      <alignment horizontal="right" vertical="center" wrapText="1"/>
    </xf>
    <xf numFmtId="0" fontId="10" fillId="38" borderId="53" xfId="0" applyNumberFormat="1" applyFont="1" applyFill="1" applyBorder="1" applyAlignment="1">
      <alignment horizontal="center" vertical="center" wrapText="1"/>
    </xf>
    <xf numFmtId="0" fontId="0" fillId="38" borderId="0" xfId="0" applyNumberFormat="1" applyFont="1" applyFill="1" applyBorder="1"/>
    <xf numFmtId="0" fontId="58" fillId="38" borderId="53" xfId="0" applyNumberFormat="1" applyFont="1" applyFill="1" applyBorder="1" applyAlignment="1">
      <alignment horizontal="center" vertical="center" wrapText="1"/>
    </xf>
    <xf numFmtId="0" fontId="128" fillId="38" borderId="0" xfId="0" applyNumberFormat="1" applyFont="1" applyFill="1" applyBorder="1"/>
    <xf numFmtId="0" fontId="128" fillId="38" borderId="0" xfId="0" applyNumberFormat="1" applyFont="1" applyFill="1" applyBorder="1" applyAlignment="1">
      <alignment wrapText="1"/>
    </xf>
    <xf numFmtId="0" fontId="128" fillId="38" borderId="0" xfId="0" applyNumberFormat="1" applyFont="1" applyFill="1" applyBorder="1" applyAlignment="1">
      <alignment horizontal="center" wrapText="1"/>
    </xf>
    <xf numFmtId="0" fontId="10" fillId="38" borderId="82" xfId="0" applyNumberFormat="1" applyFont="1" applyFill="1" applyBorder="1" applyAlignment="1">
      <alignment horizontal="center" vertical="center" wrapText="1"/>
    </xf>
    <xf numFmtId="0" fontId="0" fillId="38" borderId="61" xfId="0" applyNumberFormat="1" applyFont="1" applyFill="1" applyBorder="1"/>
    <xf numFmtId="0" fontId="58" fillId="38" borderId="82" xfId="0" applyNumberFormat="1" applyFont="1" applyFill="1" applyBorder="1" applyAlignment="1">
      <alignment horizontal="center" vertical="center" wrapText="1"/>
    </xf>
    <xf numFmtId="0" fontId="128" fillId="38" borderId="61" xfId="0" applyNumberFormat="1" applyFont="1" applyFill="1" applyBorder="1"/>
    <xf numFmtId="0" fontId="128" fillId="38" borderId="61" xfId="0" applyNumberFormat="1" applyFont="1" applyFill="1" applyBorder="1" applyAlignment="1">
      <alignment wrapText="1"/>
    </xf>
    <xf numFmtId="0" fontId="128" fillId="38" borderId="61" xfId="0" applyNumberFormat="1" applyFont="1" applyFill="1" applyBorder="1" applyAlignment="1">
      <alignment horizontal="center" wrapText="1"/>
    </xf>
    <xf numFmtId="0" fontId="129" fillId="0" borderId="0" xfId="0" applyNumberFormat="1" applyFont="1" applyFill="1" applyBorder="1"/>
    <xf numFmtId="0" fontId="129" fillId="0" borderId="61" xfId="0" applyNumberFormat="1" applyFont="1" applyFill="1" applyBorder="1"/>
    <xf numFmtId="221" fontId="0" fillId="0" borderId="0" xfId="0" applyNumberFormat="1" applyFont="1" applyFill="1" applyBorder="1"/>
    <xf numFmtId="221" fontId="0" fillId="0" borderId="61" xfId="0" applyNumberFormat="1" applyFont="1" applyFill="1" applyBorder="1"/>
    <xf numFmtId="0" fontId="0" fillId="0" borderId="0" xfId="0" applyNumberFormat="1" applyFont="1" applyFill="1" applyBorder="1" applyAlignment="1">
      <alignment wrapText="1"/>
    </xf>
    <xf numFmtId="0" fontId="117" fillId="38" borderId="0" xfId="0" applyNumberFormat="1" applyFont="1" applyFill="1" applyBorder="1" applyAlignment="1">
      <alignment horizontal="center" wrapText="1"/>
    </xf>
    <xf numFmtId="0" fontId="117" fillId="38" borderId="61" xfId="0" applyNumberFormat="1" applyFont="1" applyFill="1" applyBorder="1" applyAlignment="1">
      <alignment horizontal="center" wrapText="1"/>
    </xf>
    <xf numFmtId="0" fontId="116" fillId="35" borderId="0" xfId="0" applyNumberFormat="1" applyFont="1" applyFill="1" applyBorder="1"/>
    <xf numFmtId="0" fontId="130" fillId="35" borderId="0" xfId="0" applyNumberFormat="1" applyFont="1" applyFill="1" applyBorder="1"/>
    <xf numFmtId="0" fontId="130" fillId="35" borderId="0" xfId="0" applyNumberFormat="1" applyFont="1" applyFill="1" applyBorder="1" applyAlignment="1">
      <alignment horizontal="left"/>
    </xf>
    <xf numFmtId="0" fontId="116" fillId="35" borderId="61" xfId="0" applyNumberFormat="1" applyFont="1" applyFill="1" applyBorder="1"/>
    <xf numFmtId="0" fontId="130" fillId="35" borderId="61" xfId="0" applyNumberFormat="1" applyFont="1" applyFill="1" applyBorder="1"/>
    <xf numFmtId="0" fontId="130" fillId="35" borderId="61" xfId="0" applyNumberFormat="1" applyFont="1" applyFill="1" applyBorder="1" applyAlignment="1">
      <alignment horizontal="left"/>
    </xf>
    <xf numFmtId="0" fontId="116" fillId="37" borderId="0" xfId="0" applyNumberFormat="1" applyFont="1" applyFill="1" applyBorder="1"/>
    <xf numFmtId="0" fontId="121" fillId="37" borderId="0" xfId="0" applyNumberFormat="1" applyFont="1" applyFill="1" applyBorder="1"/>
    <xf numFmtId="0" fontId="121" fillId="37" borderId="0" xfId="0" applyNumberFormat="1" applyFont="1" applyFill="1" applyBorder="1" applyAlignment="1">
      <alignment wrapText="1"/>
    </xf>
    <xf numFmtId="0" fontId="116" fillId="37" borderId="61" xfId="0" applyNumberFormat="1" applyFont="1" applyFill="1" applyBorder="1"/>
    <xf numFmtId="0" fontId="121" fillId="37" borderId="61" xfId="0" applyNumberFormat="1" applyFont="1" applyFill="1" applyBorder="1"/>
    <xf numFmtId="0" fontId="121" fillId="37" borderId="61" xfId="0" applyNumberFormat="1" applyFont="1" applyFill="1" applyBorder="1" applyAlignment="1">
      <alignment wrapText="1"/>
    </xf>
    <xf numFmtId="0" fontId="116" fillId="39" borderId="0" xfId="0" applyNumberFormat="1" applyFont="1" applyFill="1" applyBorder="1"/>
    <xf numFmtId="0" fontId="117" fillId="39" borderId="0" xfId="0" applyNumberFormat="1" applyFont="1" applyFill="1" applyBorder="1"/>
    <xf numFmtId="0" fontId="116" fillId="39" borderId="61" xfId="0" applyNumberFormat="1" applyFont="1" applyFill="1" applyBorder="1"/>
    <xf numFmtId="0" fontId="117" fillId="39" borderId="61" xfId="0" applyNumberFormat="1" applyFont="1" applyFill="1" applyBorder="1"/>
    <xf numFmtId="0" fontId="116" fillId="38" borderId="0" xfId="0" applyNumberFormat="1" applyFont="1" applyFill="1" applyBorder="1"/>
    <xf numFmtId="0" fontId="117" fillId="38" borderId="0" xfId="0" applyNumberFormat="1" applyFont="1" applyFill="1" applyBorder="1"/>
    <xf numFmtId="0" fontId="117" fillId="38" borderId="0" xfId="0" applyNumberFormat="1" applyFont="1" applyFill="1" applyBorder="1" applyAlignment="1">
      <alignment horizontal="center"/>
    </xf>
    <xf numFmtId="0" fontId="116" fillId="38" borderId="61" xfId="0" applyNumberFormat="1" applyFont="1" applyFill="1" applyBorder="1"/>
    <xf numFmtId="0" fontId="117" fillId="38" borderId="61" xfId="0" applyNumberFormat="1" applyFont="1" applyFill="1" applyBorder="1"/>
    <xf numFmtId="0" fontId="117" fillId="38" borderId="61" xfId="0" applyNumberFormat="1" applyFont="1" applyFill="1" applyBorder="1" applyAlignment="1">
      <alignment horizontal="center"/>
    </xf>
    <xf numFmtId="0" fontId="116" fillId="41" borderId="0" xfId="0" applyNumberFormat="1" applyFont="1" applyFill="1" applyBorder="1"/>
    <xf numFmtId="0" fontId="124" fillId="41" borderId="0" xfId="0" applyNumberFormat="1" applyFont="1" applyFill="1" applyBorder="1"/>
    <xf numFmtId="223" fontId="124" fillId="41" borderId="0" xfId="0" applyNumberFormat="1" applyFont="1" applyFill="1" applyBorder="1"/>
    <xf numFmtId="0" fontId="116" fillId="41" borderId="61" xfId="0" applyNumberFormat="1" applyFont="1" applyFill="1" applyBorder="1"/>
    <xf numFmtId="0" fontId="124" fillId="41" borderId="61" xfId="0" applyNumberFormat="1" applyFont="1" applyFill="1" applyBorder="1"/>
    <xf numFmtId="223" fontId="124" fillId="41" borderId="61" xfId="0" applyNumberFormat="1" applyFont="1" applyFill="1" applyBorder="1"/>
    <xf numFmtId="223" fontId="117" fillId="38" borderId="0" xfId="0" applyNumberFormat="1" applyFont="1" applyFill="1" applyBorder="1"/>
    <xf numFmtId="223" fontId="117" fillId="38" borderId="61" xfId="0" applyNumberFormat="1" applyFont="1" applyFill="1" applyBorder="1"/>
    <xf numFmtId="174" fontId="116" fillId="38" borderId="0" xfId="0" applyNumberFormat="1" applyFont="1" applyFill="1" applyBorder="1"/>
    <xf numFmtId="174" fontId="116" fillId="38" borderId="61" xfId="0" applyNumberFormat="1" applyFont="1" applyFill="1" applyBorder="1"/>
    <xf numFmtId="223" fontId="116" fillId="0" borderId="0" xfId="0" applyNumberFormat="1" applyFont="1" applyFill="1" applyBorder="1"/>
    <xf numFmtId="223" fontId="116" fillId="0" borderId="61" xfId="0" applyNumberFormat="1" applyFont="1" applyFill="1" applyBorder="1"/>
    <xf numFmtId="227" fontId="116" fillId="0" borderId="0" xfId="0" applyNumberFormat="1" applyFont="1" applyFill="1" applyBorder="1"/>
    <xf numFmtId="227" fontId="116" fillId="0" borderId="61" xfId="0" applyNumberFormat="1" applyFont="1" applyFill="1" applyBorder="1"/>
    <xf numFmtId="223" fontId="126" fillId="38" borderId="0" xfId="0" applyNumberFormat="1" applyFont="1" applyFill="1" applyBorder="1" applyAlignment="1">
      <alignment vertical="center" wrapText="1"/>
    </xf>
    <xf numFmtId="223" fontId="126" fillId="38" borderId="61" xfId="0" applyNumberFormat="1" applyFont="1" applyFill="1" applyBorder="1" applyAlignment="1">
      <alignment vertical="center" wrapText="1"/>
    </xf>
    <xf numFmtId="0" fontId="0" fillId="35" borderId="0" xfId="0" applyNumberFormat="1" applyFont="1" applyFill="1" applyBorder="1"/>
    <xf numFmtId="0" fontId="66" fillId="35" borderId="0" xfId="0" applyNumberFormat="1" applyFont="1" applyFill="1" applyBorder="1"/>
    <xf numFmtId="0" fontId="0" fillId="35" borderId="61" xfId="0" applyNumberFormat="1" applyFont="1" applyFill="1" applyBorder="1"/>
    <xf numFmtId="0" fontId="66" fillId="35" borderId="61" xfId="0" applyNumberFormat="1" applyFont="1" applyFill="1" applyBorder="1"/>
    <xf numFmtId="0" fontId="23" fillId="38" borderId="0" xfId="0" applyNumberFormat="1" applyFont="1" applyFill="1" applyBorder="1"/>
    <xf numFmtId="0" fontId="23" fillId="38" borderId="0" xfId="0" applyNumberFormat="1" applyFont="1" applyFill="1" applyBorder="1" applyAlignment="1">
      <alignment wrapText="1"/>
    </xf>
    <xf numFmtId="0" fontId="23" fillId="38" borderId="0" xfId="0" applyNumberFormat="1" applyFont="1" applyFill="1" applyBorder="1" applyAlignment="1">
      <alignment horizontal="center" wrapText="1"/>
    </xf>
    <xf numFmtId="0" fontId="23" fillId="38" borderId="61" xfId="0" applyNumberFormat="1" applyFont="1" applyFill="1" applyBorder="1"/>
    <xf numFmtId="0" fontId="23" fillId="38" borderId="61" xfId="0" applyNumberFormat="1" applyFont="1" applyFill="1" applyBorder="1" applyAlignment="1">
      <alignment wrapText="1"/>
    </xf>
    <xf numFmtId="0" fontId="23" fillId="38" borderId="61" xfId="0" applyNumberFormat="1" applyFont="1" applyFill="1" applyBorder="1" applyAlignment="1">
      <alignment horizontal="center" wrapText="1"/>
    </xf>
    <xf numFmtId="223" fontId="0" fillId="0" borderId="0" xfId="0" applyNumberFormat="1" applyFont="1" applyFill="1" applyBorder="1" applyAlignment="1">
      <alignment wrapText="1"/>
    </xf>
    <xf numFmtId="223" fontId="0" fillId="0" borderId="61" xfId="0" applyNumberFormat="1" applyFont="1" applyFill="1" applyBorder="1" applyAlignment="1">
      <alignment wrapText="1"/>
    </xf>
    <xf numFmtId="221" fontId="0" fillId="0" borderId="0" xfId="0" applyNumberFormat="1" applyFont="1" applyFill="1" applyBorder="1" applyAlignment="1">
      <alignment wrapText="1"/>
    </xf>
    <xf numFmtId="221" fontId="0" fillId="0" borderId="61" xfId="0" applyNumberFormat="1" applyFont="1" applyFill="1" applyBorder="1" applyAlignment="1">
      <alignment wrapText="1"/>
    </xf>
    <xf numFmtId="174" fontId="0" fillId="0" borderId="0" xfId="0" applyNumberFormat="1" applyFont="1" applyFill="1" applyBorder="1" applyAlignment="1">
      <alignment wrapText="1"/>
    </xf>
    <xf numFmtId="0" fontId="0" fillId="40" borderId="0" xfId="0" applyNumberFormat="1" applyFont="1" applyFill="1" applyBorder="1" applyAlignment="1">
      <alignment wrapText="1"/>
    </xf>
    <xf numFmtId="0" fontId="131" fillId="40" borderId="0" xfId="0" applyNumberFormat="1" applyFont="1" applyFill="1" applyBorder="1" applyAlignment="1">
      <alignment wrapText="1"/>
    </xf>
    <xf numFmtId="0" fontId="0" fillId="40" borderId="61" xfId="0" applyNumberFormat="1" applyFont="1" applyFill="1" applyBorder="1" applyAlignment="1">
      <alignment wrapText="1"/>
    </xf>
    <xf numFmtId="0" fontId="131" fillId="40" borderId="61" xfId="0" applyNumberFormat="1" applyFont="1" applyFill="1" applyBorder="1" applyAlignment="1">
      <alignment wrapText="1"/>
    </xf>
    <xf numFmtId="0" fontId="116" fillId="42" borderId="0" xfId="0" applyNumberFormat="1" applyFont="1" applyFill="1" applyBorder="1" applyAlignment="1">
      <alignment vertical="center" wrapText="1"/>
    </xf>
    <xf numFmtId="222" fontId="116" fillId="42" borderId="0" xfId="0" applyNumberFormat="1" applyFont="1" applyFill="1" applyBorder="1" applyAlignment="1">
      <alignment horizontal="right" vertical="center" wrapText="1"/>
    </xf>
    <xf numFmtId="223" fontId="116" fillId="42" borderId="0" xfId="0" applyNumberFormat="1" applyFont="1" applyFill="1" applyBorder="1" applyAlignment="1">
      <alignment horizontal="right" vertical="center" wrapText="1"/>
    </xf>
    <xf numFmtId="224" fontId="116" fillId="42" borderId="0" xfId="0" applyNumberFormat="1" applyFont="1" applyFill="1" applyBorder="1" applyAlignment="1">
      <alignment horizontal="right" vertical="center" wrapText="1"/>
    </xf>
    <xf numFmtId="0" fontId="117" fillId="42" borderId="0" xfId="0" applyNumberFormat="1" applyFont="1" applyFill="1" applyBorder="1" applyAlignment="1">
      <alignment vertical="center" wrapText="1"/>
    </xf>
    <xf numFmtId="222" fontId="117" fillId="42" borderId="0" xfId="0" applyNumberFormat="1" applyFont="1" applyFill="1" applyBorder="1" applyAlignment="1">
      <alignment horizontal="right" vertical="center" wrapText="1"/>
    </xf>
    <xf numFmtId="223" fontId="117" fillId="42" borderId="0" xfId="0" applyNumberFormat="1" applyFont="1" applyFill="1" applyBorder="1" applyAlignment="1">
      <alignment horizontal="right" vertical="center" wrapText="1"/>
    </xf>
    <xf numFmtId="224" fontId="117" fillId="42" borderId="0" xfId="0" applyNumberFormat="1" applyFont="1" applyFill="1" applyBorder="1" applyAlignment="1">
      <alignment horizontal="right" vertical="center" wrapText="1"/>
    </xf>
    <xf numFmtId="0" fontId="117" fillId="42" borderId="0" xfId="0" applyNumberFormat="1" applyFont="1" applyFill="1" applyBorder="1" applyAlignment="1">
      <alignment horizontal="center" vertical="center" wrapText="1"/>
    </xf>
    <xf numFmtId="0" fontId="118" fillId="42" borderId="0" xfId="0" applyNumberFormat="1" applyFont="1" applyFill="1" applyBorder="1" applyAlignment="1">
      <alignment vertical="center" wrapText="1"/>
    </xf>
    <xf numFmtId="222" fontId="118" fillId="42" borderId="0" xfId="0" applyNumberFormat="1" applyFont="1" applyFill="1" applyBorder="1" applyAlignment="1">
      <alignment horizontal="right" vertical="center" wrapText="1"/>
    </xf>
    <xf numFmtId="223" fontId="118" fillId="42" borderId="0" xfId="0" applyNumberFormat="1" applyFont="1" applyFill="1" applyBorder="1" applyAlignment="1">
      <alignment horizontal="right" vertical="center" wrapText="1"/>
    </xf>
    <xf numFmtId="224" fontId="118" fillId="42" borderId="0" xfId="0" applyNumberFormat="1" applyFont="1" applyFill="1" applyBorder="1" applyAlignment="1">
      <alignment horizontal="right" vertical="center" wrapText="1"/>
    </xf>
    <xf numFmtId="0" fontId="117" fillId="42" borderId="54" xfId="0" applyNumberFormat="1" applyFont="1" applyFill="1" applyBorder="1" applyAlignment="1">
      <alignment vertical="center" wrapText="1"/>
    </xf>
    <xf numFmtId="222" fontId="117" fillId="42" borderId="54" xfId="0" applyNumberFormat="1" applyFont="1" applyFill="1" applyBorder="1" applyAlignment="1">
      <alignment horizontal="right" vertical="center" wrapText="1"/>
    </xf>
    <xf numFmtId="0" fontId="116" fillId="42" borderId="61" xfId="0" applyNumberFormat="1" applyFont="1" applyFill="1" applyBorder="1" applyAlignment="1">
      <alignment vertical="center" wrapText="1"/>
    </xf>
    <xf numFmtId="222" fontId="116" fillId="42" borderId="61" xfId="0" applyNumberFormat="1" applyFont="1" applyFill="1" applyBorder="1" applyAlignment="1">
      <alignment horizontal="right" vertical="center" wrapText="1"/>
    </xf>
    <xf numFmtId="223" fontId="116" fillId="42" borderId="61" xfId="0" applyNumberFormat="1" applyFont="1" applyFill="1" applyBorder="1" applyAlignment="1">
      <alignment horizontal="right" vertical="center" wrapText="1"/>
    </xf>
    <xf numFmtId="224" fontId="116" fillId="42" borderId="61" xfId="0" applyNumberFormat="1" applyFont="1" applyFill="1" applyBorder="1" applyAlignment="1">
      <alignment horizontal="right" vertical="center" wrapText="1"/>
    </xf>
    <xf numFmtId="0" fontId="117" fillId="42" borderId="61" xfId="0" applyNumberFormat="1" applyFont="1" applyFill="1" applyBorder="1" applyAlignment="1">
      <alignment vertical="center" wrapText="1"/>
    </xf>
    <xf numFmtId="222" fontId="117" fillId="42" borderId="61" xfId="0" applyNumberFormat="1" applyFont="1" applyFill="1" applyBorder="1" applyAlignment="1">
      <alignment horizontal="right" vertical="center" wrapText="1"/>
    </xf>
    <xf numFmtId="223" fontId="117" fillId="42" borderId="61" xfId="0" applyNumberFormat="1" applyFont="1" applyFill="1" applyBorder="1" applyAlignment="1">
      <alignment horizontal="right" vertical="center" wrapText="1"/>
    </xf>
    <xf numFmtId="224" fontId="117" fillId="42" borderId="61" xfId="0" applyNumberFormat="1" applyFont="1" applyFill="1" applyBorder="1" applyAlignment="1">
      <alignment horizontal="right" vertical="center" wrapText="1"/>
    </xf>
    <xf numFmtId="0" fontId="117" fillId="42" borderId="61" xfId="0" applyNumberFormat="1" applyFont="1" applyFill="1" applyBorder="1" applyAlignment="1">
      <alignment horizontal="center" vertical="center" wrapText="1"/>
    </xf>
    <xf numFmtId="0" fontId="118" fillId="42" borderId="61" xfId="0" applyNumberFormat="1" applyFont="1" applyFill="1" applyBorder="1" applyAlignment="1">
      <alignment vertical="center" wrapText="1"/>
    </xf>
    <xf numFmtId="222" fontId="118" fillId="42" borderId="61" xfId="0" applyNumberFormat="1" applyFont="1" applyFill="1" applyBorder="1" applyAlignment="1">
      <alignment horizontal="right" vertical="center" wrapText="1"/>
    </xf>
    <xf numFmtId="223" fontId="118" fillId="42" borderId="61" xfId="0" applyNumberFormat="1" applyFont="1" applyFill="1" applyBorder="1" applyAlignment="1">
      <alignment horizontal="right" vertical="center" wrapText="1"/>
    </xf>
    <xf numFmtId="224" fontId="118" fillId="42" borderId="61" xfId="0" applyNumberFormat="1" applyFont="1" applyFill="1" applyBorder="1" applyAlignment="1">
      <alignment horizontal="right" vertical="center" wrapText="1"/>
    </xf>
    <xf numFmtId="0" fontId="117" fillId="42" borderId="83" xfId="0" applyNumberFormat="1" applyFont="1" applyFill="1" applyBorder="1" applyAlignment="1">
      <alignment vertical="center" wrapText="1"/>
    </xf>
    <xf numFmtId="222" fontId="117" fillId="42" borderId="83" xfId="0" applyNumberFormat="1" applyFont="1" applyFill="1" applyBorder="1" applyAlignment="1">
      <alignment horizontal="right" vertical="center" wrapText="1"/>
    </xf>
    <xf numFmtId="0" fontId="117" fillId="42" borderId="54" xfId="0" applyNumberFormat="1" applyFont="1" applyFill="1" applyBorder="1" applyAlignment="1">
      <alignment horizontal="left" vertical="center" wrapText="1"/>
    </xf>
    <xf numFmtId="0" fontId="117" fillId="42" borderId="54" xfId="0" applyNumberFormat="1" applyFont="1" applyFill="1" applyBorder="1" applyAlignment="1">
      <alignment horizontal="right" vertical="center" wrapText="1"/>
    </xf>
    <xf numFmtId="0" fontId="122" fillId="42" borderId="0" xfId="0" applyNumberFormat="1" applyFont="1" applyFill="1" applyBorder="1" applyAlignment="1">
      <alignment horizontal="left" vertical="center" wrapText="1"/>
    </xf>
    <xf numFmtId="0" fontId="117" fillId="42" borderId="0" xfId="0" applyNumberFormat="1" applyFont="1" applyFill="1" applyBorder="1" applyAlignment="1">
      <alignment horizontal="left" vertical="center" wrapText="1"/>
    </xf>
    <xf numFmtId="4" fontId="117" fillId="42" borderId="0" xfId="0" applyNumberFormat="1" applyFont="1" applyFill="1" applyBorder="1" applyAlignment="1">
      <alignment horizontal="center" vertical="center" wrapText="1"/>
    </xf>
    <xf numFmtId="0" fontId="117" fillId="42" borderId="0" xfId="0" applyNumberFormat="1" applyFont="1" applyFill="1" applyBorder="1" applyAlignment="1">
      <alignment horizontal="right" vertical="center" wrapText="1"/>
    </xf>
    <xf numFmtId="0" fontId="122" fillId="42" borderId="0" xfId="0" applyNumberFormat="1" applyFont="1" applyFill="1" applyBorder="1" applyAlignment="1">
      <alignment horizontal="center" vertical="center" wrapText="1"/>
    </xf>
    <xf numFmtId="4" fontId="116" fillId="42" borderId="0" xfId="0" applyNumberFormat="1" applyFont="1" applyFill="1" applyBorder="1" applyAlignment="1">
      <alignment vertical="center" wrapText="1"/>
    </xf>
    <xf numFmtId="225" fontId="116" fillId="42" borderId="0" xfId="0" applyNumberFormat="1" applyFont="1" applyFill="1" applyBorder="1" applyAlignment="1">
      <alignment horizontal="right" vertical="center" wrapText="1"/>
    </xf>
    <xf numFmtId="0" fontId="124" fillId="42" borderId="0" xfId="0" applyNumberFormat="1" applyFont="1" applyFill="1" applyBorder="1" applyAlignment="1">
      <alignment vertical="center" wrapText="1"/>
    </xf>
    <xf numFmtId="211" fontId="116" fillId="42" borderId="0" xfId="0" applyNumberFormat="1" applyFont="1" applyFill="1" applyBorder="1" applyAlignment="1">
      <alignment vertical="center" wrapText="1"/>
    </xf>
    <xf numFmtId="220" fontId="116" fillId="42" borderId="0" xfId="0" applyNumberFormat="1" applyFont="1" applyFill="1" applyBorder="1" applyAlignment="1">
      <alignment vertical="center" wrapText="1"/>
    </xf>
    <xf numFmtId="0" fontId="116" fillId="42" borderId="0" xfId="0" applyNumberFormat="1" applyFont="1" applyFill="1" applyBorder="1" applyAlignment="1">
      <alignment horizontal="right" vertical="center" wrapText="1"/>
    </xf>
    <xf numFmtId="221" fontId="117" fillId="42" borderId="0" xfId="0" applyNumberFormat="1" applyFont="1" applyFill="1" applyBorder="1" applyAlignment="1">
      <alignment horizontal="right" vertical="center" wrapText="1"/>
    </xf>
    <xf numFmtId="221" fontId="116" fillId="42" borderId="0" xfId="0" applyNumberFormat="1" applyFont="1" applyFill="1" applyBorder="1" applyAlignment="1">
      <alignment horizontal="right" vertical="center" wrapText="1"/>
    </xf>
    <xf numFmtId="223" fontId="117" fillId="42" borderId="54" xfId="0" applyNumberFormat="1" applyFont="1" applyFill="1" applyBorder="1" applyAlignment="1">
      <alignment horizontal="right" vertical="center" wrapText="1"/>
    </xf>
    <xf numFmtId="174" fontId="116" fillId="42" borderId="0" xfId="0" applyNumberFormat="1" applyFont="1" applyFill="1" applyBorder="1" applyAlignment="1">
      <alignment horizontal="right" vertical="center" wrapText="1"/>
    </xf>
    <xf numFmtId="174" fontId="118" fillId="42" borderId="0" xfId="0" applyNumberFormat="1" applyFont="1" applyFill="1" applyBorder="1" applyAlignment="1">
      <alignment horizontal="right" vertical="center" wrapText="1"/>
    </xf>
    <xf numFmtId="174" fontId="117" fillId="42" borderId="0" xfId="0" applyNumberFormat="1" applyFont="1" applyFill="1" applyBorder="1" applyAlignment="1">
      <alignment horizontal="right" vertical="center" wrapText="1"/>
    </xf>
    <xf numFmtId="224" fontId="117" fillId="42" borderId="54" xfId="0" applyNumberFormat="1" applyFont="1" applyFill="1" applyBorder="1" applyAlignment="1">
      <alignment horizontal="right" vertical="center" wrapText="1"/>
    </xf>
    <xf numFmtId="220" fontId="117" fillId="42" borderId="0" xfId="0" applyNumberFormat="1" applyFont="1" applyFill="1" applyBorder="1" applyAlignment="1">
      <alignment horizontal="left" vertical="center" wrapText="1"/>
    </xf>
    <xf numFmtId="225" fontId="117" fillId="42" borderId="0" xfId="0" applyNumberFormat="1" applyFont="1" applyFill="1" applyBorder="1" applyAlignment="1">
      <alignment horizontal="right" vertical="center" wrapText="1"/>
    </xf>
    <xf numFmtId="225" fontId="117" fillId="42" borderId="54" xfId="0" applyNumberFormat="1" applyFont="1" applyFill="1" applyBorder="1" applyAlignment="1">
      <alignment horizontal="right" vertical="center" wrapText="1"/>
    </xf>
    <xf numFmtId="226" fontId="116" fillId="42" borderId="0" xfId="0" applyNumberFormat="1" applyFont="1" applyFill="1" applyBorder="1" applyAlignment="1">
      <alignment horizontal="right" vertical="center" wrapText="1"/>
    </xf>
    <xf numFmtId="211" fontId="116" fillId="42" borderId="0" xfId="0" applyNumberFormat="1" applyFont="1" applyFill="1" applyBorder="1" applyAlignment="1">
      <alignment horizontal="right" vertical="center" wrapText="1"/>
    </xf>
    <xf numFmtId="0" fontId="123" fillId="42" borderId="0" xfId="0" applyNumberFormat="1" applyFont="1" applyFill="1" applyBorder="1" applyAlignment="1">
      <alignment horizontal="left" vertical="center" wrapText="1"/>
    </xf>
    <xf numFmtId="0" fontId="123" fillId="42" borderId="0" xfId="0" applyNumberFormat="1" applyFont="1" applyFill="1" applyBorder="1" applyAlignment="1">
      <alignment horizontal="right" vertical="center" wrapText="1"/>
    </xf>
    <xf numFmtId="214" fontId="116" fillId="42" borderId="0" xfId="0" applyNumberFormat="1" applyFont="1" applyFill="1" applyBorder="1" applyAlignment="1">
      <alignment vertical="center" wrapText="1"/>
    </xf>
    <xf numFmtId="214" fontId="117" fillId="42" borderId="0" xfId="0" applyNumberFormat="1" applyFont="1" applyFill="1" applyBorder="1" applyAlignment="1">
      <alignment vertical="center" wrapText="1"/>
    </xf>
    <xf numFmtId="0" fontId="126" fillId="42" borderId="0" xfId="0" applyNumberFormat="1" applyFont="1" applyFill="1" applyBorder="1" applyAlignment="1">
      <alignment vertical="center" wrapText="1"/>
    </xf>
    <xf numFmtId="223" fontId="127" fillId="42" borderId="0" xfId="0" applyNumberFormat="1" applyFont="1" applyFill="1" applyBorder="1" applyAlignment="1">
      <alignment vertical="center" wrapText="1"/>
    </xf>
    <xf numFmtId="0" fontId="121" fillId="42" borderId="0" xfId="0" applyNumberFormat="1" applyFont="1" applyFill="1" applyBorder="1" applyAlignment="1">
      <alignment vertical="center" wrapText="1"/>
    </xf>
    <xf numFmtId="0" fontId="121" fillId="42" borderId="0" xfId="0" applyNumberFormat="1" applyFont="1" applyFill="1" applyBorder="1" applyAlignment="1">
      <alignment horizontal="right" vertical="center" wrapText="1"/>
    </xf>
    <xf numFmtId="211" fontId="117" fillId="42" borderId="0" xfId="0" applyNumberFormat="1" applyFont="1" applyFill="1" applyBorder="1" applyAlignment="1">
      <alignment horizontal="left" vertical="center" wrapText="1"/>
    </xf>
    <xf numFmtId="211" fontId="117" fillId="42" borderId="0" xfId="0" applyNumberFormat="1" applyFont="1" applyFill="1" applyBorder="1" applyAlignment="1">
      <alignment horizontal="right" vertical="center" wrapText="1"/>
    </xf>
    <xf numFmtId="211" fontId="117" fillId="42" borderId="0" xfId="0" applyNumberFormat="1" applyFont="1" applyFill="1" applyBorder="1" applyAlignment="1">
      <alignment horizontal="center" vertical="center" wrapText="1"/>
    </xf>
    <xf numFmtId="174" fontId="116" fillId="42" borderId="0" xfId="0" applyNumberFormat="1" applyFont="1" applyFill="1" applyBorder="1" applyAlignment="1">
      <alignment vertical="center" wrapText="1"/>
    </xf>
    <xf numFmtId="1" fontId="116" fillId="42" borderId="0" xfId="0" applyNumberFormat="1" applyFont="1" applyFill="1" applyBorder="1" applyAlignment="1">
      <alignment vertical="center" wrapText="1"/>
    </xf>
    <xf numFmtId="170" fontId="116" fillId="42" borderId="0" xfId="0" applyNumberFormat="1" applyFont="1" applyFill="1" applyBorder="1" applyAlignment="1">
      <alignment vertical="center" wrapText="1"/>
    </xf>
    <xf numFmtId="201" fontId="117" fillId="42" borderId="0" xfId="0" applyNumberFormat="1" applyFont="1" applyFill="1" applyBorder="1" applyAlignment="1">
      <alignment horizontal="center" vertical="center" wrapText="1"/>
    </xf>
    <xf numFmtId="201" fontId="116" fillId="42" borderId="0" xfId="0" applyNumberFormat="1" applyFont="1" applyFill="1" applyBorder="1" applyAlignment="1">
      <alignment vertical="center" wrapText="1"/>
    </xf>
    <xf numFmtId="0" fontId="116" fillId="42" borderId="0" xfId="0" applyNumberFormat="1" applyFont="1" applyFill="1" applyBorder="1" applyAlignment="1">
      <alignment vertical="center"/>
    </xf>
    <xf numFmtId="0" fontId="117" fillId="42" borderId="83" xfId="0" applyNumberFormat="1" applyFont="1" applyFill="1" applyBorder="1" applyAlignment="1">
      <alignment horizontal="left" vertical="center" wrapText="1"/>
    </xf>
    <xf numFmtId="0" fontId="117" fillId="42" borderId="83" xfId="0" applyNumberFormat="1" applyFont="1" applyFill="1" applyBorder="1" applyAlignment="1">
      <alignment horizontal="right" vertical="center" wrapText="1"/>
    </xf>
    <xf numFmtId="0" fontId="122" fillId="42" borderId="61" xfId="0" applyNumberFormat="1" applyFont="1" applyFill="1" applyBorder="1" applyAlignment="1">
      <alignment horizontal="left" vertical="center" wrapText="1"/>
    </xf>
    <xf numFmtId="0" fontId="117" fillId="42" borderId="61" xfId="0" applyNumberFormat="1" applyFont="1" applyFill="1" applyBorder="1" applyAlignment="1">
      <alignment horizontal="left" vertical="center" wrapText="1"/>
    </xf>
    <xf numFmtId="4" fontId="117" fillId="42" borderId="61" xfId="0" applyNumberFormat="1" applyFont="1" applyFill="1" applyBorder="1" applyAlignment="1">
      <alignment horizontal="center" vertical="center" wrapText="1"/>
    </xf>
    <xf numFmtId="0" fontId="117" fillId="42" borderId="61" xfId="0" applyNumberFormat="1" applyFont="1" applyFill="1" applyBorder="1" applyAlignment="1">
      <alignment horizontal="right" vertical="center" wrapText="1"/>
    </xf>
    <xf numFmtId="0" fontId="122" fillId="42" borderId="61" xfId="0" applyNumberFormat="1" applyFont="1" applyFill="1" applyBorder="1" applyAlignment="1">
      <alignment horizontal="center" vertical="center" wrapText="1"/>
    </xf>
    <xf numFmtId="4" fontId="116" fillId="42" borderId="61" xfId="0" applyNumberFormat="1" applyFont="1" applyFill="1" applyBorder="1" applyAlignment="1">
      <alignment vertical="center" wrapText="1"/>
    </xf>
    <xf numFmtId="225" fontId="116" fillId="42" borderId="61" xfId="0" applyNumberFormat="1" applyFont="1" applyFill="1" applyBorder="1" applyAlignment="1">
      <alignment horizontal="right" vertical="center" wrapText="1"/>
    </xf>
    <xf numFmtId="0" fontId="124" fillId="42" borderId="61" xfId="0" applyNumberFormat="1" applyFont="1" applyFill="1" applyBorder="1" applyAlignment="1">
      <alignment vertical="center" wrapText="1"/>
    </xf>
    <xf numFmtId="211" fontId="116" fillId="42" borderId="61" xfId="0" applyNumberFormat="1" applyFont="1" applyFill="1" applyBorder="1" applyAlignment="1">
      <alignment vertical="center" wrapText="1"/>
    </xf>
    <xf numFmtId="220" fontId="116" fillId="42" borderId="61" xfId="0" applyNumberFormat="1" applyFont="1" applyFill="1" applyBorder="1" applyAlignment="1">
      <alignment vertical="center" wrapText="1"/>
    </xf>
    <xf numFmtId="0" fontId="116" fillId="42" borderId="61" xfId="0" applyNumberFormat="1" applyFont="1" applyFill="1" applyBorder="1" applyAlignment="1">
      <alignment horizontal="right" vertical="center" wrapText="1"/>
    </xf>
    <xf numFmtId="221" fontId="117" fillId="42" borderId="61" xfId="0" applyNumberFormat="1" applyFont="1" applyFill="1" applyBorder="1" applyAlignment="1">
      <alignment horizontal="right" vertical="center" wrapText="1"/>
    </xf>
    <xf numFmtId="221" fontId="116" fillId="42" borderId="61" xfId="0" applyNumberFormat="1" applyFont="1" applyFill="1" applyBorder="1" applyAlignment="1">
      <alignment horizontal="right" vertical="center" wrapText="1"/>
    </xf>
    <xf numFmtId="223" fontId="117" fillId="42" borderId="83" xfId="0" applyNumberFormat="1" applyFont="1" applyFill="1" applyBorder="1" applyAlignment="1">
      <alignment horizontal="right" vertical="center" wrapText="1"/>
    </xf>
    <xf numFmtId="174" fontId="116" fillId="42" borderId="61" xfId="0" applyNumberFormat="1" applyFont="1" applyFill="1" applyBorder="1" applyAlignment="1">
      <alignment horizontal="right" vertical="center" wrapText="1"/>
    </xf>
    <xf numFmtId="174" fontId="118" fillId="42" borderId="61" xfId="0" applyNumberFormat="1" applyFont="1" applyFill="1" applyBorder="1" applyAlignment="1">
      <alignment horizontal="right" vertical="center" wrapText="1"/>
    </xf>
    <xf numFmtId="174" fontId="117" fillId="42" borderId="61" xfId="0" applyNumberFormat="1" applyFont="1" applyFill="1" applyBorder="1" applyAlignment="1">
      <alignment horizontal="right" vertical="center" wrapText="1"/>
    </xf>
    <xf numFmtId="224" fontId="117" fillId="42" borderId="83" xfId="0" applyNumberFormat="1" applyFont="1" applyFill="1" applyBorder="1" applyAlignment="1">
      <alignment horizontal="right" vertical="center" wrapText="1"/>
    </xf>
    <xf numFmtId="220" fontId="117" fillId="42" borderId="61" xfId="0" applyNumberFormat="1" applyFont="1" applyFill="1" applyBorder="1" applyAlignment="1">
      <alignment horizontal="left" vertical="center" wrapText="1"/>
    </xf>
    <xf numFmtId="225" fontId="117" fillId="42" borderId="61" xfId="0" applyNumberFormat="1" applyFont="1" applyFill="1" applyBorder="1" applyAlignment="1">
      <alignment horizontal="right" vertical="center" wrapText="1"/>
    </xf>
    <xf numFmtId="225" fontId="117" fillId="42" borderId="83" xfId="0" applyNumberFormat="1" applyFont="1" applyFill="1" applyBorder="1" applyAlignment="1">
      <alignment horizontal="right" vertical="center" wrapText="1"/>
    </xf>
    <xf numFmtId="226" fontId="116" fillId="42" borderId="61" xfId="0" applyNumberFormat="1" applyFont="1" applyFill="1" applyBorder="1" applyAlignment="1">
      <alignment horizontal="right" vertical="center" wrapText="1"/>
    </xf>
    <xf numFmtId="211" fontId="116" fillId="42" borderId="61" xfId="0" applyNumberFormat="1" applyFont="1" applyFill="1" applyBorder="1" applyAlignment="1">
      <alignment horizontal="right" vertical="center" wrapText="1"/>
    </xf>
    <xf numFmtId="0" fontId="123" fillId="42" borderId="61" xfId="0" applyNumberFormat="1" applyFont="1" applyFill="1" applyBorder="1" applyAlignment="1">
      <alignment horizontal="left" vertical="center" wrapText="1"/>
    </xf>
    <xf numFmtId="0" fontId="123" fillId="42" borderId="61" xfId="0" applyNumberFormat="1" applyFont="1" applyFill="1" applyBorder="1" applyAlignment="1">
      <alignment horizontal="right" vertical="center" wrapText="1"/>
    </xf>
    <xf numFmtId="214" fontId="116" fillId="42" borderId="61" xfId="0" applyNumberFormat="1" applyFont="1" applyFill="1" applyBorder="1" applyAlignment="1">
      <alignment vertical="center" wrapText="1"/>
    </xf>
    <xf numFmtId="214" fontId="117" fillId="42" borderId="61" xfId="0" applyNumberFormat="1" applyFont="1" applyFill="1" applyBorder="1" applyAlignment="1">
      <alignment vertical="center" wrapText="1"/>
    </xf>
    <xf numFmtId="0" fontId="126" fillId="42" borderId="61" xfId="0" applyNumberFormat="1" applyFont="1" applyFill="1" applyBorder="1" applyAlignment="1">
      <alignment vertical="center" wrapText="1"/>
    </xf>
    <xf numFmtId="223" fontId="127" fillId="42" borderId="61" xfId="0" applyNumberFormat="1" applyFont="1" applyFill="1" applyBorder="1" applyAlignment="1">
      <alignment vertical="center" wrapText="1"/>
    </xf>
    <xf numFmtId="0" fontId="121" fillId="42" borderId="61" xfId="0" applyNumberFormat="1" applyFont="1" applyFill="1" applyBorder="1" applyAlignment="1">
      <alignment vertical="center" wrapText="1"/>
    </xf>
    <xf numFmtId="0" fontId="121" fillId="42" borderId="61" xfId="0" applyNumberFormat="1" applyFont="1" applyFill="1" applyBorder="1" applyAlignment="1">
      <alignment horizontal="right" vertical="center" wrapText="1"/>
    </xf>
    <xf numFmtId="211" fontId="117" fillId="42" borderId="61" xfId="0" applyNumberFormat="1" applyFont="1" applyFill="1" applyBorder="1" applyAlignment="1">
      <alignment horizontal="left" vertical="center" wrapText="1"/>
    </xf>
    <xf numFmtId="211" fontId="117" fillId="42" borderId="61" xfId="0" applyNumberFormat="1" applyFont="1" applyFill="1" applyBorder="1" applyAlignment="1">
      <alignment horizontal="right" vertical="center" wrapText="1"/>
    </xf>
    <xf numFmtId="211" fontId="117" fillId="42" borderId="61" xfId="0" applyNumberFormat="1" applyFont="1" applyFill="1" applyBorder="1" applyAlignment="1">
      <alignment horizontal="center" vertical="center" wrapText="1"/>
    </xf>
    <xf numFmtId="174" fontId="116" fillId="42" borderId="61" xfId="0" applyNumberFormat="1" applyFont="1" applyFill="1" applyBorder="1" applyAlignment="1">
      <alignment vertical="center" wrapText="1"/>
    </xf>
    <xf numFmtId="1" fontId="116" fillId="42" borderId="61" xfId="0" applyNumberFormat="1" applyFont="1" applyFill="1" applyBorder="1" applyAlignment="1">
      <alignment vertical="center" wrapText="1"/>
    </xf>
    <xf numFmtId="170" fontId="116" fillId="42" borderId="61" xfId="0" applyNumberFormat="1" applyFont="1" applyFill="1" applyBorder="1" applyAlignment="1">
      <alignment vertical="center" wrapText="1"/>
    </xf>
    <xf numFmtId="201" fontId="117" fillId="42" borderId="61" xfId="0" applyNumberFormat="1" applyFont="1" applyFill="1" applyBorder="1" applyAlignment="1">
      <alignment horizontal="center" vertical="center" wrapText="1"/>
    </xf>
    <xf numFmtId="201" fontId="116" fillId="42" borderId="61" xfId="0" applyNumberFormat="1" applyFont="1" applyFill="1" applyBorder="1" applyAlignment="1">
      <alignment vertical="center" wrapText="1"/>
    </xf>
    <xf numFmtId="0" fontId="116" fillId="42" borderId="61" xfId="0" applyNumberFormat="1" applyFont="1" applyFill="1" applyBorder="1" applyAlignment="1">
      <alignment vertical="center"/>
    </xf>
    <xf numFmtId="0" fontId="132" fillId="37" borderId="0" xfId="0" applyNumberFormat="1" applyFont="1" applyFill="1" applyBorder="1" applyAlignment="1">
      <alignment vertical="center" wrapText="1"/>
    </xf>
    <xf numFmtId="0" fontId="132" fillId="37" borderId="61" xfId="0" applyNumberFormat="1" applyFont="1" applyFill="1" applyBorder="1" applyAlignment="1">
      <alignment vertical="center" wrapText="1"/>
    </xf>
    <xf numFmtId="0" fontId="105" fillId="35" borderId="0" xfId="0" applyNumberFormat="1" applyFont="1" applyFill="1" applyBorder="1"/>
    <xf numFmtId="0" fontId="105" fillId="35" borderId="61" xfId="0" applyNumberFormat="1" applyFont="1" applyFill="1" applyBorder="1"/>
    <xf numFmtId="228" fontId="0" fillId="0" borderId="0" xfId="0" applyNumberFormat="1" applyFont="1" applyFill="1" applyBorder="1" applyAlignment="1">
      <alignment wrapText="1"/>
    </xf>
    <xf numFmtId="222" fontId="116" fillId="42" borderId="0" xfId="0" applyNumberFormat="1" applyFont="1" applyFill="1" applyBorder="1" applyAlignment="1" applyProtection="1">
      <alignment horizontal="right" vertical="center" wrapText="1"/>
      <protection locked="0"/>
    </xf>
    <xf numFmtId="223" fontId="116" fillId="42" borderId="0" xfId="0" applyNumberFormat="1" applyFont="1" applyFill="1" applyBorder="1" applyAlignment="1" applyProtection="1">
      <alignment horizontal="right" vertical="center" wrapText="1"/>
      <protection locked="0"/>
    </xf>
    <xf numFmtId="224" fontId="116" fillId="42" borderId="0" xfId="0" applyNumberFormat="1" applyFont="1" applyFill="1" applyBorder="1" applyAlignment="1" applyProtection="1">
      <alignment horizontal="right" vertical="center" wrapText="1"/>
      <protection locked="0"/>
    </xf>
    <xf numFmtId="222" fontId="117" fillId="42" borderId="0" xfId="0" applyNumberFormat="1" applyFont="1" applyFill="1" applyBorder="1" applyAlignment="1" applyProtection="1">
      <alignment horizontal="right" vertical="center" wrapText="1"/>
      <protection locked="0"/>
    </xf>
    <xf numFmtId="223" fontId="117" fillId="42" borderId="0" xfId="0" applyNumberFormat="1" applyFont="1" applyFill="1" applyBorder="1" applyAlignment="1" applyProtection="1">
      <alignment horizontal="right" vertical="center" wrapText="1"/>
      <protection locked="0"/>
    </xf>
    <xf numFmtId="224" fontId="117" fillId="42" borderId="0" xfId="0" applyNumberFormat="1" applyFont="1" applyFill="1" applyBorder="1" applyAlignment="1" applyProtection="1">
      <alignment horizontal="right" vertical="center" wrapText="1"/>
      <protection locked="0"/>
    </xf>
    <xf numFmtId="222" fontId="118" fillId="42" borderId="0" xfId="0" applyNumberFormat="1" applyFont="1" applyFill="1" applyBorder="1" applyAlignment="1" applyProtection="1">
      <alignment horizontal="right" vertical="center" wrapText="1"/>
      <protection locked="0"/>
    </xf>
    <xf numFmtId="223" fontId="118" fillId="42" borderId="0" xfId="0" applyNumberFormat="1" applyFont="1" applyFill="1" applyBorder="1" applyAlignment="1" applyProtection="1">
      <alignment horizontal="right" vertical="center" wrapText="1"/>
      <protection locked="0"/>
    </xf>
    <xf numFmtId="224" fontId="118" fillId="42" borderId="0" xfId="0" applyNumberFormat="1" applyFont="1" applyFill="1" applyBorder="1" applyAlignment="1" applyProtection="1">
      <alignment horizontal="right" vertical="center" wrapText="1"/>
      <protection locked="0"/>
    </xf>
    <xf numFmtId="222" fontId="117" fillId="42" borderId="54" xfId="0" applyNumberFormat="1" applyFont="1" applyFill="1" applyBorder="1" applyAlignment="1" applyProtection="1">
      <alignment horizontal="right" vertical="center" wrapText="1"/>
      <protection locked="0"/>
    </xf>
    <xf numFmtId="225" fontId="116" fillId="42" borderId="0" xfId="0" applyNumberFormat="1" applyFont="1" applyFill="1" applyBorder="1" applyAlignment="1" applyProtection="1">
      <alignment horizontal="right" vertical="center" wrapText="1"/>
      <protection locked="0"/>
    </xf>
    <xf numFmtId="221" fontId="117" fillId="42" borderId="0" xfId="0" applyNumberFormat="1" applyFont="1" applyFill="1" applyBorder="1" applyAlignment="1" applyProtection="1">
      <alignment horizontal="right" vertical="center" wrapText="1"/>
      <protection locked="0"/>
    </xf>
    <xf numFmtId="174" fontId="116" fillId="42" borderId="0" xfId="0" applyNumberFormat="1" applyFont="1" applyFill="1" applyBorder="1" applyAlignment="1" applyProtection="1">
      <alignment horizontal="right" vertical="center" wrapText="1"/>
      <protection locked="0"/>
    </xf>
    <xf numFmtId="174" fontId="118" fillId="42" borderId="0" xfId="0" applyNumberFormat="1" applyFont="1" applyFill="1" applyBorder="1" applyAlignment="1" applyProtection="1">
      <alignment horizontal="right" vertical="center" wrapText="1"/>
      <protection locked="0"/>
    </xf>
    <xf numFmtId="174" fontId="117" fillId="42" borderId="0" xfId="0" applyNumberFormat="1" applyFont="1" applyFill="1" applyBorder="1" applyAlignment="1" applyProtection="1">
      <alignment horizontal="right" vertical="center" wrapText="1"/>
      <protection locked="0"/>
    </xf>
    <xf numFmtId="224" fontId="117" fillId="42" borderId="54" xfId="0" applyNumberFormat="1" applyFont="1" applyFill="1" applyBorder="1" applyAlignment="1" applyProtection="1">
      <alignment horizontal="right" vertical="center" wrapText="1"/>
      <protection locked="0"/>
    </xf>
    <xf numFmtId="225" fontId="117" fillId="42" borderId="0" xfId="0" applyNumberFormat="1" applyFont="1" applyFill="1" applyBorder="1" applyAlignment="1" applyProtection="1">
      <alignment horizontal="right" vertical="center" wrapText="1"/>
      <protection locked="0"/>
    </xf>
    <xf numFmtId="225" fontId="117" fillId="42" borderId="54" xfId="0" applyNumberFormat="1" applyFont="1" applyFill="1" applyBorder="1" applyAlignment="1" applyProtection="1">
      <alignment horizontal="right" vertical="center" wrapText="1"/>
      <protection locked="0"/>
    </xf>
    <xf numFmtId="226" fontId="116" fillId="42" borderId="0" xfId="0" applyNumberFormat="1" applyFont="1" applyFill="1" applyBorder="1" applyAlignment="1" applyProtection="1">
      <alignment horizontal="right" vertical="center" wrapText="1"/>
      <protection locked="0"/>
    </xf>
  </cellXfs>
  <cellStyles count="2">
    <cellStyle name="Normal" xfId="0"/>
    <cellStyle name="Normal 2" xfId="1"/>
  </cellStyles>
  <dxfs count="76">
    <dxf>
      <font>
        <b/>
        <color rgb="FF1F2933"/>
      </font>
      <fill>
        <patternFill>
          <bgColor rgb="FFDCE9F3"/>
        </patternFill>
      </fill>
    </dxf>
    <dxf>
      <fill>
        <patternFill>
          <bgColor rgb="FFE6E6E6"/>
        </patternFill>
      </fill>
    </dxf>
    <dxf>
      <font>
        <color theme="0"/>
      </font>
      <fill>
        <patternFill>
          <bgColor rgb="FFFF0000"/>
        </patternFill>
      </fill>
    </dxf>
    <dxf>
      <font>
        <color theme="2"/>
      </font>
      <fill>
        <patternFill>
          <bgColor theme="2"/>
        </patternFill>
      </fill>
    </dxf>
    <dxf>
      <font>
        <color theme="0" tint="-0.49989"/>
      </font>
      <fill>
        <patternFill>
          <bgColor theme="0" tint="-0.49989"/>
        </patternFill>
      </fill>
    </dxf>
    <dxf>
      <font>
        <color theme="0" tint="-0.49989"/>
      </font>
      <fill>
        <patternFill>
          <bgColor theme="0" tint="-0.49989"/>
        </patternFill>
      </fill>
    </dxf>
    <dxf>
      <font>
        <color rgb="FFFF0000"/>
      </font>
    </dxf>
    <dxf>
      <font>
        <color rgb="FFFF0000"/>
      </font>
    </dxf>
    <dxf>
      <font>
        <color rgb="FFFF0000"/>
      </font>
    </dxf>
    <dxf>
      <font>
        <color rgb="FFE6E6E6"/>
      </font>
    </dxf>
    <dxf>
      <font>
        <color rgb="FF0000FF"/>
      </font>
      <fill>
        <patternFill>
          <bgColor rgb="FFE6E6E6"/>
        </patternFill>
      </fill>
    </dxf>
    <dxf>
      <font>
        <color theme="0" tint="-0.49989"/>
      </font>
      <numFmt numFmtId="218" formatCode="&quot;NA&quot;"/>
      <fill>
        <patternFill>
          <bgColor rgb="FFE6E6E6"/>
        </patternFill>
      </fill>
    </dxf>
    <dxf>
      <font>
        <color theme="0"/>
      </font>
      <fill>
        <patternFill>
          <bgColor theme="4"/>
        </patternFill>
      </fill>
    </dxf>
    <dxf>
      <font>
        <color theme="0" tint="-0.49989"/>
      </font>
      <fill>
        <patternFill>
          <bgColor auto="1"/>
        </patternFill>
      </fill>
      <border>
        <left style="thin">
          <color theme="4"/>
        </left>
        <right style="thin">
          <color theme="4"/>
        </right>
        <top style="thin">
          <color theme="4"/>
        </top>
        <bottom style="thin">
          <color theme="4"/>
        </bottom>
      </border>
    </dxf>
    <dxf>
      <font>
        <color theme="0"/>
      </font>
    </dxf>
    <dxf>
      <font>
        <color theme="0"/>
      </font>
    </dxf>
    <dxf>
      <font>
        <color theme="0"/>
      </font>
    </dxf>
    <dxf>
      <font>
        <color rgb="FF0000FF"/>
      </font>
      <fill>
        <patternFill>
          <bgColor rgb="FFE6E6E6"/>
        </patternFill>
      </fill>
    </dxf>
    <dxf>
      <font>
        <color theme="0" tint="-0.34999"/>
      </font>
      <numFmt numFmtId="219" formatCode="&quot;Detail ---&gt;&quot;"/>
      <fill>
        <patternFill>
          <bgColor rgb="FFE6E6E6"/>
        </patternFill>
      </fill>
    </dxf>
    <dxf>
      <font>
        <color theme="0" tint="-0.34999"/>
      </font>
      <numFmt numFmtId="219" formatCode="&quot;Detail ---&gt;&quot;"/>
      <fill>
        <patternFill>
          <bgColor rgb="FFE6E6E6"/>
        </patternFill>
      </fill>
    </dxf>
    <dxf>
      <font>
        <color rgb="FFFF0000"/>
      </font>
    </dxf>
    <dxf>
      <font>
        <color rgb="FF0000FF"/>
      </font>
      <fill>
        <patternFill>
          <bgColor rgb="FFE6E6E6"/>
        </patternFill>
      </fill>
    </dxf>
    <dxf>
      <font>
        <color theme="0"/>
      </font>
      <fill>
        <patternFill>
          <bgColor theme="4"/>
        </patternFill>
      </fill>
    </dxf>
    <dxf>
      <font>
        <color theme="0" tint="-0.49989"/>
      </font>
      <fill>
        <patternFill>
          <bgColor auto="1"/>
        </patternFill>
      </fill>
      <border>
        <left style="thin">
          <color theme="4"/>
        </left>
        <right style="thin">
          <color theme="4"/>
        </right>
        <top style="thin">
          <color theme="4"/>
        </top>
        <bottom style="thin">
          <color theme="4"/>
        </bottom>
      </border>
    </dxf>
    <dxf>
      <font>
        <color rgb="FFFF0000"/>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9"/>
      </font>
      <fill>
        <patternFill>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89"/>
      </font>
      <fill>
        <patternFill>
          <bgColor auto="1"/>
        </patternFill>
      </fill>
      <border>
        <left style="thin">
          <color theme="4"/>
        </left>
        <right style="thin">
          <color theme="4"/>
        </right>
        <top style="thin">
          <color theme="4"/>
        </top>
        <bottom style="thin">
          <color theme="4"/>
        </bottom>
      </border>
    </dxf>
    <dxf>
      <font>
        <color theme="0"/>
      </font>
      <fill>
        <patternFill>
          <bgColor rgb="FFFF0000"/>
        </patternFill>
      </fill>
    </dxf>
    <dxf>
      <font>
        <color theme="5" tint="-0.24995"/>
      </font>
      <fill>
        <patternFill>
          <bgColor auto="1"/>
        </patternFill>
      </fill>
    </dxf>
    <dxf>
      <font>
        <color theme="5" tint="-0.24995"/>
      </font>
      <fill>
        <patternFill>
          <bgColor auto="1"/>
        </patternFill>
      </fill>
      <border>
        <left style="thin">
          <color theme="4"/>
        </left>
        <right style="thin">
          <color theme="4"/>
        </right>
        <top style="thin">
          <color theme="4"/>
        </top>
        <bottom style="thin">
          <color theme="4"/>
        </bottom>
      </border>
    </dxf>
    <dxf>
      <font>
        <color theme="5" tint="-0.24995"/>
      </font>
      <fill>
        <patternFill>
          <bgColor auto="1"/>
        </patternFill>
      </fill>
    </dxf>
    <dxf>
      <font>
        <color theme="5" tint="-0.24995"/>
      </font>
      <fill>
        <patternFill>
          <bgColor auto="1"/>
        </patternFill>
      </fill>
      <border>
        <left style="thin">
          <color theme="4"/>
        </left>
        <right style="thin">
          <color theme="4"/>
        </right>
        <top style="thin">
          <color theme="4"/>
        </top>
        <bottom style="thin">
          <color theme="4"/>
        </bottom>
      </border>
    </dxf>
    <dxf>
      <font>
        <u val="single"/>
      </font>
    </dxf>
    <dxf>
      <font>
        <u val="none"/>
      </font>
    </dxf>
    <dxf>
      <font>
        <u val="single"/>
      </font>
    </dxf>
    <dxf>
      <font>
        <u val="none"/>
      </font>
    </dxf>
    <dxf>
      <fill>
        <patternFill patternType="solid">
          <bgColor rgb="FFF2F0E1"/>
        </patternFill>
      </fill>
    </dxf>
    <dxf>
      <fill>
        <patternFill patternType="solid">
          <bgColor rgb="FFE2F0D9"/>
        </patternFill>
      </fill>
    </dxf>
    <dxf>
      <fill>
        <patternFill patternType="solid">
          <bgColor rgb="FFE6E6E6"/>
        </patternFill>
      </fill>
    </dxf>
    <dxf>
      <font>
        <i/>
        <color rgb="FF7F7F7F"/>
      </font>
      <fill>
        <patternFill patternType="solid">
          <bgColor rgb="FFF2F2F2"/>
        </patternFill>
      </fill>
    </dxf>
    <dxf>
      <fill>
        <patternFill patternType="solid">
          <bgColor rgb="FFFFF2CC"/>
        </patternFill>
      </fill>
    </dxf>
    <dxf>
      <font>
        <color rgb="FF0000FF"/>
      </font>
    </dxf>
    <dxf>
      <font>
        <color rgb="FF008000"/>
      </font>
    </dxf>
    <dxf>
      <font>
        <b/>
        <color rgb="FF006100"/>
      </font>
      <fill>
        <patternFill patternType="solid">
          <bgColor rgb="FFE2F0D9"/>
        </patternFill>
      </fill>
    </dxf>
    <dxf>
      <font>
        <b/>
        <color rgb="FF9C6500"/>
      </font>
      <fill>
        <patternFill patternType="solid">
          <bgColor rgb="FFFFF2CC"/>
        </patternFill>
      </fill>
    </dxf>
    <dxf>
      <font>
        <b/>
        <color rgb="FF9C0006"/>
      </font>
      <fill>
        <patternFill patternType="solid">
          <bgColor rgb="FFF4CCCC"/>
        </patternFill>
      </fill>
    </dxf>
    <dxf>
      <font>
        <b/>
        <color rgb="FF006100"/>
      </font>
      <fill>
        <patternFill patternType="solid">
          <bgColor rgb="FFE2F0D9"/>
        </patternFill>
      </fill>
    </dxf>
    <dxf>
      <font>
        <b/>
        <color rgb="FF9C6500"/>
      </font>
      <fill>
        <patternFill patternType="solid">
          <bgColor rgb="FFFFF2CC"/>
        </patternFill>
      </fill>
    </dxf>
    <dxf>
      <font>
        <b/>
        <color rgb="FF9C0006"/>
      </font>
      <fill>
        <patternFill patternType="solid">
          <bgColor rgb="FFF4CCCC"/>
        </patternFill>
      </fill>
    </dxf>
    <dxf>
      <font>
        <b/>
        <color rgb="FF006100"/>
      </font>
      <fill>
        <patternFill patternType="solid">
          <bgColor rgb="FFE2F0D9"/>
        </patternFill>
      </fill>
    </dxf>
    <dxf>
      <font>
        <b/>
        <color rgb="FF9C6500"/>
      </font>
      <fill>
        <patternFill patternType="solid">
          <bgColor rgb="FFFFF2CC"/>
        </patternFill>
      </fill>
    </dxf>
    <dxf>
      <font>
        <b/>
        <color rgb="FF9C0006"/>
      </font>
      <fill>
        <patternFill patternType="solid">
          <bgColor rgb="FFF4CCCC"/>
        </patternFill>
      </fill>
    </dxf>
    <dxf>
      <font>
        <color rgb="FF006100"/>
      </font>
      <fill>
        <patternFill patternType="solid">
          <bgColor rgb="FFE2F0D9"/>
        </patternFill>
      </fill>
    </dxf>
    <dxf>
      <font>
        <color rgb="FF9C6500"/>
      </font>
      <fill>
        <patternFill patternType="solid">
          <bgColor rgb="FFFFF2CC"/>
        </patternFill>
      </fill>
    </dxf>
    <dxf>
      <font>
        <color rgb="FF9C0006"/>
      </font>
      <fill>
        <patternFill patternType="solid">
          <bgColor rgb="FFF4CCCC"/>
        </patternFill>
      </fill>
    </dxf>
    <dxf>
      <font>
        <b/>
        <color rgb="FF006100"/>
      </font>
      <fill>
        <patternFill patternType="solid">
          <bgColor rgb="FFE2F0D9"/>
        </patternFill>
      </fill>
    </dxf>
    <dxf>
      <font>
        <b/>
        <color rgb="FF9C0006"/>
      </font>
      <fill>
        <patternFill patternType="solid">
          <bgColor rgb="FFF4CCCC"/>
        </patternFill>
      </fill>
    </dxf>
    <dxf>
      <font>
        <b/>
        <color rgb="FF006100"/>
      </font>
      <fill>
        <patternFill patternType="solid">
          <bgColor rgb="FFE2F0D9"/>
        </patternFill>
      </fill>
    </dxf>
    <dxf>
      <font>
        <b/>
        <color rgb="FF9C6500"/>
      </font>
      <fill>
        <patternFill patternType="solid">
          <bgColor rgb="FFFFF2CC"/>
        </patternFill>
      </fill>
    </dxf>
    <dxf>
      <fill>
        <patternFill patternType="solid">
          <bgColor rgb="FFF2F0E1"/>
        </patternFill>
      </fill>
    </dxf>
    <dxf>
      <fill>
        <patternFill patternType="solid">
          <bgColor rgb="FFE2F0D9"/>
        </patternFill>
      </fill>
    </dxf>
    <dxf>
      <fill>
        <patternFill patternType="solid">
          <bgColor rgb="FFE6E6E6"/>
        </patternFill>
      </fill>
    </dxf>
    <dxf>
      <font>
        <i/>
        <color rgb="FF7F7F7F"/>
      </font>
      <fill>
        <patternFill patternType="solid">
          <bgColor rgb="FFF2F2F2"/>
        </patternFill>
      </fill>
    </dxf>
    <dxf>
      <fill>
        <patternFill patternType="solid">
          <bgColor rgb="FFFFF2CC"/>
        </patternFill>
      </fill>
    </dxf>
    <dxf>
      <font>
        <color rgb="FF0000FF"/>
      </font>
    </dxf>
    <dxf>
      <font>
        <color rgb="FF008000"/>
      </font>
    </dxf>
  </dxfs>
</styleSheet>
</file>

<file path=xl/_rels/workbook.xml.rels>&#65279;<?xml version="1.0" encoding="utf-8"?><Relationships xmlns="http://schemas.openxmlformats.org/package/2006/relationships"><Relationship Type="http://schemas.openxmlformats.org/officeDocument/2006/relationships/styles" Target="/xl/styles.xml" Id="Rc5276c6a26ad463f" /><Relationship Type="http://schemas.openxmlformats.org/officeDocument/2006/relationships/theme" Target="/xl/theme/theme1.xml" Id="R1b19d033e82c49ef" /><Relationship Type="http://schemas.openxmlformats.org/officeDocument/2006/relationships/sheetMetadata" Target="/xl/metadata1.xml" Id="R4f23ea6f565b477f" /><Relationship Type="http://schemas.openxmlformats.org/officeDocument/2006/relationships/sharedStrings" Target="/xl/sharedStrings.xml" Id="R355712fdba8248b9" /><Relationship Type="http://schemas.openxmlformats.org/officeDocument/2006/relationships/worksheet" Target="/xl/worksheets/sheet1.xml" Id="Rfa4e5017650846cd" /><Relationship Type="http://schemas.openxmlformats.org/officeDocument/2006/relationships/worksheet" Target="/xl/worksheets/sheet2.xml" Id="R0c4b69156ee74e14" /><Relationship Type="http://schemas.openxmlformats.org/officeDocument/2006/relationships/worksheet" Target="/xl/worksheets/sheet3.xml" Id="R5c5303fc980c4259" /><Relationship Type="http://schemas.openxmlformats.org/officeDocument/2006/relationships/worksheet" Target="/xl/worksheets/sheet4.xml" Id="R6bc56ae138254ae8" /><Relationship Type="http://schemas.openxmlformats.org/officeDocument/2006/relationships/worksheet" Target="/xl/worksheets/sheet5.xml" Id="Re83b6a0dc60a488d" /><Relationship Type="http://schemas.openxmlformats.org/officeDocument/2006/relationships/worksheet" Target="/xl/worksheets/sheet6.xml" Id="R8f7b54dd0c2c438c" /><Relationship Type="http://schemas.openxmlformats.org/officeDocument/2006/relationships/worksheet" Target="/xl/worksheets/sheet7.xml" Id="R34eccd76a17b47d1" /><Relationship Type="http://schemas.openxmlformats.org/officeDocument/2006/relationships/worksheet" Target="/xl/worksheets/sheet8.xml" Id="R8c654b1ebc814c67" /><Relationship Type="http://schemas.openxmlformats.org/officeDocument/2006/relationships/worksheet" Target="/xl/worksheets/sheet9.xml" Id="R3567d5a9edfa4d8c" /><Relationship Type="http://schemas.openxmlformats.org/officeDocument/2006/relationships/worksheet" Target="/xl/worksheets/sheet10.xml" Id="R3b7cf406ca684eb7" /><Relationship Type="http://schemas.openxmlformats.org/officeDocument/2006/relationships/worksheet" Target="/xl/worksheets/sheet11.xml" Id="Rfe8e731e8f824c45" /><Relationship Type="http://schemas.openxmlformats.org/officeDocument/2006/relationships/worksheet" Target="/xl/worksheets/sheet12.xml" Id="R5dc3d2aa65b44259" /><Relationship Type="http://schemas.openxmlformats.org/officeDocument/2006/relationships/worksheet" Target="/xl/worksheets/sheet13.xml" Id="R41861f6fc4a94d26" /><Relationship Type="http://schemas.openxmlformats.org/officeDocument/2006/relationships/worksheet" Target="/xl/worksheets/sheet14.xml" Id="R6c3edab2413241d6" /><Relationship Id="rIdVbaProject" Type="http://schemas.microsoft.com/office/2006/relationships/vbaProject" Target="vbaProject.bin"/></Relationships>
</file>

<file path=xl/drawings/_rels/drawing1.xml.rels>&#65279;<?xml version="1.0" encoding="utf-8"?><Relationships xmlns="http://schemas.openxmlformats.org/package/2006/relationships"><Relationship Type="http://schemas.openxmlformats.org/officeDocument/2006/relationships/image" Target="/xl/media/image.png" Id="R73c015a0933f4b18" /><Relationship Type="http://schemas.openxmlformats.org/officeDocument/2006/relationships/chart" Target="/xl/drawings/charts/chart1.xml" Id="Re3685a577d5841b8" /><Relationship Type="http://schemas.openxmlformats.org/officeDocument/2006/relationships/chart" Target="/xl/drawings/charts/chart2.xml" Id="Re9d5e8f792334bde" /><Relationship Type="http://schemas.openxmlformats.org/officeDocument/2006/relationships/chart" Target="/xl/drawings/charts/chart3.xml" Id="R52ed0605d61644e3" /><Relationship Type="http://schemas.openxmlformats.org/officeDocument/2006/relationships/chart" Target="/xl/drawings/charts/chart4.xml" Id="R52e36e39386b4118" /><Relationship Type="http://schemas.openxmlformats.org/officeDocument/2006/relationships/chart" Target="/xl/drawings/charts/chart5.xml" Id="Rc78417b94e6a4b8c" /><Relationship Type="http://schemas.openxmlformats.org/officeDocument/2006/relationships/chart" Target="/xl/drawings/charts/chart6.xml" Id="Ref87030314ce490a" /></Relationships>
</file>

<file path=xl/drawings/_rels/drawing3.xml.rels>&#65279;<?xml version="1.0" encoding="utf-8"?><Relationships xmlns="http://schemas.openxmlformats.org/package/2006/relationships"><Relationship Type="http://schemas.openxmlformats.org/officeDocument/2006/relationships/chart" Target="/xl/drawings/charts/chart7.xml" Id="Rd976fc7a633e4e6f" /><Relationship Type="http://schemas.openxmlformats.org/officeDocument/2006/relationships/chart" Target="/xl/drawings/charts/chart8.xml" Id="R7cc76b7893ad47fb" /></Relationships>
</file>

<file path=xl/drawings/_rels/drawing4.xml.rels>&#65279;<?xml version="1.0" encoding="utf-8"?><Relationships xmlns="http://schemas.openxmlformats.org/package/2006/relationships"><Relationship Type="http://schemas.openxmlformats.org/officeDocument/2006/relationships/chart" Target="/xl/drawings/charts/chart9.xml" Id="Re8ea892ef28643a8" /></Relationships>
</file>

<file path=xl/drawings/_rels/drawing5.xml.rels>&#65279;<?xml version="1.0" encoding="utf-8"?><Relationships xmlns="http://schemas.openxmlformats.org/package/2006/relationships"><Relationship Type="http://schemas.openxmlformats.org/officeDocument/2006/relationships/chart" Target="/xl/drawings/charts/chart10.xml" Id="R4de2505451d74c74" /><Relationship Type="http://schemas.openxmlformats.org/officeDocument/2006/relationships/chart" Target="/xl/drawings/charts/chart11.xml" Id="R849f90f437d543bc" /><Relationship Type="http://schemas.openxmlformats.org/officeDocument/2006/relationships/chart" Target="/xl/drawings/charts/chart12.xml" Id="Rd950d433be7e48ae" /><Relationship Type="http://schemas.openxmlformats.org/officeDocument/2006/relationships/chart" Target="/xl/drawings/charts/chart13.xml" Id="Rafbc15ebece94a1a" /><Relationship Type="http://schemas.openxmlformats.org/officeDocument/2006/relationships/chart" Target="/xl/drawings/charts/chart14.xml" Id="R2cd3b7f9f43e4f4f" /><Relationship Type="http://schemas.openxmlformats.org/officeDocument/2006/relationships/chart" Target="/xl/drawings/charts/chart15.xml" Id="Ref4d718073da42bd" /></Relationships>
</file>

<file path=xl/drawings/charts/chart1.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800">
                <a:solidFill>
                  <a:schemeClr val="tx1">
                    <a:lumMod val="65000"/>
                    <a:lumOff val="35000"/>
                  </a:schemeClr>
                </a:solidFill>
                <a:latin typeface="+mn-lt"/>
                <a:ea typeface="+mn-lt"/>
                <a:cs typeface="+mn-lt"/>
              </a:rPr>
              <a:t>Total Project Costs by Month</a:t>
            </a:r>
          </a:p>
        </c:rich>
      </c:tx>
      <c:overlay val="0"/>
      <c:txPr>
        <a:bodyPr xmlns:a="http://schemas.openxmlformats.org/drawingml/2006/main" anchorCtr="1"/>
        <a:lstStyle xmlns:a="http://schemas.openxmlformats.org/drawingml/2006/main"/>
        <a:p xmlns:a="http://schemas.openxmlformats.org/drawingml/2006/main">
          <a:pPr>
            <a:defRPr sz="1800">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v>Project Cost by Month</c:v>
          </c:tx>
          <c:spPr>
            <a:solidFill xmlns:a="http://schemas.openxmlformats.org/drawingml/2006/main">
              <a:srgbClr val="C1B56B"/>
            </a:solidFill>
            <a:ln xmlns:a="http://schemas.openxmlformats.org/drawingml/2006/main" w="6350" cmpd="sng">
              <a:noFill/>
            </a:ln>
          </c:spPr>
          <c:cat>
            <c:numRef>
              <c:f>[0]!Range_Months</c:f>
              <c:numCache>
                <c:formatCode>"Month"\ 0</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cat>
          <c:val>
            <c:numRef>
              <c:f>[0]!Range_Total_Cost</c:f>
              <c:numCache>
                <c:formatCode>#,##0;\(#,##0\);\-</c:formatCode>
                <c:ptCount val="62"/>
                <c:pt idx="0">
                  <c:v>87034792.90517421</c:v>
                </c:pt>
                <c:pt idx="1">
                  <c:v>212162.73181973916</c:v>
                </c:pt>
                <c:pt idx="2">
                  <c:v>483373.12890771433</c:v>
                </c:pt>
                <c:pt idx="3">
                  <c:v>870706.2097054764</c:v>
                </c:pt>
                <c:pt idx="4">
                  <c:v>1407343.039998231</c:v>
                </c:pt>
                <c:pt idx="5">
                  <c:v>2242515.4168408588</c:v>
                </c:pt>
                <c:pt idx="6">
                  <c:v>3066233.2255849475</c:v>
                </c:pt>
                <c:pt idx="7">
                  <c:v>4247815.6680353265</c:v>
                </c:pt>
                <c:pt idx="8">
                  <c:v>5686719.813101141</c:v>
                </c:pt>
                <c:pt idx="9">
                  <c:v>7378219.20713937</c:v>
                </c:pt>
                <c:pt idx="10">
                  <c:v>9293807.51888726</c:v>
                </c:pt>
                <c:pt idx="11">
                  <c:v>11377861.16104539</c:v>
                </c:pt>
                <c:pt idx="12">
                  <c:v>13547336.693550857</c:v>
                </c:pt>
                <c:pt idx="13">
                  <c:v>15695302.068280539</c:v>
                </c:pt>
                <c:pt idx="14">
                  <c:v>17698527.03761406</c:v>
                </c:pt>
                <c:pt idx="15">
                  <c:v>19428611.613568623</c:v>
                </c:pt>
                <c:pt idx="16">
                  <c:v>20765363.623626877</c:v>
                </c:pt>
                <c:pt idx="17">
                  <c:v>21610531.77273961</c:v>
                </c:pt>
                <c:pt idx="18">
                  <c:v>21899727.837075893</c:v>
                </c:pt>
                <c:pt idx="19">
                  <c:v>21610531.77273963</c:v>
                </c:pt>
                <c:pt idx="20">
                  <c:v>20765363.62362684</c:v>
                </c:pt>
                <c:pt idx="21">
                  <c:v>19428611.61356866</c:v>
                </c:pt>
                <c:pt idx="22">
                  <c:v>17698527.037614033</c:v>
                </c:pt>
                <c:pt idx="23">
                  <c:v>15695302.068280539</c:v>
                </c:pt>
                <c:pt idx="24">
                  <c:v>13547336.693550883</c:v>
                </c:pt>
                <c:pt idx="25">
                  <c:v>11377861.16104536</c:v>
                </c:pt>
                <c:pt idx="26">
                  <c:v>9293807.51888726</c:v>
                </c:pt>
                <c:pt idx="27">
                  <c:v>7378219.207139394</c:v>
                </c:pt>
                <c:pt idx="28">
                  <c:v>5686719.813101124</c:v>
                </c:pt>
                <c:pt idx="29">
                  <c:v>4247815.668035327</c:v>
                </c:pt>
                <c:pt idx="30">
                  <c:v>3066233.2255849615</c:v>
                </c:pt>
                <c:pt idx="31">
                  <c:v>2128176.527204938</c:v>
                </c:pt>
                <c:pt idx="32">
                  <c:v>1407343.039998237</c:v>
                </c:pt>
                <c:pt idx="33">
                  <c:v>870706.2097054573</c:v>
                </c:pt>
                <c:pt idx="34">
                  <c:v>483373.1289077367</c:v>
                </c:pt>
                <c:pt idx="35">
                  <c:v>212162.73181972333</c:v>
                </c:pt>
                <c:pt idx="36">
                  <c:v>27848.460729774495</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val>
        </c:ser>
        <c:dLbls>
          <c:showLegendKey val="0"/>
          <c:showVal val="0"/>
          <c:showCatName val="0"/>
          <c:showSerName val="0"/>
          <c:showPercent val="0"/>
          <c:showBubbleSize val="0"/>
          <c:showLeaderLines val="0"/>
        </c:dLbls>
        <c:gapWidth val="40"/>
        <c:overlap val="-35"/>
        <c:axId val="48650112"/>
        <c:axId val="48672768"/>
      </c:barChart>
      <c:catAx>
        <c:axId val="48650112"/>
        <c:scaling>
          <c:orientation val="minMax"/>
        </c:scaling>
        <c:delete val="0"/>
        <c:axPos val="b"/>
        <c:numFmt formatCode="&quot;Month&quot;\ 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50000"/>
                    <a:lumOff val="50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chemeClr val="tx1">
                  <a:lumMod val="15000"/>
                  <a:lumOff val="85000"/>
                </a:schemeClr>
              </a:solidFill>
            </a:ln>
          </c:spPr>
        </c:majorGridlines>
        <c:numFmt formatCode="#,##0;\(#,##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50000"/>
                    <a:lumOff val="50000"/>
                  </a:schemeClr>
                </a:solidFill>
                <a:latin typeface="+mn-lt"/>
                <a:ea typeface="+mn-lt"/>
                <a:cs typeface="+mn-lt"/>
              </a:defRPr>
            </a:pPr>
          </a:p>
        </c:txPr>
        <c:crossAx val="48650112"/>
        <c:crosses val="autoZero"/>
        <c:crossBetween val="between"/>
      </c:valAx>
    </c:plotArea>
    <c:plotVisOnly val="1"/>
  </c:chart>
  <c:spPr>
    <a:noFill xmlns:a="http://schemas.openxmlformats.org/drawingml/2006/main"/>
    <a:ln xmlns:a="http://schemas.openxmlformats.org/drawingml/2006/main" w="9525" cmpd="sng">
      <a:noFill/>
    </a:ln>
  </c:spPr>
</c:chartSpace>
</file>

<file path=xl/drawings/charts/chart2.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800">
                <a:solidFill>
                  <a:schemeClr val="tx1">
                    <a:lumMod val="65000"/>
                    <a:lumOff val="35000"/>
                  </a:schemeClr>
                </a:solidFill>
                <a:latin typeface="+mn-lt"/>
                <a:ea typeface="+mn-lt"/>
                <a:cs typeface="+mn-lt"/>
              </a:rPr>
              <a:t>Net Operating Income</a:t>
            </a:r>
          </a:p>
        </c:rich>
      </c:tx>
      <c:overlay val="0"/>
      <c:txPr>
        <a:bodyPr xmlns:a="http://schemas.openxmlformats.org/drawingml/2006/main" anchorCtr="1"/>
        <a:lstStyle xmlns:a="http://schemas.openxmlformats.org/drawingml/2006/main"/>
        <a:p xmlns:a="http://schemas.openxmlformats.org/drawingml/2006/main">
          <a:pPr>
            <a:defRPr sz="1800">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v>Net Operating Income</c:v>
          </c:tx>
          <c:spPr>
            <a:noFill xmlns:a="http://schemas.openxmlformats.org/drawingml/2006/main"/>
            <a:ln xmlns:a="http://schemas.openxmlformats.org/drawingml/2006/main" w="25400" cmpd="sng">
              <a:solidFill>
                <a:schemeClr val="accent1"/>
              </a:solidFill>
            </a:ln>
          </c:spPr>
          <c:invertIfNegative val="0"/>
          <c:cat>
            <c:numRef>
              <c:f>[0]!Range_Months</c:f>
              <c:numCache>
                <c:formatCode>"Month"\ 0</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cat>
          <c:val>
            <c:numRef>
              <c:f>[0]!Range_NOI</c:f>
              <c:numCache>
                <c:formatCode>#,##0;\(#,##0\);\-</c:formatCode>
                <c:ptCount val="61"/>
                <c:pt idx="0">
                  <c:v>0</c:v>
                </c:pt>
                <c:pt idx="1">
                  <c:v>0</c:v>
                </c:pt>
                <c:pt idx="2">
                  <c:v>0</c:v>
                </c:pt>
                <c:pt idx="3">
                  <c:v>0</c:v>
                </c:pt>
                <c:pt idx="4">
                  <c:v>-114338.88963590557</c:v>
                </c:pt>
                <c:pt idx="5">
                  <c:v>585807.0523423487</c:v>
                </c:pt>
                <c:pt idx="6">
                  <c:v>585807.0523423487</c:v>
                </c:pt>
                <c:pt idx="7">
                  <c:v>585807.0523423487</c:v>
                </c:pt>
                <c:pt idx="8">
                  <c:v>585807.0523423487</c:v>
                </c:pt>
                <c:pt idx="9">
                  <c:v>585807.0523423487</c:v>
                </c:pt>
                <c:pt idx="10">
                  <c:v>585807.0523423487</c:v>
                </c:pt>
                <c:pt idx="11">
                  <c:v>585807.0523423487</c:v>
                </c:pt>
                <c:pt idx="12">
                  <c:v>585807.0523423487</c:v>
                </c:pt>
                <c:pt idx="13">
                  <c:v>585807.0523423487</c:v>
                </c:pt>
                <c:pt idx="14">
                  <c:v>585807.0523423487</c:v>
                </c:pt>
                <c:pt idx="15">
                  <c:v>585807.0523423487</c:v>
                </c:pt>
                <c:pt idx="16">
                  <c:v>437542.1907916869</c:v>
                </c:pt>
                <c:pt idx="17">
                  <c:v>3493551.9779534517</c:v>
                </c:pt>
                <c:pt idx="18">
                  <c:v>3493551.9779534517</c:v>
                </c:pt>
                <c:pt idx="19">
                  <c:v>3493551.9779534517</c:v>
                </c:pt>
                <c:pt idx="20">
                  <c:v>4282314.278165047</c:v>
                </c:pt>
                <c:pt idx="21">
                  <c:v>4282314.278165047</c:v>
                </c:pt>
                <c:pt idx="22">
                  <c:v>4282314.278165047</c:v>
                </c:pt>
                <c:pt idx="23">
                  <c:v>4587843.004782439</c:v>
                </c:pt>
                <c:pt idx="24">
                  <c:v>4587843.004782439</c:v>
                </c:pt>
                <c:pt idx="25">
                  <c:v>4587843.004782439</c:v>
                </c:pt>
                <c:pt idx="26">
                  <c:v>4775925.805365918</c:v>
                </c:pt>
                <c:pt idx="27">
                  <c:v>4775925.805365918</c:v>
                </c:pt>
                <c:pt idx="28">
                  <c:v>4772110.821823959</c:v>
                </c:pt>
                <c:pt idx="29">
                  <c:v>5325002.259651616</c:v>
                </c:pt>
                <c:pt idx="30">
                  <c:v>5325002.259651616</c:v>
                </c:pt>
                <c:pt idx="31">
                  <c:v>5325002.259651616</c:v>
                </c:pt>
                <c:pt idx="32">
                  <c:v>5325002.259651616</c:v>
                </c:pt>
                <c:pt idx="33">
                  <c:v>5450541.4642953</c:v>
                </c:pt>
                <c:pt idx="34">
                  <c:v>5450541.4642953</c:v>
                </c:pt>
                <c:pt idx="35">
                  <c:v>5450541.4642953</c:v>
                </c:pt>
                <c:pt idx="36">
                  <c:v>5458124.797628634</c:v>
                </c:pt>
                <c:pt idx="37">
                  <c:v>5458124.797628634</c:v>
                </c:pt>
                <c:pt idx="38">
                  <c:v>5458124.797628634</c:v>
                </c:pt>
                <c:pt idx="39">
                  <c:v>5464444.573663977</c:v>
                </c:pt>
                <c:pt idx="40">
                  <c:v>5464444.573663977</c:v>
                </c:pt>
                <c:pt idx="41">
                  <c:v>5464444.573663977</c:v>
                </c:pt>
                <c:pt idx="42">
                  <c:v>5628566.581746445</c:v>
                </c:pt>
                <c:pt idx="43">
                  <c:v>5628566.581746445</c:v>
                </c:pt>
                <c:pt idx="44">
                  <c:v>5628566.581746445</c:v>
                </c:pt>
                <c:pt idx="45">
                  <c:v>5657706.998413112</c:v>
                </c:pt>
                <c:pt idx="46">
                  <c:v>5657706.998413112</c:v>
                </c:pt>
                <c:pt idx="47">
                  <c:v>5657706.998413112</c:v>
                </c:pt>
                <c:pt idx="48">
                  <c:v>5665555.748413112</c:v>
                </c:pt>
                <c:pt idx="49">
                  <c:v>5665555.748413112</c:v>
                </c:pt>
                <c:pt idx="50">
                  <c:v>5665555.748413112</c:v>
                </c:pt>
                <c:pt idx="51">
                  <c:v>5671864.935913112</c:v>
                </c:pt>
                <c:pt idx="52">
                  <c:v>5671864.935913112</c:v>
                </c:pt>
                <c:pt idx="53">
                  <c:v>5671864.935913112</c:v>
                </c:pt>
                <c:pt idx="54">
                  <c:v>5820410.191785374</c:v>
                </c:pt>
                <c:pt idx="55">
                  <c:v>5820410.191785374</c:v>
                </c:pt>
                <c:pt idx="56">
                  <c:v>5820410.191785374</c:v>
                </c:pt>
                <c:pt idx="57">
                  <c:v>5850570.523035374</c:v>
                </c:pt>
                <c:pt idx="58">
                  <c:v>5850570.523035374</c:v>
                </c:pt>
                <c:pt idx="59">
                  <c:v>5850570.523035374</c:v>
                </c:pt>
                <c:pt idx="60">
                  <c:v>5858693.979285373</c:v>
                </c:pt>
              </c:numCache>
            </c:numRef>
          </c:val>
        </c:ser>
        <c:dLbls>
          <c:showLegendKey val="0"/>
          <c:showVal val="0"/>
          <c:showCatName val="0"/>
          <c:showSerName val="0"/>
          <c:showPercent val="0"/>
          <c:showBubbleSize val="0"/>
          <c:showLeaderLines val="0"/>
        </c:dLbls>
        <c:gapWidth val="40"/>
        <c:overlap val="-35"/>
        <c:axId val="48650112"/>
        <c:axId val="48672768"/>
      </c:barChart>
      <c:catAx>
        <c:axId val="48650112"/>
        <c:scaling>
          <c:orientation val="minMax"/>
        </c:scaling>
        <c:delete val="0"/>
        <c:axPos val="b"/>
        <c:numFmt formatCode="&quot;Month&quot;\ 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50000"/>
                    <a:lumOff val="50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chemeClr val="tx1">
                  <a:lumMod val="15000"/>
                  <a:lumOff val="85000"/>
                </a:schemeClr>
              </a:solidFill>
            </a:ln>
          </c:spPr>
        </c:majorGridlines>
        <c:numFmt formatCode="#,##0_);\(#,##0\)" sourceLinked="0"/>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50000"/>
                    <a:lumOff val="50000"/>
                  </a:schemeClr>
                </a:solidFill>
                <a:latin typeface="+mn-lt"/>
                <a:ea typeface="+mn-lt"/>
                <a:cs typeface="+mn-lt"/>
              </a:defRPr>
            </a:pPr>
          </a:p>
        </c:txPr>
        <c:crossAx val="48650112"/>
        <c:crosses val="autoZero"/>
        <c:crossBetween val="between"/>
      </c:valAx>
    </c:plotArea>
    <c:plotVisOnly val="1"/>
  </c:chart>
  <c:spPr>
    <a:noFill xmlns:a="http://schemas.openxmlformats.org/drawingml/2006/main"/>
    <a:ln xmlns:a="http://schemas.openxmlformats.org/drawingml/2006/main" w="9525" cmpd="sng">
      <a:noFill/>
    </a:ln>
  </c:spPr>
</c:chartSpace>
</file>

<file path=xl/drawings/charts/chart3.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800">
                <a:solidFill>
                  <a:schemeClr val="tx1">
                    <a:lumMod val="65000"/>
                    <a:lumOff val="35000"/>
                  </a:schemeClr>
                </a:solidFill>
                <a:latin typeface="+mn-lt"/>
                <a:ea typeface="+mn-lt"/>
                <a:cs typeface="+mn-lt"/>
              </a:rPr>
              <a:t>Equity (Tan) and Debt (Purple) Cash Flows by Month</a:t>
            </a:r>
          </a:p>
        </c:rich>
      </c:tx>
      <c:overlay val="0"/>
      <c:txPr>
        <a:bodyPr xmlns:a="http://schemas.openxmlformats.org/drawingml/2006/main" anchorCtr="1"/>
        <a:lstStyle xmlns:a="http://schemas.openxmlformats.org/drawingml/2006/main"/>
        <a:p xmlns:a="http://schemas.openxmlformats.org/drawingml/2006/main">
          <a:pPr>
            <a:defRPr sz="1800">
              <a:solidFill>
                <a:schemeClr val="tx1">
                  <a:lumMod val="65000"/>
                  <a:lumOff val="35000"/>
                </a:schemeClr>
              </a:solidFill>
              <a:latin typeface="+mn-lt"/>
              <a:ea typeface="+mn-lt"/>
              <a:cs typeface="+mn-lt"/>
            </a:defRPr>
          </a:pPr>
        </a:p>
      </c:txPr>
    </c:title>
    <c:autoTitleDeleted val="0"/>
    <c:plotArea>
      <c:layout/>
      <c:barChart>
        <c:barDir val="col"/>
        <c:grouping val="stacked"/>
        <c:varyColors val="0"/>
        <c:ser>
          <c:idx val="0"/>
          <c:order val="0"/>
          <c:tx>
            <c:v>Total Equity</c:v>
          </c:tx>
          <c:spPr>
            <a:solidFill xmlns:a="http://schemas.openxmlformats.org/drawingml/2006/main">
              <a:srgbClr val="C1B56B"/>
            </a:solidFill>
            <a:ln xmlns:a="http://schemas.openxmlformats.org/drawingml/2006/main" w="25400" cmpd="sng">
              <a:noFill/>
            </a:ln>
          </c:spPr>
          <c:cat>
            <c:numRef>
              <c:f>[0]!Range_Months</c:f>
              <c:numCache>
                <c:formatCode>"Month"\ 0</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cat>
          <c:val>
            <c:numRef>
              <c:f>[0]!Range_Equity</c:f>
              <c:numCache>
                <c:formatCode>#,##0;\(#,##0\);\-</c:formatCode>
                <c:ptCount val="62"/>
                <c:pt idx="0">
                  <c:v>87034792.90517421</c:v>
                </c:pt>
                <c:pt idx="1">
                  <c:v>0</c:v>
                </c:pt>
                <c:pt idx="2">
                  <c:v>170317.57335215877</c:v>
                </c:pt>
                <c:pt idx="3">
                  <c:v>557650.6541499209</c:v>
                </c:pt>
                <c:pt idx="4">
                  <c:v>1094287.4844426755</c:v>
                </c:pt>
                <c:pt idx="5">
                  <c:v>1929459.8612853033</c:v>
                </c:pt>
                <c:pt idx="6">
                  <c:v>2753177.670029392</c:v>
                </c:pt>
                <c:pt idx="7">
                  <c:v>3934760.112479771</c:v>
                </c:pt>
                <c:pt idx="8">
                  <c:v>5373664.257545585</c:v>
                </c:pt>
                <c:pt idx="9">
                  <c:v>7065163.651583814</c:v>
                </c:pt>
                <c:pt idx="10">
                  <c:v>8980751.963331705</c:v>
                </c:pt>
                <c:pt idx="11">
                  <c:v>11064805.605489833</c:v>
                </c:pt>
                <c:pt idx="12">
                  <c:v>13234281.1379953</c:v>
                </c:pt>
                <c:pt idx="13">
                  <c:v>15382246.512724983</c:v>
                </c:pt>
                <c:pt idx="14">
                  <c:v>17385471.482058503</c:v>
                </c:pt>
                <c:pt idx="15">
                  <c:v>19115556.058013067</c:v>
                </c:pt>
                <c:pt idx="16">
                  <c:v>4302640.445647225</c:v>
                </c:pt>
                <c:pt idx="17">
                  <c:v>0</c:v>
                </c:pt>
                <c:pt idx="18">
                  <c:v>0</c:v>
                </c:pt>
                <c:pt idx="19">
                  <c:v>0</c:v>
                </c:pt>
                <c:pt idx="20">
                  <c:v>0</c:v>
                </c:pt>
                <c:pt idx="21">
                  <c:v>0</c:v>
                </c:pt>
                <c:pt idx="22">
                  <c:v>1.1175870895385742E-08</c:v>
                </c:pt>
                <c:pt idx="23">
                  <c:v>0</c:v>
                </c:pt>
                <c:pt idx="24">
                  <c:v>2.421438694000244E-08</c:v>
                </c:pt>
                <c:pt idx="25">
                  <c:v>1.30385160446167E-08</c:v>
                </c:pt>
                <c:pt idx="26">
                  <c:v>5.587935447692871E-09</c:v>
                </c:pt>
                <c:pt idx="27">
                  <c:v>0</c:v>
                </c:pt>
                <c:pt idx="28">
                  <c:v>628169.9050593786</c:v>
                </c:pt>
                <c:pt idx="29">
                  <c:v>1991868.595332562</c:v>
                </c:pt>
                <c:pt idx="30">
                  <c:v>1439212.1074419394</c:v>
                </c:pt>
                <c:pt idx="31">
                  <c:v>1010977.1143789361</c:v>
                </c:pt>
                <c:pt idx="32">
                  <c:v>690628.1665104367</c:v>
                </c:pt>
                <c:pt idx="33">
                  <c:v>459169.6677835735</c:v>
                </c:pt>
                <c:pt idx="34">
                  <c:v>170317.57335218112</c:v>
                </c:pt>
                <c:pt idx="35">
                  <c:v>63985.60678175517</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val>
        </c:ser>
        <c:ser>
          <c:idx val="1"/>
          <c:order val="1"/>
          <c:tx>
            <c:v>Total Debt</c:v>
          </c:tx>
          <c:spPr>
            <a:solidFill xmlns:a="http://schemas.openxmlformats.org/drawingml/2006/main">
              <a:srgbClr val="D17DF9"/>
            </a:solidFill>
            <a:ln xmlns:a="http://schemas.openxmlformats.org/drawingml/2006/main" w="25400" cmpd="sng">
              <a:noFill/>
            </a:ln>
          </c:spPr>
          <c:cat>
            <c:strLit>
              <c:ptCount val="0"/>
            </c:strLit>
          </c:cat>
          <c:val>
            <c:numRef>
              <c:f>[0]!Range_Debt</c:f>
              <c:numCache>
                <c:formatCode>#,##0;\(#,##0\);\-</c:formatCode>
                <c:ptCount val="62"/>
                <c:pt idx="0">
                  <c:v>0</c:v>
                </c:pt>
                <c:pt idx="1">
                  <c:v>313055.55555555556</c:v>
                </c:pt>
                <c:pt idx="2">
                  <c:v>313055.55555555556</c:v>
                </c:pt>
                <c:pt idx="3">
                  <c:v>313055.55555555556</c:v>
                </c:pt>
                <c:pt idx="4">
                  <c:v>313055.55555555556</c:v>
                </c:pt>
                <c:pt idx="5">
                  <c:v>313055.55555555556</c:v>
                </c:pt>
                <c:pt idx="6">
                  <c:v>313055.55555555556</c:v>
                </c:pt>
                <c:pt idx="7">
                  <c:v>313055.55555555556</c:v>
                </c:pt>
                <c:pt idx="8">
                  <c:v>313055.55555555556</c:v>
                </c:pt>
                <c:pt idx="9">
                  <c:v>313055.55555555556</c:v>
                </c:pt>
                <c:pt idx="10">
                  <c:v>313055.55555555556</c:v>
                </c:pt>
                <c:pt idx="11">
                  <c:v>313055.55555555556</c:v>
                </c:pt>
                <c:pt idx="12">
                  <c:v>313055.55555555556</c:v>
                </c:pt>
                <c:pt idx="13">
                  <c:v>313055.55555555556</c:v>
                </c:pt>
                <c:pt idx="14">
                  <c:v>313055.55555555556</c:v>
                </c:pt>
                <c:pt idx="15">
                  <c:v>313055.55555555556</c:v>
                </c:pt>
                <c:pt idx="16">
                  <c:v>16462723.177979652</c:v>
                </c:pt>
                <c:pt idx="17">
                  <c:v>21785085.385473285</c:v>
                </c:pt>
                <c:pt idx="18">
                  <c:v>21990476.974151812</c:v>
                </c:pt>
                <c:pt idx="19">
                  <c:v>21610531.77273963</c:v>
                </c:pt>
                <c:pt idx="20">
                  <c:v>20765363.62362684</c:v>
                </c:pt>
                <c:pt idx="21">
                  <c:v>19428611.61356866</c:v>
                </c:pt>
                <c:pt idx="22">
                  <c:v>17698527.03761402</c:v>
                </c:pt>
                <c:pt idx="23">
                  <c:v>15695302.068280539</c:v>
                </c:pt>
                <c:pt idx="24">
                  <c:v>13547336.693550859</c:v>
                </c:pt>
                <c:pt idx="25">
                  <c:v>11377861.161045346</c:v>
                </c:pt>
                <c:pt idx="26">
                  <c:v>9293807.518887255</c:v>
                </c:pt>
                <c:pt idx="27">
                  <c:v>7378219.207139394</c:v>
                </c:pt>
                <c:pt idx="28">
                  <c:v>5058549.908041745</c:v>
                </c:pt>
                <c:pt idx="29">
                  <c:v>2255947.0727027655</c:v>
                </c:pt>
                <c:pt idx="30">
                  <c:v>1627021.118143022</c:v>
                </c:pt>
                <c:pt idx="31">
                  <c:v>1117199.4128260016</c:v>
                </c:pt>
                <c:pt idx="32">
                  <c:v>716714.8734878004</c:v>
                </c:pt>
                <c:pt idx="33">
                  <c:v>411536.5419218838</c:v>
                </c:pt>
                <c:pt idx="34">
                  <c:v>313055.55555555556</c:v>
                </c:pt>
                <c:pt idx="35">
                  <c:v>148177.12503796816</c:v>
                </c:pt>
                <c:pt idx="36">
                  <c:v>44612.05233198404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val>
        </c:ser>
        <c:dLbls>
          <c:showLegendKey val="0"/>
          <c:showVal val="0"/>
          <c:showCatName val="0"/>
          <c:showSerName val="0"/>
          <c:showPercent val="0"/>
          <c:showBubbleSize val="0"/>
          <c:showLeaderLines val="0"/>
        </c:dLbls>
        <c:gapWidth val="40"/>
        <c:overlap val="100"/>
        <c:axId val="48650112"/>
        <c:axId val="48672768"/>
      </c:barChart>
      <c:catAx>
        <c:axId val="48650112"/>
        <c:scaling>
          <c:orientation val="minMax"/>
        </c:scaling>
        <c:delete val="0"/>
        <c:axPos val="b"/>
        <c:numFmt formatCode="&quot;Month&quot;\ 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50000"/>
                    <a:lumOff val="50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chemeClr val="tx1">
                  <a:lumMod val="15000"/>
                  <a:lumOff val="85000"/>
                </a:schemeClr>
              </a:solidFill>
            </a:ln>
          </c:spPr>
        </c:majorGridlines>
        <c:numFmt formatCode="#,##0;\(#,##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50000"/>
                    <a:lumOff val="50000"/>
                  </a:schemeClr>
                </a:solidFill>
                <a:latin typeface="+mn-lt"/>
                <a:ea typeface="+mn-lt"/>
                <a:cs typeface="+mn-lt"/>
              </a:defRPr>
            </a:pPr>
          </a:p>
        </c:txPr>
        <c:crossAx val="48650112"/>
        <c:crosses val="autoZero"/>
        <c:crossBetween val="between"/>
      </c:valAx>
    </c:plotArea>
    <c:plotVisOnly val="1"/>
  </c:chart>
  <c:spPr>
    <a:noFill xmlns:a="http://schemas.openxmlformats.org/drawingml/2006/main"/>
    <a:ln xmlns:a="http://schemas.openxmlformats.org/drawingml/2006/main" w="9525" cmpd="sng">
      <a:noFill/>
    </a:ln>
  </c:spPr>
</c:chartSpace>
</file>

<file path=xl/drawings/charts/chart4.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400">
                <a:solidFill>
                  <a:schemeClr val="tx1">
                    <a:lumMod val="65000"/>
                    <a:lumOff val="35000"/>
                  </a:schemeClr>
                </a:solidFill>
                <a:latin typeface="+mn-lt"/>
                <a:ea typeface="+mn-lt"/>
                <a:cs typeface="+mn-lt"/>
              </a:rPr>
              <a:t>Development Spread</a:t>
            </a:r>
          </a:p>
        </c:rich>
      </c:tx>
      <c:overlay val="0"/>
      <c:txPr>
        <a:bodyPr xmlns:a="http://schemas.openxmlformats.org/drawingml/2006/main" anchorCtr="1"/>
        <a:lstStyle xmlns:a="http://schemas.openxmlformats.org/drawingml/2006/main"/>
        <a:p xmlns:a="http://schemas.openxmlformats.org/drawingml/2006/main">
          <a:pPr>
            <a:defRPr sz="1400">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v>Yield-on-Cost</c:v>
          </c:tx>
          <c:spPr>
            <a:solidFill xmlns:a="http://schemas.openxmlformats.org/drawingml/2006/main">
              <a:srgbClr val="F6E5FE"/>
            </a:solidFill>
            <a:ln xmlns:a="http://schemas.openxmlformats.org/drawingml/2006/main">
              <a:noFill/>
            </a:ln>
          </c:spPr>
          <c:cat>
            <c:strRef>
              <c:f>Summary!$R$27:$S$27</c:f>
              <c:strCache>
                <c:ptCount val="2"/>
                <c:pt idx="0">
                  <c:v>Stabilized (Untrended)</c:v>
                </c:pt>
                <c:pt idx="1">
                  <c:v>Sale</c:v>
                </c:pt>
              </c:strCache>
            </c:strRef>
          </c:cat>
          <c:val>
            <c:numRef>
              <c:f>Summary!$R$28:$S$28</c:f>
              <c:numCache>
                <c:formatCode>0.0%</c:formatCode>
                <c:ptCount val="2"/>
                <c:pt idx="0">
                  <c:v>0.10875460717802571</c:v>
                </c:pt>
                <c:pt idx="1">
                  <c:v>0.17040903474765307</c:v>
                </c:pt>
              </c:numCache>
            </c:numRef>
          </c:val>
        </c:ser>
        <c:ser>
          <c:idx val="1"/>
          <c:order val="1"/>
          <c:tx>
            <c:v>Mkt Cap Rate</c:v>
          </c:tx>
          <c:spPr>
            <a:solidFill xmlns:a="http://schemas.openxmlformats.org/drawingml/2006/main">
              <a:srgbClr val="F3F0E1"/>
            </a:solidFill>
            <a:ln xmlns:a="http://schemas.openxmlformats.org/drawingml/2006/main">
              <a:noFill/>
            </a:ln>
          </c:spPr>
          <c:cat>
            <c:strRef>
              <c:f>Summary!$R$27:$S$27</c:f>
              <c:strCache>
                <c:ptCount val="2"/>
                <c:pt idx="0">
                  <c:v>Stabilized (Untrended)</c:v>
                </c:pt>
                <c:pt idx="1">
                  <c:v>Sale</c:v>
                </c:pt>
              </c:strCache>
            </c:strRef>
          </c:cat>
          <c:val>
            <c:numRef>
              <c:f>Summary!$R$29:$S$29</c:f>
              <c:numCache>
                <c:formatCode>0.0%</c:formatCode>
                <c:ptCount val="2"/>
                <c:pt idx="0">
                  <c:v>0.06700819672131147</c:v>
                </c:pt>
                <c:pt idx="1">
                  <c:v>0.0675</c:v>
                </c:pt>
              </c:numCache>
            </c:numRef>
          </c:val>
        </c:ser>
        <c:dLbls>
          <c:showLegendKey val="0"/>
          <c:showVal val="0"/>
          <c:showCatName val="0"/>
          <c:showSerName val="0"/>
          <c:showPercent val="0"/>
          <c:showBubbleSize val="0"/>
          <c:showLeaderLines val="0"/>
        </c:dLbls>
        <c:gapWidth val="219"/>
        <c:overlap val="-27"/>
        <c:axId val="48650112"/>
        <c:axId val="48672768"/>
      </c:barChart>
      <c:catAx>
        <c:axId val="48650112"/>
        <c:scaling>
          <c:orientation val="minMax"/>
        </c:scaling>
        <c:delete val="0"/>
        <c:axPos val="b"/>
        <c:numFmt formatCode="General" sourceLinked="1"/>
        <c:majorTickMark val="none"/>
        <c:minorTickMark val="none"/>
        <c:tickLblPos val="nextTo"/>
        <c:spPr>
          <a:ln xmlns:a="http://schemas.openxmlformats.org/drawingml/2006/main" w="9525" cmpd="sng">
            <a:solidFill>
              <a:schemeClr val="tx1">
                <a:lumMod val="15000"/>
                <a:lumOff val="85000"/>
              </a:schemeClr>
            </a:solid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cmpd="sng">
              <a:solidFill>
                <a:schemeClr val="tx1">
                  <a:lumMod val="15000"/>
                  <a:lumOff val="85000"/>
                </a:schemeClr>
              </a:solidFill>
            </a:ln>
          </c:spPr>
        </c:majorGridlines>
        <c:numFmt formatCode="0.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50112"/>
        <c:crosses val="autoZero"/>
        <c:crossBetween val="between"/>
      </c:valAx>
    </c:plotArea>
    <c:legend>
      <c:legendPos val="b"/>
      <c:overlay val="0"/>
      <c:spPr>
        <a:noFill xmlns:a="http://schemas.openxmlformats.org/drawingml/2006/main"/>
      </c:spPr>
      <c:txPr>
        <a:bodyPr xmlns:a="http://schemas.openxmlformats.org/drawingml/2006/main" rot="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legend>
    <c:plotVisOnly val="1"/>
  </c:chart>
  <c:spPr>
    <a:noFill xmlns:a="http://schemas.openxmlformats.org/drawingml/2006/main"/>
    <a:ln xmlns:a="http://schemas.openxmlformats.org/drawingml/2006/main" w="9525" cmpd="sng">
      <a:noFill/>
    </a:ln>
  </c:spPr>
</c:chartSpace>
</file>

<file path=xl/drawings/charts/chart5.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400">
                <a:solidFill>
                  <a:schemeClr val="tx1">
                    <a:lumMod val="65000"/>
                    <a:lumOff val="35000"/>
                  </a:schemeClr>
                </a:solidFill>
                <a:latin typeface="+mn-lt"/>
                <a:ea typeface="+mn-lt"/>
                <a:cs typeface="+mn-lt"/>
              </a:rPr>
              <a:t>Equity IRR by Partner</a:t>
            </a:r>
          </a:p>
        </c:rich>
      </c:tx>
      <c:overlay val="0"/>
      <c:txPr>
        <a:bodyPr xmlns:a="http://schemas.openxmlformats.org/drawingml/2006/main" anchorCtr="1"/>
        <a:lstStyle xmlns:a="http://schemas.openxmlformats.org/drawingml/2006/main"/>
        <a:p xmlns:a="http://schemas.openxmlformats.org/drawingml/2006/main">
          <a:pPr>
            <a:defRPr sz="1400">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v>Equity IRR</c:v>
          </c:tx>
          <c:spPr>
            <a:solidFill xmlns:a="http://schemas.openxmlformats.org/drawingml/2006/main">
              <a:srgbClr val="FCEAD0"/>
            </a:solidFill>
            <a:ln xmlns:a="http://schemas.openxmlformats.org/drawingml/2006/main">
              <a:noFill/>
            </a:ln>
          </c:spPr>
          <c:cat>
            <c:strRef>
              <c:f>Summary!$N$21:$N$23</c:f>
              <c:strCache>
                <c:ptCount val="2"/>
                <c:pt idx="0">
                  <c:v>Limited Partners</c:v>
                </c:pt>
                <c:pt idx="1">
                  <c:v>General Partner / Sponsor</c:v>
                </c:pt>
              </c:strCache>
            </c:strRef>
          </c:cat>
          <c:val>
            <c:numRef>
              <c:f>Summary!$S$21:$S$23</c:f>
              <c:numCache>
                <c:formatCode>0.0%</c:formatCode>
                <c:ptCount val="3"/>
                <c:pt idx="0">
                  <c:v>4.76837158203125E-09</c:v>
                </c:pt>
                <c:pt idx="1">
                  <c:v>1.1812423110008243</c:v>
                </c:pt>
                <c:pt idx="2">
                  <c:v>0</c:v>
                </c:pt>
              </c:numCache>
            </c:numRef>
          </c:val>
        </c:ser>
        <c:dLbls>
          <c:showLegendKey val="0"/>
          <c:showVal val="0"/>
          <c:showCatName val="0"/>
          <c:showSerName val="0"/>
          <c:showPercent val="0"/>
          <c:showBubbleSize val="0"/>
          <c:showLeaderLines val="0"/>
        </c:dLbls>
        <c:gapWidth val="219"/>
        <c:overlap val="-27"/>
        <c:axId val="48650112"/>
        <c:axId val="48672768"/>
      </c:barChart>
      <c:catAx>
        <c:axId val="48650112"/>
        <c:scaling>
          <c:orientation val="minMax"/>
        </c:scaling>
        <c:delete val="0"/>
        <c:axPos val="b"/>
        <c:numFmt formatCode="General" sourceLinked="1"/>
        <c:majorTickMark val="none"/>
        <c:minorTickMark val="none"/>
        <c:tickLblPos val="nextTo"/>
        <c:spPr>
          <a:ln xmlns:a="http://schemas.openxmlformats.org/drawingml/2006/main" w="9525" cmpd="sng">
            <a:solidFill>
              <a:schemeClr val="tx1">
                <a:lumMod val="15000"/>
                <a:lumOff val="85000"/>
              </a:schemeClr>
            </a:solid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cmpd="sng">
              <a:solidFill>
                <a:schemeClr val="tx1">
                  <a:lumMod val="15000"/>
                  <a:lumOff val="85000"/>
                </a:schemeClr>
              </a:solidFill>
            </a:ln>
          </c:spPr>
        </c:majorGridlines>
        <c:numFmt formatCode="0.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50112"/>
        <c:crosses val="autoZero"/>
        <c:crossBetween val="between"/>
      </c:valAx>
    </c:plotArea>
    <c:legend>
      <c:legendPos val="b"/>
      <c:overlay val="0"/>
      <c:spPr>
        <a:noFill xmlns:a="http://schemas.openxmlformats.org/drawingml/2006/main"/>
      </c:spPr>
      <c:txPr>
        <a:bodyPr xmlns:a="http://schemas.openxmlformats.org/drawingml/2006/main" rot="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legend>
    <c:plotVisOnly val="1"/>
  </c:chart>
  <c:spPr>
    <a:noFill xmlns:a="http://schemas.openxmlformats.org/drawingml/2006/main"/>
    <a:ln xmlns:a="http://schemas.openxmlformats.org/drawingml/2006/main" w="9525" cmpd="sng">
      <a:noFill/>
    </a:ln>
  </c:spPr>
</c:chartSpace>
</file>

<file path=xl/drawings/charts/chart6.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400">
                <a:solidFill>
                  <a:schemeClr val="tx1">
                    <a:lumMod val="65000"/>
                    <a:lumOff val="35000"/>
                  </a:schemeClr>
                </a:solidFill>
                <a:latin typeface="+mn-lt"/>
                <a:ea typeface="+mn-lt"/>
                <a:cs typeface="+mn-lt"/>
              </a:rPr>
              <a:t>Equity Multiple by Partner</a:t>
            </a:r>
          </a:p>
        </c:rich>
      </c:tx>
      <c:overlay val="0"/>
      <c:txPr>
        <a:bodyPr xmlns:a="http://schemas.openxmlformats.org/drawingml/2006/main" anchorCtr="1"/>
        <a:lstStyle xmlns:a="http://schemas.openxmlformats.org/drawingml/2006/main"/>
        <a:p xmlns:a="http://schemas.openxmlformats.org/drawingml/2006/main">
          <a:pPr>
            <a:defRPr sz="1400">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v>Equity Multiple</c:v>
          </c:tx>
          <c:spPr>
            <a:solidFill xmlns:a="http://schemas.openxmlformats.org/drawingml/2006/main">
              <a:srgbClr val="F09415"/>
            </a:solidFill>
            <a:ln xmlns:a="http://schemas.openxmlformats.org/drawingml/2006/main">
              <a:noFill/>
            </a:ln>
          </c:spPr>
          <c:cat>
            <c:strRef>
              <c:f>Summary!$N$21:$N$23</c:f>
              <c:strCache>
                <c:ptCount val="2"/>
                <c:pt idx="0">
                  <c:v>Limited Partners</c:v>
                </c:pt>
                <c:pt idx="1">
                  <c:v>General Partner / Sponsor</c:v>
                </c:pt>
              </c:strCache>
            </c:strRef>
          </c:cat>
          <c:val>
            <c:numRef>
              <c:f>Summary!$R$21:$R$23</c:f>
              <c:numCache>
                <c:formatCode>0.00"x"</c:formatCode>
                <c:ptCount val="3"/>
                <c:pt idx="0">
                  <c:v>6.919705122812984</c:v>
                </c:pt>
                <c:pt idx="1">
                  <c:v>33.56174822215119</c:v>
                </c:pt>
                <c:pt idx="2">
                  <c:v>0</c:v>
                </c:pt>
              </c:numCache>
            </c:numRef>
          </c:val>
        </c:ser>
        <c:dLbls>
          <c:dLblPos val="outEnd"/>
          <c:showLegendKey val="0"/>
          <c:showVal val="1"/>
          <c:showCatName val="0"/>
          <c:showSerName val="0"/>
          <c:showPercent val="0"/>
          <c:showBubbleSize val="0"/>
          <c:showLeaderLines val="0"/>
        </c:dLbls>
        <c:gapWidth val="219"/>
        <c:overlap val="-27"/>
        <c:axId val="48650112"/>
        <c:axId val="48672768"/>
      </c:barChart>
      <c:catAx>
        <c:axId val="48650112"/>
        <c:scaling>
          <c:orientation val="minMax"/>
        </c:scaling>
        <c:delete val="0"/>
        <c:axPos val="b"/>
        <c:numFmt formatCode="General" sourceLinked="1"/>
        <c:majorTickMark val="none"/>
        <c:minorTickMark val="none"/>
        <c:tickLblPos val="nextTo"/>
        <c:spPr>
          <a:ln xmlns:a="http://schemas.openxmlformats.org/drawingml/2006/main" w="9525" cmpd="sng">
            <a:solidFill>
              <a:schemeClr val="tx1">
                <a:lumMod val="15000"/>
                <a:lumOff val="85000"/>
              </a:schemeClr>
            </a:solid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cmpd="sng">
              <a:solidFill>
                <a:schemeClr val="tx1">
                  <a:lumMod val="15000"/>
                  <a:lumOff val="85000"/>
                </a:schemeClr>
              </a:solidFill>
            </a:ln>
          </c:spPr>
        </c:majorGridlines>
        <c:numFmt formatCode="0.00&quot;x&quot;"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50112"/>
        <c:crosses val="autoZero"/>
        <c:crossBetween val="between"/>
      </c:valAx>
    </c:plotArea>
    <c:legend>
      <c:legendPos val="b"/>
      <c:overlay val="0"/>
      <c:spPr>
        <a:noFill xmlns:a="http://schemas.openxmlformats.org/drawingml/2006/main"/>
      </c:spPr>
      <c:txPr>
        <a:bodyPr xmlns:a="http://schemas.openxmlformats.org/drawingml/2006/main" rot="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legend>
    <c:plotVisOnly val="1"/>
  </c:chart>
  <c:spPr>
    <a:noFill xmlns:a="http://schemas.openxmlformats.org/drawingml/2006/main"/>
    <a:ln xmlns:a="http://schemas.openxmlformats.org/drawingml/2006/main" w="9525" cmpd="sng">
      <a:noFill/>
    </a:ln>
  </c:spPr>
</c:chartSpace>
</file>

<file path=xl/drawings/charts/chart7.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400" b="1">
                <a:solidFill>
                  <a:schemeClr val="lt1">
                    <a:lumMod val="85000"/>
                  </a:schemeClr>
                </a:solidFill>
                <a:latin typeface="+mn-lt"/>
                <a:ea typeface="+mn-lt"/>
                <a:cs typeface="+mn-lt"/>
              </a:rPr>
              <a:t>First Generation Leasing by Year (NRA)</a:t>
            </a:r>
          </a:p>
        </c:rich>
      </c:tx>
      <c:overlay val="0"/>
      <c:txPr>
        <a:bodyPr xmlns:a="http://schemas.openxmlformats.org/drawingml/2006/main" anchorCtr="1"/>
        <a:lstStyle xmlns:a="http://schemas.openxmlformats.org/drawingml/2006/main"/>
        <a:p xmlns:a="http://schemas.openxmlformats.org/drawingml/2006/main">
          <a:pPr>
            <a:defRPr sz="1400" b="1">
              <a:solidFill>
                <a:schemeClr val="lt1">
                  <a:lumMod val="85000"/>
                </a:schemeClr>
              </a:solidFill>
              <a:latin typeface="+mn-lt"/>
              <a:ea typeface="+mn-lt"/>
              <a:cs typeface="+mn-lt"/>
            </a:defRPr>
          </a:pPr>
        </a:p>
      </c:txPr>
    </c:title>
    <c:autoTitleDeleted val="0"/>
    <c:plotArea>
      <c:layout/>
      <c:barChart>
        <c:barDir val="col"/>
        <c:grouping val="clustered"/>
        <c:varyColors val="0"/>
        <c:ser>
          <c:idx val="0"/>
          <c:order val="0"/>
          <c:spPr>
            <a:noFill xmlns:a="http://schemas.openxmlformats.org/drawingml/2006/main"/>
            <a:ln xmlns:a="http://schemas.openxmlformats.org/drawingml/2006/main" w="9525" cmpd="sng">
              <a:solidFill>
                <a:schemeClr val="accent1"/>
              </a:solidFill>
            </a:ln>
          </c:spPr>
          <c:cat>
            <c:strRef>
              <c:f>'Tenant Report'!$E$5:$N$5</c:f>
              <c:strCache>
                <c:ptCount val="6"/>
                <c:pt idx="0">
                  <c:v>Year 1</c:v>
                </c:pt>
                <c:pt idx="1">
                  <c:v>Year 2</c:v>
                </c:pt>
                <c:pt idx="2">
                  <c:v>Year 3</c:v>
                </c:pt>
                <c:pt idx="3">
                  <c:v>Year 4</c:v>
                </c:pt>
                <c:pt idx="4">
                  <c:v>Year 5</c:v>
                </c:pt>
                <c:pt idx="5">
                  <c:v>Year 6</c:v>
                </c:pt>
              </c:strCache>
            </c:strRef>
          </c:cat>
          <c:val>
            <c:numRef>
              <c:f>'Tenant Report'!$E$6:$N$6</c:f>
              <c:numCache>
                <c:formatCode>#,##0</c:formatCode>
                <c:ptCount val="10"/>
                <c:pt idx="0">
                  <c:v>0</c:v>
                </c:pt>
                <c:pt idx="1">
                  <c:v>48000</c:v>
                </c:pt>
                <c:pt idx="2">
                  <c:v>30200.380000000005</c:v>
                </c:pt>
                <c:pt idx="3">
                  <c:v>112</c:v>
                </c:pt>
                <c:pt idx="4">
                  <c:v>0</c:v>
                </c:pt>
                <c:pt idx="5">
                  <c:v>0</c:v>
                </c:pt>
                <c:pt idx="6">
                  <c:v>0</c:v>
                </c:pt>
                <c:pt idx="7">
                  <c:v>0</c:v>
                </c:pt>
                <c:pt idx="8">
                  <c:v>0</c:v>
                </c:pt>
                <c:pt idx="9">
                  <c:v>0</c:v>
                </c:pt>
              </c:numCache>
            </c:numRef>
          </c:val>
        </c:ser>
        <c:dLbls>
          <c:showLegendKey val="0"/>
          <c:showVal val="0"/>
          <c:showCatName val="0"/>
          <c:showSerName val="0"/>
          <c:showPercent val="0"/>
          <c:showBubbleSize val="0"/>
          <c:showLeaderLines val="0"/>
        </c:dLbls>
        <c:gapWidth val="315"/>
        <c:overlap val="-40"/>
        <c:axId val="48650112"/>
        <c:axId val="48672768"/>
      </c:barChart>
      <c:catAx>
        <c:axId val="48650112"/>
        <c:scaling>
          <c:orientation val="minMax"/>
        </c:scaling>
        <c:delete val="0"/>
        <c:axPos val="b"/>
        <c:majorGridlines>
          <c:spPr>
            <a:ln xmlns:a="http://schemas.openxmlformats.org/drawingml/2006/main" w="9525" cmpd="sng">
              <a:gradFill>
                <a:gsLst>
                  <a:gs pos="100000">
                    <a:schemeClr val="dk1">
                      <a:lumMod val="75000"/>
                      <a:lumOff val="25000"/>
                    </a:schemeClr>
                  </a:gs>
                  <a:gs pos="0">
                    <a:schemeClr val="dk1">
                      <a:lumMod val="65000"/>
                      <a:lumOff val="35000"/>
                    </a:schemeClr>
                  </a:gs>
                </a:gsLst>
                <a:lin ang="5400000"/>
              </a:gradFill>
            </a:ln>
          </c:spPr>
        </c:majorGridlines>
        <c:numFmt formatCode="General"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lt1">
                    <a:lumMod val="75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cmpd="sng">
              <a:gradFill>
                <a:gsLst>
                  <a:gs pos="100000">
                    <a:schemeClr val="dk1">
                      <a:lumMod val="75000"/>
                      <a:lumOff val="25000"/>
                    </a:schemeClr>
                  </a:gs>
                  <a:gs pos="0">
                    <a:schemeClr val="dk1">
                      <a:lumMod val="65000"/>
                      <a:lumOff val="35000"/>
                    </a:schemeClr>
                  </a:gs>
                </a:gsLst>
                <a:lin ang="5400000"/>
              </a:gradFill>
            </a:ln>
          </c:spPr>
        </c:majorGridlines>
        <c:numFmt formatCode="#,##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lt1">
                    <a:lumMod val="75000"/>
                  </a:schemeClr>
                </a:solidFill>
                <a:latin typeface="+mn-lt"/>
                <a:ea typeface="+mn-lt"/>
                <a:cs typeface="+mn-lt"/>
              </a:defRPr>
            </a:pPr>
          </a:p>
        </c:txPr>
        <c:crossAx val="48650112"/>
        <c:crosses val="autoZero"/>
        <c:crossBetween val="between"/>
      </c:valAx>
    </c:plotArea>
    <c:plotVisOnly val="1"/>
  </c:chart>
  <c:spPr>
    <a:solidFill xmlns:a="http://schemas.openxmlformats.org/drawingml/2006/main">
      <a:schemeClr val="dk1">
        <a:lumMod val="75000"/>
        <a:lumOff val="25000"/>
      </a:schemeClr>
    </a:solidFill>
    <a:ln xmlns:a="http://schemas.openxmlformats.org/drawingml/2006/main" w="9525" cmpd="sng">
      <a:solidFill>
        <a:schemeClr val="dk1">
          <a:lumMod val="15000"/>
          <a:lumOff val="85000"/>
        </a:schemeClr>
      </a:solidFill>
    </a:ln>
  </c:spPr>
</c:chartSpace>
</file>

<file path=xl/drawings/charts/chart8.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400" b="1">
                <a:solidFill>
                  <a:schemeClr val="lt1">
                    <a:lumMod val="85000"/>
                  </a:schemeClr>
                </a:solidFill>
                <a:latin typeface="+mn-lt"/>
                <a:ea typeface="+mn-lt"/>
                <a:cs typeface="+mn-lt"/>
              </a:rPr>
              <a:t>Occupancy by Year (% of Total NRA)</a:t>
            </a:r>
          </a:p>
        </c:rich>
      </c:tx>
      <c:overlay val="0"/>
      <c:txPr>
        <a:bodyPr xmlns:a="http://schemas.openxmlformats.org/drawingml/2006/main" anchorCtr="1"/>
        <a:lstStyle xmlns:a="http://schemas.openxmlformats.org/drawingml/2006/main"/>
        <a:p xmlns:a="http://schemas.openxmlformats.org/drawingml/2006/main">
          <a:pPr>
            <a:defRPr sz="1400" b="1">
              <a:solidFill>
                <a:schemeClr val="lt1">
                  <a:lumMod val="85000"/>
                </a:schemeClr>
              </a:solidFill>
              <a:latin typeface="+mn-lt"/>
              <a:ea typeface="+mn-lt"/>
              <a:cs typeface="+mn-lt"/>
            </a:defRPr>
          </a:pPr>
        </a:p>
      </c:txPr>
    </c:title>
    <c:autoTitleDeleted val="0"/>
    <c:plotArea>
      <c:layout/>
      <c:barChart>
        <c:barDir val="col"/>
        <c:grouping val="clustered"/>
        <c:varyColors val="0"/>
        <c:ser>
          <c:idx val="0"/>
          <c:order val="0"/>
          <c:spPr>
            <a:noFill xmlns:a="http://schemas.openxmlformats.org/drawingml/2006/main"/>
            <a:ln xmlns:a="http://schemas.openxmlformats.org/drawingml/2006/main" w="9525" cmpd="sng">
              <a:solidFill>
                <a:schemeClr val="accent1"/>
              </a:solidFill>
            </a:ln>
          </c:spPr>
          <c:cat>
            <c:strRef>
              <c:f>'Tenant Report'!$E$5:$N$5</c:f>
              <c:strCache>
                <c:ptCount val="6"/>
                <c:pt idx="0">
                  <c:v>Year 1</c:v>
                </c:pt>
                <c:pt idx="1">
                  <c:v>Year 2</c:v>
                </c:pt>
                <c:pt idx="2">
                  <c:v>Year 3</c:v>
                </c:pt>
                <c:pt idx="3">
                  <c:v>Year 4</c:v>
                </c:pt>
                <c:pt idx="4">
                  <c:v>Year 5</c:v>
                </c:pt>
                <c:pt idx="5">
                  <c:v>Year 6</c:v>
                </c:pt>
              </c:strCache>
            </c:strRef>
          </c:cat>
          <c:val>
            <c:numRef>
              <c:f>'Tenant Report'!$E$8:$N$8</c:f>
              <c:numCache>
                <c:formatCode>0%</c:formatCode>
                <c:ptCount val="10"/>
                <c:pt idx="0">
                  <c:v>0</c:v>
                </c:pt>
                <c:pt idx="1">
                  <c:v>0.6129299096771161</c:v>
                </c:pt>
                <c:pt idx="2">
                  <c:v>0.9985698302107534</c:v>
                </c:pt>
                <c:pt idx="3">
                  <c:v>1</c:v>
                </c:pt>
                <c:pt idx="4">
                  <c:v>1</c:v>
                </c:pt>
                <c:pt idx="5">
                  <c:v>1</c:v>
                </c:pt>
                <c:pt idx="6">
                  <c:v>0</c:v>
                </c:pt>
                <c:pt idx="7">
                  <c:v>0</c:v>
                </c:pt>
                <c:pt idx="8">
                  <c:v>0</c:v>
                </c:pt>
                <c:pt idx="9">
                  <c:v>0</c:v>
                </c:pt>
              </c:numCache>
            </c:numRef>
          </c:val>
        </c:ser>
        <c:dLbls>
          <c:showLegendKey val="0"/>
          <c:showVal val="0"/>
          <c:showCatName val="0"/>
          <c:showSerName val="0"/>
          <c:showPercent val="0"/>
          <c:showBubbleSize val="0"/>
          <c:showLeaderLines val="0"/>
        </c:dLbls>
        <c:gapWidth val="315"/>
        <c:overlap val="-40"/>
        <c:axId val="48650112"/>
        <c:axId val="48672768"/>
      </c:barChart>
      <c:catAx>
        <c:axId val="48650112"/>
        <c:scaling>
          <c:orientation val="minMax"/>
        </c:scaling>
        <c:delete val="0"/>
        <c:axPos val="b"/>
        <c:majorGridlines>
          <c:spPr>
            <a:ln xmlns:a="http://schemas.openxmlformats.org/drawingml/2006/main" w="9525" cmpd="sng">
              <a:gradFill>
                <a:gsLst>
                  <a:gs pos="100000">
                    <a:schemeClr val="dk1">
                      <a:lumMod val="75000"/>
                      <a:lumOff val="25000"/>
                    </a:schemeClr>
                  </a:gs>
                  <a:gs pos="0">
                    <a:schemeClr val="dk1">
                      <a:lumMod val="65000"/>
                      <a:lumOff val="35000"/>
                    </a:schemeClr>
                  </a:gs>
                </a:gsLst>
                <a:lin ang="5400000"/>
              </a:gradFill>
            </a:ln>
          </c:spPr>
        </c:majorGridlines>
        <c:numFmt formatCode="General"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lt1">
                    <a:lumMod val="75000"/>
                  </a:schemeClr>
                </a:solidFill>
                <a:latin typeface="+mn-lt"/>
                <a:ea typeface="+mn-lt"/>
                <a:cs typeface="+mn-lt"/>
              </a:defRPr>
            </a:pPr>
          </a:p>
        </c:txPr>
        <c:crossAx val="48672768"/>
        <c:crosses val="autoZero"/>
        <c:lblAlgn val="ctr"/>
        <c:lblOffset val="100"/>
        <c:noMultiLvlLbl val="0"/>
      </c:catAx>
      <c:valAx>
        <c:axId val="48672768"/>
        <c:scaling>
          <c:orientation val="minMax"/>
          <c:max val="1"/>
        </c:scaling>
        <c:delete val="0"/>
        <c:axPos val="l"/>
        <c:majorGridlines>
          <c:spPr>
            <a:ln xmlns:a="http://schemas.openxmlformats.org/drawingml/2006/main" w="9525" cmpd="sng">
              <a:gradFill>
                <a:gsLst>
                  <a:gs pos="100000">
                    <a:schemeClr val="dk1">
                      <a:lumMod val="75000"/>
                      <a:lumOff val="25000"/>
                    </a:schemeClr>
                  </a:gs>
                  <a:gs pos="0">
                    <a:schemeClr val="dk1">
                      <a:lumMod val="65000"/>
                      <a:lumOff val="35000"/>
                    </a:schemeClr>
                  </a:gs>
                </a:gsLst>
                <a:lin ang="5400000"/>
              </a:gradFill>
            </a:ln>
          </c:spPr>
        </c:majorGridlines>
        <c:numFmt formatCode="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lt1">
                    <a:lumMod val="75000"/>
                  </a:schemeClr>
                </a:solidFill>
                <a:latin typeface="+mn-lt"/>
                <a:ea typeface="+mn-lt"/>
                <a:cs typeface="+mn-lt"/>
              </a:defRPr>
            </a:pPr>
          </a:p>
        </c:txPr>
        <c:crossAx val="48650112"/>
        <c:crosses val="autoZero"/>
        <c:crossBetween val="between"/>
      </c:valAx>
    </c:plotArea>
    <c:plotVisOnly val="1"/>
  </c:chart>
  <c:spPr>
    <a:solidFill xmlns:a="http://schemas.openxmlformats.org/drawingml/2006/main">
      <a:schemeClr val="dk1">
        <a:lumMod val="75000"/>
        <a:lumOff val="25000"/>
      </a:schemeClr>
    </a:solidFill>
    <a:ln xmlns:a="http://schemas.openxmlformats.org/drawingml/2006/main" w="9525" cmpd="sng">
      <a:solidFill>
        <a:schemeClr val="dk1">
          <a:lumMod val="15000"/>
          <a:lumOff val="85000"/>
        </a:schemeClr>
      </a:solidFill>
    </a:ln>
  </c:spPr>
</c:chartSpace>
</file>

<file path=xl/drawings/charts/chart9.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400">
                <a:solidFill>
                  <a:schemeClr val="tx1">
                    <a:lumMod val="65000"/>
                    <a:lumOff val="35000"/>
                  </a:schemeClr>
                </a:solidFill>
                <a:latin typeface="+mn-lt"/>
                <a:ea typeface="+mn-lt"/>
                <a:cs typeface="+mn-lt"/>
              </a:rPr>
              <a:t>S-Curve Steepness Setting</a:t>
            </a:r>
          </a:p>
        </c:rich>
      </c:tx>
      <c:overlay val="0"/>
      <c:txPr>
        <a:bodyPr xmlns:a="http://schemas.openxmlformats.org/drawingml/2006/main" anchorCtr="1"/>
        <a:lstStyle xmlns:a="http://schemas.openxmlformats.org/drawingml/2006/main"/>
        <a:p xmlns:a="http://schemas.openxmlformats.org/drawingml/2006/main">
          <a:pPr>
            <a:defRPr sz="1400">
              <a:solidFill>
                <a:schemeClr val="tx1">
                  <a:lumMod val="65000"/>
                  <a:lumOff val="35000"/>
                </a:schemeClr>
              </a:solidFill>
              <a:latin typeface="+mn-lt"/>
              <a:ea typeface="+mn-lt"/>
              <a:cs typeface="+mn-lt"/>
            </a:defRPr>
          </a:pPr>
        </a:p>
      </c:txPr>
    </c:title>
    <c:autoTitleDeleted val="0"/>
    <c:plotArea>
      <c:layout/>
      <c:lineChart>
        <c:grouping val="standard"/>
        <c:varyColors val="0"/>
        <c:ser>
          <c:idx val="0"/>
          <c:order val="0"/>
          <c:spPr>
            <a:ln xmlns:a="http://schemas.openxmlformats.org/drawingml/2006/main" w="28575">
              <a:solidFill>
                <a:schemeClr val="accent1"/>
              </a:solidFill>
            </a:ln>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5450.818621877119</c:v>
                </c:pt>
                <c:pt idx="3">
                  <c:v>9396.687768161415</c:v>
                </c:pt>
                <c:pt idx="4">
                  <c:v>15296.453551937133</c:v>
                </c:pt>
                <c:pt idx="5">
                  <c:v>23513.10206224995</c:v>
                </c:pt>
                <c:pt idx="6">
                  <c:v>34129.71165985826</c:v>
                </c:pt>
                <c:pt idx="7">
                  <c:v>46779.87722366545</c:v>
                </c:pt>
                <c:pt idx="8">
                  <c:v>60546.56655370622</c:v>
                </c:pt>
                <c:pt idx="9">
                  <c:v>73998.70590451125</c:v>
                </c:pt>
                <c:pt idx="10">
                  <c:v>85401.01435428734</c:v>
                </c:pt>
                <c:pt idx="11">
                  <c:v>93069.27526036576</c:v>
                </c:pt>
                <c:pt idx="12">
                  <c:v>95775.42615967072</c:v>
                </c:pt>
                <c:pt idx="13">
                  <c:v>93069.27526036582</c:v>
                </c:pt>
                <c:pt idx="14">
                  <c:v>85401.0143542873</c:v>
                </c:pt>
                <c:pt idx="15">
                  <c:v>73998.70590451123</c:v>
                </c:pt>
                <c:pt idx="16">
                  <c:v>60546.56655370622</c:v>
                </c:pt>
                <c:pt idx="17">
                  <c:v>46779.87722366551</c:v>
                </c:pt>
                <c:pt idx="18">
                  <c:v>34129.711659858265</c:v>
                </c:pt>
                <c:pt idx="19">
                  <c:v>23513.10206224994</c:v>
                </c:pt>
                <c:pt idx="20">
                  <c:v>15296.453551937057</c:v>
                </c:pt>
                <c:pt idx="21">
                  <c:v>9396.687768161444</c:v>
                </c:pt>
                <c:pt idx="22">
                  <c:v>5450.8186218771325</c:v>
                </c:pt>
                <c:pt idx="23">
                  <c:v>2985.734513391588</c:v>
                </c:pt>
                <c:pt idx="24">
                  <c:v>1544.3394461531182</c:v>
                </c:pt>
              </c:numCache>
            </c:numRef>
          </c:val>
          <c:smooth val="0"/>
        </c:ser>
        <c:dLbls>
          <c:showLegendKey val="0"/>
          <c:showVal val="0"/>
          <c:showCatName val="0"/>
          <c:showSerName val="0"/>
          <c:showPercent val="0"/>
          <c:showBubbleSize val="0"/>
          <c:showLeaderLines val="0"/>
        </c:dLbls>
        <c:axId val="48650112"/>
        <c:axId val="48672768"/>
      </c:lineChart>
      <c:catAx>
        <c:axId val="48650112"/>
        <c:scaling>
          <c:orientation val="minMax"/>
        </c:scaling>
        <c:delete val="0"/>
        <c:axPos val="b"/>
        <c:numFmt formatCode="General" sourceLinked="1"/>
        <c:majorTickMark val="none"/>
        <c:minorTickMark val="none"/>
        <c:tickLblPos val="nextTo"/>
        <c:spPr>
          <a:ln xmlns:a="http://schemas.openxmlformats.org/drawingml/2006/main" w="9525" cmpd="sng">
            <a:solidFill>
              <a:schemeClr val="tx1">
                <a:lumMod val="15000"/>
                <a:lumOff val="85000"/>
              </a:schemeClr>
            </a:solid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72768"/>
        <c:crosses val="autoZero"/>
        <c:lblAlgn val="ctr"/>
        <c:lblOffset val="100"/>
        <c:noMultiLvlLbl val="0"/>
      </c:catAx>
      <c:valAx>
        <c:axId val="48672768"/>
        <c:scaling>
          <c:orientation val="minMax"/>
          <c:max val="160000"/>
        </c:scaling>
        <c:delete val="0"/>
        <c:axPos val="l"/>
        <c:majorGridlines>
          <c:spPr>
            <a:ln xmlns:a="http://schemas.openxmlformats.org/drawingml/2006/main" w="9525" cmpd="sng">
              <a:solidFill>
                <a:schemeClr val="tx1">
                  <a:lumMod val="15000"/>
                  <a:lumOff val="85000"/>
                </a:schemeClr>
              </a:solidFill>
            </a:ln>
          </c:spPr>
        </c:majorGridlines>
        <c:numFmt formatCode="#,##0" sourceLinked="1"/>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50112"/>
        <c:crosses val="autoZero"/>
        <c:crossBetween val="between"/>
      </c:valAx>
    </c:plotArea>
    <c:plotVisOnly val="1"/>
  </c:chart>
  <c:spPr>
    <a:solidFill xmlns:a="http://schemas.openxmlformats.org/drawingml/2006/main">
      <a:schemeClr val="bg1"/>
    </a:solidFill>
    <a:ln xmlns:a="http://schemas.openxmlformats.org/drawingml/2006/main" w="9525" cmpd="sng">
      <a:solidFill>
        <a:schemeClr val="tx1">
          <a:lumMod val="15000"/>
          <a:lumOff val="85000"/>
        </a:schemeClr>
      </a:solidFill>
    </a:ln>
  </c:spPr>
</c:chartSpace>
</file>

<file path=xl/drawings/charts/chart10.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a:t>Selected investor value by valuation method (A$ millions)</a:t>
            </a:r>
          </a:p>
        </c:rich>
      </c:tx>
      <c:overlay val="0"/>
    </c:title>
    <c:autoTitleDeleted val="0"/>
    <c:plotArea>
      <c:layout/>
      <c:barChart>
        <c:barDir val="col"/>
        <c:grouping val="clustered"/>
        <c:varyColors val="0"/>
        <c:ser>
          <c:idx val="0"/>
          <c:order val="0"/>
          <c:tx>
            <c:v>Selected investor value</c:v>
          </c:tx>
          <c:cat>
            <c:strRef>
              <c:f>'INVESTOR REPORT'!$A$16:$A$20</c:f>
              <c:strCache>
                <c:ptCount val="5"/>
                <c:pt idx="0">
                  <c:v>Base income-capitalisation case</c:v>
                </c:pt>
                <c:pt idx="1">
                  <c:v>Downside income-capitalisation case</c:v>
                </c:pt>
                <c:pt idx="2">
                  <c:v>Upside income-capitalisation case</c:v>
                </c:pt>
                <c:pt idx="3">
                  <c:v>Cost cross-check (not market value)</c:v>
                </c:pt>
                <c:pt idx="4">
                  <c:v>Property DCF cross-check</c:v>
                </c:pt>
              </c:strCache>
            </c:strRef>
          </c:cat>
          <c:val>
            <c:numRef>
              <c:f>'INVESTOR REPORT'!$G$16:$G$20</c:f>
              <c:numCache>
                <c:formatCode>"A$"0.00"m";[Red]\("A$"0.00"m"\);\-</c:formatCode>
                <c:ptCount val="5"/>
                <c:pt idx="0">
                  <c:v>22.000204914314725</c:v>
                </c:pt>
                <c:pt idx="1">
                  <c:v>19.75229228115443</c:v>
                </c:pt>
                <c:pt idx="2">
                  <c:v>24.61063617436934</c:v>
                </c:pt>
                <c:pt idx="3">
                  <c:v>9.98038009757757</c:v>
                </c:pt>
                <c:pt idx="4">
                  <c:v>5.42949172857196</c:v>
                </c:pt>
              </c:numCache>
            </c:numRef>
          </c:val>
        </c:ser>
        <c:dLbls>
          <c:showLegendKey val="0"/>
          <c:showVal val="0"/>
          <c:showCatName val="0"/>
          <c:showSerName val="0"/>
          <c:showPercent val="0"/>
          <c:showBubbleSize val="0"/>
          <c:showLeaderLines val="0"/>
        </c:dLbls>
        <c:gapWidth val="150"/>
        <c:axId val="48650112"/>
        <c:axId val="48672768"/>
      </c:barChart>
      <c:catAx>
        <c:axId val="48650112"/>
        <c:scaling>
          <c:orientation val="minMax"/>
        </c:scaling>
        <c:delete val="0"/>
        <c:axPos val="b"/>
        <c:majorGridlines>
          <c:spPr>
            <a:ln xmlns:a="http://schemas.openxmlformats.org/drawingml/2006/main" w="9525">
              <a:solidFill>
                <a:srgbClr val="CCCCCC"/>
              </a:solidFill>
              <a:prstDash val="dash"/>
            </a:ln>
          </c:spPr>
        </c:majorGridlines>
        <c:numFmt formatCode="General"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rgbClr val="CCCCCC"/>
              </a:solidFill>
              <a:prstDash val="dash"/>
            </a:ln>
          </c:spPr>
        </c:majorGridlines>
        <c:numFmt formatCode="&quot;A$&quot;0.00&quot;m&quot;;[Red]\(&quot;A$&quot;0.00&quot;m&quot;\);\-"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50112"/>
        <c:crosses val="autoZero"/>
        <c:crossBetween val="between"/>
      </c:valAx>
    </c:plotArea>
    <c:plotVisOnly val="1"/>
  </c:chart>
  <c:spPr>
    <a:ln xmlns:a="http://schemas.openxmlformats.org/drawingml/2006/main" w="9525">
      <a:solidFill>
        <a:srgbClr val="D9D9D9"/>
      </a:solidFill>
      <a:prstDash val="solid"/>
    </a:ln>
  </c:spPr>
</c:chartSpace>
</file>

<file path=xl/drawings/charts/chart11.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a:t>Selected investor value under funding sensitivity (A$ millions)</a:t>
            </a:r>
          </a:p>
        </c:rich>
      </c:tx>
      <c:overlay val="0"/>
    </c:title>
    <c:autoTitleDeleted val="0"/>
    <c:plotArea>
      <c:layout/>
      <c:lineChart>
        <c:grouping val="standard"/>
        <c:varyColors val="0"/>
        <c:ser>
          <c:idx val="0"/>
          <c:order val="0"/>
          <c:tx>
            <c:v>Selected investor value</c:v>
          </c:tx>
          <c:marker>
            <c:symbol val="none"/>
          </c:marker>
          <c:cat>
            <c:strRef>
              <c:f>'INVESTOR REPORT'!$A$64:$A$69</c:f>
              <c:strCache>
                <c:ptCount val="6"/>
                <c:pt idx="0">
                  <c:v>A$0m</c:v>
                </c:pt>
                <c:pt idx="1">
                  <c:v>A$50m</c:v>
                </c:pt>
                <c:pt idx="2">
                  <c:v>A$100m</c:v>
                </c:pt>
                <c:pt idx="3">
                  <c:v>Base — A$136m</c:v>
                </c:pt>
                <c:pt idx="4">
                  <c:v>A$150m</c:v>
                </c:pt>
                <c:pt idx="5">
                  <c:v>A$200m</c:v>
                </c:pt>
              </c:strCache>
            </c:strRef>
          </c:cat>
          <c:val>
            <c:numRef>
              <c:f>'INVESTOR REPORT'!$J$64:$J$69</c:f>
              <c:numCache>
                <c:formatCode>"A$"0.00"m";[Red]\("A$"0.00"m"\);\-</c:formatCode>
                <c:ptCount val="6"/>
                <c:pt idx="0">
                  <c:v>53.99334305048529</c:v>
                </c:pt>
                <c:pt idx="1">
                  <c:v>33.8211321836139</c:v>
                </c:pt>
                <c:pt idx="2">
                  <c:v>24.622158075978653</c:v>
                </c:pt>
                <c:pt idx="3">
                  <c:v>20.589980217827474</c:v>
                </c:pt>
                <c:pt idx="4">
                  <c:v>19.357210725974024</c:v>
                </c:pt>
                <c:pt idx="5">
                  <c:v>15.947221907632471</c:v>
                </c:pt>
              </c:numCache>
            </c:numRef>
          </c:val>
          <c:smooth val="0"/>
        </c:ser>
        <c:dLbls>
          <c:showLegendKey val="0"/>
          <c:showVal val="0"/>
          <c:showCatName val="0"/>
          <c:showSerName val="0"/>
          <c:showPercent val="0"/>
          <c:showBubbleSize val="0"/>
          <c:showLeaderLines val="0"/>
        </c:dLbls>
        <c:axId val="48650112"/>
        <c:axId val="48672768"/>
      </c:lineChart>
      <c:catAx>
        <c:axId val="48650112"/>
        <c:scaling>
          <c:orientation val="minMax"/>
        </c:scaling>
        <c:delete val="0"/>
        <c:axPos val="b"/>
        <c:majorGridlines>
          <c:spPr>
            <a:ln xmlns:a="http://schemas.openxmlformats.org/drawingml/2006/main" w="9525">
              <a:solidFill>
                <a:srgbClr val="CCCCCC"/>
              </a:solidFill>
              <a:prstDash val="dash"/>
            </a:ln>
          </c:spPr>
        </c:majorGridlines>
        <c:numFmt formatCode="General"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rgbClr val="CCCCCC"/>
              </a:solidFill>
              <a:prstDash val="dash"/>
            </a:ln>
          </c:spPr>
        </c:majorGridlines>
        <c:numFmt formatCode="&quot;A$&quot;0.00&quot;m&quot;;[Red]\(&quot;A$&quot;0.00&quot;m&quot;\);\-"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50112"/>
        <c:crosses val="autoZero"/>
        <c:crossBetween val="between"/>
      </c:valAx>
    </c:plotArea>
    <c:plotVisOnly val="1"/>
  </c:chart>
  <c:spPr>
    <a:ln xmlns:a="http://schemas.openxmlformats.org/drawingml/2006/main" w="9525">
      <a:solidFill>
        <a:srgbClr val="D9D9D9"/>
      </a:solidFill>
      <a:prstDash val="solid"/>
    </a:ln>
  </c:spPr>
</c:chartSpace>
</file>

<file path=xl/drawings/charts/chart12.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a:t>Operating cash flow and debt service (A$m)</a:t>
            </a:r>
          </a:p>
        </c:rich>
      </c:tx>
      <c:overlay val="0"/>
    </c:title>
    <c:autoTitleDeleted val="0"/>
    <c:plotArea>
      <c:layout/>
      <c:lineChart>
        <c:grouping val="standard"/>
        <c:varyColors val="1"/>
        <c:ser>
          <c:idx val="0"/>
          <c:order val="0"/>
          <c:tx>
            <c:v>Gross revenue</c:v>
          </c:tx>
          <c:marker>
            <c:symbol val="none"/>
          </c:marker>
          <c:cat>
            <c:strLit>
              <c:ptCount val="8"/>
              <c:pt idx="0">
                <c:v>Year 1</c:v>
              </c:pt>
              <c:pt idx="1">
                <c:v>Year 2</c:v>
              </c:pt>
              <c:pt idx="2">
                <c:v>Year 3</c:v>
              </c:pt>
              <c:pt idx="3">
                <c:v>Year 4</c:v>
              </c:pt>
              <c:pt idx="4">
                <c:v>Year 5</c:v>
              </c:pt>
              <c:pt idx="5">
                <c:v>Year 6</c:v>
              </c:pt>
              <c:pt idx="6">
                <c:v>Year 7</c:v>
              </c:pt>
              <c:pt idx="7">
                <c:v>Year 8</c:v>
              </c:pt>
            </c:strLit>
          </c:cat>
          <c:val>
            <c:numLit>
              <c:formatCode>General</c:formatCode>
              <c:ptCount val="8"/>
              <c:pt idx="0">
                <c:v>36.82</c:v>
              </c:pt>
              <c:pt idx="1">
                <c:v>38.76</c:v>
              </c:pt>
              <c:pt idx="2">
                <c:v>40.42</c:v>
              </c:pt>
              <c:pt idx="3">
                <c:v>41.9</c:v>
              </c:pt>
              <c:pt idx="4">
                <c:v>43.38</c:v>
              </c:pt>
              <c:pt idx="5">
                <c:v>43.19</c:v>
              </c:pt>
              <c:pt idx="6">
                <c:v>44.70349999999999</c:v>
              </c:pt>
              <c:pt idx="7">
                <c:v>46.26367249999999</c:v>
              </c:pt>
            </c:numLit>
          </c:val>
          <c:smooth val="1"/>
        </c:ser>
        <c:ser>
          <c:idx val="1"/>
          <c:order val="1"/>
          <c:tx>
            <c:v>CFADS</c:v>
          </c:tx>
          <c:marker>
            <c:symbol val="none"/>
          </c:marker>
          <c:cat>
            <c:strLit>
              <c:ptCount val="8"/>
              <c:pt idx="0">
                <c:v>Year 1</c:v>
              </c:pt>
              <c:pt idx="1">
                <c:v>Year 2</c:v>
              </c:pt>
              <c:pt idx="2">
                <c:v>Year 3</c:v>
              </c:pt>
              <c:pt idx="3">
                <c:v>Year 4</c:v>
              </c:pt>
              <c:pt idx="4">
                <c:v>Year 5</c:v>
              </c:pt>
              <c:pt idx="5">
                <c:v>Year 6</c:v>
              </c:pt>
              <c:pt idx="6">
                <c:v>Year 7</c:v>
              </c:pt>
              <c:pt idx="7">
                <c:v>Year 8</c:v>
              </c:pt>
            </c:strLit>
          </c:cat>
          <c:val>
            <c:numLit>
              <c:formatCode>General</c:formatCode>
              <c:ptCount val="8"/>
              <c:pt idx="0">
                <c:v>31.860000000000003</c:v>
              </c:pt>
              <c:pt idx="1">
                <c:v>33.15</c:v>
              </c:pt>
              <c:pt idx="2">
                <c:v>34.25</c:v>
              </c:pt>
              <c:pt idx="3">
                <c:v>35.230000000000004</c:v>
              </c:pt>
              <c:pt idx="4">
                <c:v>36.190000000000005</c:v>
              </c:pt>
              <c:pt idx="5">
                <c:v>35.56999999999999</c:v>
              </c:pt>
              <c:pt idx="6">
                <c:v>36.816799999999986</c:v>
              </c:pt>
              <c:pt idx="7">
                <c:v>38.10093799999999</c:v>
              </c:pt>
            </c:numLit>
          </c:val>
          <c:smooth val="1"/>
        </c:ser>
        <c:ser>
          <c:idx val="2"/>
          <c:order val="2"/>
          <c:tx>
            <c:v>Debt service</c:v>
          </c:tx>
          <c:marker>
            <c:symbol val="none"/>
          </c:marker>
          <c:cat>
            <c:strLit>
              <c:ptCount val="8"/>
              <c:pt idx="0">
                <c:v>Year 1</c:v>
              </c:pt>
              <c:pt idx="1">
                <c:v>Year 2</c:v>
              </c:pt>
              <c:pt idx="2">
                <c:v>Year 3</c:v>
              </c:pt>
              <c:pt idx="3">
                <c:v>Year 4</c:v>
              </c:pt>
              <c:pt idx="4">
                <c:v>Year 5</c:v>
              </c:pt>
              <c:pt idx="5">
                <c:v>Year 6</c:v>
              </c:pt>
              <c:pt idx="6">
                <c:v>Year 7</c:v>
              </c:pt>
              <c:pt idx="7">
                <c:v>Year 8</c:v>
              </c:pt>
            </c:strLit>
          </c:cat>
          <c:val>
            <c:numLit>
              <c:formatCode>General</c:formatCode>
              <c:ptCount val="8"/>
              <c:pt idx="0">
                <c:v>23.68447824085116</c:v>
              </c:pt>
              <c:pt idx="1">
                <c:v>23.68447824085116</c:v>
              </c:pt>
              <c:pt idx="2">
                <c:v>23.68447824085116</c:v>
              </c:pt>
              <c:pt idx="3">
                <c:v>23.68447824085116</c:v>
              </c:pt>
              <c:pt idx="4">
                <c:v>23.68447824085116</c:v>
              </c:pt>
              <c:pt idx="5">
                <c:v>23.68447824085116</c:v>
              </c:pt>
              <c:pt idx="6">
                <c:v>23.68447824085116</c:v>
              </c:pt>
              <c:pt idx="7">
                <c:v>23.68447824085116</c:v>
              </c:pt>
            </c:numLit>
          </c:val>
          <c:smooth val="1"/>
        </c:ser>
        <c:dLbls>
          <c:showLegendKey val="0"/>
          <c:showVal val="0"/>
          <c:showCatName val="0"/>
          <c:showSerName val="0"/>
          <c:showPercent val="0"/>
          <c:showBubbleSize val="0"/>
          <c:showLeaderLines val="0"/>
        </c:dLbls>
        <c:axId val="48650112"/>
        <c:axId val="48672768"/>
      </c:lineChart>
      <c:catAx>
        <c:axId val="48650112"/>
        <c:scaling>
          <c:orientation val="minMax"/>
        </c:scaling>
        <c:delete val="0"/>
        <c:axPos val="b"/>
        <c:majorGridlines>
          <c:spPr>
            <a:ln xmlns:a="http://schemas.openxmlformats.org/drawingml/2006/main" w="9525">
              <a:solidFill>
                <a:srgbClr val="CCCCCC"/>
              </a:solidFill>
              <a:prstDash val="dash"/>
            </a:ln>
          </c:spPr>
        </c:majorGridlines>
        <c:numFmt formatCode="General"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rgbClr val="CCCCCC"/>
              </a:solidFill>
              <a:prstDash val="dash"/>
            </a:ln>
          </c:spPr>
        </c:majorGridlines>
        <c:numFmt formatCode="General"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50112"/>
        <c:crosses val="autoZero"/>
        <c:crossBetween val="between"/>
      </c:valAx>
    </c:plotArea>
    <c:legend>
      <c:legendPos val="b"/>
      <c:overlay val="0"/>
    </c:legend>
    <c:plotVisOnly val="1"/>
  </c:chart>
  <c:spPr>
    <a:ln xmlns:a="http://schemas.openxmlformats.org/drawingml/2006/main" w="9525">
      <a:solidFill>
        <a:srgbClr val="D9D9D9"/>
      </a:solidFill>
      <a:prstDash val="solid"/>
    </a:ln>
  </c:spPr>
</c:chartSpace>
</file>

<file path=xl/drawings/charts/chart13.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a:t>Year 8 revenue mix (A$m)</a:t>
            </a:r>
          </a:p>
        </c:rich>
      </c:tx>
      <c:overlay val="0"/>
    </c:title>
    <c:autoTitleDeleted val="0"/>
    <c:plotArea>
      <c:layout/>
      <c:barChart>
        <c:barDir val="col"/>
        <c:grouping val="clustered"/>
        <c:varyColors val="0"/>
        <c:ser>
          <c:idx val="0"/>
          <c:order val="0"/>
          <c:tx>
            <c:v>A$m</c:v>
          </c:tx>
          <c:cat>
            <c:strLit>
              <c:ptCount val="6"/>
              <c:pt idx="0">
                <c:v>Lease / venue revenue</c:v>
              </c:pt>
              <c:pt idx="1">
                <c:v>Student accommodation</c:v>
              </c:pt>
              <c:pt idx="2">
                <c:v>Car park</c:v>
              </c:pt>
              <c:pt idx="3">
                <c:v>Utilities</c:v>
              </c:pt>
              <c:pt idx="4">
                <c:v>Outgoings recovery</c:v>
              </c:pt>
              <c:pt idx="5">
                <c:v>Other precinct income</c:v>
              </c:pt>
            </c:strLit>
          </c:cat>
          <c:val>
            <c:numLit>
              <c:formatCode>General</c:formatCode>
              <c:ptCount val="6"/>
              <c:pt idx="0">
                <c:v>19.560568499999995</c:v>
              </c:pt>
              <c:pt idx="1">
                <c:v>9.56603925</c:v>
              </c:pt>
              <c:pt idx="2">
                <c:v>7.862791499999998</c:v>
              </c:pt>
              <c:pt idx="3">
                <c:v>3.8242732499999903</c:v>
              </c:pt>
              <c:pt idx="4">
                <c:v>5.45</c:v>
              </c:pt>
              <c:pt idx="5">
                <c:v>0</c:v>
              </c:pt>
            </c:numLit>
          </c:val>
        </c:ser>
        <c:dLbls>
          <c:showLegendKey val="0"/>
          <c:showVal val="0"/>
          <c:showCatName val="0"/>
          <c:showSerName val="0"/>
          <c:showPercent val="0"/>
          <c:showBubbleSize val="0"/>
          <c:showLeaderLines val="0"/>
        </c:dLbls>
        <c:gapWidth val="150"/>
        <c:axId val="48650112"/>
        <c:axId val="48672768"/>
      </c:barChart>
      <c:catAx>
        <c:axId val="48650112"/>
        <c:scaling>
          <c:orientation val="minMax"/>
        </c:scaling>
        <c:delete val="0"/>
        <c:axPos val="b"/>
        <c:majorGridlines>
          <c:spPr>
            <a:ln xmlns:a="http://schemas.openxmlformats.org/drawingml/2006/main" w="9525">
              <a:solidFill>
                <a:srgbClr val="CCCCCC"/>
              </a:solidFill>
              <a:prstDash val="dash"/>
            </a:ln>
          </c:spPr>
        </c:majorGridlines>
        <c:numFmt formatCode="General"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a:solidFill>
                <a:srgbClr val="CCCCCC"/>
              </a:solidFill>
              <a:prstDash val="dash"/>
            </a:ln>
          </c:spPr>
        </c:majorGridlines>
        <c:numFmt formatCode="General" sourceLinked="1"/>
        <c:majorTickMark val="none"/>
        <c:minorTickMark val="none"/>
        <c:tickLblPos val="nextTo"/>
        <c:txPr>
          <a:bodyPr xmlns:a="http://schemas.openxmlformats.org/drawingml/2006/main" anchorCtr="1"/>
          <a:lstStyle xmlns:a="http://schemas.openxmlformats.org/drawingml/2006/main"/>
          <a:p xmlns:a="http://schemas.openxmlformats.org/drawingml/2006/main">
            <a:pPr>
              <a:defRPr sz="900"/>
            </a:pPr>
          </a:p>
        </c:txPr>
        <c:crossAx val="48650112"/>
        <c:crosses val="autoZero"/>
        <c:crossBetween val="between"/>
      </c:valAx>
    </c:plotArea>
    <c:plotVisOnly val="1"/>
  </c:chart>
  <c:spPr>
    <a:ln xmlns:a="http://schemas.openxmlformats.org/drawingml/2006/main" w="9525">
      <a:solidFill>
        <a:srgbClr val="D9D9D9"/>
      </a:solidFill>
      <a:prstDash val="solid"/>
    </a:ln>
  </c:spPr>
</c:chartSpace>
</file>

<file path=xl/drawings/charts/chart14.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200" b="0" i="0" u="none">
                <a:solidFill>
                  <a:schemeClr val="tx1">
                    <a:lumMod val="65000"/>
                    <a:lumOff val="35000"/>
                  </a:schemeClr>
                </a:solidFill>
                <a:latin typeface="+mn-lt"/>
                <a:ea typeface="+mn-lt"/>
                <a:cs typeface="+mn-lt"/>
              </a:rPr>
              <a:t>Selected value composition (A$m)</a:t>
            </a:r>
          </a:p>
        </c:rich>
      </c:tx>
      <c:overlay val="0"/>
      <c:txPr>
        <a:bodyPr xmlns:a="http://schemas.openxmlformats.org/drawingml/2006/main" rot="0" vert="horz" anchor="ctr" anchorCtr="1"/>
        <a:lstStyle xmlns:a="http://schemas.openxmlformats.org/drawingml/2006/main"/>
        <a:p xmlns:a="http://schemas.openxmlformats.org/drawingml/2006/main">
          <a:pPr>
            <a:defRPr sz="1200" b="0" i="0" u="none">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strRef>
              <c:f>'INVESTOR REPORT'!$B$123</c:f>
              <c:strCache>
                <c:ptCount val="1"/>
                <c:pt idx="0">
                  <c:v/>
                </c:pt>
              </c:strCache>
            </c:strRef>
          </c:tx>
          <c:spPr>
            <a:solidFill xmlns:a="http://schemas.openxmlformats.org/drawingml/2006/main">
              <a:schemeClr val="accent1"/>
            </a:solidFill>
            <a:ln xmlns:a="http://schemas.openxmlformats.org/drawingml/2006/main">
              <a:noFill/>
            </a:ln>
          </c:spPr>
          <c:cat>
            <c:strRef>
              <c:f>'INVESTOR REPORT'!$A$123:$A$126</c:f>
              <c:strCache>
                <c:ptCount val="4"/>
                <c:pt idx="0">
                  <c:v>Invested capital</c:v>
                </c:pt>
                <c:pt idx="1">
                  <c:v>Property equity at selected valuation â€” ex retained cash</c:v>
                </c:pt>
                <c:pt idx="2">
                  <c:v>Retained cash at selected valuation</c:v>
                </c:pt>
                <c:pt idx="3">
                  <c:v>Cash distributions through selected valuation</c:v>
                </c:pt>
              </c:strCache>
            </c:strRef>
          </c:cat>
          <c:val>
            <c:numRef>
              <c:f>'INVESTOR REPORT'!$B$124:$B$126</c:f>
              <c:numCache>
                <c:formatCode>General</c:formatCode>
                <c:ptCount val="0"/>
              </c:numCache>
            </c:numRef>
          </c:val>
        </c:ser>
        <c:dLbls>
          <c:showLegendKey val="0"/>
          <c:showVal val="0"/>
          <c:showCatName val="0"/>
          <c:showSerName val="0"/>
          <c:showPercent val="0"/>
          <c:showBubbleSize val="0"/>
          <c:showLeaderLines val="0"/>
        </c:dLbls>
        <c:gapWidth val="219"/>
        <c:overlap val="-27"/>
        <c:axId val="48650112"/>
        <c:axId val="48672768"/>
      </c:barChart>
      <c:catAx>
        <c:axId val="48650112"/>
        <c:scaling>
          <c:orientation val="minMax"/>
        </c:scaling>
        <c:delete val="0"/>
        <c:axPos val="b"/>
        <c:numFmt formatCode="General" sourceLinked="1"/>
        <c:majorTickMark val="none"/>
        <c:minorTickMark val="none"/>
        <c:tickLblPos val="nextTo"/>
        <c:spPr>
          <a:ln xmlns:a="http://schemas.openxmlformats.org/drawingml/2006/main" w="9525" cmpd="sng">
            <a:solidFill>
              <a:schemeClr val="tx1">
                <a:lumMod val="15000"/>
                <a:lumOff val="85000"/>
              </a:schemeClr>
            </a:solid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cmpd="sng">
              <a:solidFill>
                <a:schemeClr val="tx1">
                  <a:lumMod val="15000"/>
                  <a:lumOff val="85000"/>
                </a:schemeClr>
              </a:solidFill>
            </a:ln>
          </c:spPr>
        </c:majorGridlines>
        <c:numFmt formatCode="0.0" sourceLinked="0"/>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50112"/>
        <c:crosses val="autoZero"/>
        <c:crossBetween val="between"/>
      </c:valAx>
    </c:plotArea>
    <c:plotVisOnly val="1"/>
  </c:chart>
  <c:spPr>
    <a:solidFill xmlns:a="http://schemas.openxmlformats.org/drawingml/2006/main">
      <a:schemeClr val="bg1"/>
    </a:solidFill>
    <a:ln xmlns:a="http://schemas.openxmlformats.org/drawingml/2006/main" w="9525" cmpd="sng">
      <a:solidFill>
        <a:schemeClr val="tx1">
          <a:lumMod val="15000"/>
          <a:lumOff val="85000"/>
        </a:schemeClr>
      </a:solidFill>
    </a:ln>
  </c:spPr>
</c:chartSpace>
</file>

<file path=xl/drawings/charts/chart15.xml><?xml version="1.0" encoding="utf-8"?>
<c:chartSpace xmlns:mc="http://schemas.openxmlformats.org/markup-compatibility/2006" xmlns:c14="http://schemas.microsoft.com/office/drawing/2007/8/2/chart" xmlns:c="http://schemas.openxmlformats.org/drawingml/2006/chart" mc:Ignorable="c14">
  <c:lang val="en-US"/>
  <c:roundedCorners val="0"/>
  <mc:AlternateContent>
    <mc:Choice Requires="c14">
      <c14:style val="102"/>
    </mc:Choice>
    <mc:Fallback>
      <c:style val="2"/>
    </mc:Fallback>
  </mc:AlternateContent>
  <c:chart>
    <c:title>
      <c:tx>
        <c:rich>
          <a:bodyPr xmlns:a="http://schemas.openxmlformats.org/drawingml/2006/main"/>
          <a:lstStyle xmlns:a="http://schemas.openxmlformats.org/drawingml/2006/main"/>
          <a:p xmlns:a="http://schemas.openxmlformats.org/drawingml/2006/main">
            <a:r>
              <a:rPr sz="1200" b="0" i="0" u="none">
                <a:solidFill>
                  <a:schemeClr val="tx1">
                    <a:lumMod val="65000"/>
                    <a:lumOff val="35000"/>
                  </a:schemeClr>
                </a:solidFill>
                <a:latin typeface="+mn-lt"/>
                <a:ea typeface="+mn-lt"/>
                <a:cs typeface="+mn-lt"/>
              </a:rPr>
              <a:t>Debt profile at key stages (A$m)</a:t>
            </a:r>
          </a:p>
        </c:rich>
      </c:tx>
      <c:overlay val="0"/>
      <c:txPr>
        <a:bodyPr xmlns:a="http://schemas.openxmlformats.org/drawingml/2006/main" rot="0" vert="horz" anchor="ctr" anchorCtr="1"/>
        <a:lstStyle xmlns:a="http://schemas.openxmlformats.org/drawingml/2006/main"/>
        <a:p xmlns:a="http://schemas.openxmlformats.org/drawingml/2006/main">
          <a:pPr>
            <a:defRPr sz="1200" b="0" i="0" u="none">
              <a:solidFill>
                <a:schemeClr val="tx1">
                  <a:lumMod val="65000"/>
                  <a:lumOff val="35000"/>
                </a:schemeClr>
              </a:solidFill>
              <a:latin typeface="+mn-lt"/>
              <a:ea typeface="+mn-lt"/>
              <a:cs typeface="+mn-lt"/>
            </a:defRPr>
          </a:pPr>
        </a:p>
      </c:txPr>
    </c:title>
    <c:autoTitleDeleted val="0"/>
    <c:plotArea>
      <c:layout/>
      <c:barChart>
        <c:barDir val="col"/>
        <c:grouping val="clustered"/>
        <c:varyColors val="0"/>
        <c:ser>
          <c:idx val="0"/>
          <c:order val="0"/>
          <c:tx>
            <c:strRef>
              <c:f>'INVESTOR REPORT'!$B$154</c:f>
              <c:strCache>
                <c:ptCount val="1"/>
                <c:pt idx="0">
                  <c:v/>
                </c:pt>
              </c:strCache>
            </c:strRef>
          </c:tx>
          <c:spPr>
            <a:solidFill xmlns:a="http://schemas.openxmlformats.org/drawingml/2006/main">
              <a:schemeClr val="accent1"/>
            </a:solidFill>
            <a:ln xmlns:a="http://schemas.openxmlformats.org/drawingml/2006/main">
              <a:noFill/>
            </a:ln>
          </c:spPr>
          <c:cat>
            <c:strRef>
              <c:f>'INVESTOR REPORT'!$A$154:$A$156</c:f>
              <c:strCache>
                <c:ptCount val="3"/>
                <c:pt idx="0">
                  <c:v>Peak construction debt</c:v>
                </c:pt>
                <c:pt idx="1">
                  <c:v>Debt at valuation date</c:v>
                </c:pt>
                <c:pt idx="2">
                  <c:v>Debt paydown to valuation date</c:v>
                </c:pt>
              </c:strCache>
            </c:strRef>
          </c:cat>
          <c:val>
            <c:numRef>
              <c:f>'INVESTOR REPORT'!$B$155:$B$156</c:f>
              <c:numCache>
                <c:formatCode>General</c:formatCode>
                <c:ptCount val="0"/>
              </c:numCache>
            </c:numRef>
          </c:val>
        </c:ser>
        <c:dLbls>
          <c:showLegendKey val="0"/>
          <c:showVal val="0"/>
          <c:showCatName val="0"/>
          <c:showSerName val="0"/>
          <c:showPercent val="0"/>
          <c:showBubbleSize val="0"/>
          <c:showLeaderLines val="0"/>
        </c:dLbls>
        <c:gapWidth val="219"/>
        <c:overlap val="-27"/>
        <c:axId val="48650112"/>
        <c:axId val="48672768"/>
      </c:barChart>
      <c:catAx>
        <c:axId val="48650112"/>
        <c:scaling>
          <c:orientation val="minMax"/>
        </c:scaling>
        <c:delete val="0"/>
        <c:axPos val="b"/>
        <c:numFmt formatCode="General" sourceLinked="1"/>
        <c:majorTickMark val="none"/>
        <c:minorTickMark val="none"/>
        <c:tickLblPos val="nextTo"/>
        <c:spPr>
          <a:ln xmlns:a="http://schemas.openxmlformats.org/drawingml/2006/main" w="9525" cmpd="sng">
            <a:solidFill>
              <a:schemeClr val="tx1">
                <a:lumMod val="15000"/>
                <a:lumOff val="85000"/>
              </a:schemeClr>
            </a:solid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72768"/>
        <c:crosses val="autoZero"/>
        <c:lblAlgn val="ctr"/>
        <c:lblOffset val="100"/>
        <c:noMultiLvlLbl val="0"/>
      </c:catAx>
      <c:valAx>
        <c:axId val="48672768"/>
        <c:scaling>
          <c:orientation val="minMax"/>
        </c:scaling>
        <c:delete val="0"/>
        <c:axPos val="l"/>
        <c:majorGridlines>
          <c:spPr>
            <a:ln xmlns:a="http://schemas.openxmlformats.org/drawingml/2006/main" w="9525" cmpd="sng">
              <a:solidFill>
                <a:schemeClr val="tx1">
                  <a:lumMod val="15000"/>
                  <a:lumOff val="85000"/>
                </a:schemeClr>
              </a:solidFill>
            </a:ln>
          </c:spPr>
        </c:majorGridlines>
        <c:numFmt formatCode="0.0" sourceLinked="0"/>
        <c:majorTickMark val="none"/>
        <c:minorTickMark val="none"/>
        <c:tickLblPos val="nextTo"/>
        <c:spPr>
          <a:ln xmlns:a="http://schemas.openxmlformats.org/drawingml/2006/main">
            <a:noFill/>
          </a:ln>
        </c:spPr>
        <c:txPr>
          <a:bodyPr xmlns:a="http://schemas.openxmlformats.org/drawingml/2006/main" rot="-60000000" vert="horz" anchor="ctr" anchorCtr="1"/>
          <a:lstStyle xmlns:a="http://schemas.openxmlformats.org/drawingml/2006/main"/>
          <a:p xmlns:a="http://schemas.openxmlformats.org/drawingml/2006/main">
            <a:pPr>
              <a:defRPr sz="900" b="0" i="0" u="none">
                <a:solidFill>
                  <a:schemeClr val="tx1">
                    <a:lumMod val="65000"/>
                    <a:lumOff val="35000"/>
                  </a:schemeClr>
                </a:solidFill>
                <a:latin typeface="+mn-lt"/>
                <a:ea typeface="+mn-lt"/>
                <a:cs typeface="+mn-lt"/>
              </a:defRPr>
            </a:pPr>
          </a:p>
        </c:txPr>
        <c:crossAx val="48650112"/>
        <c:crosses val="autoZero"/>
        <c:crossBetween val="between"/>
      </c:valAx>
    </c:plotArea>
    <c:plotVisOnly val="1"/>
  </c:chart>
  <c:spPr>
    <a:solidFill xmlns:a="http://schemas.openxmlformats.org/drawingml/2006/main">
      <a:schemeClr val="bg1"/>
    </a:solidFill>
    <a:ln xmlns:a="http://schemas.openxmlformats.org/drawingml/2006/main" w="9525" cmpd="sng">
      <a:solidFill>
        <a:schemeClr val="tx1">
          <a:lumMod val="15000"/>
          <a:lumOff val="85000"/>
        </a:schemeClr>
      </a:solidFill>
    </a:ln>
  </c:spPr>
</c:chartSpace>
</file>

<file path=xl/drawings/drawing1.xml><?xml version="1.0" encoding="utf-8"?>
<xdr:wsDr xmlns:xdr="http://schemas.openxmlformats.org/drawingml/2006/spreadsheetDrawing">
  <xdr:twoCellAnchor>
    <xdr:from>
      <xdr:col>1</xdr:col>
      <xdr:colOff>28574</xdr:colOff>
      <xdr:row>37</xdr:row>
      <xdr:rowOff>47625</xdr:rowOff>
    </xdr:from>
    <xdr:to>
      <xdr:col>13</xdr:col>
      <xdr:colOff>9525</xdr:colOff>
      <xdr:row>51</xdr:row>
      <xdr:rowOff>171450</xdr:rowOff>
    </xdr:to>
    <xdr:graphicFrame macro="">
      <xdr:nvGraphicFramePr>
        <xdr:cNvPr id="1"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e3685a577d5841b8"/>
        </a:graphicData>
      </a:graphic>
    </xdr:graphicFrame>
    <xdr:clientData/>
  </xdr:twoCellAnchor>
  <xdr:twoCellAnchor>
    <xdr:from>
      <xdr:col>1</xdr:col>
      <xdr:colOff>28574</xdr:colOff>
      <xdr:row>66</xdr:row>
      <xdr:rowOff>66675</xdr:rowOff>
    </xdr:from>
    <xdr:to>
      <xdr:col>13</xdr:col>
      <xdr:colOff>9524</xdr:colOff>
      <xdr:row>82</xdr:row>
      <xdr:rowOff>123825</xdr:rowOff>
    </xdr:to>
    <xdr:graphicFrame macro="">
      <xdr:nvGraphicFramePr>
        <xdr:cNvPr id="2"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e9d5e8f792334bde"/>
        </a:graphicData>
      </a:graphic>
    </xdr:graphicFrame>
    <xdr:clientData/>
  </xdr:twoCellAnchor>
  <xdr:twoCellAnchor>
    <xdr:from>
      <xdr:col>1</xdr:col>
      <xdr:colOff>28574</xdr:colOff>
      <xdr:row>52</xdr:row>
      <xdr:rowOff>42863</xdr:rowOff>
    </xdr:from>
    <xdr:to>
      <xdr:col>13</xdr:col>
      <xdr:colOff>9524</xdr:colOff>
      <xdr:row>66</xdr:row>
      <xdr:rowOff>14288</xdr:rowOff>
    </xdr:to>
    <xdr:graphicFrame macro="">
      <xdr:nvGraphicFramePr>
        <xdr:cNvPr id="3"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52ed0605d61644e3"/>
        </a:graphicData>
      </a:graphic>
    </xdr:graphicFrame>
    <xdr:clientData/>
  </xdr:twoCellAnchor>
  <xdr:twoCellAnchor>
    <xdr:from>
      <xdr:col>13</xdr:col>
      <xdr:colOff>38100</xdr:colOff>
      <xdr:row>37</xdr:row>
      <xdr:rowOff>47625</xdr:rowOff>
    </xdr:from>
    <xdr:to>
      <xdr:col>18</xdr:col>
      <xdr:colOff>657225</xdr:colOff>
      <xdr:row>51</xdr:row>
      <xdr:rowOff>171451</xdr:rowOff>
    </xdr:to>
    <xdr:graphicFrame macro="">
      <xdr:nvGraphicFramePr>
        <xdr:cNvPr id="4"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52e36e39386b4118"/>
        </a:graphicData>
      </a:graphic>
    </xdr:graphicFrame>
    <xdr:clientData/>
  </xdr:twoCellAnchor>
  <xdr:twoCellAnchor>
    <xdr:from>
      <xdr:col>13</xdr:col>
      <xdr:colOff>38100</xdr:colOff>
      <xdr:row>52</xdr:row>
      <xdr:rowOff>47625</xdr:rowOff>
    </xdr:from>
    <xdr:to>
      <xdr:col>18</xdr:col>
      <xdr:colOff>657225</xdr:colOff>
      <xdr:row>66</xdr:row>
      <xdr:rowOff>9525</xdr:rowOff>
    </xdr:to>
    <xdr:graphicFrame macro="">
      <xdr:nvGraphicFramePr>
        <xdr:cNvPr id="5"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c78417b94e6a4b8c"/>
        </a:graphicData>
      </a:graphic>
    </xdr:graphicFrame>
    <xdr:clientData/>
  </xdr:twoCellAnchor>
  <xdr:twoCellAnchor>
    <xdr:from>
      <xdr:col>13</xdr:col>
      <xdr:colOff>38100</xdr:colOff>
      <xdr:row>66</xdr:row>
      <xdr:rowOff>66675</xdr:rowOff>
    </xdr:from>
    <xdr:to>
      <xdr:col>18</xdr:col>
      <xdr:colOff>657225</xdr:colOff>
      <xdr:row>82</xdr:row>
      <xdr:rowOff>123825</xdr:rowOff>
    </xdr:to>
    <xdr:graphicFrame macro="">
      <xdr:nvGraphicFramePr>
        <xdr:cNvPr id="6"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ef87030314ce490a"/>
        </a:graphicData>
      </a:graphic>
    </xdr:graphicFrame>
    <xdr:clientData/>
  </xdr:twoCellAnchor>
  <xdr:twoCellAnchor editAs="oneCell">
    <xdr:from>
      <xdr:col>17</xdr:col>
      <xdr:colOff>19050</xdr:colOff>
      <xdr:row>36</xdr:row>
      <xdr:rowOff>9525</xdr:rowOff>
    </xdr:from>
    <xdr:to>
      <xdr:col>18</xdr:col>
      <xdr:colOff>0</xdr:colOff>
      <xdr:row>37</xdr:row>
      <xdr:rowOff>0</xdr:rowOff>
    </xdr:to>
    <xdr:sp>
      <xdr:nvSpPr>
        <xdr:cNvPr id="7" name="Rectangle 12"/>
        <xdr:cNvSpPr>
          <a:spLocks xmlns:a="http://schemas.openxmlformats.org/drawingml/2006/main" noGrp="1"/>
        </xdr:cNvSpPr>
      </xdr:nvSpPr>
      <xdr:spPr>
        <a:xfrm xmlns:a="http://schemas.openxmlformats.org/drawingml/2006/main">
          <a:off x="8915400" y="6905625"/>
          <a:ext cx="666750" cy="2000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18</xdr:col>
      <xdr:colOff>19050</xdr:colOff>
      <xdr:row>36</xdr:row>
      <xdr:rowOff>0</xdr:rowOff>
    </xdr:from>
    <xdr:to>
      <xdr:col>18</xdr:col>
      <xdr:colOff>809625</xdr:colOff>
      <xdr:row>37</xdr:row>
      <xdr:rowOff>0</xdr:rowOff>
    </xdr:to>
    <xdr:sp>
      <xdr:nvSpPr>
        <xdr:cNvPr id="8" name="Rectangle 13"/>
        <xdr:cNvSpPr>
          <a:spLocks xmlns:a="http://schemas.openxmlformats.org/drawingml/2006/main" noGrp="1"/>
        </xdr:cNvSpPr>
      </xdr:nvSpPr>
      <xdr:spPr>
        <a:xfrm xmlns:a="http://schemas.openxmlformats.org/drawingml/2006/main">
          <a:off x="2809875" y="8915400"/>
          <a:ext cx="790575" cy="18097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17</xdr:col>
      <xdr:colOff>19050</xdr:colOff>
      <xdr:row>18</xdr:row>
      <xdr:rowOff>9525</xdr:rowOff>
    </xdr:from>
    <xdr:to>
      <xdr:col>18</xdr:col>
      <xdr:colOff>0</xdr:colOff>
      <xdr:row>19</xdr:row>
      <xdr:rowOff>0</xdr:rowOff>
    </xdr:to>
    <xdr:sp>
      <xdr:nvSpPr>
        <xdr:cNvPr id="9" name="Rectangle 3"/>
        <xdr:cNvSpPr>
          <a:spLocks xmlns:a="http://schemas.openxmlformats.org/drawingml/2006/main" noGrp="1"/>
        </xdr:cNvSpPr>
      </xdr:nvSpPr>
      <xdr:spPr>
        <a:xfrm xmlns:a="http://schemas.openxmlformats.org/drawingml/2006/main">
          <a:off x="8915400" y="3343275"/>
          <a:ext cx="666750" cy="2000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18</xdr:col>
      <xdr:colOff>19050</xdr:colOff>
      <xdr:row>18</xdr:row>
      <xdr:rowOff>0</xdr:rowOff>
    </xdr:from>
    <xdr:to>
      <xdr:col>18</xdr:col>
      <xdr:colOff>809625</xdr:colOff>
      <xdr:row>19</xdr:row>
      <xdr:rowOff>0</xdr:rowOff>
    </xdr:to>
    <xdr:sp>
      <xdr:nvSpPr>
        <xdr:cNvPr id="10" name="Rectangle 7"/>
        <xdr:cNvSpPr>
          <a:spLocks xmlns:a="http://schemas.openxmlformats.org/drawingml/2006/main" noGrp="1"/>
        </xdr:cNvSpPr>
      </xdr:nvSpPr>
      <xdr:spPr>
        <a:xfrm xmlns:a="http://schemas.openxmlformats.org/drawingml/2006/main">
          <a:off x="9601200" y="6896100"/>
          <a:ext cx="666750" cy="209550"/>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16</xdr:col>
      <xdr:colOff>0</xdr:colOff>
      <xdr:row>3</xdr:row>
      <xdr:rowOff>0</xdr:rowOff>
    </xdr:from>
    <xdr:to>
      <xdr:col>18</xdr:col>
      <xdr:colOff>666750</xdr:colOff>
      <xdr:row>3</xdr:row>
      <xdr:rowOff>180975</xdr:rowOff>
    </xdr:to>
    <xdr:sp>
      <xdr:nvSpPr>
        <xdr:cNvPr id="11" name="Rectangle 10"/>
        <xdr:cNvSpPr>
          <a:spLocks xmlns:a="http://schemas.openxmlformats.org/drawingml/2006/main" noGrp="1"/>
        </xdr:cNvSpPr>
      </xdr:nvSpPr>
      <xdr:spPr>
        <a:xfrm xmlns:a="http://schemas.openxmlformats.org/drawingml/2006/main">
          <a:off x="8210550" y="476250"/>
          <a:ext cx="2038350" cy="18097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13</xdr:col>
      <xdr:colOff>25400</xdr:colOff>
      <xdr:row>4</xdr:row>
      <xdr:rowOff>38100</xdr:rowOff>
    </xdr:from>
    <xdr:to>
      <xdr:col>18</xdr:col>
      <xdr:colOff>685800</xdr:colOff>
      <xdr:row>17</xdr:row>
      <xdr:rowOff>132725</xdr:rowOff>
    </xdr:to>
    <xdr:pic>
      <xdr:nvPicPr>
        <xdr:cNvPr id="12" name="/xl/media/image1.png"/>
        <xdr:cNvPicPr>
          <a:picLocks xmlns:a="http://schemas.openxmlformats.org/drawingml/2006/main" noChangeAspect="1"/>
        </xdr:cNvPicPr>
      </xdr:nvPicPr>
      <xdr:blipFill>
        <a:blip xmlns:r="http://schemas.openxmlformats.org/officeDocument/2006/relationships" xmlns:a="http://schemas.openxmlformats.org/drawingml/2006/main" r:embed="R73c015a0933f4b18"/>
        <a:stretch xmlns:a="http://schemas.openxmlformats.org/drawingml/2006/main">
          <a:fillRect/>
        </a:stretch>
      </xdr:blipFill>
      <xdr:spPr>
        <a:prstGeom xmlns:a="http://schemas.openxmlformats.org/drawingml/2006/main" prst="rect"/>
      </xdr:spPr>
    </xdr:pic>
    <xdr:clientData/>
  </xdr:twoCellAnchor>
</xdr:wsDr>
</file>

<file path=xl/drawings/drawing2.xml><?xml version="1.0" encoding="utf-8"?>
<xdr:wsDr xmlns:xdr="http://schemas.openxmlformats.org/drawingml/2006/spreadsheetDrawing">
  <xdr:twoCellAnchor editAs="oneCell">
    <xdr:from>
      <xdr:col>3</xdr:col>
      <xdr:colOff>7620</xdr:colOff>
      <xdr:row>1</xdr:row>
      <xdr:rowOff>0</xdr:rowOff>
    </xdr:from>
    <xdr:to>
      <xdr:col>5</xdr:col>
      <xdr:colOff>522941</xdr:colOff>
      <xdr:row>1</xdr:row>
      <xdr:rowOff>179294</xdr:rowOff>
    </xdr:to>
    <xdr:sp>
      <xdr:nvSpPr>
        <xdr:cNvPr id="1" name="Rectangle 9"/>
        <xdr:cNvSpPr>
          <a:spLocks xmlns:a="http://schemas.openxmlformats.org/drawingml/2006/main" noGrp="1"/>
        </xdr:cNvSpPr>
      </xdr:nvSpPr>
      <xdr:spPr>
        <a:xfrm xmlns:a="http://schemas.openxmlformats.org/drawingml/2006/main">
          <a:off x="2450502" y="67235"/>
          <a:ext cx="2158851" cy="179294"/>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xdr:col>
      <xdr:colOff>714375</xdr:colOff>
      <xdr:row>25</xdr:row>
      <xdr:rowOff>47625</xdr:rowOff>
    </xdr:from>
    <xdr:to>
      <xdr:col>1</xdr:col>
      <xdr:colOff>1436931</xdr:colOff>
      <xdr:row>26</xdr:row>
      <xdr:rowOff>1905</xdr:rowOff>
    </xdr:to>
    <xdr:sp>
      <xdr:nvSpPr>
        <xdr:cNvPr id="2" name="Rectangle 12"/>
        <xdr:cNvSpPr>
          <a:spLocks xmlns:a="http://schemas.openxmlformats.org/drawingml/2006/main" noGrp="1"/>
        </xdr:cNvSpPr>
      </xdr:nvSpPr>
      <xdr:spPr>
        <a:xfrm xmlns:a="http://schemas.openxmlformats.org/drawingml/2006/main">
          <a:off x="781050" y="4238625"/>
          <a:ext cx="731520" cy="15240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Add Item</a:t>
          </a:r>
          <a:endParaRPr/>
        </a:p>
      </xdr:txBody>
    </xdr:sp>
    <xdr:clientData/>
  </xdr:twoCellAnchor>
  <xdr:twoCellAnchor editAs="oneCell">
    <xdr:from>
      <xdr:col>1</xdr:col>
      <xdr:colOff>714375</xdr:colOff>
      <xdr:row>32</xdr:row>
      <xdr:rowOff>38100</xdr:rowOff>
    </xdr:from>
    <xdr:to>
      <xdr:col>1</xdr:col>
      <xdr:colOff>1436931</xdr:colOff>
      <xdr:row>33</xdr:row>
      <xdr:rowOff>0</xdr:rowOff>
    </xdr:to>
    <xdr:sp>
      <xdr:nvSpPr>
        <xdr:cNvPr id="3" name="Rectangle 13"/>
        <xdr:cNvSpPr>
          <a:spLocks xmlns:a="http://schemas.openxmlformats.org/drawingml/2006/main" noGrp="1"/>
        </xdr:cNvSpPr>
      </xdr:nvSpPr>
      <xdr:spPr>
        <a:xfrm xmlns:a="http://schemas.openxmlformats.org/drawingml/2006/main">
          <a:off x="781050" y="6943725"/>
          <a:ext cx="731520" cy="15240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Add Item</a:t>
          </a:r>
          <a:endParaRPr/>
        </a:p>
      </xdr:txBody>
    </xdr:sp>
    <xdr:clientData/>
  </xdr:twoCellAnchor>
  <xdr:twoCellAnchor editAs="oneCell">
    <xdr:from>
      <xdr:col>1</xdr:col>
      <xdr:colOff>714375</xdr:colOff>
      <xdr:row>39</xdr:row>
      <xdr:rowOff>38100</xdr:rowOff>
    </xdr:from>
    <xdr:to>
      <xdr:col>1</xdr:col>
      <xdr:colOff>1436931</xdr:colOff>
      <xdr:row>40</xdr:row>
      <xdr:rowOff>0</xdr:rowOff>
    </xdr:to>
    <xdr:sp>
      <xdr:nvSpPr>
        <xdr:cNvPr id="4" name="Rectangle 14"/>
        <xdr:cNvSpPr>
          <a:spLocks xmlns:a="http://schemas.openxmlformats.org/drawingml/2006/main" noGrp="1"/>
        </xdr:cNvSpPr>
      </xdr:nvSpPr>
      <xdr:spPr>
        <a:xfrm xmlns:a="http://schemas.openxmlformats.org/drawingml/2006/main">
          <a:off x="781050" y="6477000"/>
          <a:ext cx="731520" cy="15240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Add Item</a:t>
          </a:r>
          <a:endParaRPr/>
        </a:p>
      </xdr:txBody>
    </xdr:sp>
    <xdr:clientData/>
  </xdr:twoCellAnchor>
  <xdr:twoCellAnchor editAs="oneCell">
    <xdr:from>
      <xdr:col>2</xdr:col>
      <xdr:colOff>85725</xdr:colOff>
      <xdr:row>25</xdr:row>
      <xdr:rowOff>47625</xdr:rowOff>
    </xdr:from>
    <xdr:to>
      <xdr:col>2</xdr:col>
      <xdr:colOff>817245</xdr:colOff>
      <xdr:row>26</xdr:row>
      <xdr:rowOff>1905</xdr:rowOff>
    </xdr:to>
    <xdr:sp>
      <xdr:nvSpPr>
        <xdr:cNvPr id="5" name="Rectangle 15"/>
        <xdr:cNvSpPr>
          <a:spLocks xmlns:a="http://schemas.openxmlformats.org/drawingml/2006/main" noGrp="1"/>
        </xdr:cNvSpPr>
      </xdr:nvSpPr>
      <xdr:spPr>
        <a:xfrm xmlns:a="http://schemas.openxmlformats.org/drawingml/2006/main">
          <a:off x="1562100" y="4229100"/>
          <a:ext cx="731520" cy="16383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Del. Item</a:t>
          </a:r>
          <a:endParaRPr/>
        </a:p>
      </xdr:txBody>
    </xdr:sp>
    <xdr:clientData/>
  </xdr:twoCellAnchor>
  <xdr:twoCellAnchor editAs="oneCell">
    <xdr:from>
      <xdr:col>2</xdr:col>
      <xdr:colOff>85725</xdr:colOff>
      <xdr:row>32</xdr:row>
      <xdr:rowOff>38100</xdr:rowOff>
    </xdr:from>
    <xdr:to>
      <xdr:col>2</xdr:col>
      <xdr:colOff>817245</xdr:colOff>
      <xdr:row>33</xdr:row>
      <xdr:rowOff>0</xdr:rowOff>
    </xdr:to>
    <xdr:sp>
      <xdr:nvSpPr>
        <xdr:cNvPr id="6" name="Rectangle 16"/>
        <xdr:cNvSpPr>
          <a:spLocks xmlns:a="http://schemas.openxmlformats.org/drawingml/2006/main" noGrp="1"/>
        </xdr:cNvSpPr>
      </xdr:nvSpPr>
      <xdr:spPr>
        <a:xfrm xmlns:a="http://schemas.openxmlformats.org/drawingml/2006/main">
          <a:off x="1562100" y="5562600"/>
          <a:ext cx="731520" cy="17145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Del. Item</a:t>
          </a:r>
          <a:endParaRPr/>
        </a:p>
      </xdr:txBody>
    </xdr:sp>
    <xdr:clientData/>
  </xdr:twoCellAnchor>
  <xdr:twoCellAnchor editAs="oneCell">
    <xdr:from>
      <xdr:col>2</xdr:col>
      <xdr:colOff>85725</xdr:colOff>
      <xdr:row>39</xdr:row>
      <xdr:rowOff>38100</xdr:rowOff>
    </xdr:from>
    <xdr:to>
      <xdr:col>2</xdr:col>
      <xdr:colOff>817245</xdr:colOff>
      <xdr:row>40</xdr:row>
      <xdr:rowOff>0</xdr:rowOff>
    </xdr:to>
    <xdr:sp>
      <xdr:nvSpPr>
        <xdr:cNvPr id="7" name="Rectangle 17"/>
        <xdr:cNvSpPr>
          <a:spLocks xmlns:a="http://schemas.openxmlformats.org/drawingml/2006/main" noGrp="1"/>
        </xdr:cNvSpPr>
      </xdr:nvSpPr>
      <xdr:spPr>
        <a:xfrm xmlns:a="http://schemas.openxmlformats.org/drawingml/2006/main">
          <a:off x="1562100" y="6905625"/>
          <a:ext cx="731520" cy="17145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Del. Item</a:t>
          </a:r>
          <a:endParaRPr/>
        </a:p>
      </xdr:txBody>
    </xdr:sp>
    <xdr:clientData/>
  </xdr:twoCellAnchor>
  <xdr:twoCellAnchor editAs="oneCell">
    <xdr:from>
      <xdr:col>1</xdr:col>
      <xdr:colOff>19050</xdr:colOff>
      <xdr:row>219</xdr:row>
      <xdr:rowOff>9525</xdr:rowOff>
    </xdr:from>
    <xdr:to>
      <xdr:col>2</xdr:col>
      <xdr:colOff>9525</xdr:colOff>
      <xdr:row>220</xdr:row>
      <xdr:rowOff>0</xdr:rowOff>
    </xdr:to>
    <xdr:sp>
      <xdr:nvSpPr>
        <xdr:cNvPr id="8" name="Rectangle 24"/>
        <xdr:cNvSpPr>
          <a:spLocks xmlns:a="http://schemas.openxmlformats.org/drawingml/2006/main" noGrp="1"/>
        </xdr:cNvSpPr>
      </xdr:nvSpPr>
      <xdr:spPr>
        <a:xfrm xmlns:a="http://schemas.openxmlformats.org/drawingml/2006/main">
          <a:off x="85725" y="37366575"/>
          <a:ext cx="1400175" cy="2000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2</xdr:col>
      <xdr:colOff>19050</xdr:colOff>
      <xdr:row>219</xdr:row>
      <xdr:rowOff>0</xdr:rowOff>
    </xdr:from>
    <xdr:to>
      <xdr:col>3</xdr:col>
      <xdr:colOff>0</xdr:colOff>
      <xdr:row>219</xdr:row>
      <xdr:rowOff>200025</xdr:rowOff>
    </xdr:to>
    <xdr:sp>
      <xdr:nvSpPr>
        <xdr:cNvPr id="9" name="Rectangle 25"/>
        <xdr:cNvSpPr>
          <a:spLocks xmlns:a="http://schemas.openxmlformats.org/drawingml/2006/main" noGrp="1"/>
        </xdr:cNvSpPr>
      </xdr:nvSpPr>
      <xdr:spPr>
        <a:xfrm xmlns:a="http://schemas.openxmlformats.org/drawingml/2006/main">
          <a:off x="1495425" y="37357050"/>
          <a:ext cx="952500" cy="2000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xdr:col>
      <xdr:colOff>19050</xdr:colOff>
      <xdr:row>255</xdr:row>
      <xdr:rowOff>9525</xdr:rowOff>
    </xdr:from>
    <xdr:to>
      <xdr:col>1</xdr:col>
      <xdr:colOff>809625</xdr:colOff>
      <xdr:row>255</xdr:row>
      <xdr:rowOff>171450</xdr:rowOff>
    </xdr:to>
    <xdr:sp>
      <xdr:nvSpPr>
        <xdr:cNvPr id="10" name="Rectangle 26"/>
        <xdr:cNvSpPr>
          <a:spLocks xmlns:a="http://schemas.openxmlformats.org/drawingml/2006/main" noGrp="1"/>
        </xdr:cNvSpPr>
      </xdr:nvSpPr>
      <xdr:spPr>
        <a:xfrm xmlns:a="http://schemas.openxmlformats.org/drawingml/2006/main">
          <a:off x="85725" y="35290125"/>
          <a:ext cx="790575" cy="1619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2</xdr:col>
      <xdr:colOff>19050</xdr:colOff>
      <xdr:row>255</xdr:row>
      <xdr:rowOff>0</xdr:rowOff>
    </xdr:from>
    <xdr:to>
      <xdr:col>2</xdr:col>
      <xdr:colOff>809625</xdr:colOff>
      <xdr:row>256</xdr:row>
      <xdr:rowOff>0</xdr:rowOff>
    </xdr:to>
    <xdr:sp>
      <xdr:nvSpPr>
        <xdr:cNvPr id="11" name="Rectangle 27"/>
        <xdr:cNvSpPr>
          <a:spLocks xmlns:a="http://schemas.openxmlformats.org/drawingml/2006/main" noGrp="1"/>
        </xdr:cNvSpPr>
      </xdr:nvSpPr>
      <xdr:spPr>
        <a:xfrm xmlns:a="http://schemas.openxmlformats.org/drawingml/2006/main">
          <a:off x="904875" y="35280600"/>
          <a:ext cx="790575" cy="18097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142</xdr:col>
      <xdr:colOff>19050</xdr:colOff>
      <xdr:row>4</xdr:row>
      <xdr:rowOff>9525</xdr:rowOff>
    </xdr:from>
    <xdr:to>
      <xdr:col>142</xdr:col>
      <xdr:colOff>809625</xdr:colOff>
      <xdr:row>4</xdr:row>
      <xdr:rowOff>171450</xdr:rowOff>
    </xdr:to>
    <xdr:sp>
      <xdr:nvSpPr>
        <xdr:cNvPr id="12" name="Rectangle 28"/>
        <xdr:cNvSpPr>
          <a:spLocks xmlns:a="http://schemas.openxmlformats.org/drawingml/2006/main" noGrp="1"/>
        </xdr:cNvSpPr>
      </xdr:nvSpPr>
      <xdr:spPr>
        <a:xfrm xmlns:a="http://schemas.openxmlformats.org/drawingml/2006/main">
          <a:off x="85725" y="18297525"/>
          <a:ext cx="790575" cy="1619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143</xdr:col>
      <xdr:colOff>19050</xdr:colOff>
      <xdr:row>4</xdr:row>
      <xdr:rowOff>0</xdr:rowOff>
    </xdr:from>
    <xdr:to>
      <xdr:col>143</xdr:col>
      <xdr:colOff>809625</xdr:colOff>
      <xdr:row>5</xdr:row>
      <xdr:rowOff>0</xdr:rowOff>
    </xdr:to>
    <xdr:sp>
      <xdr:nvSpPr>
        <xdr:cNvPr id="13" name="Rectangle 29"/>
        <xdr:cNvSpPr>
          <a:spLocks xmlns:a="http://schemas.openxmlformats.org/drawingml/2006/main" noGrp="1"/>
        </xdr:cNvSpPr>
      </xdr:nvSpPr>
      <xdr:spPr>
        <a:xfrm xmlns:a="http://schemas.openxmlformats.org/drawingml/2006/main">
          <a:off x="904875" y="18288000"/>
          <a:ext cx="790575" cy="18097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3</xdr:col>
      <xdr:colOff>57150</xdr:colOff>
      <xdr:row>267</xdr:row>
      <xdr:rowOff>38100</xdr:rowOff>
    </xdr:from>
    <xdr:to>
      <xdr:col>6</xdr:col>
      <xdr:colOff>619125</xdr:colOff>
      <xdr:row>268</xdr:row>
      <xdr:rowOff>142875</xdr:rowOff>
    </xdr:to>
    <xdr:sp>
      <xdr:nvSpPr>
        <xdr:cNvPr id="14" name="Rectangle 8"/>
        <xdr:cNvSpPr>
          <a:spLocks xmlns:a="http://schemas.openxmlformats.org/drawingml/2006/main" noGrp="1"/>
        </xdr:cNvSpPr>
      </xdr:nvSpPr>
      <xdr:spPr>
        <a:xfrm xmlns:a="http://schemas.openxmlformats.org/drawingml/2006/main">
          <a:off x="1762125" y="41119425"/>
          <a:ext cx="2200275" cy="161925"/>
        </a:xfrm>
        <a:prstGeom xmlns:a="http://schemas.openxmlformats.org/drawingml/2006/main" prst="rect">
          <a:avLst/>
        </a:prstGeom>
        <a:noFill xmlns:a="http://schemas.openxmlformats.org/drawingml/2006/main"/>
        <a:ln xmlns:a="http://schemas.openxmlformats.org/drawingml/2006/main" w="3175">
          <a:solidFill>
            <a:schemeClr val="bg1"/>
          </a:solid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800"/>
            <a:t>UPDATE SENSITIVITY TABLES</a:t>
          </a:r>
          <a:endParaRPr/>
        </a:p>
      </xdr:txBody>
    </xdr:sp>
    <xdr:clientData/>
  </xdr:twoCellAnchor>
  <xdr:twoCellAnchor editAs="oneCell">
    <xdr:from>
      <xdr:col>3</xdr:col>
      <xdr:colOff>19050</xdr:colOff>
      <xdr:row>66</xdr:row>
      <xdr:rowOff>9525</xdr:rowOff>
    </xdr:from>
    <xdr:to>
      <xdr:col>3</xdr:col>
      <xdr:colOff>809625</xdr:colOff>
      <xdr:row>66</xdr:row>
      <xdr:rowOff>171450</xdr:rowOff>
    </xdr:to>
    <xdr:sp>
      <xdr:nvSpPr>
        <xdr:cNvPr id="15" name="Rectangle 33"/>
        <xdr:cNvSpPr>
          <a:spLocks xmlns:a="http://schemas.openxmlformats.org/drawingml/2006/main" noGrp="1"/>
        </xdr:cNvSpPr>
      </xdr:nvSpPr>
      <xdr:spPr>
        <a:xfrm xmlns:a="http://schemas.openxmlformats.org/drawingml/2006/main">
          <a:off x="85725" y="15449550"/>
          <a:ext cx="790575" cy="16192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4</xdr:col>
      <xdr:colOff>19050</xdr:colOff>
      <xdr:row>66</xdr:row>
      <xdr:rowOff>0</xdr:rowOff>
    </xdr:from>
    <xdr:to>
      <xdr:col>4</xdr:col>
      <xdr:colOff>809625</xdr:colOff>
      <xdr:row>67</xdr:row>
      <xdr:rowOff>0</xdr:rowOff>
    </xdr:to>
    <xdr:sp>
      <xdr:nvSpPr>
        <xdr:cNvPr id="16" name="Rectangle 34"/>
        <xdr:cNvSpPr>
          <a:spLocks xmlns:a="http://schemas.openxmlformats.org/drawingml/2006/main" noGrp="1"/>
        </xdr:cNvSpPr>
      </xdr:nvSpPr>
      <xdr:spPr>
        <a:xfrm xmlns:a="http://schemas.openxmlformats.org/drawingml/2006/main">
          <a:off x="1171575" y="15440025"/>
          <a:ext cx="790575" cy="180975"/>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oneCellAnchor>
    <xdr:from>
      <xdr:col>2</xdr:col>
      <xdr:colOff>428625</xdr:colOff>
      <xdr:row>90</xdr:row>
      <xdr:rowOff>28573</xdr:rowOff>
    </xdr:from>
    <xdr:ext cx="1143000" cy="182880"/>
    <xdr:sp>
      <xdr:nvSpPr>
        <xdr:cNvPr id="17" name="Rectangle 37"/>
        <xdr:cNvSpPr>
          <a:spLocks xmlns:a="http://schemas.openxmlformats.org/drawingml/2006/main" noGrp="1"/>
        </xdr:cNvSpPr>
      </xdr:nvSpPr>
      <xdr:spPr>
        <a:xfrm xmlns:a="http://schemas.openxmlformats.org/drawingml/2006/main">
          <a:off x="1905000" y="15268573"/>
          <a:ext cx="1143000" cy="18288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Add Tenant</a:t>
          </a:r>
          <a:endParaRPr/>
        </a:p>
      </xdr:txBody>
    </xdr:sp>
    <xdr:clientData/>
  </xdr:oneCellAnchor>
  <xdr:oneCellAnchor>
    <xdr:from>
      <xdr:col>3</xdr:col>
      <xdr:colOff>628650</xdr:colOff>
      <xdr:row>90</xdr:row>
      <xdr:rowOff>28573</xdr:rowOff>
    </xdr:from>
    <xdr:ext cx="1143000" cy="182880"/>
    <xdr:sp>
      <xdr:nvSpPr>
        <xdr:cNvPr id="18" name="Rectangle 38"/>
        <xdr:cNvSpPr>
          <a:spLocks xmlns:a="http://schemas.openxmlformats.org/drawingml/2006/main" noGrp="1"/>
        </xdr:cNvSpPr>
      </xdr:nvSpPr>
      <xdr:spPr>
        <a:xfrm xmlns:a="http://schemas.openxmlformats.org/drawingml/2006/main">
          <a:off x="3076575" y="15268573"/>
          <a:ext cx="1143000" cy="18288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Delete Tenant</a:t>
          </a:r>
          <a:endParaRPr/>
        </a:p>
      </xdr:txBody>
    </xdr:sp>
    <xdr:clientData/>
  </xdr:oneCellAnchor>
  <xdr:twoCellAnchor editAs="oneCell">
    <xdr:from>
      <xdr:col>7</xdr:col>
      <xdr:colOff>0</xdr:colOff>
      <xdr:row>77</xdr:row>
      <xdr:rowOff>0</xdr:rowOff>
    </xdr:from>
    <xdr:to>
      <xdr:col>8</xdr:col>
      <xdr:colOff>9525</xdr:colOff>
      <xdr:row>78</xdr:row>
      <xdr:rowOff>0</xdr:rowOff>
    </xdr:to>
    <xdr:sp>
      <xdr:nvSpPr>
        <xdr:cNvPr id="19" name="Rectangle 7"/>
        <xdr:cNvSpPr>
          <a:spLocks xmlns:a="http://schemas.openxmlformats.org/drawingml/2006/main" noGrp="1"/>
        </xdr:cNvSpPr>
      </xdr:nvSpPr>
      <xdr:spPr>
        <a:xfrm xmlns:a="http://schemas.openxmlformats.org/drawingml/2006/main">
          <a:off x="5895975" y="13611225"/>
          <a:ext cx="828675" cy="190500"/>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twoCellAnchor editAs="oneCell">
    <xdr:from>
      <xdr:col>8</xdr:col>
      <xdr:colOff>9526</xdr:colOff>
      <xdr:row>77</xdr:row>
      <xdr:rowOff>1</xdr:rowOff>
    </xdr:from>
    <xdr:to>
      <xdr:col>9</xdr:col>
      <xdr:colOff>1</xdr:colOff>
      <xdr:row>78</xdr:row>
      <xdr:rowOff>9526</xdr:rowOff>
    </xdr:to>
    <xdr:sp>
      <xdr:nvSpPr>
        <xdr:cNvPr id="20" name="Rectangle 10"/>
        <xdr:cNvSpPr>
          <a:spLocks xmlns:a="http://schemas.openxmlformats.org/drawingml/2006/main" noGrp="1"/>
        </xdr:cNvSpPr>
      </xdr:nvSpPr>
      <xdr:spPr>
        <a:xfrm xmlns:a="http://schemas.openxmlformats.org/drawingml/2006/main">
          <a:off x="6248401" y="11468101"/>
          <a:ext cx="952500" cy="171450"/>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oneCellAnchor>
    <xdr:from>
      <xdr:col>2</xdr:col>
      <xdr:colOff>323850</xdr:colOff>
      <xdr:row>132</xdr:row>
      <xdr:rowOff>28575</xdr:rowOff>
    </xdr:from>
    <xdr:ext cx="822960" cy="182880"/>
    <xdr:sp>
      <xdr:nvSpPr>
        <xdr:cNvPr id="21" name="Rectangle 20"/>
        <xdr:cNvSpPr>
          <a:spLocks xmlns:a="http://schemas.openxmlformats.org/drawingml/2006/main" noGrp="1"/>
        </xdr:cNvSpPr>
      </xdr:nvSpPr>
      <xdr:spPr>
        <a:xfrm xmlns:a="http://schemas.openxmlformats.org/drawingml/2006/main">
          <a:off x="1800225" y="22450425"/>
          <a:ext cx="822960" cy="18288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Add OpEx</a:t>
          </a:r>
          <a:endParaRPr/>
        </a:p>
      </xdr:txBody>
    </xdr:sp>
    <xdr:clientData/>
  </xdr:oneCellAnchor>
  <xdr:oneCellAnchor>
    <xdr:from>
      <xdr:col>3</xdr:col>
      <xdr:colOff>200025</xdr:colOff>
      <xdr:row>132</xdr:row>
      <xdr:rowOff>28575</xdr:rowOff>
    </xdr:from>
    <xdr:ext cx="914400" cy="182880"/>
    <xdr:sp>
      <xdr:nvSpPr>
        <xdr:cNvPr id="22" name="Rectangle 21"/>
        <xdr:cNvSpPr>
          <a:spLocks xmlns:a="http://schemas.openxmlformats.org/drawingml/2006/main" noGrp="1"/>
        </xdr:cNvSpPr>
      </xdr:nvSpPr>
      <xdr:spPr>
        <a:xfrm xmlns:a="http://schemas.openxmlformats.org/drawingml/2006/main">
          <a:off x="2647950" y="22450425"/>
          <a:ext cx="914400" cy="182880"/>
        </a:xfrm>
        <a:prstGeom xmlns:a="http://schemas.openxmlformats.org/drawingml/2006/main" prst="rect">
          <a:avLst/>
        </a:prstGeom>
        <a:solidFill xmlns:a="http://schemas.openxmlformats.org/drawingml/2006/main">
          <a:schemeClr val="accent1">
            <a:lumMod val="60000"/>
            <a:lumOff val="40000"/>
          </a:schemeClr>
        </a:solidFill>
        <a:ln xmlns:a="http://schemas.openxmlformats.org/drawingml/2006/main" w="3175">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ctr"/>
        <a:lstStyle xmlns:a="http://schemas.openxmlformats.org/drawingml/2006/main"/>
        <a:p xmlns:a="http://schemas.openxmlformats.org/drawingml/2006/main">
          <a:pPr algn="ctr">
            <a:buNone/>
          </a:pPr>
          <a:r>
            <a:rPr sz="1000">
              <a:solidFill>
                <a:sysClr val="windowText" lastClr="000000"/>
              </a:solidFill>
            </a:rPr>
            <a:t>Delete OpEx</a:t>
          </a:r>
          <a:endParaRPr/>
        </a:p>
      </xdr:txBody>
    </xdr:sp>
    <xdr:clientData/>
  </xdr:oneCellAnchor>
</xdr:wsDr>
</file>

<file path=xl/drawings/drawing3.xml><?xml version="1.0" encoding="utf-8"?>
<xdr:wsDr xmlns:xdr="http://schemas.openxmlformats.org/drawingml/2006/spreadsheetDrawing">
  <xdr:twoCellAnchor>
    <xdr:from>
      <xdr:col>1</xdr:col>
      <xdr:colOff>42862</xdr:colOff>
      <xdr:row>8</xdr:row>
      <xdr:rowOff>42862</xdr:rowOff>
    </xdr:from>
    <xdr:to>
      <xdr:col>7</xdr:col>
      <xdr:colOff>571500</xdr:colOff>
      <xdr:row>25</xdr:row>
      <xdr:rowOff>190500</xdr:rowOff>
    </xdr:to>
    <xdr:graphicFrame macro="">
      <xdr:nvGraphicFramePr>
        <xdr:cNvPr id="1"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d976fc7a633e4e6f"/>
        </a:graphicData>
      </a:graphic>
    </xdr:graphicFrame>
    <xdr:clientData/>
  </xdr:twoCellAnchor>
  <xdr:twoCellAnchor>
    <xdr:from>
      <xdr:col>7</xdr:col>
      <xdr:colOff>609600</xdr:colOff>
      <xdr:row>8</xdr:row>
      <xdr:rowOff>38100</xdr:rowOff>
    </xdr:from>
    <xdr:to>
      <xdr:col>13</xdr:col>
      <xdr:colOff>1112520</xdr:colOff>
      <xdr:row>25</xdr:row>
      <xdr:rowOff>185738</xdr:rowOff>
    </xdr:to>
    <xdr:graphicFrame macro="">
      <xdr:nvGraphicFramePr>
        <xdr:cNvPr id="2"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7cc76b7893ad47fb"/>
        </a:graphicData>
      </a:graphic>
    </xdr:graphicFrame>
    <xdr:clientData/>
  </xdr:twoCellAnchor>
  <xdr:twoCellAnchor editAs="oneCell">
    <xdr:from>
      <xdr:col>11</xdr:col>
      <xdr:colOff>922020</xdr:colOff>
      <xdr:row>26</xdr:row>
      <xdr:rowOff>15240</xdr:rowOff>
    </xdr:from>
    <xdr:to>
      <xdr:col>14</xdr:col>
      <xdr:colOff>0</xdr:colOff>
      <xdr:row>26</xdr:row>
      <xdr:rowOff>182880</xdr:rowOff>
    </xdr:to>
    <xdr:sp>
      <xdr:nvSpPr>
        <xdr:cNvPr id="3" name="Rectangle 1"/>
        <xdr:cNvSpPr>
          <a:spLocks xmlns:a="http://schemas.openxmlformats.org/drawingml/2006/main" noGrp="1"/>
        </xdr:cNvSpPr>
      </xdr:nvSpPr>
      <xdr:spPr>
        <a:xfrm xmlns:a="http://schemas.openxmlformats.org/drawingml/2006/main">
          <a:off x="9867900" y="5212080"/>
          <a:ext cx="1988820" cy="167640"/>
        </a:xfrm>
        <a:prstGeom xmlns:a="http://schemas.openxmlformats.org/drawingml/2006/main" prst="rect">
          <a:avLst/>
        </a:prstGeom>
        <a:noFill xmlns:a="http://schemas.openxmlformats.org/drawingml/2006/main"/>
        <a:ln xmlns:a="http://schemas.openxmlformats.org/drawingml/2006/main">
          <a:noFill/>
        </a:ln>
      </xdr:spPr>
      <x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a:bodyPr xmlns:a="http://schemas.openxmlformats.org/drawingml/2006/main" anchor="t"/>
        <a:lstStyle xmlns:a="http://schemas.openxmlformats.org/drawingml/2006/main"/>
        <a:p xmlns:a="http://schemas.openxmlformats.org/drawingml/2006/main">
          <a:pPr algn="l">
            <a:buNone/>
          </a:pPr>
          <a:endParaRPr/>
        </a:p>
      </xdr:txBody>
    </xdr:sp>
    <xdr:clientData/>
  </xdr:twoCellAnchor>
</xdr:wsDr>
</file>

<file path=xl/drawings/drawing4.xml><?xml version="1.0" encoding="utf-8"?>
<xdr:wsDr xmlns:xdr="http://schemas.openxmlformats.org/drawingml/2006/spreadsheetDrawing">
  <xdr:twoCellAnchor>
    <xdr:from>
      <xdr:col>6</xdr:col>
      <xdr:colOff>26670</xdr:colOff>
      <xdr:row>3</xdr:row>
      <xdr:rowOff>5715</xdr:rowOff>
    </xdr:from>
    <xdr:to>
      <xdr:col>13</xdr:col>
      <xdr:colOff>339090</xdr:colOff>
      <xdr:row>12</xdr:row>
      <xdr:rowOff>108585</xdr:rowOff>
    </xdr:to>
    <xdr:graphicFrame macro="">
      <xdr:nvGraphicFramePr>
        <xdr:cNvPr id="1"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e8ea892ef28643a8"/>
        </a:graphicData>
      </a:graphic>
    </xdr:graphicFrame>
    <xdr:clientData/>
  </xdr:twoCellAnchor>
</xdr:wsDr>
</file>

<file path=xl/drawings/drawing5.xml><?xml version="1.0" encoding="utf-8"?>
<xdr:wsDr xmlns:xdr="http://schemas.openxmlformats.org/drawingml/2006/spreadsheetDrawing">
  <xdr:twoCellAnchor>
    <xdr:from>
      <xdr:col>0</xdr:col>
      <xdr:colOff>0</xdr:colOff>
      <xdr:row>21</xdr:row>
      <xdr:rowOff>0</xdr:rowOff>
    </xdr:from>
    <xdr:to>
      <xdr:col>8</xdr:col>
      <xdr:colOff>0</xdr:colOff>
      <xdr:row>34</xdr:row>
      <xdr:rowOff>0</xdr:rowOff>
    </xdr:to>
    <xdr:graphicFrame macro="">
      <xdr:nvGraphicFramePr>
        <xdr:cNvPr id="1"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4de2505451d74c74"/>
        </a:graphicData>
      </a:graphic>
    </xdr:graphicFrame>
    <xdr:clientData/>
  </xdr:twoCellAnchor>
  <xdr:twoCellAnchor>
    <xdr:from>
      <xdr:col>0</xdr:col>
      <xdr:colOff>0</xdr:colOff>
      <xdr:row>70</xdr:row>
      <xdr:rowOff>0</xdr:rowOff>
    </xdr:from>
    <xdr:to>
      <xdr:col>8</xdr:col>
      <xdr:colOff>0</xdr:colOff>
      <xdr:row>82</xdr:row>
      <xdr:rowOff>0</xdr:rowOff>
    </xdr:to>
    <xdr:graphicFrame macro="">
      <xdr:nvGraphicFramePr>
        <xdr:cNvPr id="2"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849f90f437d543bc"/>
        </a:graphicData>
      </a:graphic>
    </xdr:graphicFrame>
    <xdr:clientData/>
  </xdr:twoCellAnchor>
  <xdr:twoCellAnchor>
    <xdr:from>
      <xdr:col>0</xdr:col>
      <xdr:colOff>0</xdr:colOff>
      <xdr:row>232</xdr:row>
      <xdr:rowOff>28575</xdr:rowOff>
    </xdr:from>
    <xdr:to>
      <xdr:col>9</xdr:col>
      <xdr:colOff>25400</xdr:colOff>
      <xdr:row>246</xdr:row>
      <xdr:rowOff>161925</xdr:rowOff>
    </xdr:to>
    <xdr:graphicFrame macro="">
      <xdr:nvGraphicFramePr>
        <xdr:cNvPr id="3"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d950d433be7e48ae"/>
        </a:graphicData>
      </a:graphic>
    </xdr:graphicFrame>
    <xdr:clientData/>
  </xdr:twoCellAnchor>
  <xdr:twoCellAnchor>
    <xdr:from>
      <xdr:col>10</xdr:col>
      <xdr:colOff>28575</xdr:colOff>
      <xdr:row>232</xdr:row>
      <xdr:rowOff>28575</xdr:rowOff>
    </xdr:from>
    <xdr:to>
      <xdr:col>19</xdr:col>
      <xdr:colOff>57150</xdr:colOff>
      <xdr:row>246</xdr:row>
      <xdr:rowOff>161925</xdr:rowOff>
    </xdr:to>
    <xdr:graphicFrame macro="">
      <xdr:nvGraphicFramePr>
        <xdr:cNvPr id="4"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afbc15ebece94a1a"/>
        </a:graphicData>
      </a:graphic>
    </xdr:graphicFrame>
    <xdr:clientData/>
  </xdr:twoCellAnchor>
  <xdr:twoCellAnchor>
    <xdr:from>
      <xdr:col>0</xdr:col>
      <xdr:colOff>0</xdr:colOff>
      <xdr:row>216</xdr:row>
      <xdr:rowOff>76200</xdr:rowOff>
    </xdr:from>
    <xdr:to>
      <xdr:col>9</xdr:col>
      <xdr:colOff>25400</xdr:colOff>
      <xdr:row>231</xdr:row>
      <xdr:rowOff>25400</xdr:rowOff>
    </xdr:to>
    <xdr:graphicFrame macro="">
      <xdr:nvGraphicFramePr>
        <xdr:cNvPr id="5"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2cd3b7f9f43e4f4f"/>
        </a:graphicData>
      </a:graphic>
    </xdr:graphicFrame>
    <xdr:clientData/>
  </xdr:twoCellAnchor>
  <xdr:twoCellAnchor>
    <xdr:from>
      <xdr:col>10</xdr:col>
      <xdr:colOff>28575</xdr:colOff>
      <xdr:row>216</xdr:row>
      <xdr:rowOff>76200</xdr:rowOff>
    </xdr:from>
    <xdr:to>
      <xdr:col>19</xdr:col>
      <xdr:colOff>57150</xdr:colOff>
      <xdr:row>231</xdr:row>
      <xdr:rowOff>25400</xdr:rowOff>
    </xdr:to>
    <xdr:graphicFrame macro="">
      <xdr:nvGraphicFramePr>
        <xdr:cNvPr id="6" name="Chart"/>
        <xdr:cNvGraphicFramePr/>
      </xdr:nvGraphicFramePr>
      <xdr:xfrm>
        <a:off xmlns:a="http://schemas.openxmlformats.org/drawingml/2006/main" x="0" y="0"/>
        <a:ext xmlns:a="http://schemas.openxmlformats.org/drawingml/2006/main" cx="0" cy="0"/>
      </xdr:xfrm>
      <a:graphic xmlns:a="http://schemas.openxmlformats.org/drawingml/2006/main">
        <a:graphicData uri="http://schemas.openxmlformats.org/drawingml/2006/chart">
          <c:chart xmlns:r="http://schemas.openxmlformats.org/officeDocument/2006/relationships" xmlns:c="http://schemas.openxmlformats.org/drawingml/2006/chart" r:id="Ref4d718073da42bd"/>
        </a:graphicData>
      </a:graphic>
    </xdr:graphicFrame>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Office">
      <a:majorFont>
        <a:latin typeface="Calibri"/>
        <a:ea typeface="Calibri"/>
        <a:cs typeface="Calibri"/>
      </a:majorFont>
      <a:minorFont>
        <a:latin typeface="Calibri"/>
        <a:ea typeface="Calibri"/>
        <a:cs typeface="Calibri"/>
      </a:minorFont>
    </a:fontScheme>
    <a:fmtScheme name="Berlin">
      <a:fillStyleLst>
        <a:solidFill>
          <a:schemeClr val="phClr"/>
        </a:solidFill>
        <a:solidFill>
          <a:schemeClr val="dk1"/>
        </a:solidFill>
        <a:solidFill>
          <a:schemeClr val="accent1"/>
        </a:solidFill>
      </a:fillStyleLst>
      <a:lnStyleLst>
        <a:ln w="9525">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6000"/>
                <a:shade val="100000"/>
                <a:lumMod val="128000"/>
                <a:satMod val="200000"/>
              </a:schemeClr>
            </a:gs>
            <a:gs pos="50000">
              <a:schemeClr val="phClr">
                <a:shade val="100000"/>
                <a:lumMod val="130000"/>
                <a:satMod val="110000"/>
              </a:schemeClr>
            </a:gs>
            <a:gs pos="100000">
              <a:schemeClr val="phClr">
                <a:shade val="78000"/>
                <a:lumMod val="69000"/>
                <a:satMod val="200000"/>
              </a:schemeClr>
            </a:gs>
          </a:gsLst>
          <a:lin ang="2520000" scaled="0"/>
        </a:gradFill>
      </a:bgFillStyleLst>
    </a:fmtScheme>
  </a:themeElements>
</a:theme>
</file>

<file path=xl/worksheets/_rels/sheet1.xml.rels>&#65279;<?xml version="1.0" encoding="utf-8"?><Relationships xmlns="http://schemas.openxmlformats.org/package/2006/relationships"><Relationship Type="http://schemas.openxmlformats.org/officeDocument/2006/relationships/drawing" Target="/xl/drawings/drawing1.xml" Id="Re72c263579e64128" /></Relationships>
</file>

<file path=xl/worksheets/_rels/sheet2.xml.rels>&#65279;<?xml version="1.0" encoding="utf-8"?><Relationships xmlns="http://schemas.openxmlformats.org/package/2006/relationships"><Relationship Type="http://schemas.openxmlformats.org/officeDocument/2006/relationships/drawing" Target="/xl/drawings/drawing2.xml" Id="R1d6ea35f6f804cab" /></Relationships>
</file>

<file path=xl/worksheets/_rels/sheet4.xml.rels>&#65279;<?xml version="1.0" encoding="utf-8"?><Relationships xmlns="http://schemas.openxmlformats.org/package/2006/relationships"><Relationship Type="http://schemas.openxmlformats.org/officeDocument/2006/relationships/drawing" Target="/xl/drawings/drawing3.xml" Id="R8260c56988c94721" /></Relationships>
</file>

<file path=xl/worksheets/_rels/sheet5.xml.rels>&#65279;<?xml version="1.0" encoding="utf-8"?><Relationships xmlns="http://schemas.openxmlformats.org/package/2006/relationships"><Relationship Type="http://schemas.openxmlformats.org/officeDocument/2006/relationships/drawing" Target="/xl/drawings/drawing4.xml" Id="R5f6b312bc7da4e04" /></Relationships>
</file>

<file path=xl/worksheets/_rels/sheet8.xml.rels>&#65279;<?xml version="1.0" encoding="utf-8"?><Relationships xmlns="http://schemas.openxmlformats.org/package/2006/relationships"><Relationship Type="http://schemas.openxmlformats.org/officeDocument/2006/relationships/drawing" Target="/xl/drawings/drawing5.xml" Id="R0999983613454463" /></Relationships>
</file>

<file path=xl/worksheets/sheet1.xml><?xml version="1.0" encoding="utf-8"?>
<worksheet xmlns="http://schemas.openxmlformats.org/spreadsheetml/2006/main">
  <sheetPr>
    <tabColor rgb="FFC1B56B"/>
  </sheetPr>
  <sheetViews>
    <sheetView showGridLines="0" workbookViewId="0"/>
  </sheetViews>
  <sheetFormatPr defaultRowHeight="14.5"/>
  <cols>
    <col min="1" max="1" width="1.83203125" customWidth="1"/>
    <col min="2" max="2" width="31.6640625" customWidth="1"/>
    <col min="3" max="3" width="8.6640625" customWidth="1"/>
    <col min="4" max="4" width="3.9140625" customWidth="1"/>
    <col min="5" max="5" width="6.58203125" customWidth="1"/>
    <col min="6" max="6" width="28.25" customWidth="1"/>
    <col min="7" max="7" width="12.75" customWidth="1"/>
    <col min="8" max="8" width="21.33203125" customWidth="1"/>
    <col min="9" max="9" width="9" customWidth="1"/>
    <col min="10" max="10" width="3.9140625" customWidth="1"/>
    <col min="11" max="11" width="5.25" customWidth="1"/>
    <col min="12" max="12" width="16.75" customWidth="1"/>
    <col min="13" max="13" width="9.58203125" customWidth="1"/>
    <col min="14" max="14" width="10.25" customWidth="1"/>
    <col min="15" max="15" width="9" customWidth="1"/>
    <col min="16" max="16" width="3.9140625" customWidth="1"/>
    <col min="17" max="18" width="8.5" customWidth="1"/>
    <col min="19" max="19" width="9.75" customWidth="1"/>
    <col min="20" max="20" width="0.9140625" customWidth="1"/>
    <col min="21" max="30" width="9" hidden="1" customWidth="1"/>
    <col min="31" max="31" width="0" hidden="1" customWidth="1"/>
    <col min="32" max="16384" width="9" hidden="1" customWidth="0"/>
  </cols>
  <sheetData>
    <row r="1" ht="5.150000095367432" customHeight="1"/>
    <row r="2" ht="15.5">
      <c r="B2" s="116" t="str">
        <f>Underwriting!B2</f>
        <v>THE BEND PRECINCT</v>
      </c>
      <c r="C2" s="117"/>
      <c r="D2" s="117"/>
      <c r="E2" s="117"/>
      <c r="F2" s="117"/>
      <c r="G2" s="117"/>
      <c r="H2" s="117"/>
      <c r="I2" s="117"/>
      <c r="J2" s="117"/>
      <c r="K2" s="117"/>
      <c r="L2" s="117"/>
      <c r="M2" s="117"/>
      <c r="N2" s="117"/>
      <c r="O2" s="117"/>
      <c r="P2" s="117"/>
      <c r="Q2" s="117"/>
      <c r="R2" s="117"/>
      <c r="S2" s="118" t="str">
        <f>UPPER(Underwriting!I2)</f>
        <v>MAYABAY ACTIVE (MELBOURNE) PTY LTD</v>
      </c>
    </row>
    <row r="3" s="4" customFormat="1" ht="13.5">
      <c r="B3" s="119" t="str">
        <f>Underwriting!E11&amp;", "&amp;Underwriting!I10</f>
        <v>Port Melbourne, Victoria</v>
      </c>
      <c r="C3" s="6"/>
      <c r="D3" s="6"/>
      <c r="E3" s="6"/>
      <c r="F3" s="6"/>
      <c r="G3" s="6"/>
      <c r="H3" s="6"/>
      <c r="I3" s="6"/>
      <c r="J3" s="6"/>
      <c r="K3" s="6"/>
      <c r="L3" s="6"/>
      <c r="M3" s="6"/>
      <c r="N3" s="330"/>
      <c r="O3" s="330"/>
      <c r="P3" s="330"/>
      <c r="Q3" s="330"/>
      <c r="R3" s="330"/>
      <c r="S3" s="120" t="str">
        <f>"ANALYSIS START - "&amp;UPPER(TEXT(Underwriting!E13,"MMM YYYY"))</f>
        <v>ANALYSIS START - JUL 2026</v>
      </c>
    </row>
    <row r="4" s="4" customFormat="1" ht="13.5">
      <c r="B4" s="121" t="s">
        <v>0</v>
      </c>
      <c r="C4" s="122"/>
      <c r="D4" s="122"/>
      <c r="E4" s="122"/>
      <c r="F4" s="122"/>
      <c r="G4" s="122"/>
      <c r="H4" s="122"/>
      <c r="I4" s="122"/>
      <c r="J4" s="122"/>
      <c r="K4" s="122"/>
      <c r="L4" s="122"/>
      <c r="M4" s="122"/>
      <c r="N4" s="331"/>
      <c r="O4" s="331"/>
      <c r="P4" s="331"/>
      <c r="Q4" s="684" t="s">
        <v>1</v>
      </c>
      <c r="R4" s="685"/>
      <c r="S4" s="686"/>
    </row>
    <row r="5" s="4" customFormat="1" ht="13.5">
      <c r="B5" s="332" t="s">
        <v>2</v>
      </c>
      <c r="C5" s="95"/>
      <c r="D5" s="95"/>
      <c r="E5" s="333"/>
      <c r="F5" s="334" t="str">
        <f>Underwriting!E10&amp;", "&amp;Underwriting!E11&amp;" "&amp;Underwriting!I10</f>
        <v>349 Bridge Street, Port Melbourne Victoria</v>
      </c>
      <c r="G5" s="335" t="s">
        <v>3</v>
      </c>
      <c r="H5" s="95"/>
      <c r="I5" s="95"/>
      <c r="J5" s="95"/>
      <c r="K5" s="95"/>
      <c r="L5" s="95"/>
      <c r="M5" s="336"/>
      <c r="N5" s="687" t="s">
        <v>4</v>
      </c>
      <c r="O5" s="688"/>
      <c r="P5" s="688"/>
      <c r="Q5" s="688"/>
      <c r="R5" s="688"/>
      <c r="S5" s="689"/>
    </row>
    <row r="6" s="4" customFormat="1" ht="22" customHeight="1">
      <c r="B6" s="181" t="str">
        <f>"Net Rentable Area ("&amp;Unit_Type&amp;")"</f>
        <v>Net Rentable Area (M2)</v>
      </c>
      <c r="E6" s="337"/>
      <c r="F6" s="659" t="n">
        <f>'VALUATION &amp; RETURNS'!$CS$38</f>
        <v>78312.38</v>
      </c>
      <c r="G6" s="676" t="s">
        <v>5</v>
      </c>
      <c r="H6" s="338"/>
      <c r="I6" s="338"/>
      <c r="J6" s="338"/>
      <c r="K6" s="338"/>
      <c r="L6" s="338"/>
      <c r="M6" s="339"/>
      <c r="N6" s="664" t="s">
        <v>6</v>
      </c>
      <c r="O6" s="680" t="s">
        <v>7</v>
      </c>
      <c r="P6" s="680"/>
      <c r="Q6" s="680"/>
      <c r="R6" s="680"/>
      <c r="S6" s="681"/>
    </row>
    <row r="7" s="4" customFormat="1" ht="22" customHeight="1">
      <c r="B7" s="96" t="s">
        <v>8</v>
      </c>
      <c r="E7" s="337"/>
      <c r="F7" s="659" t="n">
        <f>PROJECTS!$AP$19</f>
        <v>34400</v>
      </c>
      <c r="G7" s="677" t="s">
        <v>9</v>
      </c>
      <c r="H7" s="340"/>
      <c r="I7" s="340"/>
      <c r="J7" s="340"/>
      <c r="K7" s="340"/>
      <c r="L7" s="340"/>
      <c r="M7" s="341"/>
      <c r="N7" s="664" t="s">
        <v>10</v>
      </c>
      <c r="O7" s="680" t="s">
        <v>11</v>
      </c>
      <c r="P7" s="680"/>
      <c r="Q7" s="680"/>
      <c r="R7" s="680"/>
      <c r="S7" s="681"/>
    </row>
    <row r="8" s="4" customFormat="1" ht="22" customHeight="1">
      <c r="B8" s="181" t="s">
        <v>12</v>
      </c>
      <c r="E8" s="337"/>
      <c r="F8" s="660" t="str">
        <f>"Mixed-use entertainment, leisure, PBSA and ancillary precinct"</f>
        <v>Mixed-use entertainment, leisure, PBSA and ancillary precinct</v>
      </c>
      <c r="G8" s="677" t="s">
        <v>13</v>
      </c>
      <c r="H8" s="340"/>
      <c r="I8" s="340"/>
      <c r="J8" s="340"/>
      <c r="K8" s="340"/>
      <c r="L8" s="340"/>
      <c r="M8" s="341"/>
      <c r="N8" s="664" t="s">
        <v>14</v>
      </c>
      <c r="O8" s="680" t="str">
        <v>v12 | 28 Jul 2026 | PROJECTS architectural migration and controlled input-hub release.</v>
      </c>
      <c r="P8" s="680"/>
      <c r="Q8" s="680"/>
      <c r="R8" s="680"/>
      <c r="S8" s="681"/>
    </row>
    <row r="9" s="4" customFormat="1" ht="22" customHeight="1">
      <c r="B9" s="181" t="s">
        <v>15</v>
      </c>
      <c r="E9" s="337"/>
      <c r="F9" s="661" t="str">
        <f>"Multiple component buildings — see component tabs"</f>
        <v>Multiple component buildings — see component tabs</v>
      </c>
      <c r="G9" s="677" t="s">
        <v>16</v>
      </c>
      <c r="H9" s="340"/>
      <c r="I9" s="340"/>
      <c r="J9" s="340"/>
      <c r="K9" s="340"/>
      <c r="L9" s="340"/>
      <c r="M9" s="341"/>
      <c r="N9" s="664" t="s">
        <v>17</v>
      </c>
      <c r="O9" s="680" t="str">
        <v>PROJECTS is the authoritative Field-ID input hub. AJ:BG is the protected compatibility and governance layer; OPERATING FORECAST is the dedicated annual support schedule.</v>
      </c>
      <c r="P9" s="680"/>
      <c r="Q9" s="680"/>
      <c r="R9" s="680"/>
      <c r="S9" s="681"/>
    </row>
    <row r="10" s="4" customFormat="1" ht="22" customHeight="1">
      <c r="B10" s="96" t="s">
        <v>18</v>
      </c>
      <c r="E10" s="337"/>
      <c r="F10" s="674" t="n">
        <f>PROJECTS!$AP$33</f>
        <v>800</v>
      </c>
      <c r="G10" s="677" t="s">
        <v>19</v>
      </c>
      <c r="H10" s="340"/>
      <c r="I10" s="340"/>
      <c r="J10" s="340"/>
      <c r="K10" s="340"/>
      <c r="L10" s="340"/>
      <c r="M10" s="341"/>
      <c r="N10" s="664" t="s">
        <v>20</v>
      </c>
      <c r="O10" s="680" t="str">
        <v>Authoritative valuation scenario: INVESTOR REPORT!I3, linked to VALUATION &amp; RETURNS!CR7. Funding method and selected investor remain separate dimensions.</v>
      </c>
      <c r="P10" s="680"/>
      <c r="Q10" s="680"/>
      <c r="R10" s="680"/>
      <c r="S10" s="681"/>
    </row>
    <row r="11" s="4" customFormat="1" ht="22" customHeight="1">
      <c r="B11" s="96" t="s">
        <v>21</v>
      </c>
      <c r="E11" s="94">
        <v>1</v>
      </c>
      <c r="F11" s="675" t="n">
        <f>PROJECTS!$AP$13</f>
        <v>46204</v>
      </c>
      <c r="G11" s="677" t="s">
        <v>22</v>
      </c>
      <c r="H11" s="340"/>
      <c r="I11" s="340"/>
      <c r="J11" s="340"/>
      <c r="K11" s="340"/>
      <c r="L11" s="340"/>
      <c r="M11" s="341"/>
      <c r="N11" s="664" t="s">
        <v>23</v>
      </c>
      <c r="O11" s="680" t="s">
        <v>24</v>
      </c>
      <c r="P11" s="680"/>
      <c r="Q11" s="680"/>
      <c r="R11" s="680"/>
      <c r="S11" s="681"/>
    </row>
    <row r="12" s="4" customFormat="1" ht="22" customHeight="1">
      <c r="B12" s="96" t="s">
        <v>25</v>
      </c>
      <c r="E12" s="94">
        <v>1</v>
      </c>
      <c r="F12" s="675" t="n">
        <f>PROJECTS!$AP$13</f>
        <v>46204</v>
      </c>
      <c r="G12" s="115" t="s">
        <v>26</v>
      </c>
      <c r="M12" s="342"/>
      <c r="N12" s="664" t="s">
        <v>27</v>
      </c>
      <c r="O12" s="680" t="str">
        <f>IF(AND(MAX('Financial Statements'!G52:X52)&lt;0.01,MIN('Financial Statements'!G52:X52)&gt;-0.01),"PASS","FAIL")</f>
        <v>FAIL</v>
      </c>
      <c r="P12" s="680"/>
      <c r="Q12" s="680"/>
      <c r="R12" s="680"/>
      <c r="S12" s="681"/>
    </row>
    <row r="13" s="4" customFormat="1" ht="22" customHeight="1">
      <c r="B13" s="96" t="s">
        <v>28</v>
      </c>
      <c r="E13" s="94" t="n">
        <f>Timing_Construction_End</f>
        <v>36</v>
      </c>
      <c r="F13" s="675" t="n">
        <f>EOMONTH(PROJECTS!$AP$13,PROJECTS!$AP$14-1)</f>
        <v>47299</v>
      </c>
      <c r="G13" s="676" t="s">
        <v>29</v>
      </c>
      <c r="H13" s="338"/>
      <c r="I13" s="338"/>
      <c r="J13" s="338"/>
      <c r="K13" s="338"/>
      <c r="L13" s="338"/>
      <c r="M13" s="339"/>
      <c r="N13" s="664" t="s">
        <v>30</v>
      </c>
      <c r="O13" s="680" t="str">
        <f>IF(AND(MAX('Annual Cash Flow'!G19:R19)&lt;0.01,MIN('Annual Cash Flow'!G19:R19)&gt;-0.01),"PASS","FAIL")</f>
        <v>PASS</v>
      </c>
      <c r="P13" s="680"/>
      <c r="Q13" s="680"/>
      <c r="R13" s="680"/>
      <c r="S13" s="681"/>
    </row>
    <row r="14" s="4" customFormat="1" ht="22" customHeight="1">
      <c r="B14" s="96" t="s">
        <v>31</v>
      </c>
      <c r="E14" s="94" t="n">
        <f>Timing_Operation_Begin_Month</f>
        <v>37</v>
      </c>
      <c r="F14" s="675" t="n">
        <f>EOMONTH(F13,1)</f>
        <v>47330</v>
      </c>
      <c r="G14" s="677" t="s">
        <v>32</v>
      </c>
      <c r="H14" s="340"/>
      <c r="I14" s="340"/>
      <c r="J14" s="340"/>
      <c r="K14" s="340"/>
      <c r="L14" s="340"/>
      <c r="M14" s="341"/>
      <c r="N14" s="664" t="s">
        <v>33</v>
      </c>
      <c r="O14" s="680" t="str">
        <f>IF(AND(MAX(DEBT!F98:DV98)&lt;0.01,MIN(DEBT!F98:DV98)&gt;-0.01,MAX(DEBT!F113:DV113)&lt;0.01,MIN(DEBT!F113:DV113)&gt;-0.01,MAX(DEBT!F136:DV136)&lt;0.01,MIN(DEBT!F136:DV136)&gt;-0.01,MAX(DEBT!F155:DV155)&lt;0.01,MIN(DEBT!F155:DV155)&gt;-0.01),"PASS","FAIL")</f>
        <v>PASS</v>
      </c>
      <c r="P14" s="680"/>
      <c r="Q14" s="680"/>
      <c r="R14" s="680"/>
      <c r="S14" s="681"/>
    </row>
    <row r="15" s="4" customFormat="1" ht="22" customHeight="1">
      <c r="B15" s="96" t="s">
        <v>34</v>
      </c>
      <c r="E15" s="94" t="n">
        <f>Stabilization_1st_Month</f>
        <v>49</v>
      </c>
      <c r="F15" s="675" t="n">
        <f>INDEX(Underwriting!$M$195:$EN$195,1,PROJECTS!$AP$16)</f>
        <v>47695</v>
      </c>
      <c r="G15" s="677" t="s">
        <v>35</v>
      </c>
      <c r="H15" s="340"/>
      <c r="I15" s="340"/>
      <c r="J15" s="340"/>
      <c r="K15" s="340"/>
      <c r="L15" s="340"/>
      <c r="M15" s="341"/>
      <c r="N15" s="664" t="s">
        <v>36</v>
      </c>
      <c r="O15" s="680" t="s">
        <v>37</v>
      </c>
      <c r="P15" s="680"/>
      <c r="Q15" s="680"/>
      <c r="R15" s="680"/>
      <c r="S15" s="681"/>
    </row>
    <row r="16" s="4" customFormat="1" ht="22" customHeight="1">
      <c r="B16" s="96" t="s">
        <v>38</v>
      </c>
      <c r="E16" s="94" t="n">
        <f>Timing_Reversion_Month</f>
        <v>61</v>
      </c>
      <c r="F16" s="675" t="n">
        <f>Underwriting!$I$15</f>
        <v>48030</v>
      </c>
      <c r="G16" s="677" t="s">
        <v>39</v>
      </c>
      <c r="H16" s="340"/>
      <c r="I16" s="340"/>
      <c r="J16" s="340"/>
      <c r="K16" s="340"/>
      <c r="L16" s="340"/>
      <c r="M16" s="341"/>
      <c r="N16" s="664" t="s">
        <v>40</v>
      </c>
      <c r="O16" s="680" t="s">
        <v>41</v>
      </c>
      <c r="P16" s="680"/>
      <c r="Q16" s="680"/>
      <c r="R16" s="680"/>
      <c r="S16" s="681"/>
    </row>
    <row r="17" s="4" customFormat="1" ht="22" customHeight="1">
      <c r="F17" s="662" t="s">
        <v>42</v>
      </c>
      <c r="G17" s="677" t="s">
        <v>43</v>
      </c>
      <c r="H17" s="340"/>
      <c r="I17" s="340"/>
      <c r="J17" s="340"/>
      <c r="K17" s="340"/>
      <c r="L17" s="340"/>
      <c r="M17" s="341"/>
      <c r="N17" s="664" t="s">
        <v>44</v>
      </c>
      <c r="O17" s="680" t="str">
        <v>OWNER DECISIONS: executed investor/shareholder documents; executed lender term sheet; tax/GST advice; independent valuation evidence; final QS scope and cost sign-off; final lease and programme confirmation; PBSA operating classification.</v>
      </c>
      <c r="P17" s="680"/>
      <c r="Q17" s="680"/>
      <c r="R17" s="680"/>
      <c r="S17" s="681"/>
    </row>
    <row r="18" s="4" customFormat="1" ht="22" customHeight="1">
      <c r="B18" s="97"/>
      <c r="C18" s="98"/>
      <c r="D18" s="98"/>
      <c r="E18" s="114"/>
      <c r="F18" s="663" t="s">
        <v>45</v>
      </c>
      <c r="G18" s="678" t="s">
        <v>46</v>
      </c>
      <c r="H18" s="343"/>
      <c r="I18" s="343"/>
      <c r="J18" s="343"/>
      <c r="K18" s="343"/>
      <c r="L18" s="343"/>
      <c r="M18" s="344"/>
      <c r="N18" s="665" t="s">
        <v>47</v>
      </c>
      <c r="O18" s="682" t="str">
        <v>28 Jul 2026: PROJECTS re-engineered into a compact Field-ID-controlled input interface. The original sheet was preserved as PROJECTS ARCHIVE; all 250 records remain represented; invalid placeholder values were removed; operating support was separated without breaking legacy addresses. The known balance-sheet control failure remains visible.</v>
      </c>
      <c r="P18" s="682"/>
      <c r="Q18" s="682"/>
      <c r="R18" s="682"/>
      <c r="S18" s="683"/>
    </row>
    <row r="19">
      <c r="A19" s="8">
        <v>0</v>
      </c>
      <c r="B19" s="121" t="s">
        <v>48</v>
      </c>
      <c r="C19" s="122"/>
      <c r="D19" s="122"/>
      <c r="E19" s="122"/>
      <c r="F19" s="122"/>
      <c r="G19" s="122"/>
      <c r="H19" s="122"/>
      <c r="I19" s="122"/>
      <c r="J19" s="122"/>
      <c r="K19" s="123"/>
      <c r="L19" s="123"/>
      <c r="M19" s="123"/>
      <c r="N19" s="331"/>
      <c r="O19" s="331"/>
      <c r="P19" s="331"/>
      <c r="Q19" s="124" t="s">
        <v>49</v>
      </c>
      <c r="R19" s="345" t="s">
        <v>50</v>
      </c>
      <c r="S19" s="345" t="s">
        <v>51</v>
      </c>
    </row>
    <row r="20" s="4" customFormat="1" ht="13.5">
      <c r="B20" s="332" t="s">
        <v>52</v>
      </c>
      <c r="C20" s="95"/>
      <c r="D20" s="95"/>
      <c r="E20" s="95"/>
      <c r="F20" s="95"/>
      <c r="G20" s="346" t="str">
        <f>TEXT(Underwriting!G105,"0.00%")&amp;" / "&amp;TEXT(Underwriting!F138,"0.00%")</f>
        <v>3.50% / </v>
      </c>
      <c r="H20" s="347" t="s">
        <v>53</v>
      </c>
      <c r="I20" s="95"/>
      <c r="J20" s="95"/>
      <c r="K20" s="348"/>
      <c r="L20" s="348" t="str">
        <f>+Underwriting!H165</f>
        <v>STABILIZED (UNTRENDED)</v>
      </c>
      <c r="M20" s="349" t="str">
        <f>+Underwriting!I165</f>
        <v>SALE</v>
      </c>
      <c r="N20" s="347" t="s">
        <v>54</v>
      </c>
      <c r="O20" s="95"/>
      <c r="P20" s="95"/>
      <c r="Q20" s="348" t="s">
        <v>55</v>
      </c>
      <c r="R20" s="348" t="s">
        <v>56</v>
      </c>
      <c r="S20" s="349" t="s">
        <v>57</v>
      </c>
    </row>
    <row r="21" s="4" customFormat="1" ht="13.5">
      <c r="B21" s="96" t="str">
        <f>"Effective Rent / "&amp;Unit_Type</f>
        <v>Effective Rent / M2</v>
      </c>
      <c r="G21" s="126" t="n">
        <f>Underwriting!H105</f>
        <v>207.88539436548857</v>
      </c>
      <c r="H21" s="96" t="s">
        <v>58</v>
      </c>
      <c r="K21" s="99"/>
      <c r="L21" s="350" t="n">
        <f>+Underwriting!H171</f>
        <v>48830200.36828583</v>
      </c>
      <c r="M21" s="351" t="n">
        <f>+Underwriting!I171</f>
        <v>74820150.74934629</v>
      </c>
      <c r="N21" s="96" t="s">
        <v>59</v>
      </c>
      <c r="Q21" s="100" t="n">
        <f>Underwriting!G223</f>
        <v>3.1848717871342034</v>
      </c>
      <c r="R21" s="352" t="n">
        <f>Underwriting!H223</f>
        <v>6.919705122812984</v>
      </c>
      <c r="S21" s="128" t="n">
        <f>Underwriting!I223</f>
        <v>0.7830743921338225</v>
      </c>
    </row>
    <row r="22" s="4" customFormat="1" ht="13.5">
      <c r="B22" s="96" t="s">
        <v>60</v>
      </c>
      <c r="G22" s="252" t="n">
        <f>Underwriting!G129</f>
        <v>0</v>
      </c>
      <c r="H22" s="181" t="s">
        <v>61</v>
      </c>
      <c r="K22" s="103"/>
      <c r="L22" s="353" t="n">
        <f>+Underwriting!H177</f>
        <v>3288278.6208900046</v>
      </c>
      <c r="M22" s="354" t="n">
        <f>+Underwriting!I177</f>
        <v>3459910.232611992</v>
      </c>
      <c r="N22" s="96" t="s">
        <v>62</v>
      </c>
      <c r="Q22" s="100" t="n">
        <f>Underwriting!G224</f>
        <v>61.38105209880346</v>
      </c>
      <c r="R22" s="352" t="n">
        <f>Underwriting!H224</f>
        <v>62.38105209880346</v>
      </c>
      <c r="S22" s="128" t="str">
        <f>Underwriting!I224</f>
        <v>NA</v>
      </c>
    </row>
    <row r="23" s="4" customFormat="1" ht="13.5">
      <c r="B23" s="96" t="s">
        <v>63</v>
      </c>
      <c r="G23" s="252" t="n">
        <f>+Underwriting!I120/Underwriting!I138</f>
        <v>0.9999999999999999</v>
      </c>
      <c r="H23" s="96" t="s">
        <v>64</v>
      </c>
      <c r="K23" s="99"/>
      <c r="L23" s="350" t="n">
        <f>L21-L22</f>
        <v>45541921.74739582</v>
      </c>
      <c r="M23" s="351" t="n">
        <f>M21-M22</f>
        <v>71360240.51673429</v>
      </c>
      <c r="N23" s="96" t="n">
        <f>Underwriting!B225</f>
        <v>0</v>
      </c>
      <c r="Q23" s="100" t="n">
        <f>Underwriting!G225</f>
        <v>0</v>
      </c>
      <c r="R23" s="101" t="n">
        <f>Underwriting!H225</f>
        <v>0</v>
      </c>
      <c r="S23" s="102" t="n">
        <f>Underwriting!I225</f>
        <v>0</v>
      </c>
    </row>
    <row r="24" s="4" customFormat="1" ht="13.5">
      <c r="B24" s="96" t="s">
        <v>65</v>
      </c>
      <c r="G24" s="252" t="n">
        <f>+OpEx_7/Underwriting!I140</f>
        <v>0.02334898433575226</v>
      </c>
      <c r="H24" s="181" t="s">
        <v>66</v>
      </c>
      <c r="K24" s="103"/>
      <c r="L24" s="353" t="n">
        <f>+Underwriting!H183</f>
        <v>1063357.6175000002</v>
      </c>
      <c r="M24" s="354" t="n">
        <f>+Underwriting!I183</f>
        <v>1106317.265247</v>
      </c>
      <c r="N24" s="355" t="s">
        <v>67</v>
      </c>
      <c r="Q24" s="356" t="s">
        <v>55</v>
      </c>
      <c r="R24" s="356" t="s">
        <v>56</v>
      </c>
      <c r="S24" s="357" t="s">
        <v>57</v>
      </c>
    </row>
    <row r="25" s="4" customFormat="1" ht="13.5">
      <c r="B25" s="4" t="str">
        <f>"Leasing Cost Reserve / "&amp;Unit_Type&amp;" / Yr"</f>
        <v>Leasing Cost Reserve / M2 / Yr</v>
      </c>
      <c r="G25" s="126" t="n">
        <f>+Underwriting!H151</f>
        <v>12.578410176015593</v>
      </c>
      <c r="H25" s="96" t="s">
        <v>68</v>
      </c>
      <c r="K25" s="99"/>
      <c r="L25" s="350" t="n">
        <f>L23-L24</f>
        <v>44478564.12989582</v>
      </c>
      <c r="M25" s="351" t="n">
        <f>M23-M24</f>
        <v>70253923.25148728</v>
      </c>
      <c r="N25" s="96" t="s">
        <v>69</v>
      </c>
      <c r="Q25" s="100" t="n">
        <f>Underwriting!I211/Underwriting!I49</f>
        <v>2.3330600776724526</v>
      </c>
      <c r="R25" s="352" t="n">
        <f>Underwriting!G211</f>
        <v>4.696249605943904</v>
      </c>
      <c r="S25" s="128" t="n">
        <f>Underwriting!H211</f>
        <v>0.5600807876754031</v>
      </c>
    </row>
    <row r="26" s="4" customFormat="1" ht="13.5">
      <c r="H26" s="181" t="s">
        <v>70</v>
      </c>
      <c r="K26" s="104"/>
      <c r="L26" s="100" t="n">
        <f>Underwriting!H189</f>
        <v>0.06700819672131147</v>
      </c>
      <c r="M26" s="128" t="n">
        <f>Underwriting!I189</f>
        <v>0.0675</v>
      </c>
      <c r="N26" s="96" t="s">
        <v>71</v>
      </c>
      <c r="Q26" s="100" t="n">
        <f>Underwriting!I212/Equity_Total</f>
        <v>7.388034811666868</v>
      </c>
      <c r="R26" s="352" t="n">
        <f>Underwriting!G212</f>
        <v>9.688789923849196</v>
      </c>
      <c r="S26" s="128" t="n">
        <f>Underwriting!H212</f>
        <v>0.9214507461435774</v>
      </c>
    </row>
    <row r="27" s="4" customFormat="1" ht="13.5">
      <c r="B27" s="96" t="s">
        <v>72</v>
      </c>
      <c r="G27" s="358" t="n">
        <f>Underwriting!E190</f>
        <v>1036044973.4281422</v>
      </c>
      <c r="H27" s="96" t="s">
        <v>73</v>
      </c>
      <c r="K27" s="99"/>
      <c r="L27" s="350" t="n">
        <f>Underwriting!H191</f>
        <v>679647027.9122068</v>
      </c>
      <c r="M27" s="351" t="n">
        <f>Underwriting!I191</f>
        <v>1057188748.3960634</v>
      </c>
      <c r="N27" s="355" t="s">
        <v>74</v>
      </c>
      <c r="Q27" s="356"/>
      <c r="R27" s="356" t="str">
        <f>PROPER(Underwriting!H214)</f>
        <v>Stabilized (Untrended)</v>
      </c>
      <c r="S27" s="357" t="str">
        <f>PROPER(Underwriting!I214)</f>
        <v>Sale</v>
      </c>
    </row>
    <row r="28" s="4" customFormat="1" ht="13.5">
      <c r="B28" s="181" t="str">
        <f>IF(Perm_Debt?,"Permanent Loan Payoff","Construction Loan Payoff")</f>
        <v>Construction Loan Payoff</v>
      </c>
      <c r="G28" s="359" t="n">
        <f>IF(Perm_Debt?,Underwriting!I83,-Underwriting!I75)</f>
        <v>-213018833.90950716</v>
      </c>
      <c r="H28" s="96" t="s">
        <v>75</v>
      </c>
      <c r="K28" s="100"/>
      <c r="L28" s="100" t="n">
        <f>L27/$M$36</f>
        <v>1.6230045352561635</v>
      </c>
      <c r="M28" s="128" t="n">
        <f>M27/$M$36</f>
        <v>2.5245782925578233</v>
      </c>
      <c r="N28" s="96" t="str">
        <f>Underwriting!B215</f>
        <v>Yield-on-Cost</v>
      </c>
      <c r="Q28" s="104"/>
      <c r="R28" s="100" t="n">
        <f>Underwriting!H215</f>
        <v>0.10875460717802571</v>
      </c>
      <c r="S28" s="128" t="n">
        <f>Underwriting!I215</f>
        <v>0.17040903474765307</v>
      </c>
    </row>
    <row r="29" s="4" customFormat="1" ht="13.5">
      <c r="B29" s="96" t="s">
        <v>76</v>
      </c>
      <c r="G29" s="358" t="n">
        <f>Underwriting!E192</f>
        <v>823026139.518635</v>
      </c>
      <c r="H29" s="96" t="str">
        <f>"Valuation/"&amp;Unit_Type</f>
        <v>Valuation/M2</v>
      </c>
      <c r="K29" s="163"/>
      <c r="L29" s="106" t="n">
        <f>L27/Units</f>
        <v>8678.666488136445</v>
      </c>
      <c r="M29" s="250" t="n">
        <f>M27/Units</f>
        <v>13499.637584709639</v>
      </c>
      <c r="N29" s="96" t="str">
        <f>Underwriting!B216</f>
        <v>Market Cap Rate</v>
      </c>
      <c r="Q29" s="107"/>
      <c r="R29" s="360" t="n">
        <f>Underwriting!H216</f>
        <v>0.06700819672131147</v>
      </c>
      <c r="S29" s="361" t="n">
        <f>Underwriting!I216</f>
        <v>0.0675</v>
      </c>
    </row>
    <row r="30" s="4" customFormat="1" ht="13.5">
      <c r="B30" s="96"/>
      <c r="G30" s="127"/>
      <c r="H30" s="96"/>
      <c r="K30" s="100"/>
      <c r="L30" s="100"/>
      <c r="M30" s="128"/>
      <c r="N30" s="96" t="str">
        <f>Underwriting!B217</f>
        <v>Development Spread</v>
      </c>
      <c r="Q30" s="109"/>
      <c r="R30" s="109" t="n">
        <f>Underwriting!H217</f>
        <v>417.46410456714233</v>
      </c>
      <c r="S30" s="110" t="n">
        <f>Underwriting!I217</f>
        <v>1029.0903474765305</v>
      </c>
    </row>
    <row r="31" s="4" customFormat="1" ht="13.5">
      <c r="B31" s="355" t="s">
        <v>77</v>
      </c>
      <c r="C31" s="105"/>
      <c r="D31" s="105"/>
      <c r="E31" s="356" t="s">
        <v>78</v>
      </c>
      <c r="F31" s="356" t="s">
        <v>79</v>
      </c>
      <c r="G31" s="356" t="s">
        <v>80</v>
      </c>
      <c r="H31" s="355" t="s">
        <v>81</v>
      </c>
      <c r="K31" s="356" t="s">
        <v>78</v>
      </c>
      <c r="L31" s="356" t="str">
        <f>"/Buildable "&amp;Unit_Type</f>
        <v>/Buildable M2</v>
      </c>
      <c r="M31" s="357" t="s">
        <v>80</v>
      </c>
    </row>
    <row r="32" s="4" customFormat="1" ht="13.5">
      <c r="B32" s="96" t="str">
        <f>Underwriting!B61</f>
        <v>Construction Debt</v>
      </c>
      <c r="E32" s="100" t="n">
        <f>IF(Dbl_Promote?=1,G32/$G$36,G32/$G$35)</f>
        <v>0.5364917159123085</v>
      </c>
      <c r="F32" s="362" t="n">
        <f>IFERROR(G32/Units,"")</f>
        <v>2720.1169714099756</v>
      </c>
      <c r="G32" s="350" t="n">
        <f>Debt_Total</f>
        <v>213018833.90950716</v>
      </c>
      <c r="H32" s="181" t="str">
        <f>Underwriting!B26</f>
        <v>Land Costs</v>
      </c>
      <c r="K32" s="100" t="n">
        <f>M32/$M$36</f>
        <v>0.20852111492919667</v>
      </c>
      <c r="L32" s="106" t="n">
        <f>M32/Units</f>
        <v>1115.0216606876204</v>
      </c>
      <c r="M32" s="351" t="n">
        <f>Underwriting!I31</f>
        <v>87320000</v>
      </c>
      <c r="N32" s="363" t="s">
        <v>82</v>
      </c>
      <c r="O32" s="364"/>
      <c r="P32" s="364"/>
      <c r="Q32" s="356" t="s">
        <v>83</v>
      </c>
      <c r="R32" s="356" t="str">
        <f>Underwriting!H271</f>
        <v>Dev. Spread</v>
      </c>
      <c r="S32" s="357" t="str">
        <f>Underwriting!I271</f>
        <v>Levered EMx</v>
      </c>
    </row>
    <row r="33" s="4" customFormat="1" ht="13.5">
      <c r="B33" s="96" t="s">
        <v>59</v>
      </c>
      <c r="E33" s="100" t="n">
        <f>IF(Dbl_Promote?=1,G33/$G$36,G33/$G$35)</f>
        <v>0.4507448067778458</v>
      </c>
      <c r="F33" s="362" t="n">
        <f>IFERROR(G33/Units,"")</f>
        <v>2285.3635244047937</v>
      </c>
      <c r="G33" s="350" t="n">
        <f>Underwriting!D223</f>
        <v>178972256.76132748</v>
      </c>
      <c r="H33" s="181" t="n">
        <f>Underwriting!B33</f>
        <v>0</v>
      </c>
      <c r="K33" s="100" t="n">
        <f>M33/$M$36</f>
        <v>0.7645660018223832</v>
      </c>
      <c r="L33" s="106" t="n">
        <f>M33/Units</f>
        <v>4088.3516920900643</v>
      </c>
      <c r="M33" s="351" t="n">
        <f>Underwriting!I38</f>
        <v>320168551.28460014</v>
      </c>
      <c r="N33" s="224" t="str">
        <f>Underwriting!B272</f>
        <v>Base Case</v>
      </c>
      <c r="P33" s="22"/>
      <c r="Q33" s="252" t="n">
        <f>Underwriting!G272</f>
        <v>0.0675</v>
      </c>
      <c r="R33" s="109" t="n">
        <f>Underwriting!H272</f>
        <v>1029.0903474765305</v>
      </c>
      <c r="S33" s="365" t="n">
        <f>Underwriting!I272</f>
        <v>9.688789923849196</v>
      </c>
    </row>
    <row r="34" s="4" customFormat="1" ht="13.5">
      <c r="B34" s="96" t="s">
        <v>62</v>
      </c>
      <c r="E34" s="100" t="n">
        <f>IF(Dbl_Promote?=1,G34/$G$36,G34/$G$35)</f>
        <v>0.012763477309845716</v>
      </c>
      <c r="F34" s="362" t="n">
        <f>IFERROR(G34/Units,"")</f>
        <v>64.71330351425647</v>
      </c>
      <c r="G34" s="350" t="n">
        <f>Underwriting!D224</f>
        <v>5067852.815863788</v>
      </c>
      <c r="H34" s="181" t="n">
        <f>Underwriting!B40</f>
        <v>0</v>
      </c>
      <c r="K34" s="100" t="n">
        <f>M34/$M$36</f>
        <v>0</v>
      </c>
      <c r="L34" s="106" t="n">
        <f>M34/Units</f>
        <v>0</v>
      </c>
      <c r="M34" s="351" t="n">
        <f>Underwriting!I47</f>
        <v>0</v>
      </c>
      <c r="N34" s="366" t="str">
        <f>Underwriting!B273</f>
        <v>Downside #1</v>
      </c>
      <c r="P34" s="367"/>
      <c r="Q34" s="100" t="n">
        <f>Underwriting!G273</f>
        <v>0.06</v>
      </c>
      <c r="R34" s="109" t="n">
        <f>Underwriting!H273</f>
        <v>1104.0903474765307</v>
      </c>
      <c r="S34" s="365" t="n">
        <f>Underwriting!I273</f>
        <v>10.970489350772151</v>
      </c>
    </row>
    <row r="35" s="4" customFormat="1" ht="13.5">
      <c r="B35" s="96" t="str">
        <f>IF(Dbl_Promote?=1,Underwriting!B225,"Total Sources")</f>
        <v>Total Sources</v>
      </c>
      <c r="E35" s="100" t="n">
        <f>IF(Dbl_Promote?=1,G35/$G$36,G35/$G$35)</f>
        <v>1</v>
      </c>
      <c r="F35" s="368" t="n">
        <f>IFERROR(G35/Units,"")</f>
        <v>5070.193799329026</v>
      </c>
      <c r="G35" s="353" t="n">
        <f>IF(B36="",SUM(G32:G34),Underwriting!D225)</f>
        <v>397058943.48669845</v>
      </c>
      <c r="H35" s="181" t="n">
        <f>Underwriting!B51</f>
        <v>0</v>
      </c>
      <c r="K35" s="100" t="n">
        <f>M35/$M$36</f>
        <v>0.026912883248420158</v>
      </c>
      <c r="L35" s="108" t="n">
        <f>M35/Units</f>
        <v>143.91083504293968</v>
      </c>
      <c r="M35" s="354" t="n">
        <f>Underwriting!I55</f>
        <v>11270000.00000001</v>
      </c>
      <c r="N35" s="366" t="str">
        <f>Underwriting!B274</f>
        <v>Downside #2</v>
      </c>
      <c r="P35" s="367"/>
      <c r="Q35" s="100" t="n">
        <f>Underwriting!G274</f>
        <v>0.0625</v>
      </c>
      <c r="R35" s="109" t="n">
        <f>Underwriting!H274</f>
        <v>1079.0903474765307</v>
      </c>
      <c r="S35" s="365" t="n">
        <f>Underwriting!I274</f>
        <v>10.510511274274682</v>
      </c>
    </row>
    <row r="36" s="4" customFormat="1" ht="13.5">
      <c r="B36" s="97" t="str">
        <f>IF(Dbl_Promote?=1,"Total Sources","")</f>
      </c>
      <c r="C36" s="98"/>
      <c r="D36" s="98"/>
      <c r="E36" s="111" t="str">
        <f>IF(Dbl_Promote?=1,G36/$G$36,"")</f>
      </c>
      <c r="F36" s="112" t="n">
        <f>IFERROR(G36/Units,"")</f>
        <v>0</v>
      </c>
      <c r="G36" s="112" t="str">
        <f>IF(B36="","",SUM(G32:G35))</f>
      </c>
      <c r="H36" s="97" t="s">
        <v>84</v>
      </c>
      <c r="I36" s="111"/>
      <c r="J36" s="111"/>
      <c r="K36" s="111" t="n">
        <f>M36/$M$36</f>
        <v>1</v>
      </c>
      <c r="L36" s="113" t="n">
        <f>SUM(L32:L35)</f>
        <v>5347.2841878206245</v>
      </c>
      <c r="M36" s="369" t="n">
        <f>SUM(M32:M35)</f>
        <v>418758551.28460014</v>
      </c>
      <c r="N36" s="370" t="str">
        <f>Underwriting!B275</f>
        <v>Downside #3</v>
      </c>
      <c r="P36" s="371"/>
      <c r="Q36" s="111" t="n">
        <f>Underwriting!G275</f>
        <v>0.065</v>
      </c>
      <c r="R36" s="372" t="n">
        <f>Underwriting!H275</f>
        <v>1054.0903474765307</v>
      </c>
      <c r="S36" s="373" t="n">
        <f>Underwriting!I275</f>
        <v>10.085916126738553</v>
      </c>
    </row>
    <row r="37">
      <c r="A37" s="374">
        <v>0</v>
      </c>
      <c r="B37" s="121" t="s">
        <v>85</v>
      </c>
      <c r="C37" s="122"/>
      <c r="D37" s="122"/>
      <c r="E37" s="122"/>
      <c r="F37" s="122"/>
      <c r="G37" s="122"/>
      <c r="H37" s="122"/>
      <c r="I37" s="122"/>
      <c r="J37" s="122"/>
      <c r="K37" s="122"/>
      <c r="L37" s="122"/>
      <c r="M37" s="122"/>
      <c r="N37" s="331"/>
      <c r="O37" s="331"/>
      <c r="P37" s="331"/>
      <c r="Q37" s="124" t="s">
        <v>86</v>
      </c>
      <c r="R37" s="345" t="s">
        <v>50</v>
      </c>
      <c r="S37" s="345" t="s">
        <v>51</v>
      </c>
    </row>
    <row r="38" s="4" customFormat="1" ht="13.5">
      <c r="B38" s="332"/>
      <c r="C38" s="95"/>
      <c r="D38" s="95"/>
      <c r="E38" s="95"/>
      <c r="F38" s="95"/>
      <c r="G38" s="95"/>
      <c r="H38" s="95"/>
      <c r="I38" s="95"/>
      <c r="J38" s="95"/>
      <c r="K38" s="95"/>
      <c r="L38" s="95"/>
      <c r="M38" s="336"/>
      <c r="N38" s="332"/>
      <c r="O38" s="95"/>
      <c r="P38" s="95"/>
      <c r="Q38" s="95"/>
      <c r="R38" s="95"/>
      <c r="S38" s="336"/>
    </row>
    <row r="39" s="4" customFormat="1" ht="13.5">
      <c r="B39" s="96"/>
      <c r="M39" s="342"/>
      <c r="N39" s="96"/>
      <c r="S39" s="342"/>
    </row>
    <row r="40" s="4" customFormat="1" ht="13.5">
      <c r="B40" s="96"/>
      <c r="M40" s="342"/>
      <c r="N40" s="96"/>
      <c r="S40" s="342"/>
    </row>
    <row r="41" s="4" customFormat="1" ht="13.5">
      <c r="B41" s="96"/>
      <c r="M41" s="342"/>
      <c r="N41" s="96"/>
      <c r="S41" s="342"/>
    </row>
    <row r="42" s="4" customFormat="1" ht="13.5">
      <c r="B42" s="96"/>
      <c r="M42" s="342"/>
      <c r="N42" s="96"/>
      <c r="S42" s="342"/>
    </row>
    <row r="43" s="4" customFormat="1" ht="13.5">
      <c r="B43" s="96"/>
      <c r="M43" s="342"/>
      <c r="N43" s="96"/>
      <c r="S43" s="342"/>
    </row>
    <row r="44" s="4" customFormat="1" ht="13.5">
      <c r="B44" s="96"/>
      <c r="M44" s="342"/>
      <c r="N44" s="96"/>
      <c r="S44" s="342"/>
    </row>
    <row r="45" s="4" customFormat="1" ht="13.5">
      <c r="B45" s="96"/>
      <c r="M45" s="342"/>
      <c r="N45" s="96"/>
      <c r="S45" s="342"/>
    </row>
    <row r="46" s="4" customFormat="1" ht="13.5">
      <c r="B46" s="96"/>
      <c r="M46" s="342"/>
      <c r="N46" s="96"/>
      <c r="S46" s="342"/>
    </row>
    <row r="47" s="4" customFormat="1" ht="13.5">
      <c r="B47" s="96"/>
      <c r="M47" s="342"/>
      <c r="N47" s="96"/>
      <c r="S47" s="342"/>
    </row>
    <row r="48" s="4" customFormat="1" ht="13.5">
      <c r="B48" s="96"/>
      <c r="M48" s="342"/>
      <c r="N48" s="96"/>
      <c r="S48" s="342"/>
    </row>
    <row r="49" s="4" customFormat="1" ht="13.5">
      <c r="B49" s="96"/>
      <c r="M49" s="342"/>
      <c r="N49" s="96"/>
      <c r="S49" s="342"/>
    </row>
    <row r="50" s="4" customFormat="1" ht="13.5">
      <c r="B50" s="96"/>
      <c r="M50" s="342"/>
      <c r="N50" s="96"/>
      <c r="S50" s="342"/>
    </row>
    <row r="51" s="4" customFormat="1" ht="13.5">
      <c r="B51" s="96"/>
      <c r="M51" s="342"/>
      <c r="N51" s="96"/>
      <c r="S51" s="342"/>
    </row>
    <row r="52">
      <c r="B52" s="97"/>
      <c r="C52" s="98"/>
      <c r="D52" s="98"/>
      <c r="E52" s="98"/>
      <c r="F52" s="98"/>
      <c r="G52" s="98"/>
      <c r="H52" s="98"/>
      <c r="I52" s="98"/>
      <c r="J52" s="98"/>
      <c r="K52" s="98"/>
      <c r="L52" s="98"/>
      <c r="M52" s="375"/>
      <c r="N52" s="97"/>
      <c r="O52" s="98"/>
      <c r="P52" s="98"/>
      <c r="Q52" s="98"/>
      <c r="R52" s="98"/>
      <c r="S52" s="375"/>
    </row>
    <row r="53">
      <c r="B53" s="332"/>
      <c r="C53" s="95"/>
      <c r="D53" s="95"/>
      <c r="E53" s="95"/>
      <c r="F53" s="95"/>
      <c r="G53" s="95"/>
      <c r="H53" s="95"/>
      <c r="I53" s="95"/>
      <c r="J53" s="95"/>
      <c r="K53" s="95"/>
      <c r="L53" s="95"/>
      <c r="M53" s="336"/>
      <c r="N53" s="4"/>
      <c r="O53" s="4"/>
      <c r="P53" s="4"/>
      <c r="Q53" s="4"/>
      <c r="R53" s="4"/>
      <c r="S53" s="342"/>
    </row>
    <row r="54" s="4" customFormat="1" ht="13.5">
      <c r="B54" s="96"/>
      <c r="M54" s="342"/>
      <c r="S54" s="342"/>
    </row>
    <row r="55" s="4" customFormat="1" ht="13.5">
      <c r="B55" s="96"/>
      <c r="M55" s="342"/>
      <c r="S55" s="342"/>
    </row>
    <row r="56" s="4" customFormat="1" ht="13.5">
      <c r="B56" s="96"/>
      <c r="M56" s="342"/>
      <c r="S56" s="342"/>
    </row>
    <row r="57" s="4" customFormat="1" ht="13.5">
      <c r="B57" s="96"/>
      <c r="M57" s="342"/>
      <c r="S57" s="342"/>
    </row>
    <row r="58" s="4" customFormat="1" ht="13.5">
      <c r="B58" s="96"/>
      <c r="M58" s="342"/>
      <c r="S58" s="342"/>
    </row>
    <row r="59" s="4" customFormat="1" ht="13.5">
      <c r="B59" s="96"/>
      <c r="M59" s="342"/>
      <c r="S59" s="342"/>
    </row>
    <row r="60" s="4" customFormat="1" ht="13.5">
      <c r="B60" s="96"/>
      <c r="M60" s="342"/>
      <c r="S60" s="342"/>
    </row>
    <row r="61" s="4" customFormat="1" ht="13.5">
      <c r="B61" s="96"/>
      <c r="M61" s="342"/>
      <c r="S61" s="342"/>
    </row>
    <row r="62" s="4" customFormat="1" ht="13.5">
      <c r="B62" s="96"/>
      <c r="M62" s="342"/>
      <c r="S62" s="342"/>
    </row>
    <row r="63" s="4" customFormat="1" ht="13.5">
      <c r="B63" s="96"/>
      <c r="M63" s="342"/>
      <c r="S63" s="342"/>
    </row>
    <row r="64" s="4" customFormat="1" ht="13.5">
      <c r="B64" s="96"/>
      <c r="M64" s="342"/>
      <c r="S64" s="342"/>
    </row>
    <row r="65" s="4" customFormat="1" ht="13.5">
      <c r="B65" s="96"/>
      <c r="M65" s="342"/>
      <c r="S65" s="342"/>
    </row>
    <row r="66" s="4" customFormat="1" ht="13.5">
      <c r="B66" s="97"/>
      <c r="C66" s="98"/>
      <c r="D66" s="98"/>
      <c r="E66" s="98"/>
      <c r="F66" s="98"/>
      <c r="G66" s="98"/>
      <c r="H66" s="98"/>
      <c r="I66" s="98"/>
      <c r="J66" s="98"/>
      <c r="K66" s="98"/>
      <c r="L66" s="98"/>
      <c r="M66" s="375"/>
      <c r="S66" s="342"/>
    </row>
    <row r="67" s="4" customFormat="1" ht="13.5">
      <c r="B67" s="332"/>
      <c r="C67" s="95"/>
      <c r="D67" s="95"/>
      <c r="E67" s="95"/>
      <c r="F67" s="95"/>
      <c r="G67" s="95"/>
      <c r="H67" s="95"/>
      <c r="I67" s="95"/>
      <c r="J67" s="95"/>
      <c r="K67" s="95"/>
      <c r="L67" s="95"/>
      <c r="M67" s="336"/>
      <c r="N67" s="332"/>
      <c r="O67" s="95"/>
      <c r="P67" s="95"/>
      <c r="Q67" s="95"/>
      <c r="R67" s="95"/>
      <c r="S67" s="336"/>
    </row>
    <row r="68">
      <c r="B68" s="96"/>
      <c r="C68" s="4"/>
      <c r="D68" s="4"/>
      <c r="E68" s="4"/>
      <c r="F68" s="4"/>
      <c r="G68" s="4"/>
      <c r="H68" s="4"/>
      <c r="I68" s="4"/>
      <c r="J68" s="4"/>
      <c r="K68" s="4"/>
      <c r="L68" s="4"/>
      <c r="M68" s="342"/>
      <c r="N68" s="96"/>
      <c r="O68" s="4"/>
      <c r="P68" s="4"/>
      <c r="Q68" s="4"/>
      <c r="R68" s="4"/>
      <c r="S68" s="342"/>
    </row>
    <row r="69">
      <c r="B69" s="96"/>
      <c r="C69" s="4"/>
      <c r="D69" s="4"/>
      <c r="E69" s="4"/>
      <c r="F69" s="4"/>
      <c r="G69" s="4"/>
      <c r="H69" s="4"/>
      <c r="I69" s="4"/>
      <c r="J69" s="4"/>
      <c r="K69" s="4"/>
      <c r="L69" s="4"/>
      <c r="M69" s="342"/>
      <c r="N69" s="96"/>
      <c r="O69" s="4"/>
      <c r="P69" s="4"/>
      <c r="Q69" s="4"/>
      <c r="R69" s="4"/>
      <c r="S69" s="342"/>
    </row>
    <row r="70" s="4" customFormat="1" ht="13.5">
      <c r="B70" s="96"/>
      <c r="M70" s="342"/>
      <c r="N70" s="96"/>
      <c r="S70" s="342"/>
    </row>
    <row r="71" s="4" customFormat="1" ht="13.5">
      <c r="B71" s="96"/>
      <c r="M71" s="342"/>
      <c r="N71" s="96"/>
      <c r="S71" s="342"/>
    </row>
    <row r="72" s="4" customFormat="1" ht="13.5">
      <c r="B72" s="96"/>
      <c r="M72" s="342"/>
      <c r="N72" s="96"/>
      <c r="S72" s="342"/>
    </row>
    <row r="73" s="4" customFormat="1" ht="13.5">
      <c r="B73" s="96"/>
      <c r="M73" s="342"/>
      <c r="N73" s="96"/>
      <c r="S73" s="342"/>
    </row>
    <row r="74" s="4" customFormat="1" ht="13.5">
      <c r="B74" s="96"/>
      <c r="M74" s="342"/>
      <c r="N74" s="96"/>
      <c r="S74" s="342"/>
    </row>
    <row r="75" s="4" customFormat="1" ht="13.5">
      <c r="B75" s="96"/>
      <c r="M75" s="342"/>
      <c r="N75" s="96"/>
      <c r="S75" s="342"/>
    </row>
    <row r="76" s="4" customFormat="1" ht="13.5">
      <c r="B76" s="96"/>
      <c r="M76" s="342"/>
      <c r="N76" s="96"/>
      <c r="S76" s="342"/>
    </row>
    <row r="77" s="4" customFormat="1" ht="13.5">
      <c r="B77" s="96"/>
      <c r="M77" s="342"/>
      <c r="N77" s="96"/>
      <c r="S77" s="342"/>
    </row>
    <row r="78" s="4" customFormat="1" ht="13.5">
      <c r="B78" s="96"/>
      <c r="M78" s="342"/>
      <c r="N78" s="96"/>
      <c r="S78" s="342"/>
    </row>
    <row r="79" s="4" customFormat="1" ht="13.5">
      <c r="B79" s="96"/>
      <c r="M79" s="342"/>
      <c r="N79" s="96"/>
      <c r="S79" s="342"/>
    </row>
    <row r="80" s="4" customFormat="1" ht="13.5">
      <c r="B80" s="96"/>
      <c r="M80" s="342"/>
      <c r="N80" s="96"/>
      <c r="S80" s="342"/>
    </row>
    <row r="81" s="4" customFormat="1" ht="13.5">
      <c r="B81" s="96"/>
      <c r="M81" s="342"/>
      <c r="N81" s="96"/>
      <c r="S81" s="342"/>
    </row>
    <row r="82" s="4" customFormat="1" ht="13.5">
      <c r="B82" s="96"/>
      <c r="M82" s="342"/>
      <c r="N82" s="96"/>
      <c r="S82" s="342"/>
    </row>
    <row r="83" s="4" customFormat="1" ht="13.5">
      <c r="B83" s="97"/>
      <c r="C83" s="98"/>
      <c r="D83" s="98"/>
      <c r="E83" s="98"/>
      <c r="F83" s="98"/>
      <c r="G83" s="98"/>
      <c r="H83" s="98"/>
      <c r="I83" s="98"/>
      <c r="J83" s="98"/>
      <c r="K83" s="98"/>
      <c r="L83" s="98"/>
      <c r="M83" s="375"/>
      <c r="N83" s="97"/>
      <c r="O83" s="98"/>
      <c r="P83" s="98"/>
      <c r="Q83" s="98"/>
      <c r="R83" s="98"/>
      <c r="S83" s="375"/>
    </row>
    <row r="86">
      <c r="S86" s="134">
        <v>0.33</v>
      </c>
    </row>
  </sheetData>
  <mergeCells>
    <mergeCell ref="Q4:S4"/>
    <mergeCell ref="N5:S5"/>
    <mergeCell ref="O6:S6"/>
    <mergeCell ref="O7:S7"/>
    <mergeCell ref="O8:S8"/>
    <mergeCell ref="O9:S9"/>
    <mergeCell ref="O10:S10"/>
    <mergeCell ref="O11:S11"/>
    <mergeCell ref="O12:S12"/>
    <mergeCell ref="O13:S13"/>
    <mergeCell ref="O14:S14"/>
    <mergeCell ref="O15:S15"/>
    <mergeCell ref="O16:S16"/>
    <mergeCell ref="O17:S17"/>
    <mergeCell ref="O18:S18"/>
  </mergeCells>
  <conditionalFormatting sqref="G35:G35">
    <cfRule type="expression" dxfId="45" priority="13">
      <formula>$B$36=""</formula>
    </cfRule>
  </conditionalFormatting>
  <conditionalFormatting sqref="G34:G34">
    <cfRule type="expression" dxfId="44" priority="12">
      <formula>$B$36=""</formula>
    </cfRule>
  </conditionalFormatting>
  <conditionalFormatting sqref="F35:F35">
    <cfRule type="expression" dxfId="43" priority="9">
      <formula>$B$36=""</formula>
    </cfRule>
  </conditionalFormatting>
  <conditionalFormatting sqref="F34:F34">
    <cfRule type="expression" dxfId="42" priority="8">
      <formula>$B$36=""</formula>
    </cfRule>
  </conditionalFormatting>
  <conditionalFormatting sqref="R37:R37">
    <cfRule type="expression" dxfId="41" priority="5">
      <formula>CF_Report?=1</formula>
    </cfRule>
  </conditionalFormatting>
  <conditionalFormatting sqref="S37:S37">
    <cfRule type="expression" dxfId="40" priority="4">
      <formula>CF_Report?=0</formula>
    </cfRule>
  </conditionalFormatting>
  <conditionalFormatting sqref="R19:R19">
    <cfRule type="expression" dxfId="39" priority="3">
      <formula>Tenant_Report?=1</formula>
    </cfRule>
  </conditionalFormatting>
  <conditionalFormatting sqref="S19:S19">
    <cfRule type="expression" dxfId="38" priority="2">
      <formula>Tenant_Report?=0</formula>
    </cfRule>
  </conditionalFormatting>
  <pageMargins left="0.7" right="0.7" top="0.75" bottom="0.75" header="0.3" footer="0.3"/>
  <drawing xmlns:r="http://schemas.openxmlformats.org/officeDocument/2006/relationships" r:id="Re72c263579e64128"/>
</worksheet>
</file>

<file path=xl/worksheets/sheet2.xml><?xml version="1.0" encoding="utf-8"?>
<worksheet xmlns="http://schemas.openxmlformats.org/spreadsheetml/2006/main">
  <sheetPr>
    <tabColor rgb="FF9D8F42"/>
  </sheetPr>
  <sheetViews>
    <sheetView showGridLines="0" workbookViewId="0"/>
  </sheetViews>
  <sheetFormatPr defaultRowHeight="14.5"/>
  <cols>
    <col min="1" max="1" width="2" style="142" customWidth="1"/>
    <col min="2" max="2" width="30.83203125" style="4" customWidth="1"/>
    <col min="3" max="3" width="23.5" style="4" customWidth="1"/>
    <col min="4" max="4" width="12.58203125" style="4" customWidth="1"/>
    <col min="5" max="5" width="24.1640625" style="4" customWidth="1"/>
    <col min="6" max="6" width="18.33203125" style="4" customWidth="1"/>
    <col min="7" max="7" width="27.75" style="4" customWidth="1"/>
    <col min="8" max="8" width="24.25" style="4" customWidth="1"/>
    <col min="9" max="9" width="21.6640625" style="4" customWidth="1"/>
    <col min="10" max="10" width="1.25" style="5" customWidth="1"/>
    <col min="11" max="11" width="18.33203125" style="22" customWidth="1"/>
    <col min="12" max="12" width="33.08203125" style="22" customWidth="1"/>
    <col min="13" max="14" width="8.75" style="22" customWidth="1"/>
    <col min="15" max="15" width="9.83203125" style="22" customWidth="1"/>
    <col min="16" max="16" width="8.5" style="22" customWidth="1"/>
    <col min="17" max="17" width="8.75" style="22" customWidth="1"/>
    <col min="18" max="18" width="15.83203125" style="22" customWidth="1"/>
    <col min="19" max="19" width="9.5" style="22" customWidth="1"/>
    <col min="20" max="21" width="9.83203125" style="22" customWidth="1"/>
    <col min="22" max="22" width="14.25" style="22" customWidth="1"/>
    <col min="23" max="23" width="9.83203125" style="22" customWidth="1"/>
    <col min="24" max="24" width="9.5" style="22" customWidth="1"/>
    <col min="25" max="25" width="8.25" style="22" customWidth="1"/>
    <col min="26" max="26" width="8.75" style="22" customWidth="1"/>
    <col min="27" max="29" width="8.5" style="22" customWidth="1"/>
    <col min="30" max="30" width="8.25" style="22" customWidth="1"/>
    <col min="31" max="33" width="7.83203125" style="22" customWidth="1"/>
    <col min="34" max="39" width="8.25" style="22" customWidth="1"/>
    <col min="40" max="54" width="9.25" style="22" customWidth="1"/>
    <col min="55" max="55" width="11" style="22" customWidth="1"/>
    <col min="56" max="57" width="9.25" style="22" customWidth="1"/>
    <col min="58" max="60" width="9" style="22" customWidth="1"/>
    <col min="61" max="69" width="9.25" style="22" customWidth="1"/>
    <col min="70" max="72" width="9" style="22" customWidth="1"/>
    <col min="73" max="90" width="9.25" style="22" customWidth="1"/>
    <col min="91" max="96" width="9" style="22" customWidth="1"/>
    <col min="97" max="102" width="9.25" style="22" customWidth="1"/>
    <col min="103" max="105" width="9" style="22" customWidth="1"/>
    <col min="106" max="117" width="9.25" style="22" customWidth="1"/>
    <col min="118" max="120" width="9" style="22" customWidth="1"/>
    <col min="121" max="123" width="8.58203125" style="22" customWidth="1"/>
    <col min="124" max="135" width="9.25" style="22" customWidth="1"/>
    <col min="136" max="141" width="9" style="22" customWidth="1"/>
    <col min="142" max="144" width="9.25" style="22" customWidth="1"/>
    <col min="145" max="145" width="1.83203125" style="22" customWidth="1"/>
    <col min="146" max="146" width="31.08203125" style="224" customWidth="1"/>
    <col min="147" max="147" width="14" style="22" customWidth="1"/>
    <col min="148" max="148" width="10.33203125" style="22" customWidth="1"/>
    <col min="149" max="149" width="8.33203125" style="22" customWidth="1"/>
    <col min="150" max="150" width="37.33203125" style="22" customWidth="1"/>
    <col min="151" max="151" width="10.25" style="22" customWidth="1"/>
    <col min="152" max="152" width="8.5" style="22" customWidth="1"/>
    <col min="153" max="153" width="7.75" style="22" customWidth="1"/>
    <col min="154" max="154" width="8.5" style="22" customWidth="1"/>
    <col min="155" max="155" width="8.58203125" style="22" customWidth="1"/>
    <col min="156" max="156" width="8.25" style="22" customWidth="1"/>
    <col min="157" max="157" width="9" style="22" customWidth="1"/>
    <col min="158" max="158" width="8.5" style="22" customWidth="1"/>
    <col min="159" max="159" width="8.25" style="22" customWidth="1"/>
    <col min="160" max="160" width="8.58203125" style="22" customWidth="1"/>
    <col min="161" max="162" width="8.5" style="22" customWidth="1"/>
    <col min="163" max="163" width="8.58203125" style="22" customWidth="1"/>
    <col min="164" max="164" width="8.5" style="22" customWidth="1"/>
    <col min="165" max="165" width="8.08203125" style="22" customWidth="1"/>
    <col min="166" max="166" width="8.5" style="22" customWidth="1"/>
    <col min="167" max="167" width="8.58203125" style="22" customWidth="1"/>
    <col min="168" max="168" width="8.25" style="22" customWidth="1"/>
    <col min="169" max="169" width="9" style="22" customWidth="1"/>
    <col min="170" max="170" width="8.5" style="22" customWidth="1"/>
    <col min="171" max="171" width="8.25" style="22" customWidth="1"/>
    <col min="172" max="172" width="8.58203125" style="22" customWidth="1"/>
    <col min="173" max="174" width="8.5" style="22" customWidth="1"/>
    <col min="175" max="175" width="8.58203125" style="22" customWidth="1"/>
    <col min="176" max="176" width="8.5" style="22" customWidth="1"/>
    <col min="177" max="177" width="8.33203125" style="22" customWidth="1"/>
    <col min="178" max="178" width="8.5" style="22" customWidth="1"/>
    <col min="179" max="179" width="8.58203125" style="22" customWidth="1"/>
    <col min="180" max="180" width="8.33203125" style="22" customWidth="1"/>
    <col min="181" max="181" width="9" style="22" customWidth="1"/>
    <col min="182" max="182" width="8.5" style="22" customWidth="1"/>
    <col min="183" max="183" width="8.25" style="22" customWidth="1"/>
    <col min="184" max="184" width="8.58203125" style="22" customWidth="1"/>
    <col min="185" max="186" width="8.5" style="22" customWidth="1"/>
    <col min="187" max="187" width="8.58203125" style="22" customWidth="1"/>
    <col min="188" max="188" width="8.5" style="22" customWidth="1"/>
    <col min="189" max="189" width="8.33203125" style="22" customWidth="1"/>
    <col min="190" max="190" width="8.5" style="22" customWidth="1"/>
    <col min="191" max="191" width="8.58203125" style="22" customWidth="1"/>
    <col min="192" max="192" width="8.33203125" style="22" customWidth="1"/>
    <col min="193" max="193" width="9" style="22" customWidth="1"/>
    <col min="194" max="194" width="8.5" style="22" customWidth="1"/>
    <col min="195" max="195" width="8.75" style="22" customWidth="1"/>
    <col min="196" max="196" width="8.58203125" style="22" customWidth="1"/>
    <col min="197" max="198" width="8.5" style="22" customWidth="1"/>
    <col min="199" max="199" width="8.58203125" style="22" customWidth="1"/>
    <col min="200" max="200" width="8.5" style="22" customWidth="1"/>
    <col min="201" max="201" width="8.33203125" style="22" customWidth="1"/>
    <col min="202" max="202" width="8.5" style="22" customWidth="1"/>
    <col min="203" max="203" width="8.58203125" style="22" customWidth="1"/>
    <col min="204" max="204" width="8.33203125" style="22" customWidth="1"/>
    <col min="205" max="205" width="9" style="22" customWidth="1"/>
    <col min="206" max="206" width="8.5" style="22" customWidth="1"/>
    <col min="207" max="212" width="8.33203125" style="22" customWidth="1"/>
    <col min="213" max="213" width="8.08203125" style="22" customWidth="1"/>
    <col min="214" max="216" width="8.33203125" style="22" customWidth="1"/>
    <col min="217" max="217" width="8.58203125" style="22" customWidth="1"/>
    <col min="218" max="219" width="8.33203125" style="22" customWidth="1"/>
    <col min="220" max="220" width="8.58203125" style="22" customWidth="1"/>
    <col min="221" max="222" width="8.5" style="22" customWidth="1"/>
    <col min="223" max="223" width="8.58203125" style="22" customWidth="1"/>
    <col min="224" max="224" width="8.5" style="22" customWidth="1"/>
    <col min="225" max="225" width="8.33203125" style="22" customWidth="1"/>
    <col min="226" max="226" width="8.5" style="22" customWidth="1"/>
    <col min="227" max="227" width="8.58203125" style="22" customWidth="1"/>
    <col min="228" max="228" width="8.33203125" style="22" customWidth="1"/>
    <col min="229" max="229" width="9" style="22" customWidth="1"/>
    <col min="230" max="230" width="8.5" style="22" customWidth="1"/>
    <col min="231" max="231" width="8.33203125" style="22" customWidth="1"/>
    <col min="232" max="232" width="8.58203125" style="22" customWidth="1"/>
    <col min="233" max="234" width="8.5" style="22" customWidth="1"/>
    <col min="235" max="235" width="8.58203125" style="22" customWidth="1"/>
    <col min="236" max="236" width="8.5" style="22" customWidth="1"/>
    <col min="237" max="237" width="8.33203125" style="22" customWidth="1"/>
    <col min="238" max="238" width="8.5" style="22" customWidth="1"/>
    <col min="239" max="239" width="8.58203125" style="22" customWidth="1"/>
    <col min="240" max="240" width="8.33203125" style="22" customWidth="1"/>
    <col min="241" max="241" width="9" style="22" customWidth="1"/>
    <col min="242" max="242" width="8.5" style="22" customWidth="1"/>
    <col min="243" max="243" width="8.25" style="22" customWidth="1"/>
    <col min="244" max="244" width="8.58203125" style="22" customWidth="1"/>
    <col min="245" max="246" width="8.5" style="22" customWidth="1"/>
    <col min="247" max="247" width="8.58203125" style="22" customWidth="1"/>
    <col min="248" max="248" width="8.5" style="22" customWidth="1"/>
    <col min="249" max="249" width="8.33203125" style="22" customWidth="1"/>
    <col min="250" max="250" width="8.5" style="22" customWidth="1"/>
    <col min="251" max="251" width="8.58203125" style="22" customWidth="1"/>
    <col min="252" max="252" width="8.75" style="22" customWidth="1"/>
    <col min="253" max="253" width="9" style="22" customWidth="1"/>
    <col min="254" max="261" width="8.75" style="22" customWidth="1"/>
    <col min="262" max="262" width="8.5" style="22" customWidth="1"/>
    <col min="263" max="263" width="8.58203125" style="22" customWidth="1"/>
    <col min="264" max="264" width="8.5" style="22" customWidth="1"/>
    <col min="265" max="265" width="9" style="22" customWidth="1"/>
    <col min="266" max="267" width="8.5" style="22" customWidth="1"/>
    <col min="268" max="268" width="8.58203125" style="22" customWidth="1"/>
    <col min="269" max="270" width="8.5" style="22" customWidth="1"/>
    <col min="271" max="271" width="8.58203125" style="22" customWidth="1"/>
    <col min="272" max="272" width="8.75" style="22" customWidth="1"/>
    <col min="273" max="273" width="8.5" style="22" customWidth="1"/>
    <col min="274" max="276" width="8.75" style="22" customWidth="1"/>
    <col min="277" max="277" width="9" style="22" customWidth="1"/>
    <col min="278" max="282" width="8.75" style="22" customWidth="1"/>
    <col min="283" max="283" width="8.58203125" style="22" customWidth="1"/>
    <col min="284" max="284" width="8.75" style="22" customWidth="1"/>
    <col min="285" max="285" width="1.6640625" style="5" customWidth="1"/>
    <col min="286" max="286" width="28.33203125" style="5" customWidth="1"/>
    <col min="287" max="287" width="14.83203125" style="5" customWidth="1"/>
    <col min="288" max="288" width="9.83203125" style="5" customWidth="1"/>
    <col min="289" max="289" width="12.75" style="5" customWidth="1"/>
    <col min="290" max="290" width="9.58203125" style="5" customWidth="1"/>
    <col min="291" max="291" width="7.9140625" style="5" customWidth="1"/>
    <col min="292" max="292" width="8.5" style="5" customWidth="1"/>
    <col min="293" max="293" width="7.75" style="5" customWidth="1"/>
    <col min="294" max="294" width="8.5" style="5" customWidth="1"/>
    <col min="295" max="295" width="8.58203125" style="5" customWidth="1"/>
    <col min="296" max="296" width="8.25" style="5" customWidth="1"/>
    <col min="297" max="297" width="9" style="5" customWidth="1"/>
    <col min="298" max="298" width="8.5" style="5" customWidth="1"/>
    <col min="299" max="299" width="8.25" style="5" customWidth="1"/>
    <col min="300" max="300" width="8.58203125" style="5" customWidth="1"/>
    <col min="301" max="302" width="8.5" style="5" customWidth="1"/>
    <col min="303" max="303" width="8.58203125" style="5" customWidth="1"/>
    <col min="304" max="304" width="8.5" style="5" customWidth="1"/>
    <col min="305" max="305" width="8.08203125" style="5" customWidth="1"/>
    <col min="306" max="306" width="8.5" style="5" customWidth="1"/>
    <col min="307" max="307" width="8.58203125" style="5" customWidth="1"/>
    <col min="308" max="308" width="8.25" style="5" customWidth="1"/>
    <col min="309" max="309" width="9" style="5" customWidth="1"/>
    <col min="310" max="310" width="8.5" style="5" customWidth="1"/>
    <col min="311" max="311" width="8.25" style="5" customWidth="1"/>
    <col min="312" max="312" width="8.58203125" style="5" customWidth="1"/>
    <col min="313" max="314" width="8.5" style="5" customWidth="1"/>
    <col min="315" max="315" width="8.58203125" style="5" customWidth="1"/>
    <col min="316" max="316" width="8.5" style="5" customWidth="1"/>
    <col min="317" max="317" width="8.33203125" style="5" customWidth="1"/>
    <col min="318" max="318" width="8.5" style="5" customWidth="1"/>
    <col min="319" max="319" width="8.58203125" style="5" customWidth="1"/>
    <col min="320" max="320" width="8.33203125" style="5" customWidth="1"/>
    <col min="321" max="321" width="9" style="5" customWidth="1"/>
    <col min="322" max="322" width="8.5" style="5" customWidth="1"/>
    <col min="323" max="323" width="8.25" style="5" customWidth="1"/>
    <col min="324" max="324" width="8.58203125" style="5" customWidth="1"/>
    <col min="325" max="326" width="8.5" style="5" customWidth="1"/>
    <col min="327" max="327" width="8.58203125" style="5" customWidth="1"/>
    <col min="328" max="328" width="8.5" style="5" customWidth="1"/>
    <col min="329" max="329" width="8.33203125" style="5" customWidth="1"/>
    <col min="330" max="330" width="8.5" style="5" customWidth="1"/>
    <col min="331" max="331" width="8.58203125" style="5" customWidth="1"/>
    <col min="332" max="332" width="8.33203125" style="5" customWidth="1"/>
    <col min="333" max="333" width="9" style="5" customWidth="1"/>
    <col min="334" max="334" width="8.5" style="5" customWidth="1"/>
    <col min="335" max="335" width="8.33203125" style="5" customWidth="1"/>
    <col min="336" max="336" width="8.58203125" style="5" customWidth="1"/>
    <col min="337" max="338" width="8.5" style="5" customWidth="1"/>
    <col min="339" max="339" width="8.58203125" style="5" customWidth="1"/>
    <col min="340" max="340" width="8.5" style="5" customWidth="1"/>
    <col min="341" max="341" width="8.33203125" style="5" customWidth="1"/>
    <col min="342" max="342" width="8.5" style="5" customWidth="1"/>
    <col min="343" max="343" width="8.58203125" style="5" customWidth="1"/>
    <col min="344" max="344" width="8.33203125" style="5" customWidth="1"/>
    <col min="345" max="345" width="9" style="5" customWidth="1"/>
    <col min="346" max="346" width="8.5" style="5" customWidth="1"/>
    <col min="347" max="352" width="8.33203125" style="5" customWidth="1"/>
    <col min="353" max="353" width="8.08203125" style="5" customWidth="1"/>
    <col min="354" max="356" width="8.33203125" style="5" customWidth="1"/>
    <col min="357" max="357" width="8.58203125" style="5" customWidth="1"/>
    <col min="358" max="359" width="8.33203125" style="5" customWidth="1"/>
    <col min="360" max="360" width="8.58203125" style="5" customWidth="1"/>
    <col min="361" max="362" width="8.5" style="5" customWidth="1"/>
    <col min="363" max="363" width="8.58203125" style="5" customWidth="1"/>
    <col min="364" max="364" width="8.5" style="5" customWidth="1"/>
    <col min="365" max="365" width="8.33203125" style="5" customWidth="1"/>
    <col min="366" max="366" width="8.5" style="5" customWidth="1"/>
    <col min="367" max="367" width="8.58203125" style="5" customWidth="1"/>
    <col min="368" max="368" width="8.33203125" style="5" customWidth="1"/>
    <col min="369" max="369" width="9" style="5" customWidth="1"/>
    <col min="370" max="370" width="8.5" style="5" customWidth="1"/>
    <col min="371" max="371" width="8.33203125" style="5" customWidth="1"/>
    <col min="372" max="372" width="8.58203125" style="5" customWidth="1"/>
    <col min="373" max="374" width="8.5" style="5" customWidth="1"/>
    <col min="375" max="375" width="8.58203125" style="5" customWidth="1"/>
    <col min="376" max="376" width="8.5" style="5" customWidth="1"/>
    <col min="377" max="377" width="8.33203125" style="5" customWidth="1"/>
    <col min="378" max="378" width="8.5" style="5" customWidth="1"/>
    <col min="379" max="379" width="8.58203125" style="5" customWidth="1"/>
    <col min="380" max="380" width="8.33203125" style="5" customWidth="1"/>
    <col min="381" max="381" width="9" style="5" customWidth="1"/>
    <col min="382" max="382" width="8.5" style="5" customWidth="1"/>
    <col min="383" max="383" width="8.25" style="5" customWidth="1"/>
    <col min="384" max="384" width="8.58203125" style="5" customWidth="1"/>
    <col min="385" max="386" width="8.5" style="5" customWidth="1"/>
    <col min="387" max="387" width="8.58203125" style="5" customWidth="1"/>
    <col min="388" max="388" width="8.5" style="5" customWidth="1"/>
    <col min="389" max="389" width="8.33203125" style="5" customWidth="1"/>
    <col min="390" max="390" width="8.5" style="5" customWidth="1"/>
    <col min="391" max="391" width="8.58203125" style="5" customWidth="1"/>
    <col min="392" max="392" width="8.75" style="5" customWidth="1"/>
    <col min="393" max="393" width="9" style="5" customWidth="1"/>
    <col min="394" max="401" width="8.75" style="5" customWidth="1"/>
    <col min="402" max="402" width="8.5" style="5" customWidth="1"/>
    <col min="403" max="403" width="8.58203125" style="5" customWidth="1"/>
    <col min="404" max="404" width="8.5" style="5" customWidth="1"/>
    <col min="405" max="405" width="9" style="5" customWidth="1"/>
    <col min="406" max="407" width="8.5" style="5" customWidth="1"/>
    <col min="408" max="408" width="8.58203125" style="5" customWidth="1"/>
    <col min="409" max="410" width="8.5" style="5" customWidth="1"/>
    <col min="411" max="411" width="8.58203125" style="5" customWidth="1"/>
    <col min="412" max="412" width="8.75" style="5" customWidth="1"/>
    <col min="413" max="413" width="8.5" style="5" customWidth="1"/>
    <col min="414" max="416" width="8.75" style="5" customWidth="1"/>
    <col min="417" max="417" width="9" style="5" customWidth="1"/>
    <col min="418" max="422" width="8.75" style="5" customWidth="1"/>
    <col min="423" max="423" width="8.58203125" style="5" customWidth="1"/>
    <col min="424" max="424" width="8.75" style="5" customWidth="1"/>
    <col min="425" max="425" width="1.9140625" style="5" customWidth="1"/>
    <col min="426" max="16384" width="8.75" style="5" hidden="1" customWidth="0"/>
  </cols>
  <sheetData>
    <row r="1" ht="5" customHeight="1">
      <c r="B1"/>
      <c r="C1"/>
      <c r="D1"/>
      <c r="E1"/>
      <c r="F1"/>
      <c r="G1"/>
      <c r="H1"/>
      <c r="I1"/>
      <c r="EP1" s="220"/>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Z1" s="263"/>
      <c r="KA1" s="263"/>
      <c r="KB1" s="263"/>
      <c r="KC1" s="263"/>
      <c r="KD1" s="263"/>
      <c r="KE1" s="263"/>
      <c r="KF1" s="263"/>
      <c r="KG1" s="263"/>
      <c r="KH1" s="263"/>
      <c r="KI1" s="263"/>
      <c r="KJ1" s="263"/>
      <c r="KK1" s="263"/>
      <c r="KL1" s="263"/>
      <c r="KM1" s="263"/>
      <c r="KN1" s="263"/>
      <c r="KO1" s="263"/>
      <c r="KP1" s="263"/>
      <c r="KQ1" s="263"/>
      <c r="KR1" s="263"/>
      <c r="KS1" s="263"/>
      <c r="KT1" s="263"/>
      <c r="KU1" s="263"/>
      <c r="KV1" s="263"/>
      <c r="KW1" s="263"/>
      <c r="KX1" s="263"/>
      <c r="KY1" s="263"/>
      <c r="KZ1" s="263"/>
      <c r="LA1" s="263"/>
      <c r="LB1" s="263"/>
      <c r="LC1" s="263"/>
      <c r="LD1" s="263"/>
      <c r="LE1" s="263"/>
      <c r="LF1" s="263"/>
      <c r="LG1" s="263"/>
      <c r="LH1" s="263"/>
      <c r="LI1" s="263"/>
      <c r="LJ1" s="263"/>
      <c r="LK1" s="263"/>
      <c r="LL1" s="263"/>
      <c r="LM1" s="263"/>
      <c r="LN1" s="263"/>
      <c r="LO1" s="263"/>
      <c r="LP1" s="263"/>
      <c r="LQ1" s="263"/>
      <c r="LR1" s="263"/>
      <c r="LS1" s="263"/>
      <c r="LT1" s="263"/>
      <c r="LU1" s="263"/>
      <c r="LV1" s="263"/>
      <c r="LW1" s="263"/>
      <c r="LX1" s="263"/>
      <c r="LY1" s="263"/>
      <c r="LZ1" s="263"/>
      <c r="MA1" s="263"/>
      <c r="MB1" s="263"/>
      <c r="MC1" s="263"/>
      <c r="MD1" s="263"/>
      <c r="ME1" s="263"/>
      <c r="MF1" s="263"/>
      <c r="MG1" s="263"/>
      <c r="MH1" s="263"/>
      <c r="MI1" s="263"/>
      <c r="MJ1" s="263"/>
      <c r="MK1" s="263"/>
      <c r="ML1" s="263"/>
      <c r="MM1" s="263"/>
      <c r="MN1" s="263"/>
      <c r="MO1" s="263"/>
      <c r="MP1" s="263"/>
      <c r="MQ1" s="263"/>
      <c r="MR1" s="263"/>
      <c r="MS1" s="263"/>
      <c r="MT1" s="263"/>
      <c r="MU1" s="263"/>
      <c r="MV1" s="263"/>
      <c r="MW1" s="263"/>
      <c r="MX1" s="263"/>
      <c r="MY1" s="263"/>
      <c r="MZ1" s="263"/>
      <c r="NA1" s="263"/>
      <c r="NB1" s="263"/>
      <c r="NC1" s="263"/>
      <c r="ND1" s="263"/>
      <c r="NE1" s="263"/>
      <c r="NF1" s="263"/>
      <c r="NG1" s="263"/>
      <c r="NH1" s="263"/>
      <c r="NI1" s="263"/>
      <c r="NJ1" s="263"/>
      <c r="NK1" s="263"/>
      <c r="NL1" s="263"/>
      <c r="NM1" s="263"/>
      <c r="NN1" s="263"/>
      <c r="NO1" s="263"/>
      <c r="NP1" s="263"/>
      <c r="NQ1" s="263"/>
      <c r="NR1" s="263"/>
      <c r="NS1" s="263"/>
      <c r="NT1" s="263"/>
      <c r="NU1" s="263"/>
      <c r="NV1" s="263"/>
      <c r="NW1" s="263"/>
      <c r="NX1" s="263"/>
      <c r="NY1" s="263"/>
      <c r="NZ1" s="263"/>
      <c r="OA1" s="263"/>
      <c r="OB1" s="263"/>
      <c r="OC1" s="263"/>
      <c r="OD1" s="263"/>
      <c r="OE1" s="263"/>
      <c r="OF1" s="263"/>
      <c r="OG1" s="263"/>
      <c r="OH1" s="263"/>
      <c r="OI1" s="263"/>
      <c r="OJ1" s="263"/>
      <c r="OK1" s="263"/>
      <c r="OL1" s="263"/>
      <c r="OM1" s="263"/>
      <c r="ON1" s="263"/>
      <c r="OO1" s="263"/>
      <c r="OP1" s="263"/>
      <c r="OQ1" s="263"/>
      <c r="OR1" s="263"/>
      <c r="OS1" s="263"/>
      <c r="OT1" s="263"/>
      <c r="OU1" s="263"/>
      <c r="OV1" s="263"/>
      <c r="OW1" s="263"/>
      <c r="OX1" s="263"/>
      <c r="OY1" s="263"/>
      <c r="OZ1" s="263"/>
      <c r="PA1" s="263"/>
      <c r="PB1" s="263"/>
      <c r="PC1" s="263"/>
      <c r="PD1" s="263"/>
      <c r="PE1" s="263"/>
      <c r="PF1" s="263"/>
      <c r="PG1" s="263"/>
      <c r="PH1" s="263"/>
    </row>
    <row r="2" ht="15.5">
      <c r="B2" s="376" t="str">
        <f>UPPER(Investment_Name)</f>
        <v>THE BEND PRECINCT</v>
      </c>
      <c r="C2"/>
      <c r="D2" s="690" t="str">
        <f>IF(Recalc?,"","CLICK TO RECALCULATE")</f>
        <v>CLICK TO RECALCULATE</v>
      </c>
      <c r="E2" s="690"/>
      <c r="F2" s="690"/>
      <c r="G2" s="690"/>
      <c r="H2"/>
      <c r="I2" s="377" t="s">
        <v>87</v>
      </c>
      <c r="J2" s="22"/>
      <c r="K2" s="22" t="s">
        <v>88</v>
      </c>
      <c r="L2" s="162" t="n">
        <f>ROUNDUP(L3/12,0)</f>
        <v>0</v>
      </c>
      <c r="M2" s="162" t="n">
        <f>ROUNDUP(M3/12,0)</f>
        <v>1</v>
      </c>
      <c r="N2" s="162" t="n">
        <f t="shared" ref="N2:BY2" si="0">ROUNDUP(N3/12,0)</f>
        <v>1</v>
      </c>
      <c r="O2" s="162">
        <f t="shared" si="0"/>
        <v>1</v>
      </c>
      <c r="P2" s="162">
        <f t="shared" si="0"/>
        <v>1</v>
      </c>
      <c r="Q2" s="162">
        <f t="shared" si="0"/>
        <v>1</v>
      </c>
      <c r="R2" s="162">
        <f t="shared" si="0"/>
        <v>1</v>
      </c>
      <c r="S2" s="162">
        <f t="shared" si="0"/>
        <v>1</v>
      </c>
      <c r="T2" s="162">
        <f t="shared" si="0"/>
        <v>1</v>
      </c>
      <c r="U2" s="162">
        <f t="shared" si="0"/>
        <v>1</v>
      </c>
      <c r="V2" s="162">
        <f t="shared" si="0"/>
        <v>1</v>
      </c>
      <c r="W2" s="162">
        <f t="shared" si="0"/>
        <v>1</v>
      </c>
      <c r="X2" s="162">
        <f t="shared" si="0"/>
        <v>1</v>
      </c>
      <c r="Y2" s="162">
        <f t="shared" si="0"/>
        <v>2</v>
      </c>
      <c r="Z2" s="162">
        <f t="shared" si="0"/>
        <v>2</v>
      </c>
      <c r="AA2" s="162">
        <f t="shared" si="0"/>
        <v>2</v>
      </c>
      <c r="AB2" s="162">
        <f t="shared" si="0"/>
        <v>2</v>
      </c>
      <c r="AC2" s="162">
        <f t="shared" si="0"/>
        <v>2</v>
      </c>
      <c r="AD2" s="162">
        <f t="shared" si="0"/>
        <v>2</v>
      </c>
      <c r="AE2" s="162">
        <f t="shared" si="0"/>
        <v>2</v>
      </c>
      <c r="AF2" s="162">
        <f t="shared" si="0"/>
        <v>2</v>
      </c>
      <c r="AG2" s="162">
        <f t="shared" si="0"/>
        <v>2</v>
      </c>
      <c r="AH2" s="162">
        <f t="shared" si="0"/>
        <v>2</v>
      </c>
      <c r="AI2" s="162">
        <f t="shared" si="0"/>
        <v>2</v>
      </c>
      <c r="AJ2" s="162">
        <f t="shared" si="0"/>
        <v>2</v>
      </c>
      <c r="AK2" s="162">
        <f t="shared" si="0"/>
        <v>3</v>
      </c>
      <c r="AL2" s="162">
        <f t="shared" si="0"/>
        <v>3</v>
      </c>
      <c r="AM2" s="162">
        <f t="shared" si="0"/>
        <v>3</v>
      </c>
      <c r="AN2" s="162">
        <f t="shared" si="0"/>
        <v>3</v>
      </c>
      <c r="AO2" s="162">
        <f t="shared" si="0"/>
        <v>3</v>
      </c>
      <c r="AP2" s="162">
        <f t="shared" si="0"/>
        <v>3</v>
      </c>
      <c r="AQ2" s="162">
        <f t="shared" si="0"/>
        <v>3</v>
      </c>
      <c r="AR2" s="162">
        <f t="shared" si="0"/>
        <v>3</v>
      </c>
      <c r="AS2" s="162">
        <f t="shared" si="0"/>
        <v>3</v>
      </c>
      <c r="AT2" s="162">
        <f t="shared" si="0"/>
        <v>3</v>
      </c>
      <c r="AU2" s="162">
        <f t="shared" si="0"/>
        <v>3</v>
      </c>
      <c r="AV2" s="162">
        <f t="shared" si="0"/>
        <v>3</v>
      </c>
      <c r="AW2" s="162">
        <f t="shared" si="0"/>
        <v>4</v>
      </c>
      <c r="AX2" s="162">
        <f t="shared" si="0"/>
        <v>4</v>
      </c>
      <c r="AY2" s="162">
        <f t="shared" si="0"/>
        <v>4</v>
      </c>
      <c r="AZ2" s="162">
        <f t="shared" si="0"/>
        <v>4</v>
      </c>
      <c r="BA2" s="162">
        <f t="shared" si="0"/>
        <v>4</v>
      </c>
      <c r="BB2" s="162">
        <f t="shared" si="0"/>
        <v>4</v>
      </c>
      <c r="BC2" s="162">
        <f t="shared" si="0"/>
        <v>4</v>
      </c>
      <c r="BD2" s="162">
        <f t="shared" si="0"/>
        <v>4</v>
      </c>
      <c r="BE2" s="162">
        <f t="shared" si="0"/>
        <v>4</v>
      </c>
      <c r="BF2" s="162">
        <f t="shared" si="0"/>
        <v>4</v>
      </c>
      <c r="BG2" s="162">
        <f t="shared" si="0"/>
        <v>4</v>
      </c>
      <c r="BH2" s="162">
        <f t="shared" si="0"/>
        <v>4</v>
      </c>
      <c r="BI2" s="162">
        <f t="shared" si="0"/>
        <v>5</v>
      </c>
      <c r="BJ2" s="162">
        <f t="shared" si="0"/>
        <v>5</v>
      </c>
      <c r="BK2" s="162">
        <f t="shared" si="0"/>
        <v>5</v>
      </c>
      <c r="BL2" s="162">
        <f t="shared" si="0"/>
        <v>5</v>
      </c>
      <c r="BM2" s="162">
        <f t="shared" si="0"/>
        <v>5</v>
      </c>
      <c r="BN2" s="162">
        <f t="shared" si="0"/>
        <v>5</v>
      </c>
      <c r="BO2" s="162">
        <f t="shared" si="0"/>
        <v>5</v>
      </c>
      <c r="BP2" s="162">
        <f t="shared" si="0"/>
        <v>5</v>
      </c>
      <c r="BQ2" s="162">
        <f t="shared" si="0"/>
        <v>5</v>
      </c>
      <c r="BR2" s="162">
        <f t="shared" si="0"/>
        <v>5</v>
      </c>
      <c r="BS2" s="162">
        <f t="shared" si="0"/>
        <v>5</v>
      </c>
      <c r="BT2" s="162">
        <f t="shared" si="0"/>
        <v>5</v>
      </c>
      <c r="BU2" s="162">
        <f t="shared" si="0"/>
        <v>6</v>
      </c>
      <c r="BV2" s="162">
        <f t="shared" si="0"/>
        <v>6</v>
      </c>
      <c r="BW2" s="162">
        <f t="shared" si="0"/>
        <v>6</v>
      </c>
      <c r="BX2" s="162">
        <f t="shared" si="0"/>
        <v>6</v>
      </c>
      <c r="BY2" s="162">
        <f t="shared" si="0"/>
        <v>6</v>
      </c>
      <c r="BZ2" s="162" t="n">
        <f t="shared" ref="BZ2:EK2" si="1">ROUNDUP(BZ3/12,0)</f>
        <v>6</v>
      </c>
      <c r="CA2" s="162">
        <f t="shared" si="1"/>
        <v>6</v>
      </c>
      <c r="CB2" s="162">
        <f t="shared" si="1"/>
        <v>6</v>
      </c>
      <c r="CC2" s="162">
        <f t="shared" si="1"/>
        <v>6</v>
      </c>
      <c r="CD2" s="162">
        <f t="shared" si="1"/>
        <v>6</v>
      </c>
      <c r="CE2" s="162">
        <f t="shared" si="1"/>
        <v>6</v>
      </c>
      <c r="CF2" s="162">
        <f t="shared" si="1"/>
        <v>6</v>
      </c>
      <c r="CG2" s="162">
        <f t="shared" si="1"/>
        <v>7</v>
      </c>
      <c r="CH2" s="162">
        <f t="shared" si="1"/>
        <v>7</v>
      </c>
      <c r="CI2" s="162">
        <f t="shared" si="1"/>
        <v>7</v>
      </c>
      <c r="CJ2" s="162">
        <f t="shared" si="1"/>
        <v>7</v>
      </c>
      <c r="CK2" s="162">
        <f t="shared" si="1"/>
        <v>7</v>
      </c>
      <c r="CL2" s="162">
        <f t="shared" si="1"/>
        <v>7</v>
      </c>
      <c r="CM2" s="162">
        <f t="shared" si="1"/>
        <v>7</v>
      </c>
      <c r="CN2" s="162">
        <f t="shared" si="1"/>
        <v>7</v>
      </c>
      <c r="CO2" s="162">
        <f t="shared" si="1"/>
        <v>7</v>
      </c>
      <c r="CP2" s="162">
        <f t="shared" si="1"/>
        <v>7</v>
      </c>
      <c r="CQ2" s="162">
        <f t="shared" si="1"/>
        <v>7</v>
      </c>
      <c r="CR2" s="162">
        <f t="shared" si="1"/>
        <v>7</v>
      </c>
      <c r="CS2" s="162">
        <f t="shared" si="1"/>
        <v>8</v>
      </c>
      <c r="CT2" s="162">
        <f t="shared" si="1"/>
        <v>8</v>
      </c>
      <c r="CU2" s="162">
        <f t="shared" si="1"/>
        <v>8</v>
      </c>
      <c r="CV2" s="162">
        <f t="shared" si="1"/>
        <v>8</v>
      </c>
      <c r="CW2" s="162">
        <f t="shared" si="1"/>
        <v>8</v>
      </c>
      <c r="CX2" s="162">
        <f t="shared" si="1"/>
        <v>8</v>
      </c>
      <c r="CY2" s="162">
        <f t="shared" si="1"/>
        <v>8</v>
      </c>
      <c r="CZ2" s="162">
        <f t="shared" si="1"/>
        <v>8</v>
      </c>
      <c r="DA2" s="162">
        <f t="shared" si="1"/>
        <v>8</v>
      </c>
      <c r="DB2" s="162">
        <f t="shared" si="1"/>
        <v>8</v>
      </c>
      <c r="DC2" s="162">
        <f t="shared" si="1"/>
        <v>8</v>
      </c>
      <c r="DD2" s="162">
        <f t="shared" si="1"/>
        <v>8</v>
      </c>
      <c r="DE2" s="162">
        <f t="shared" si="1"/>
        <v>9</v>
      </c>
      <c r="DF2" s="162">
        <f t="shared" si="1"/>
        <v>9</v>
      </c>
      <c r="DG2" s="162">
        <f t="shared" si="1"/>
        <v>9</v>
      </c>
      <c r="DH2" s="162">
        <f t="shared" si="1"/>
        <v>9</v>
      </c>
      <c r="DI2" s="162">
        <f t="shared" si="1"/>
        <v>9</v>
      </c>
      <c r="DJ2" s="162">
        <f t="shared" si="1"/>
        <v>9</v>
      </c>
      <c r="DK2" s="162">
        <f t="shared" si="1"/>
        <v>9</v>
      </c>
      <c r="DL2" s="162">
        <f t="shared" si="1"/>
        <v>9</v>
      </c>
      <c r="DM2" s="162">
        <f t="shared" si="1"/>
        <v>9</v>
      </c>
      <c r="DN2" s="162">
        <f t="shared" si="1"/>
        <v>9</v>
      </c>
      <c r="DO2" s="162">
        <f t="shared" si="1"/>
        <v>9</v>
      </c>
      <c r="DP2" s="162">
        <f t="shared" si="1"/>
        <v>9</v>
      </c>
      <c r="DQ2" s="162">
        <f t="shared" si="1"/>
        <v>10</v>
      </c>
      <c r="DR2" s="162">
        <f t="shared" si="1"/>
        <v>10</v>
      </c>
      <c r="DS2" s="162">
        <f t="shared" si="1"/>
        <v>10</v>
      </c>
      <c r="DT2" s="162">
        <f t="shared" si="1"/>
        <v>10</v>
      </c>
      <c r="DU2" s="162">
        <f t="shared" si="1"/>
        <v>10</v>
      </c>
      <c r="DV2" s="162">
        <f t="shared" si="1"/>
        <v>10</v>
      </c>
      <c r="DW2" s="162">
        <f t="shared" si="1"/>
        <v>10</v>
      </c>
      <c r="DX2" s="162">
        <f t="shared" si="1"/>
        <v>10</v>
      </c>
      <c r="DY2" s="162">
        <f t="shared" si="1"/>
        <v>10</v>
      </c>
      <c r="DZ2" s="162">
        <f t="shared" si="1"/>
        <v>10</v>
      </c>
      <c r="EA2" s="162">
        <f t="shared" si="1"/>
        <v>10</v>
      </c>
      <c r="EB2" s="162">
        <f t="shared" si="1"/>
        <v>10</v>
      </c>
      <c r="EC2" s="162">
        <f t="shared" si="1"/>
        <v>11</v>
      </c>
      <c r="ED2" s="162">
        <f t="shared" si="1"/>
        <v>11</v>
      </c>
      <c r="EE2" s="162">
        <f t="shared" si="1"/>
        <v>11</v>
      </c>
      <c r="EF2" s="162">
        <f t="shared" si="1"/>
        <v>11</v>
      </c>
      <c r="EG2" s="162">
        <f t="shared" si="1"/>
        <v>11</v>
      </c>
      <c r="EH2" s="162">
        <f t="shared" si="1"/>
        <v>11</v>
      </c>
      <c r="EI2" s="162">
        <f t="shared" si="1"/>
        <v>11</v>
      </c>
      <c r="EJ2" s="162">
        <f t="shared" si="1"/>
        <v>11</v>
      </c>
      <c r="EK2" s="162">
        <f t="shared" si="1"/>
        <v>11</v>
      </c>
      <c r="EL2" s="162" t="n">
        <f>ROUNDUP(EL3/12,0)</f>
        <v>11</v>
      </c>
      <c r="EM2" s="162" t="n">
        <f>ROUNDUP(EM3/12,0)</f>
        <v>11</v>
      </c>
      <c r="EN2" s="162" t="n">
        <f>ROUNDUP(EN3/12,0)</f>
        <v>11</v>
      </c>
      <c r="EP2" s="220"/>
      <c r="EQ2" s="18"/>
      <c r="ER2" s="18"/>
      <c r="ES2" s="18"/>
      <c r="ET2" s="18"/>
      <c r="EU2" s="18"/>
      <c r="EV2" s="196" t="n">
        <f>L2</f>
        <v>0</v>
      </c>
      <c r="EW2" s="196" t="n">
        <f t="shared" ref="EW2:HH3" si="2">M2</f>
        <v>1</v>
      </c>
      <c r="EX2" s="196">
        <f t="shared" si="2"/>
        <v>1</v>
      </c>
      <c r="EY2" s="196">
        <f t="shared" si="2"/>
        <v>1</v>
      </c>
      <c r="EZ2" s="196">
        <f t="shared" si="2"/>
        <v>1</v>
      </c>
      <c r="FA2" s="196">
        <f t="shared" si="2"/>
        <v>1</v>
      </c>
      <c r="FB2" s="196">
        <f t="shared" si="2"/>
        <v>1</v>
      </c>
      <c r="FC2" s="196">
        <f t="shared" si="2"/>
        <v>1</v>
      </c>
      <c r="FD2" s="196">
        <f t="shared" si="2"/>
        <v>1</v>
      </c>
      <c r="FE2" s="196">
        <f t="shared" si="2"/>
        <v>1</v>
      </c>
      <c r="FF2" s="196">
        <f t="shared" si="2"/>
        <v>1</v>
      </c>
      <c r="FG2" s="196">
        <f t="shared" si="2"/>
        <v>1</v>
      </c>
      <c r="FH2" s="196">
        <f t="shared" si="2"/>
        <v>1</v>
      </c>
      <c r="FI2" s="196">
        <f t="shared" si="2"/>
        <v>2</v>
      </c>
      <c r="FJ2" s="196">
        <f t="shared" si="2"/>
        <v>2</v>
      </c>
      <c r="FK2" s="196">
        <f t="shared" si="2"/>
        <v>2</v>
      </c>
      <c r="FL2" s="196">
        <f t="shared" si="2"/>
        <v>2</v>
      </c>
      <c r="FM2" s="196">
        <f t="shared" si="2"/>
        <v>2</v>
      </c>
      <c r="FN2" s="196">
        <f t="shared" si="2"/>
        <v>2</v>
      </c>
      <c r="FO2" s="196">
        <f t="shared" si="2"/>
        <v>2</v>
      </c>
      <c r="FP2" s="196">
        <f t="shared" si="2"/>
        <v>2</v>
      </c>
      <c r="FQ2" s="196">
        <f t="shared" si="2"/>
        <v>2</v>
      </c>
      <c r="FR2" s="196">
        <f t="shared" si="2"/>
        <v>2</v>
      </c>
      <c r="FS2" s="196">
        <f t="shared" si="2"/>
        <v>2</v>
      </c>
      <c r="FT2" s="196">
        <f t="shared" si="2"/>
        <v>2</v>
      </c>
      <c r="FU2" s="196">
        <f t="shared" si="2"/>
        <v>3</v>
      </c>
      <c r="FV2" s="196">
        <f t="shared" si="2"/>
        <v>3</v>
      </c>
      <c r="FW2" s="196">
        <f t="shared" si="2"/>
        <v>3</v>
      </c>
      <c r="FX2" s="196">
        <f t="shared" si="2"/>
        <v>3</v>
      </c>
      <c r="FY2" s="196">
        <f t="shared" si="2"/>
        <v>3</v>
      </c>
      <c r="FZ2" s="196">
        <f t="shared" si="2"/>
        <v>3</v>
      </c>
      <c r="GA2" s="196">
        <f t="shared" si="2"/>
        <v>3</v>
      </c>
      <c r="GB2" s="196">
        <f t="shared" si="2"/>
        <v>3</v>
      </c>
      <c r="GC2" s="196">
        <f t="shared" si="2"/>
        <v>3</v>
      </c>
      <c r="GD2" s="196">
        <f t="shared" si="2"/>
        <v>3</v>
      </c>
      <c r="GE2" s="196">
        <f t="shared" si="2"/>
        <v>3</v>
      </c>
      <c r="GF2" s="196">
        <f t="shared" si="2"/>
        <v>3</v>
      </c>
      <c r="GG2" s="196">
        <f t="shared" si="2"/>
        <v>4</v>
      </c>
      <c r="GH2" s="196">
        <f t="shared" si="2"/>
        <v>4</v>
      </c>
      <c r="GI2" s="196">
        <f t="shared" si="2"/>
        <v>4</v>
      </c>
      <c r="GJ2" s="196">
        <f t="shared" si="2"/>
        <v>4</v>
      </c>
      <c r="GK2" s="196">
        <f t="shared" si="2"/>
        <v>4</v>
      </c>
      <c r="GL2" s="196">
        <f t="shared" si="2"/>
        <v>4</v>
      </c>
      <c r="GM2" s="196">
        <f t="shared" si="2"/>
        <v>4</v>
      </c>
      <c r="GN2" s="196">
        <f t="shared" si="2"/>
        <v>4</v>
      </c>
      <c r="GO2" s="196">
        <f t="shared" si="2"/>
        <v>4</v>
      </c>
      <c r="GP2" s="196">
        <f t="shared" si="2"/>
        <v>4</v>
      </c>
      <c r="GQ2" s="196">
        <f t="shared" si="2"/>
        <v>4</v>
      </c>
      <c r="GR2" s="196">
        <f t="shared" si="2"/>
        <v>4</v>
      </c>
      <c r="GS2" s="196">
        <f t="shared" si="2"/>
        <v>5</v>
      </c>
      <c r="GT2" s="196">
        <f t="shared" si="2"/>
        <v>5</v>
      </c>
      <c r="GU2" s="196">
        <f t="shared" si="2"/>
        <v>5</v>
      </c>
      <c r="GV2" s="196">
        <f t="shared" si="2"/>
        <v>5</v>
      </c>
      <c r="GW2" s="196">
        <f t="shared" si="2"/>
        <v>5</v>
      </c>
      <c r="GX2" s="196">
        <f t="shared" si="2"/>
        <v>5</v>
      </c>
      <c r="GY2" s="196">
        <f t="shared" si="2"/>
        <v>5</v>
      </c>
      <c r="GZ2" s="196">
        <f t="shared" si="2"/>
        <v>5</v>
      </c>
      <c r="HA2" s="196">
        <f t="shared" si="2"/>
        <v>5</v>
      </c>
      <c r="HB2" s="196">
        <f t="shared" si="2"/>
        <v>5</v>
      </c>
      <c r="HC2" s="196">
        <f t="shared" si="2"/>
        <v>5</v>
      </c>
      <c r="HD2" s="196">
        <f t="shared" si="2"/>
        <v>5</v>
      </c>
      <c r="HE2" s="196">
        <f t="shared" si="2"/>
        <v>6</v>
      </c>
      <c r="HF2" s="196">
        <f t="shared" si="2"/>
        <v>6</v>
      </c>
      <c r="HG2" s="196">
        <f t="shared" si="2"/>
        <v>6</v>
      </c>
      <c r="HH2" s="196">
        <f t="shared" si="2"/>
        <v>6</v>
      </c>
      <c r="HI2" s="196" t="n">
        <f t="shared" ref="HI2:IQ3" si="3">BY2</f>
        <v>6</v>
      </c>
      <c r="HJ2" s="196">
        <f t="shared" si="3"/>
        <v>6</v>
      </c>
      <c r="HK2" s="196">
        <f t="shared" si="3"/>
        <v>6</v>
      </c>
      <c r="HL2" s="196">
        <f t="shared" si="3"/>
        <v>6</v>
      </c>
      <c r="HM2" s="196">
        <f t="shared" si="3"/>
        <v>6</v>
      </c>
      <c r="HN2" s="196">
        <f t="shared" si="3"/>
        <v>6</v>
      </c>
      <c r="HO2" s="196">
        <f t="shared" si="3"/>
        <v>6</v>
      </c>
      <c r="HP2" s="196">
        <f t="shared" si="3"/>
        <v>6</v>
      </c>
      <c r="HQ2" s="196">
        <f t="shared" si="3"/>
        <v>7</v>
      </c>
      <c r="HR2" s="196">
        <f t="shared" si="3"/>
        <v>7</v>
      </c>
      <c r="HS2" s="196">
        <f t="shared" si="3"/>
        <v>7</v>
      </c>
      <c r="HT2" s="196">
        <f t="shared" si="3"/>
        <v>7</v>
      </c>
      <c r="HU2" s="196">
        <f t="shared" si="3"/>
        <v>7</v>
      </c>
      <c r="HV2" s="196">
        <f t="shared" si="3"/>
        <v>7</v>
      </c>
      <c r="HW2" s="196">
        <f t="shared" si="3"/>
        <v>7</v>
      </c>
      <c r="HX2" s="196">
        <f t="shared" si="3"/>
        <v>7</v>
      </c>
      <c r="HY2" s="196">
        <f t="shared" si="3"/>
        <v>7</v>
      </c>
      <c r="HZ2" s="196">
        <f t="shared" si="3"/>
        <v>7</v>
      </c>
      <c r="IA2" s="196">
        <f t="shared" si="3"/>
        <v>7</v>
      </c>
      <c r="IB2" s="196">
        <f t="shared" si="3"/>
        <v>7</v>
      </c>
      <c r="IC2" s="196">
        <f t="shared" si="3"/>
        <v>8</v>
      </c>
      <c r="ID2" s="196">
        <f t="shared" si="3"/>
        <v>8</v>
      </c>
      <c r="IE2" s="196">
        <f t="shared" si="3"/>
        <v>8</v>
      </c>
      <c r="IF2" s="196">
        <f t="shared" si="3"/>
        <v>8</v>
      </c>
      <c r="IG2" s="196">
        <f t="shared" si="3"/>
        <v>8</v>
      </c>
      <c r="IH2" s="196">
        <f t="shared" si="3"/>
        <v>8</v>
      </c>
      <c r="II2" s="196">
        <f t="shared" si="3"/>
        <v>8</v>
      </c>
      <c r="IJ2" s="196">
        <f t="shared" si="3"/>
        <v>8</v>
      </c>
      <c r="IK2" s="196">
        <f t="shared" si="3"/>
        <v>8</v>
      </c>
      <c r="IL2" s="196">
        <f t="shared" si="3"/>
        <v>8</v>
      </c>
      <c r="IM2" s="196">
        <f t="shared" si="3"/>
        <v>8</v>
      </c>
      <c r="IN2" s="196">
        <f t="shared" si="3"/>
        <v>8</v>
      </c>
      <c r="IO2" s="196">
        <f t="shared" si="3"/>
        <v>9</v>
      </c>
      <c r="IP2" s="196">
        <f t="shared" si="3"/>
        <v>9</v>
      </c>
      <c r="IQ2" s="196">
        <f t="shared" si="3"/>
        <v>9</v>
      </c>
      <c r="IR2" s="196" t="n">
        <f t="shared" ref="IR2:JA3" si="4">DH2</f>
        <v>9</v>
      </c>
      <c r="IS2" s="196">
        <f t="shared" si="4"/>
        <v>9</v>
      </c>
      <c r="IT2" s="196">
        <f t="shared" si="4"/>
        <v>9</v>
      </c>
      <c r="IU2" s="196">
        <f t="shared" si="4"/>
        <v>9</v>
      </c>
      <c r="IV2" s="196">
        <f t="shared" si="4"/>
        <v>9</v>
      </c>
      <c r="IW2" s="196">
        <f t="shared" si="4"/>
        <v>9</v>
      </c>
      <c r="IX2" s="196">
        <f t="shared" si="4"/>
        <v>9</v>
      </c>
      <c r="IY2" s="196">
        <f t="shared" si="4"/>
        <v>9</v>
      </c>
      <c r="IZ2" s="196">
        <f t="shared" si="4"/>
        <v>9</v>
      </c>
      <c r="JA2" s="196">
        <f t="shared" si="4"/>
        <v>10</v>
      </c>
      <c r="JB2" s="196" t="n">
        <f t="shared" ref="JB2:JK3" si="5">DR2</f>
        <v>10</v>
      </c>
      <c r="JC2" s="196">
        <f t="shared" si="5"/>
        <v>10</v>
      </c>
      <c r="JD2" s="196">
        <f t="shared" si="5"/>
        <v>10</v>
      </c>
      <c r="JE2" s="196">
        <f t="shared" si="5"/>
        <v>10</v>
      </c>
      <c r="JF2" s="196">
        <f t="shared" si="5"/>
        <v>10</v>
      </c>
      <c r="JG2" s="196">
        <f t="shared" si="5"/>
        <v>10</v>
      </c>
      <c r="JH2" s="196">
        <f t="shared" si="5"/>
        <v>10</v>
      </c>
      <c r="JI2" s="196">
        <f t="shared" si="5"/>
        <v>10</v>
      </c>
      <c r="JJ2" s="196">
        <f t="shared" si="5"/>
        <v>10</v>
      </c>
      <c r="JK2" s="196">
        <f t="shared" si="5"/>
        <v>10</v>
      </c>
      <c r="JL2" s="196" t="n">
        <f t="shared" ref="JL2:JU3" si="6">EB2</f>
        <v>10</v>
      </c>
      <c r="JM2" s="196">
        <f t="shared" si="6"/>
        <v>11</v>
      </c>
      <c r="JN2" s="196">
        <f t="shared" si="6"/>
        <v>11</v>
      </c>
      <c r="JO2" s="196">
        <f t="shared" si="6"/>
        <v>11</v>
      </c>
      <c r="JP2" s="196">
        <f t="shared" si="6"/>
        <v>11</v>
      </c>
      <c r="JQ2" s="196">
        <f t="shared" si="6"/>
        <v>11</v>
      </c>
      <c r="JR2" s="196">
        <f t="shared" si="6"/>
        <v>11</v>
      </c>
      <c r="JS2" s="196">
        <f t="shared" si="6"/>
        <v>11</v>
      </c>
      <c r="JT2" s="196">
        <f t="shared" si="6"/>
        <v>11</v>
      </c>
      <c r="JU2" s="196">
        <f t="shared" si="6"/>
        <v>11</v>
      </c>
      <c r="JV2" s="196" t="n">
        <f t="shared" ref="JV2:JX3" si="7">EL2</f>
        <v>11</v>
      </c>
      <c r="JW2" s="196">
        <f t="shared" si="7"/>
        <v>11</v>
      </c>
      <c r="JX2" s="196">
        <f t="shared" si="7"/>
        <v>11</v>
      </c>
      <c r="JZ2" s="263"/>
      <c r="KA2" s="263"/>
      <c r="KB2" s="263"/>
      <c r="KC2" s="263"/>
      <c r="KD2" s="263"/>
      <c r="KE2" s="263"/>
      <c r="KF2" s="196" t="n">
        <f>EV2</f>
        <v>0</v>
      </c>
      <c r="KG2" s="196" t="n">
        <f t="shared" ref="KG2:KG3" si="8">EW2</f>
        <v>1</v>
      </c>
      <c r="KH2" s="196" t="n">
        <f t="shared" ref="KH2:KH3" si="9">EX2</f>
        <v>1</v>
      </c>
      <c r="KI2" s="196" t="n">
        <f t="shared" ref="KI2:KI3" si="10">EY2</f>
        <v>1</v>
      </c>
      <c r="KJ2" s="196" t="n">
        <f t="shared" ref="KJ2:KJ3" si="11">EZ2</f>
        <v>1</v>
      </c>
      <c r="KK2" s="196" t="n">
        <f t="shared" ref="KK2:KK3" si="12">FA2</f>
        <v>1</v>
      </c>
      <c r="KL2" s="196" t="n">
        <f t="shared" ref="KL2:KL3" si="13">FB2</f>
        <v>1</v>
      </c>
      <c r="KM2" s="196" t="n">
        <f t="shared" ref="KM2:KM3" si="14">FC2</f>
        <v>1</v>
      </c>
      <c r="KN2" s="196" t="n">
        <f t="shared" ref="KN2:KN3" si="15">FD2</f>
        <v>1</v>
      </c>
      <c r="KO2" s="196" t="n">
        <f t="shared" ref="KO2:KO3" si="16">FE2</f>
        <v>1</v>
      </c>
      <c r="KP2" s="196" t="n">
        <f t="shared" ref="KP2:KP3" si="17">FF2</f>
        <v>1</v>
      </c>
      <c r="KQ2" s="196" t="n">
        <f t="shared" ref="KQ2:KQ3" si="18">FG2</f>
        <v>1</v>
      </c>
      <c r="KR2" s="196" t="n">
        <f t="shared" ref="KR2:KR3" si="19">FH2</f>
        <v>1</v>
      </c>
      <c r="KS2" s="196" t="n">
        <f t="shared" ref="KS2:KS3" si="20">FI2</f>
        <v>2</v>
      </c>
      <c r="KT2" s="196" t="n">
        <f t="shared" ref="KT2:KT3" si="21">FJ2</f>
        <v>2</v>
      </c>
      <c r="KU2" s="196" t="n">
        <f t="shared" ref="KU2:KU3" si="22">FK2</f>
        <v>2</v>
      </c>
      <c r="KV2" s="196" t="n">
        <f t="shared" ref="KV2:KV3" si="23">FL2</f>
        <v>2</v>
      </c>
      <c r="KW2" s="196" t="n">
        <f t="shared" ref="KW2:KW3" si="24">FM2</f>
        <v>2</v>
      </c>
      <c r="KX2" s="196" t="n">
        <f t="shared" ref="KX2:KX3" si="25">FN2</f>
        <v>2</v>
      </c>
      <c r="KY2" s="196" t="n">
        <f t="shared" ref="KY2:KY3" si="26">FO2</f>
        <v>2</v>
      </c>
      <c r="KZ2" s="196" t="n">
        <f t="shared" ref="KZ2:KZ3" si="27">FP2</f>
        <v>2</v>
      </c>
      <c r="LA2" s="196" t="n">
        <f t="shared" ref="LA2:LA3" si="28">FQ2</f>
        <v>2</v>
      </c>
      <c r="LB2" s="196" t="n">
        <f t="shared" ref="LB2:LB3" si="29">FR2</f>
        <v>2</v>
      </c>
      <c r="LC2" s="196" t="n">
        <f t="shared" ref="LC2:LC3" si="30">FS2</f>
        <v>2</v>
      </c>
      <c r="LD2" s="196" t="n">
        <f t="shared" ref="LD2:LD3" si="31">FT2</f>
        <v>2</v>
      </c>
      <c r="LE2" s="196" t="n">
        <f t="shared" ref="LE2:LE3" si="32">FU2</f>
        <v>3</v>
      </c>
      <c r="LF2" s="196" t="n">
        <f t="shared" ref="LF2:LF3" si="33">FV2</f>
        <v>3</v>
      </c>
      <c r="LG2" s="196" t="n">
        <f t="shared" ref="LG2:LG3" si="34">FW2</f>
        <v>3</v>
      </c>
      <c r="LH2" s="196" t="n">
        <f t="shared" ref="LH2:LH3" si="35">FX2</f>
        <v>3</v>
      </c>
      <c r="LI2" s="196" t="n">
        <f t="shared" ref="LI2:LI3" si="36">FY2</f>
        <v>3</v>
      </c>
      <c r="LJ2" s="196" t="n">
        <f t="shared" ref="LJ2:LJ3" si="37">FZ2</f>
        <v>3</v>
      </c>
      <c r="LK2" s="196" t="n">
        <f t="shared" ref="LK2:LK3" si="38">GA2</f>
        <v>3</v>
      </c>
      <c r="LL2" s="196" t="n">
        <f t="shared" ref="LL2:LL3" si="39">GB2</f>
        <v>3</v>
      </c>
      <c r="LM2" s="196" t="n">
        <f t="shared" ref="LM2:LM3" si="40">GC2</f>
        <v>3</v>
      </c>
      <c r="LN2" s="196" t="n">
        <f t="shared" ref="LN2:LN3" si="41">GD2</f>
        <v>3</v>
      </c>
      <c r="LO2" s="196" t="n">
        <f t="shared" ref="LO2:LO3" si="42">GE2</f>
        <v>3</v>
      </c>
      <c r="LP2" s="196" t="n">
        <f t="shared" ref="LP2:LP3" si="43">GF2</f>
        <v>3</v>
      </c>
      <c r="LQ2" s="196" t="n">
        <f t="shared" ref="LQ2:LQ3" si="44">GG2</f>
        <v>4</v>
      </c>
      <c r="LR2" s="196" t="n">
        <f t="shared" ref="LR2:LR3" si="45">GH2</f>
        <v>4</v>
      </c>
      <c r="LS2" s="196" t="n">
        <f t="shared" ref="LS2:LS3" si="46">GI2</f>
        <v>4</v>
      </c>
      <c r="LT2" s="196" t="n">
        <f t="shared" ref="LT2:LT3" si="47">GJ2</f>
        <v>4</v>
      </c>
      <c r="LU2" s="196" t="n">
        <f t="shared" ref="LU2:LU3" si="48">GK2</f>
        <v>4</v>
      </c>
      <c r="LV2" s="196" t="n">
        <f t="shared" ref="LV2:LV3" si="49">GL2</f>
        <v>4</v>
      </c>
      <c r="LW2" s="196" t="n">
        <f t="shared" ref="LW2:LW3" si="50">GM2</f>
        <v>4</v>
      </c>
      <c r="LX2" s="196" t="n">
        <f t="shared" ref="LX2:LX3" si="51">GN2</f>
        <v>4</v>
      </c>
      <c r="LY2" s="196" t="n">
        <f t="shared" ref="LY2:LY3" si="52">GO2</f>
        <v>4</v>
      </c>
      <c r="LZ2" s="196" t="n">
        <f t="shared" ref="LZ2:LZ3" si="53">GP2</f>
        <v>4</v>
      </c>
      <c r="MA2" s="196" t="n">
        <f t="shared" ref="MA2:MA3" si="54">GQ2</f>
        <v>4</v>
      </c>
      <c r="MB2" s="196" t="n">
        <f t="shared" ref="MB2:MB3" si="55">GR2</f>
        <v>4</v>
      </c>
      <c r="MC2" s="196" t="n">
        <f t="shared" ref="MC2:MC3" si="56">GS2</f>
        <v>5</v>
      </c>
      <c r="MD2" s="196" t="n">
        <f t="shared" ref="MD2:MD3" si="57">GT2</f>
        <v>5</v>
      </c>
      <c r="ME2" s="196" t="n">
        <f t="shared" ref="ME2:ME3" si="58">GU2</f>
        <v>5</v>
      </c>
      <c r="MF2" s="196" t="n">
        <f t="shared" ref="MF2:MF3" si="59">GV2</f>
        <v>5</v>
      </c>
      <c r="MG2" s="196" t="n">
        <f t="shared" ref="MG2:MG3" si="60">GW2</f>
        <v>5</v>
      </c>
      <c r="MH2" s="196" t="n">
        <f t="shared" ref="MH2:MH3" si="61">GX2</f>
        <v>5</v>
      </c>
      <c r="MI2" s="196" t="n">
        <f t="shared" ref="MI2:MI3" si="62">GY2</f>
        <v>5</v>
      </c>
      <c r="MJ2" s="196" t="n">
        <f t="shared" ref="MJ2:MJ3" si="63">GZ2</f>
        <v>5</v>
      </c>
      <c r="MK2" s="196" t="n">
        <f t="shared" ref="MK2:MK3" si="64">HA2</f>
        <v>5</v>
      </c>
      <c r="ML2" s="196" t="n">
        <f t="shared" ref="ML2:ML3" si="65">HB2</f>
        <v>5</v>
      </c>
      <c r="MM2" s="196" t="n">
        <f t="shared" ref="MM2:MM3" si="66">HC2</f>
        <v>5</v>
      </c>
      <c r="MN2" s="196" t="n">
        <f t="shared" ref="MN2:MN3" si="67">HD2</f>
        <v>5</v>
      </c>
      <c r="MO2" s="196" t="n">
        <f t="shared" ref="MO2:MO3" si="68">HE2</f>
        <v>6</v>
      </c>
      <c r="MP2" s="196" t="n">
        <f t="shared" ref="MP2:MP3" si="69">HF2</f>
        <v>6</v>
      </c>
      <c r="MQ2" s="196" t="n">
        <f t="shared" ref="MQ2:MQ3" si="70">HG2</f>
        <v>6</v>
      </c>
      <c r="MR2" s="196" t="n">
        <f t="shared" ref="MR2:MR3" si="71">HH2</f>
        <v>6</v>
      </c>
      <c r="MS2" s="196" t="n">
        <f t="shared" ref="MS2:MS3" si="72">HI2</f>
        <v>6</v>
      </c>
      <c r="MT2" s="196" t="n">
        <f t="shared" ref="MT2:MT3" si="73">HJ2</f>
        <v>6</v>
      </c>
      <c r="MU2" s="196" t="n">
        <f t="shared" ref="MU2:MU3" si="74">HK2</f>
        <v>6</v>
      </c>
      <c r="MV2" s="196" t="n">
        <f t="shared" ref="MV2:MV3" si="75">HL2</f>
        <v>6</v>
      </c>
      <c r="MW2" s="196" t="n">
        <f t="shared" ref="MW2:MW3" si="76">HM2</f>
        <v>6</v>
      </c>
      <c r="MX2" s="196" t="n">
        <f t="shared" ref="MX2:MX3" si="77">HN2</f>
        <v>6</v>
      </c>
      <c r="MY2" s="196" t="n">
        <f t="shared" ref="MY2:MY3" si="78">HO2</f>
        <v>6</v>
      </c>
      <c r="MZ2" s="196" t="n">
        <f t="shared" ref="MZ2:MZ3" si="79">HP2</f>
        <v>6</v>
      </c>
      <c r="NA2" s="196" t="n">
        <f t="shared" ref="NA2:NA3" si="80">HQ2</f>
        <v>7</v>
      </c>
      <c r="NB2" s="196" t="n">
        <f t="shared" ref="NB2:NB3" si="81">HR2</f>
        <v>7</v>
      </c>
      <c r="NC2" s="196" t="n">
        <f t="shared" ref="NC2:NC3" si="82">HS2</f>
        <v>7</v>
      </c>
      <c r="ND2" s="196" t="n">
        <f t="shared" ref="ND2:ND3" si="83">HT2</f>
        <v>7</v>
      </c>
      <c r="NE2" s="196" t="n">
        <f t="shared" ref="NE2:NE3" si="84">HU2</f>
        <v>7</v>
      </c>
      <c r="NF2" s="196" t="n">
        <f t="shared" ref="NF2:NF3" si="85">HV2</f>
        <v>7</v>
      </c>
      <c r="NG2" s="196" t="n">
        <f t="shared" ref="NG2:NG3" si="86">HW2</f>
        <v>7</v>
      </c>
      <c r="NH2" s="196" t="n">
        <f t="shared" ref="NH2:NH3" si="87">HX2</f>
        <v>7</v>
      </c>
      <c r="NI2" s="196" t="n">
        <f t="shared" ref="NI2:NI3" si="88">HY2</f>
        <v>7</v>
      </c>
      <c r="NJ2" s="196" t="n">
        <f t="shared" ref="NJ2:NJ3" si="89">HZ2</f>
        <v>7</v>
      </c>
      <c r="NK2" s="196" t="n">
        <f t="shared" ref="NK2:NK3" si="90">IA2</f>
        <v>7</v>
      </c>
      <c r="NL2" s="196" t="n">
        <f t="shared" ref="NL2:NL3" si="91">IB2</f>
        <v>7</v>
      </c>
      <c r="NM2" s="196" t="n">
        <f t="shared" ref="NM2:NM3" si="92">IC2</f>
        <v>8</v>
      </c>
      <c r="NN2" s="196" t="n">
        <f t="shared" ref="NN2:NN3" si="93">ID2</f>
        <v>8</v>
      </c>
      <c r="NO2" s="196" t="n">
        <f t="shared" ref="NO2:NO3" si="94">IE2</f>
        <v>8</v>
      </c>
      <c r="NP2" s="196" t="n">
        <f t="shared" ref="NP2:NP3" si="95">IF2</f>
        <v>8</v>
      </c>
      <c r="NQ2" s="196" t="n">
        <f t="shared" ref="NQ2:NQ3" si="96">IG2</f>
        <v>8</v>
      </c>
      <c r="NR2" s="196" t="n">
        <f t="shared" ref="NR2:NR3" si="97">IH2</f>
        <v>8</v>
      </c>
      <c r="NS2" s="196" t="n">
        <f t="shared" ref="NS2:NS3" si="98">II2</f>
        <v>8</v>
      </c>
      <c r="NT2" s="196" t="n">
        <f t="shared" ref="NT2:NT3" si="99">IJ2</f>
        <v>8</v>
      </c>
      <c r="NU2" s="196" t="n">
        <f t="shared" ref="NU2:NU3" si="100">IK2</f>
        <v>8</v>
      </c>
      <c r="NV2" s="196" t="n">
        <f t="shared" ref="NV2:NV3" si="101">IL2</f>
        <v>8</v>
      </c>
      <c r="NW2" s="196" t="n">
        <f t="shared" ref="NW2:NW3" si="102">IM2</f>
        <v>8</v>
      </c>
      <c r="NX2" s="196" t="n">
        <f t="shared" ref="NX2:NX3" si="103">IN2</f>
        <v>8</v>
      </c>
      <c r="NY2" s="196" t="n">
        <f t="shared" ref="NY2:NY3" si="104">IO2</f>
        <v>9</v>
      </c>
      <c r="NZ2" s="196" t="n">
        <f t="shared" ref="NZ2:NZ3" si="105">IP2</f>
        <v>9</v>
      </c>
      <c r="OA2" s="196" t="n">
        <f t="shared" ref="OA2:OA3" si="106">IQ2</f>
        <v>9</v>
      </c>
      <c r="OB2" s="196" t="n">
        <f t="shared" ref="OB2:OB3" si="107">IR2</f>
        <v>9</v>
      </c>
      <c r="OC2" s="196" t="n">
        <f t="shared" ref="OC2:OC3" si="108">IS2</f>
        <v>9</v>
      </c>
      <c r="OD2" s="196" t="n">
        <f t="shared" ref="OD2:OD3" si="109">IT2</f>
        <v>9</v>
      </c>
      <c r="OE2" s="196" t="n">
        <f t="shared" ref="OE2:OE3" si="110">IU2</f>
        <v>9</v>
      </c>
      <c r="OF2" s="196" t="n">
        <f t="shared" ref="OF2:OF3" si="111">IV2</f>
        <v>9</v>
      </c>
      <c r="OG2" s="196" t="n">
        <f t="shared" ref="OG2:OG3" si="112">IW2</f>
        <v>9</v>
      </c>
      <c r="OH2" s="196" t="n">
        <f t="shared" ref="OH2:OH3" si="113">IX2</f>
        <v>9</v>
      </c>
      <c r="OI2" s="196" t="n">
        <f t="shared" ref="OI2:OI3" si="114">IY2</f>
        <v>9</v>
      </c>
      <c r="OJ2" s="196" t="n">
        <f t="shared" ref="OJ2:OJ3" si="115">IZ2</f>
        <v>9</v>
      </c>
      <c r="OK2" s="196" t="n">
        <f t="shared" ref="OK2:OK3" si="116">JA2</f>
        <v>10</v>
      </c>
      <c r="OL2" s="196" t="n">
        <f t="shared" ref="OL2:OL3" si="117">JB2</f>
        <v>10</v>
      </c>
      <c r="OM2" s="196" t="n">
        <f t="shared" ref="OM2:OM3" si="118">JC2</f>
        <v>10</v>
      </c>
      <c r="ON2" s="196" t="n">
        <f t="shared" ref="ON2:ON3" si="119">JD2</f>
        <v>10</v>
      </c>
      <c r="OO2" s="196" t="n">
        <f t="shared" ref="OO2:OO3" si="120">JE2</f>
        <v>10</v>
      </c>
      <c r="OP2" s="196" t="n">
        <f t="shared" ref="OP2:OP3" si="121">JF2</f>
        <v>10</v>
      </c>
      <c r="OQ2" s="196" t="n">
        <f t="shared" ref="OQ2:OQ3" si="122">JG2</f>
        <v>10</v>
      </c>
      <c r="OR2" s="196" t="n">
        <f t="shared" ref="OR2:OR3" si="123">JH2</f>
        <v>10</v>
      </c>
      <c r="OS2" s="196" t="n">
        <f t="shared" ref="OS2:OS3" si="124">JI2</f>
        <v>10</v>
      </c>
      <c r="OT2" s="196" t="n">
        <f t="shared" ref="OT2:OT3" si="125">JJ2</f>
        <v>10</v>
      </c>
      <c r="OU2" s="196" t="n">
        <f t="shared" ref="OU2:OU3" si="126">JK2</f>
        <v>10</v>
      </c>
      <c r="OV2" s="196" t="n">
        <f t="shared" ref="OV2:OV3" si="127">JL2</f>
        <v>10</v>
      </c>
      <c r="OW2" s="196" t="n">
        <f t="shared" ref="OW2:OW3" si="128">JM2</f>
        <v>11</v>
      </c>
      <c r="OX2" s="196" t="n">
        <f t="shared" ref="OX2:OX3" si="129">JN2</f>
        <v>11</v>
      </c>
      <c r="OY2" s="196" t="n">
        <f t="shared" ref="OY2:OY3" si="130">JO2</f>
        <v>11</v>
      </c>
      <c r="OZ2" s="196" t="n">
        <f t="shared" ref="OZ2:OZ3" si="131">JP2</f>
        <v>11</v>
      </c>
      <c r="PA2" s="196" t="n">
        <f t="shared" ref="PA2:PA3" si="132">JQ2</f>
        <v>11</v>
      </c>
      <c r="PB2" s="196" t="n">
        <f t="shared" ref="PB2:PB3" si="133">JR2</f>
        <v>11</v>
      </c>
      <c r="PC2" s="196" t="n">
        <f t="shared" ref="PC2:PC3" si="134">JS2</f>
        <v>11</v>
      </c>
      <c r="PD2" s="196" t="n">
        <f t="shared" ref="PD2:PD3" si="135">JT2</f>
        <v>11</v>
      </c>
      <c r="PE2" s="196" t="n">
        <f t="shared" ref="PE2:PE3" si="136">JU2</f>
        <v>11</v>
      </c>
      <c r="PF2" s="196" t="n">
        <f t="shared" ref="PF2:PF3" si="137">JV2</f>
        <v>11</v>
      </c>
      <c r="PG2" s="196" t="n">
        <f t="shared" ref="PG2:PG3" si="138">JW2</f>
        <v>11</v>
      </c>
      <c r="PH2" s="196" t="n">
        <f t="shared" ref="PH2:PH3" si="139">JX2</f>
        <v>11</v>
      </c>
    </row>
    <row r="3">
      <c r="B3"/>
      <c r="C3"/>
      <c r="D3"/>
      <c r="E3"/>
      <c r="F3"/>
      <c r="G3"/>
      <c r="H3"/>
      <c r="I3"/>
      <c r="J3" s="378"/>
      <c r="K3" s="378" t="s">
        <v>89</v>
      </c>
      <c r="L3" s="197">
        <v>0</v>
      </c>
      <c r="M3" s="197" t="n">
        <f>L3+1</f>
        <v>1</v>
      </c>
      <c r="N3" s="197" t="n">
        <f t="shared" ref="N3:BY3" si="140">M3+1</f>
        <v>2</v>
      </c>
      <c r="O3" s="197">
        <f t="shared" si="140"/>
        <v>3</v>
      </c>
      <c r="P3" s="197">
        <f t="shared" si="140"/>
        <v>4</v>
      </c>
      <c r="Q3" s="197">
        <f t="shared" si="140"/>
        <v>5</v>
      </c>
      <c r="R3" s="197">
        <f t="shared" si="140"/>
        <v>6</v>
      </c>
      <c r="S3" s="197">
        <f t="shared" si="140"/>
        <v>7</v>
      </c>
      <c r="T3" s="197">
        <f t="shared" si="140"/>
        <v>8</v>
      </c>
      <c r="U3" s="197">
        <f t="shared" si="140"/>
        <v>9</v>
      </c>
      <c r="V3" s="197">
        <f t="shared" si="140"/>
        <v>10</v>
      </c>
      <c r="W3" s="197">
        <f t="shared" si="140"/>
        <v>11</v>
      </c>
      <c r="X3" s="197">
        <f t="shared" si="140"/>
        <v>12</v>
      </c>
      <c r="Y3" s="197">
        <f t="shared" si="140"/>
        <v>13</v>
      </c>
      <c r="Z3" s="197">
        <f t="shared" si="140"/>
        <v>14</v>
      </c>
      <c r="AA3" s="197">
        <f t="shared" si="140"/>
        <v>15</v>
      </c>
      <c r="AB3" s="197">
        <f t="shared" si="140"/>
        <v>16</v>
      </c>
      <c r="AC3" s="197">
        <f t="shared" si="140"/>
        <v>17</v>
      </c>
      <c r="AD3" s="197">
        <f t="shared" si="140"/>
        <v>18</v>
      </c>
      <c r="AE3" s="197">
        <f t="shared" si="140"/>
        <v>19</v>
      </c>
      <c r="AF3" s="197">
        <f t="shared" si="140"/>
        <v>20</v>
      </c>
      <c r="AG3" s="197">
        <f t="shared" si="140"/>
        <v>21</v>
      </c>
      <c r="AH3" s="197">
        <f t="shared" si="140"/>
        <v>22</v>
      </c>
      <c r="AI3" s="197">
        <f t="shared" si="140"/>
        <v>23</v>
      </c>
      <c r="AJ3" s="197">
        <f t="shared" si="140"/>
        <v>24</v>
      </c>
      <c r="AK3" s="197">
        <f t="shared" si="140"/>
        <v>25</v>
      </c>
      <c r="AL3" s="197">
        <f t="shared" si="140"/>
        <v>26</v>
      </c>
      <c r="AM3" s="197">
        <f t="shared" si="140"/>
        <v>27</v>
      </c>
      <c r="AN3" s="197">
        <f t="shared" si="140"/>
        <v>28</v>
      </c>
      <c r="AO3" s="197">
        <f t="shared" si="140"/>
        <v>29</v>
      </c>
      <c r="AP3" s="197">
        <f t="shared" si="140"/>
        <v>30</v>
      </c>
      <c r="AQ3" s="197">
        <f t="shared" si="140"/>
        <v>31</v>
      </c>
      <c r="AR3" s="197">
        <f t="shared" si="140"/>
        <v>32</v>
      </c>
      <c r="AS3" s="197">
        <f t="shared" si="140"/>
        <v>33</v>
      </c>
      <c r="AT3" s="197">
        <f t="shared" si="140"/>
        <v>34</v>
      </c>
      <c r="AU3" s="197">
        <f t="shared" si="140"/>
        <v>35</v>
      </c>
      <c r="AV3" s="197">
        <f t="shared" si="140"/>
        <v>36</v>
      </c>
      <c r="AW3" s="197">
        <f t="shared" si="140"/>
        <v>37</v>
      </c>
      <c r="AX3" s="197">
        <f t="shared" si="140"/>
        <v>38</v>
      </c>
      <c r="AY3" s="197">
        <f t="shared" si="140"/>
        <v>39</v>
      </c>
      <c r="AZ3" s="197">
        <f t="shared" si="140"/>
        <v>40</v>
      </c>
      <c r="BA3" s="197">
        <f t="shared" si="140"/>
        <v>41</v>
      </c>
      <c r="BB3" s="197">
        <f t="shared" si="140"/>
        <v>42</v>
      </c>
      <c r="BC3" s="197">
        <f t="shared" si="140"/>
        <v>43</v>
      </c>
      <c r="BD3" s="197">
        <f t="shared" si="140"/>
        <v>44</v>
      </c>
      <c r="BE3" s="197">
        <f t="shared" si="140"/>
        <v>45</v>
      </c>
      <c r="BF3" s="197">
        <f t="shared" si="140"/>
        <v>46</v>
      </c>
      <c r="BG3" s="197">
        <f t="shared" si="140"/>
        <v>47</v>
      </c>
      <c r="BH3" s="197">
        <f t="shared" si="140"/>
        <v>48</v>
      </c>
      <c r="BI3" s="197">
        <f t="shared" si="140"/>
        <v>49</v>
      </c>
      <c r="BJ3" s="197">
        <f t="shared" si="140"/>
        <v>50</v>
      </c>
      <c r="BK3" s="197">
        <f t="shared" si="140"/>
        <v>51</v>
      </c>
      <c r="BL3" s="197">
        <f t="shared" si="140"/>
        <v>52</v>
      </c>
      <c r="BM3" s="197">
        <f t="shared" si="140"/>
        <v>53</v>
      </c>
      <c r="BN3" s="197">
        <f t="shared" si="140"/>
        <v>54</v>
      </c>
      <c r="BO3" s="197">
        <f t="shared" si="140"/>
        <v>55</v>
      </c>
      <c r="BP3" s="197">
        <f t="shared" si="140"/>
        <v>56</v>
      </c>
      <c r="BQ3" s="197">
        <f t="shared" si="140"/>
        <v>57</v>
      </c>
      <c r="BR3" s="197">
        <f t="shared" si="140"/>
        <v>58</v>
      </c>
      <c r="BS3" s="197">
        <f t="shared" si="140"/>
        <v>59</v>
      </c>
      <c r="BT3" s="197">
        <f t="shared" si="140"/>
        <v>60</v>
      </c>
      <c r="BU3" s="197">
        <f t="shared" si="140"/>
        <v>61</v>
      </c>
      <c r="BV3" s="197">
        <f t="shared" si="140"/>
        <v>62</v>
      </c>
      <c r="BW3" s="197">
        <f t="shared" si="140"/>
        <v>63</v>
      </c>
      <c r="BX3" s="197">
        <f t="shared" si="140"/>
        <v>64</v>
      </c>
      <c r="BY3" s="197">
        <f t="shared" si="140"/>
        <v>65</v>
      </c>
      <c r="BZ3" s="197" t="n">
        <f t="shared" ref="BZ3:EK3" si="141">BY3+1</f>
        <v>66</v>
      </c>
      <c r="CA3" s="197">
        <f t="shared" si="141"/>
        <v>67</v>
      </c>
      <c r="CB3" s="197">
        <f t="shared" si="141"/>
        <v>68</v>
      </c>
      <c r="CC3" s="197">
        <f t="shared" si="141"/>
        <v>69</v>
      </c>
      <c r="CD3" s="197">
        <f t="shared" si="141"/>
        <v>70</v>
      </c>
      <c r="CE3" s="197">
        <f t="shared" si="141"/>
        <v>71</v>
      </c>
      <c r="CF3" s="197">
        <f t="shared" si="141"/>
        <v>72</v>
      </c>
      <c r="CG3" s="197">
        <f t="shared" si="141"/>
        <v>73</v>
      </c>
      <c r="CH3" s="197">
        <f t="shared" si="141"/>
        <v>74</v>
      </c>
      <c r="CI3" s="197">
        <f t="shared" si="141"/>
        <v>75</v>
      </c>
      <c r="CJ3" s="197">
        <f t="shared" si="141"/>
        <v>76</v>
      </c>
      <c r="CK3" s="197">
        <f t="shared" si="141"/>
        <v>77</v>
      </c>
      <c r="CL3" s="197">
        <f t="shared" si="141"/>
        <v>78</v>
      </c>
      <c r="CM3" s="197">
        <f t="shared" si="141"/>
        <v>79</v>
      </c>
      <c r="CN3" s="197">
        <f t="shared" si="141"/>
        <v>80</v>
      </c>
      <c r="CO3" s="197">
        <f t="shared" si="141"/>
        <v>81</v>
      </c>
      <c r="CP3" s="197">
        <f t="shared" si="141"/>
        <v>82</v>
      </c>
      <c r="CQ3" s="197">
        <f t="shared" si="141"/>
        <v>83</v>
      </c>
      <c r="CR3" s="197">
        <f t="shared" si="141"/>
        <v>84</v>
      </c>
      <c r="CS3" s="197">
        <f t="shared" si="141"/>
        <v>85</v>
      </c>
      <c r="CT3" s="197">
        <f t="shared" si="141"/>
        <v>86</v>
      </c>
      <c r="CU3" s="197">
        <f t="shared" si="141"/>
        <v>87</v>
      </c>
      <c r="CV3" s="197">
        <f t="shared" si="141"/>
        <v>88</v>
      </c>
      <c r="CW3" s="197">
        <f t="shared" si="141"/>
        <v>89</v>
      </c>
      <c r="CX3" s="197">
        <f t="shared" si="141"/>
        <v>90</v>
      </c>
      <c r="CY3" s="197">
        <f t="shared" si="141"/>
        <v>91</v>
      </c>
      <c r="CZ3" s="197">
        <f t="shared" si="141"/>
        <v>92</v>
      </c>
      <c r="DA3" s="197">
        <f t="shared" si="141"/>
        <v>93</v>
      </c>
      <c r="DB3" s="197">
        <f t="shared" si="141"/>
        <v>94</v>
      </c>
      <c r="DC3" s="197">
        <f t="shared" si="141"/>
        <v>95</v>
      </c>
      <c r="DD3" s="197">
        <f t="shared" si="141"/>
        <v>96</v>
      </c>
      <c r="DE3" s="197">
        <f t="shared" si="141"/>
        <v>97</v>
      </c>
      <c r="DF3" s="197">
        <f t="shared" si="141"/>
        <v>98</v>
      </c>
      <c r="DG3" s="197">
        <f t="shared" si="141"/>
        <v>99</v>
      </c>
      <c r="DH3" s="197">
        <f t="shared" si="141"/>
        <v>100</v>
      </c>
      <c r="DI3" s="197">
        <f t="shared" si="141"/>
        <v>101</v>
      </c>
      <c r="DJ3" s="197">
        <f t="shared" si="141"/>
        <v>102</v>
      </c>
      <c r="DK3" s="197">
        <f t="shared" si="141"/>
        <v>103</v>
      </c>
      <c r="DL3" s="197">
        <f t="shared" si="141"/>
        <v>104</v>
      </c>
      <c r="DM3" s="197">
        <f t="shared" si="141"/>
        <v>105</v>
      </c>
      <c r="DN3" s="197">
        <f t="shared" si="141"/>
        <v>106</v>
      </c>
      <c r="DO3" s="197">
        <f t="shared" si="141"/>
        <v>107</v>
      </c>
      <c r="DP3" s="197">
        <f t="shared" si="141"/>
        <v>108</v>
      </c>
      <c r="DQ3" s="197">
        <f t="shared" si="141"/>
        <v>109</v>
      </c>
      <c r="DR3" s="197">
        <f t="shared" si="141"/>
        <v>110</v>
      </c>
      <c r="DS3" s="197">
        <f t="shared" si="141"/>
        <v>111</v>
      </c>
      <c r="DT3" s="197">
        <f t="shared" si="141"/>
        <v>112</v>
      </c>
      <c r="DU3" s="197">
        <f t="shared" si="141"/>
        <v>113</v>
      </c>
      <c r="DV3" s="197">
        <f t="shared" si="141"/>
        <v>114</v>
      </c>
      <c r="DW3" s="197">
        <f t="shared" si="141"/>
        <v>115</v>
      </c>
      <c r="DX3" s="197">
        <f t="shared" si="141"/>
        <v>116</v>
      </c>
      <c r="DY3" s="197">
        <f t="shared" si="141"/>
        <v>117</v>
      </c>
      <c r="DZ3" s="197">
        <f t="shared" si="141"/>
        <v>118</v>
      </c>
      <c r="EA3" s="197">
        <f t="shared" si="141"/>
        <v>119</v>
      </c>
      <c r="EB3" s="197">
        <f t="shared" si="141"/>
        <v>120</v>
      </c>
      <c r="EC3" s="197">
        <f t="shared" si="141"/>
        <v>121</v>
      </c>
      <c r="ED3" s="197">
        <f t="shared" si="141"/>
        <v>122</v>
      </c>
      <c r="EE3" s="197">
        <f t="shared" si="141"/>
        <v>123</v>
      </c>
      <c r="EF3" s="197">
        <f t="shared" si="141"/>
        <v>124</v>
      </c>
      <c r="EG3" s="197">
        <f t="shared" si="141"/>
        <v>125</v>
      </c>
      <c r="EH3" s="197">
        <f t="shared" si="141"/>
        <v>126</v>
      </c>
      <c r="EI3" s="197">
        <f t="shared" si="141"/>
        <v>127</v>
      </c>
      <c r="EJ3" s="197">
        <f t="shared" si="141"/>
        <v>128</v>
      </c>
      <c r="EK3" s="197">
        <f t="shared" si="141"/>
        <v>129</v>
      </c>
      <c r="EL3" s="197" t="n">
        <f>EK3+1</f>
        <v>130</v>
      </c>
      <c r="EM3" s="197" t="n">
        <f>EL3+1</f>
        <v>131</v>
      </c>
      <c r="EN3" s="197" t="n">
        <f>EM3+1</f>
        <v>132</v>
      </c>
      <c r="EP3" s="220"/>
      <c r="EQ3" s="18"/>
      <c r="ER3" s="18"/>
      <c r="ES3" s="18"/>
      <c r="ET3" s="18"/>
      <c r="EU3" s="18"/>
      <c r="EV3" s="198" t="n">
        <f>L3</f>
        <v>0</v>
      </c>
      <c r="EW3" s="198">
        <f t="shared" si="2"/>
        <v>1</v>
      </c>
      <c r="EX3" s="198">
        <f t="shared" si="2"/>
        <v>2</v>
      </c>
      <c r="EY3" s="198">
        <f t="shared" si="2"/>
        <v>3</v>
      </c>
      <c r="EZ3" s="198">
        <f t="shared" si="2"/>
        <v>4</v>
      </c>
      <c r="FA3" s="198">
        <f t="shared" si="2"/>
        <v>5</v>
      </c>
      <c r="FB3" s="198">
        <f t="shared" si="2"/>
        <v>6</v>
      </c>
      <c r="FC3" s="198">
        <f t="shared" si="2"/>
        <v>7</v>
      </c>
      <c r="FD3" s="198">
        <f t="shared" si="2"/>
        <v>8</v>
      </c>
      <c r="FE3" s="198">
        <f t="shared" si="2"/>
        <v>9</v>
      </c>
      <c r="FF3" s="198">
        <f t="shared" si="2"/>
        <v>10</v>
      </c>
      <c r="FG3" s="198">
        <f t="shared" si="2"/>
        <v>11</v>
      </c>
      <c r="FH3" s="198">
        <f t="shared" si="2"/>
        <v>12</v>
      </c>
      <c r="FI3" s="198">
        <f t="shared" si="2"/>
        <v>13</v>
      </c>
      <c r="FJ3" s="198">
        <f t="shared" si="2"/>
        <v>14</v>
      </c>
      <c r="FK3" s="198">
        <f t="shared" si="2"/>
        <v>15</v>
      </c>
      <c r="FL3" s="198">
        <f t="shared" si="2"/>
        <v>16</v>
      </c>
      <c r="FM3" s="198">
        <f t="shared" si="2"/>
        <v>17</v>
      </c>
      <c r="FN3" s="198">
        <f t="shared" si="2"/>
        <v>18</v>
      </c>
      <c r="FO3" s="198">
        <f t="shared" si="2"/>
        <v>19</v>
      </c>
      <c r="FP3" s="198">
        <f t="shared" si="2"/>
        <v>20</v>
      </c>
      <c r="FQ3" s="198">
        <f t="shared" si="2"/>
        <v>21</v>
      </c>
      <c r="FR3" s="198">
        <f t="shared" si="2"/>
        <v>22</v>
      </c>
      <c r="FS3" s="198">
        <f t="shared" si="2"/>
        <v>23</v>
      </c>
      <c r="FT3" s="198">
        <f t="shared" si="2"/>
        <v>24</v>
      </c>
      <c r="FU3" s="198">
        <f t="shared" si="2"/>
        <v>25</v>
      </c>
      <c r="FV3" s="198">
        <f t="shared" si="2"/>
        <v>26</v>
      </c>
      <c r="FW3" s="198">
        <f t="shared" si="2"/>
        <v>27</v>
      </c>
      <c r="FX3" s="198">
        <f t="shared" si="2"/>
        <v>28</v>
      </c>
      <c r="FY3" s="198">
        <f t="shared" si="2"/>
        <v>29</v>
      </c>
      <c r="FZ3" s="198">
        <f t="shared" si="2"/>
        <v>30</v>
      </c>
      <c r="GA3" s="198">
        <f t="shared" si="2"/>
        <v>31</v>
      </c>
      <c r="GB3" s="198">
        <f t="shared" si="2"/>
        <v>32</v>
      </c>
      <c r="GC3" s="198">
        <f t="shared" si="2"/>
        <v>33</v>
      </c>
      <c r="GD3" s="198">
        <f t="shared" si="2"/>
        <v>34</v>
      </c>
      <c r="GE3" s="198">
        <f t="shared" si="2"/>
        <v>35</v>
      </c>
      <c r="GF3" s="198">
        <f t="shared" si="2"/>
        <v>36</v>
      </c>
      <c r="GG3" s="198">
        <f t="shared" si="2"/>
        <v>37</v>
      </c>
      <c r="GH3" s="198">
        <f t="shared" si="2"/>
        <v>38</v>
      </c>
      <c r="GI3" s="198">
        <f t="shared" si="2"/>
        <v>39</v>
      </c>
      <c r="GJ3" s="198">
        <f t="shared" si="2"/>
        <v>40</v>
      </c>
      <c r="GK3" s="198">
        <f t="shared" si="2"/>
        <v>41</v>
      </c>
      <c r="GL3" s="198">
        <f t="shared" si="2"/>
        <v>42</v>
      </c>
      <c r="GM3" s="198">
        <f t="shared" si="2"/>
        <v>43</v>
      </c>
      <c r="GN3" s="198">
        <f t="shared" si="2"/>
        <v>44</v>
      </c>
      <c r="GO3" s="198">
        <f t="shared" si="2"/>
        <v>45</v>
      </c>
      <c r="GP3" s="198">
        <f t="shared" si="2"/>
        <v>46</v>
      </c>
      <c r="GQ3" s="198">
        <f t="shared" si="2"/>
        <v>47</v>
      </c>
      <c r="GR3" s="198">
        <f t="shared" si="2"/>
        <v>48</v>
      </c>
      <c r="GS3" s="198">
        <f t="shared" si="2"/>
        <v>49</v>
      </c>
      <c r="GT3" s="198">
        <f t="shared" si="2"/>
        <v>50</v>
      </c>
      <c r="GU3" s="198">
        <f t="shared" si="2"/>
        <v>51</v>
      </c>
      <c r="GV3" s="198">
        <f t="shared" si="2"/>
        <v>52</v>
      </c>
      <c r="GW3" s="198">
        <f t="shared" si="2"/>
        <v>53</v>
      </c>
      <c r="GX3" s="198">
        <f t="shared" si="2"/>
        <v>54</v>
      </c>
      <c r="GY3" s="198">
        <f t="shared" si="2"/>
        <v>55</v>
      </c>
      <c r="GZ3" s="198">
        <f t="shared" si="2"/>
        <v>56</v>
      </c>
      <c r="HA3" s="198">
        <f t="shared" si="2"/>
        <v>57</v>
      </c>
      <c r="HB3" s="198">
        <f t="shared" si="2"/>
        <v>58</v>
      </c>
      <c r="HC3" s="198">
        <f t="shared" si="2"/>
        <v>59</v>
      </c>
      <c r="HD3" s="198">
        <f t="shared" si="2"/>
        <v>60</v>
      </c>
      <c r="HE3" s="198">
        <f t="shared" si="2"/>
        <v>61</v>
      </c>
      <c r="HF3" s="198">
        <f t="shared" si="2"/>
        <v>62</v>
      </c>
      <c r="HG3" s="198">
        <f t="shared" si="2"/>
        <v>63</v>
      </c>
      <c r="HH3" s="198">
        <f t="shared" si="2"/>
        <v>64</v>
      </c>
      <c r="HI3" s="198">
        <f t="shared" si="3"/>
        <v>65</v>
      </c>
      <c r="HJ3" s="198">
        <f t="shared" si="3"/>
        <v>66</v>
      </c>
      <c r="HK3" s="198">
        <f t="shared" si="3"/>
        <v>67</v>
      </c>
      <c r="HL3" s="198">
        <f t="shared" si="3"/>
        <v>68</v>
      </c>
      <c r="HM3" s="198">
        <f t="shared" si="3"/>
        <v>69</v>
      </c>
      <c r="HN3" s="198">
        <f t="shared" si="3"/>
        <v>70</v>
      </c>
      <c r="HO3" s="198">
        <f t="shared" si="3"/>
        <v>71</v>
      </c>
      <c r="HP3" s="198">
        <f t="shared" si="3"/>
        <v>72</v>
      </c>
      <c r="HQ3" s="198">
        <f t="shared" si="3"/>
        <v>73</v>
      </c>
      <c r="HR3" s="198">
        <f t="shared" si="3"/>
        <v>74</v>
      </c>
      <c r="HS3" s="198">
        <f t="shared" si="3"/>
        <v>75</v>
      </c>
      <c r="HT3" s="198">
        <f t="shared" si="3"/>
        <v>76</v>
      </c>
      <c r="HU3" s="198">
        <f t="shared" si="3"/>
        <v>77</v>
      </c>
      <c r="HV3" s="198">
        <f t="shared" si="3"/>
        <v>78</v>
      </c>
      <c r="HW3" s="198">
        <f t="shared" si="3"/>
        <v>79</v>
      </c>
      <c r="HX3" s="198">
        <f t="shared" si="3"/>
        <v>80</v>
      </c>
      <c r="HY3" s="198">
        <f t="shared" si="3"/>
        <v>81</v>
      </c>
      <c r="HZ3" s="198">
        <f t="shared" si="3"/>
        <v>82</v>
      </c>
      <c r="IA3" s="198">
        <f t="shared" si="3"/>
        <v>83</v>
      </c>
      <c r="IB3" s="198">
        <f t="shared" si="3"/>
        <v>84</v>
      </c>
      <c r="IC3" s="198">
        <f t="shared" si="3"/>
        <v>85</v>
      </c>
      <c r="ID3" s="198">
        <f t="shared" si="3"/>
        <v>86</v>
      </c>
      <c r="IE3" s="198">
        <f t="shared" si="3"/>
        <v>87</v>
      </c>
      <c r="IF3" s="198">
        <f t="shared" si="3"/>
        <v>88</v>
      </c>
      <c r="IG3" s="198">
        <f t="shared" si="3"/>
        <v>89</v>
      </c>
      <c r="IH3" s="198">
        <f t="shared" si="3"/>
        <v>90</v>
      </c>
      <c r="II3" s="198">
        <f t="shared" si="3"/>
        <v>91</v>
      </c>
      <c r="IJ3" s="198">
        <f t="shared" si="3"/>
        <v>92</v>
      </c>
      <c r="IK3" s="198">
        <f t="shared" si="3"/>
        <v>93</v>
      </c>
      <c r="IL3" s="198">
        <f t="shared" si="3"/>
        <v>94</v>
      </c>
      <c r="IM3" s="198">
        <f t="shared" si="3"/>
        <v>95</v>
      </c>
      <c r="IN3" s="198">
        <f t="shared" si="3"/>
        <v>96</v>
      </c>
      <c r="IO3" s="198">
        <f t="shared" si="3"/>
        <v>97</v>
      </c>
      <c r="IP3" s="198">
        <f t="shared" si="3"/>
        <v>98</v>
      </c>
      <c r="IQ3" s="198">
        <f t="shared" si="3"/>
        <v>99</v>
      </c>
      <c r="IR3" s="198">
        <f t="shared" si="4"/>
        <v>100</v>
      </c>
      <c r="IS3" s="198">
        <f t="shared" si="4"/>
        <v>101</v>
      </c>
      <c r="IT3" s="198">
        <f t="shared" si="4"/>
        <v>102</v>
      </c>
      <c r="IU3" s="198">
        <f t="shared" si="4"/>
        <v>103</v>
      </c>
      <c r="IV3" s="198">
        <f t="shared" si="4"/>
        <v>104</v>
      </c>
      <c r="IW3" s="198">
        <f t="shared" si="4"/>
        <v>105</v>
      </c>
      <c r="IX3" s="198">
        <f t="shared" si="4"/>
        <v>106</v>
      </c>
      <c r="IY3" s="198">
        <f t="shared" si="4"/>
        <v>107</v>
      </c>
      <c r="IZ3" s="198">
        <f t="shared" si="4"/>
        <v>108</v>
      </c>
      <c r="JA3" s="198">
        <f t="shared" si="4"/>
        <v>109</v>
      </c>
      <c r="JB3" s="198">
        <f t="shared" si="5"/>
        <v>110</v>
      </c>
      <c r="JC3" s="198">
        <f t="shared" si="5"/>
        <v>111</v>
      </c>
      <c r="JD3" s="198">
        <f t="shared" si="5"/>
        <v>112</v>
      </c>
      <c r="JE3" s="198">
        <f t="shared" si="5"/>
        <v>113</v>
      </c>
      <c r="JF3" s="198">
        <f t="shared" si="5"/>
        <v>114</v>
      </c>
      <c r="JG3" s="198">
        <f t="shared" si="5"/>
        <v>115</v>
      </c>
      <c r="JH3" s="198">
        <f t="shared" si="5"/>
        <v>116</v>
      </c>
      <c r="JI3" s="198">
        <f t="shared" si="5"/>
        <v>117</v>
      </c>
      <c r="JJ3" s="198">
        <f t="shared" si="5"/>
        <v>118</v>
      </c>
      <c r="JK3" s="198">
        <f t="shared" si="5"/>
        <v>119</v>
      </c>
      <c r="JL3" s="198">
        <f t="shared" si="6"/>
        <v>120</v>
      </c>
      <c r="JM3" s="198">
        <f t="shared" si="6"/>
        <v>121</v>
      </c>
      <c r="JN3" s="198">
        <f t="shared" si="6"/>
        <v>122</v>
      </c>
      <c r="JO3" s="198">
        <f t="shared" si="6"/>
        <v>123</v>
      </c>
      <c r="JP3" s="198">
        <f t="shared" si="6"/>
        <v>124</v>
      </c>
      <c r="JQ3" s="198">
        <f t="shared" si="6"/>
        <v>125</v>
      </c>
      <c r="JR3" s="198">
        <f t="shared" si="6"/>
        <v>126</v>
      </c>
      <c r="JS3" s="198">
        <f t="shared" si="6"/>
        <v>127</v>
      </c>
      <c r="JT3" s="198">
        <f t="shared" si="6"/>
        <v>128</v>
      </c>
      <c r="JU3" s="198">
        <f t="shared" si="6"/>
        <v>129</v>
      </c>
      <c r="JV3" s="198">
        <f t="shared" si="7"/>
        <v>130</v>
      </c>
      <c r="JW3" s="198">
        <f t="shared" si="7"/>
        <v>131</v>
      </c>
      <c r="JX3" s="198">
        <f t="shared" si="7"/>
        <v>132</v>
      </c>
      <c r="JZ3" s="263"/>
      <c r="KA3" s="263"/>
      <c r="KB3" s="263"/>
      <c r="KC3" s="263"/>
      <c r="KD3" s="263"/>
      <c r="KE3" s="263"/>
      <c r="KF3" s="198" t="n">
        <f t="shared" ref="KF3" si="142">EV3</f>
        <v>0</v>
      </c>
      <c r="KG3" s="198">
        <f t="shared" si="8"/>
        <v>1</v>
      </c>
      <c r="KH3" s="198">
        <f t="shared" si="9"/>
        <v>2</v>
      </c>
      <c r="KI3" s="198">
        <f t="shared" si="10"/>
        <v>3</v>
      </c>
      <c r="KJ3" s="198">
        <f t="shared" si="11"/>
        <v>4</v>
      </c>
      <c r="KK3" s="198">
        <f t="shared" si="12"/>
        <v>5</v>
      </c>
      <c r="KL3" s="198">
        <f t="shared" si="13"/>
        <v>6</v>
      </c>
      <c r="KM3" s="198">
        <f t="shared" si="14"/>
        <v>7</v>
      </c>
      <c r="KN3" s="198">
        <f t="shared" si="15"/>
        <v>8</v>
      </c>
      <c r="KO3" s="198">
        <f t="shared" si="16"/>
        <v>9</v>
      </c>
      <c r="KP3" s="198">
        <f t="shared" si="17"/>
        <v>10</v>
      </c>
      <c r="KQ3" s="198">
        <f t="shared" si="18"/>
        <v>11</v>
      </c>
      <c r="KR3" s="198">
        <f t="shared" si="19"/>
        <v>12</v>
      </c>
      <c r="KS3" s="198">
        <f t="shared" si="20"/>
        <v>13</v>
      </c>
      <c r="KT3" s="198">
        <f t="shared" si="21"/>
        <v>14</v>
      </c>
      <c r="KU3" s="198">
        <f t="shared" si="22"/>
        <v>15</v>
      </c>
      <c r="KV3" s="198">
        <f t="shared" si="23"/>
        <v>16</v>
      </c>
      <c r="KW3" s="198">
        <f t="shared" si="24"/>
        <v>17</v>
      </c>
      <c r="KX3" s="198">
        <f t="shared" si="25"/>
        <v>18</v>
      </c>
      <c r="KY3" s="198">
        <f t="shared" si="26"/>
        <v>19</v>
      </c>
      <c r="KZ3" s="198">
        <f t="shared" si="27"/>
        <v>20</v>
      </c>
      <c r="LA3" s="198">
        <f t="shared" si="28"/>
        <v>21</v>
      </c>
      <c r="LB3" s="198">
        <f t="shared" si="29"/>
        <v>22</v>
      </c>
      <c r="LC3" s="198">
        <f t="shared" si="30"/>
        <v>23</v>
      </c>
      <c r="LD3" s="198">
        <f t="shared" si="31"/>
        <v>24</v>
      </c>
      <c r="LE3" s="198">
        <f t="shared" si="32"/>
        <v>25</v>
      </c>
      <c r="LF3" s="198">
        <f t="shared" si="33"/>
        <v>26</v>
      </c>
      <c r="LG3" s="198">
        <f t="shared" si="34"/>
        <v>27</v>
      </c>
      <c r="LH3" s="198">
        <f t="shared" si="35"/>
        <v>28</v>
      </c>
      <c r="LI3" s="198">
        <f t="shared" si="36"/>
        <v>29</v>
      </c>
      <c r="LJ3" s="198">
        <f t="shared" si="37"/>
        <v>30</v>
      </c>
      <c r="LK3" s="198">
        <f t="shared" si="38"/>
        <v>31</v>
      </c>
      <c r="LL3" s="198">
        <f t="shared" si="39"/>
        <v>32</v>
      </c>
      <c r="LM3" s="198">
        <f t="shared" si="40"/>
        <v>33</v>
      </c>
      <c r="LN3" s="198">
        <f t="shared" si="41"/>
        <v>34</v>
      </c>
      <c r="LO3" s="198">
        <f t="shared" si="42"/>
        <v>35</v>
      </c>
      <c r="LP3" s="198">
        <f t="shared" si="43"/>
        <v>36</v>
      </c>
      <c r="LQ3" s="198">
        <f t="shared" si="44"/>
        <v>37</v>
      </c>
      <c r="LR3" s="198">
        <f t="shared" si="45"/>
        <v>38</v>
      </c>
      <c r="LS3" s="198">
        <f t="shared" si="46"/>
        <v>39</v>
      </c>
      <c r="LT3" s="198">
        <f t="shared" si="47"/>
        <v>40</v>
      </c>
      <c r="LU3" s="198">
        <f t="shared" si="48"/>
        <v>41</v>
      </c>
      <c r="LV3" s="198">
        <f t="shared" si="49"/>
        <v>42</v>
      </c>
      <c r="LW3" s="198">
        <f t="shared" si="50"/>
        <v>43</v>
      </c>
      <c r="LX3" s="198">
        <f t="shared" si="51"/>
        <v>44</v>
      </c>
      <c r="LY3" s="198">
        <f t="shared" si="52"/>
        <v>45</v>
      </c>
      <c r="LZ3" s="198">
        <f t="shared" si="53"/>
        <v>46</v>
      </c>
      <c r="MA3" s="198">
        <f t="shared" si="54"/>
        <v>47</v>
      </c>
      <c r="MB3" s="198">
        <f t="shared" si="55"/>
        <v>48</v>
      </c>
      <c r="MC3" s="198">
        <f t="shared" si="56"/>
        <v>49</v>
      </c>
      <c r="MD3" s="198">
        <f t="shared" si="57"/>
        <v>50</v>
      </c>
      <c r="ME3" s="198">
        <f t="shared" si="58"/>
        <v>51</v>
      </c>
      <c r="MF3" s="198">
        <f t="shared" si="59"/>
        <v>52</v>
      </c>
      <c r="MG3" s="198">
        <f t="shared" si="60"/>
        <v>53</v>
      </c>
      <c r="MH3" s="198">
        <f t="shared" si="61"/>
        <v>54</v>
      </c>
      <c r="MI3" s="198">
        <f t="shared" si="62"/>
        <v>55</v>
      </c>
      <c r="MJ3" s="198">
        <f t="shared" si="63"/>
        <v>56</v>
      </c>
      <c r="MK3" s="198">
        <f t="shared" si="64"/>
        <v>57</v>
      </c>
      <c r="ML3" s="198">
        <f t="shared" si="65"/>
        <v>58</v>
      </c>
      <c r="MM3" s="198">
        <f t="shared" si="66"/>
        <v>59</v>
      </c>
      <c r="MN3" s="198">
        <f t="shared" si="67"/>
        <v>60</v>
      </c>
      <c r="MO3" s="198">
        <f t="shared" si="68"/>
        <v>61</v>
      </c>
      <c r="MP3" s="198">
        <f t="shared" si="69"/>
        <v>62</v>
      </c>
      <c r="MQ3" s="198">
        <f t="shared" si="70"/>
        <v>63</v>
      </c>
      <c r="MR3" s="198">
        <f t="shared" si="71"/>
        <v>64</v>
      </c>
      <c r="MS3" s="198">
        <f t="shared" si="72"/>
        <v>65</v>
      </c>
      <c r="MT3" s="198">
        <f t="shared" si="73"/>
        <v>66</v>
      </c>
      <c r="MU3" s="198">
        <f t="shared" si="74"/>
        <v>67</v>
      </c>
      <c r="MV3" s="198">
        <f t="shared" si="75"/>
        <v>68</v>
      </c>
      <c r="MW3" s="198">
        <f t="shared" si="76"/>
        <v>69</v>
      </c>
      <c r="MX3" s="198">
        <f t="shared" si="77"/>
        <v>70</v>
      </c>
      <c r="MY3" s="198">
        <f t="shared" si="78"/>
        <v>71</v>
      </c>
      <c r="MZ3" s="198">
        <f t="shared" si="79"/>
        <v>72</v>
      </c>
      <c r="NA3" s="198">
        <f t="shared" si="80"/>
        <v>73</v>
      </c>
      <c r="NB3" s="198">
        <f t="shared" si="81"/>
        <v>74</v>
      </c>
      <c r="NC3" s="198">
        <f t="shared" si="82"/>
        <v>75</v>
      </c>
      <c r="ND3" s="198">
        <f t="shared" si="83"/>
        <v>76</v>
      </c>
      <c r="NE3" s="198">
        <f t="shared" si="84"/>
        <v>77</v>
      </c>
      <c r="NF3" s="198">
        <f t="shared" si="85"/>
        <v>78</v>
      </c>
      <c r="NG3" s="198">
        <f t="shared" si="86"/>
        <v>79</v>
      </c>
      <c r="NH3" s="198">
        <f t="shared" si="87"/>
        <v>80</v>
      </c>
      <c r="NI3" s="198">
        <f t="shared" si="88"/>
        <v>81</v>
      </c>
      <c r="NJ3" s="198">
        <f t="shared" si="89"/>
        <v>82</v>
      </c>
      <c r="NK3" s="198">
        <f t="shared" si="90"/>
        <v>83</v>
      </c>
      <c r="NL3" s="198">
        <f t="shared" si="91"/>
        <v>84</v>
      </c>
      <c r="NM3" s="198">
        <f t="shared" si="92"/>
        <v>85</v>
      </c>
      <c r="NN3" s="198">
        <f t="shared" si="93"/>
        <v>86</v>
      </c>
      <c r="NO3" s="198">
        <f t="shared" si="94"/>
        <v>87</v>
      </c>
      <c r="NP3" s="198">
        <f t="shared" si="95"/>
        <v>88</v>
      </c>
      <c r="NQ3" s="198">
        <f t="shared" si="96"/>
        <v>89</v>
      </c>
      <c r="NR3" s="198">
        <f t="shared" si="97"/>
        <v>90</v>
      </c>
      <c r="NS3" s="198">
        <f t="shared" si="98"/>
        <v>91</v>
      </c>
      <c r="NT3" s="198">
        <f t="shared" si="99"/>
        <v>92</v>
      </c>
      <c r="NU3" s="198">
        <f t="shared" si="100"/>
        <v>93</v>
      </c>
      <c r="NV3" s="198">
        <f t="shared" si="101"/>
        <v>94</v>
      </c>
      <c r="NW3" s="198">
        <f t="shared" si="102"/>
        <v>95</v>
      </c>
      <c r="NX3" s="198">
        <f t="shared" si="103"/>
        <v>96</v>
      </c>
      <c r="NY3" s="198">
        <f t="shared" si="104"/>
        <v>97</v>
      </c>
      <c r="NZ3" s="198">
        <f t="shared" si="105"/>
        <v>98</v>
      </c>
      <c r="OA3" s="198">
        <f t="shared" si="106"/>
        <v>99</v>
      </c>
      <c r="OB3" s="198">
        <f t="shared" si="107"/>
        <v>100</v>
      </c>
      <c r="OC3" s="198">
        <f t="shared" si="108"/>
        <v>101</v>
      </c>
      <c r="OD3" s="198">
        <f t="shared" si="109"/>
        <v>102</v>
      </c>
      <c r="OE3" s="198">
        <f t="shared" si="110"/>
        <v>103</v>
      </c>
      <c r="OF3" s="198">
        <f t="shared" si="111"/>
        <v>104</v>
      </c>
      <c r="OG3" s="198">
        <f t="shared" si="112"/>
        <v>105</v>
      </c>
      <c r="OH3" s="198">
        <f t="shared" si="113"/>
        <v>106</v>
      </c>
      <c r="OI3" s="198">
        <f t="shared" si="114"/>
        <v>107</v>
      </c>
      <c r="OJ3" s="198">
        <f t="shared" si="115"/>
        <v>108</v>
      </c>
      <c r="OK3" s="198">
        <f t="shared" si="116"/>
        <v>109</v>
      </c>
      <c r="OL3" s="198">
        <f t="shared" si="117"/>
        <v>110</v>
      </c>
      <c r="OM3" s="198">
        <f t="shared" si="118"/>
        <v>111</v>
      </c>
      <c r="ON3" s="198">
        <f t="shared" si="119"/>
        <v>112</v>
      </c>
      <c r="OO3" s="198">
        <f t="shared" si="120"/>
        <v>113</v>
      </c>
      <c r="OP3" s="198">
        <f t="shared" si="121"/>
        <v>114</v>
      </c>
      <c r="OQ3" s="198">
        <f t="shared" si="122"/>
        <v>115</v>
      </c>
      <c r="OR3" s="198">
        <f t="shared" si="123"/>
        <v>116</v>
      </c>
      <c r="OS3" s="198">
        <f t="shared" si="124"/>
        <v>117</v>
      </c>
      <c r="OT3" s="198">
        <f t="shared" si="125"/>
        <v>118</v>
      </c>
      <c r="OU3" s="198">
        <f t="shared" si="126"/>
        <v>119</v>
      </c>
      <c r="OV3" s="198">
        <f t="shared" si="127"/>
        <v>120</v>
      </c>
      <c r="OW3" s="198">
        <f t="shared" si="128"/>
        <v>121</v>
      </c>
      <c r="OX3" s="198">
        <f t="shared" si="129"/>
        <v>122</v>
      </c>
      <c r="OY3" s="198">
        <f t="shared" si="130"/>
        <v>123</v>
      </c>
      <c r="OZ3" s="198">
        <f t="shared" si="131"/>
        <v>124</v>
      </c>
      <c r="PA3" s="198">
        <f t="shared" si="132"/>
        <v>125</v>
      </c>
      <c r="PB3" s="198">
        <f t="shared" si="133"/>
        <v>126</v>
      </c>
      <c r="PC3" s="198">
        <f t="shared" si="134"/>
        <v>127</v>
      </c>
      <c r="PD3" s="198">
        <f t="shared" si="135"/>
        <v>128</v>
      </c>
      <c r="PE3" s="198">
        <f t="shared" si="136"/>
        <v>129</v>
      </c>
      <c r="PF3" s="198">
        <f t="shared" si="137"/>
        <v>130</v>
      </c>
      <c r="PG3" s="198">
        <f t="shared" si="138"/>
        <v>131</v>
      </c>
      <c r="PH3" s="198">
        <f t="shared" si="139"/>
        <v>132</v>
      </c>
    </row>
    <row r="4">
      <c r="B4"/>
      <c r="C4"/>
      <c r="D4"/>
      <c r="E4"/>
      <c r="F4"/>
      <c r="G4"/>
      <c r="H4"/>
      <c r="I4"/>
      <c r="K4" s="667" t="s">
        <v>90</v>
      </c>
      <c r="L4" s="667" t="str">
        <f>IF(L$24="","",IF(L$24&lt;=PROJECTS!$AP$257,"Actual","Forecast"))</f>
        <v>Forecast</v>
      </c>
      <c r="M4" s="667" t="str">
        <f>IF(M$24="","",IF(M$24&lt;=PROJECTS!$AP$257,"Actual","Forecast"))</f>
        <v>Forecast</v>
      </c>
      <c r="N4" s="667" t="str">
        <f>IF(N$24="","",IF(N$24&lt;=PROJECTS!$AP$257,"Actual","Forecast"))</f>
        <v>Forecast</v>
      </c>
      <c r="O4" s="667" t="str">
        <f>IF(O$24="","",IF(O$24&lt;=PROJECTS!$AP$257,"Actual","Forecast"))</f>
        <v>Forecast</v>
      </c>
      <c r="P4" s="667" t="str">
        <f>IF(P$24="","",IF(P$24&lt;=PROJECTS!$AP$257,"Actual","Forecast"))</f>
        <v>Forecast</v>
      </c>
      <c r="Q4" s="667" t="str">
        <f>IF(Q$24="","",IF(Q$24&lt;=PROJECTS!$AP$257,"Actual","Forecast"))</f>
        <v>Forecast</v>
      </c>
      <c r="R4" s="667" t="str">
        <f>IF(R$24="","",IF(R$24&lt;=PROJECTS!$AP$257,"Actual","Forecast"))</f>
        <v>Forecast</v>
      </c>
      <c r="S4" s="667" t="str">
        <f>IF(S$24="","",IF(S$24&lt;=PROJECTS!$AP$257,"Actual","Forecast"))</f>
        <v>Forecast</v>
      </c>
      <c r="T4" s="667" t="str">
        <f>IF(T$24="","",IF(T$24&lt;=PROJECTS!$AP$257,"Actual","Forecast"))</f>
        <v>Forecast</v>
      </c>
      <c r="U4" s="667" t="str">
        <f>IF(U$24="","",IF(U$24&lt;=PROJECTS!$AP$257,"Actual","Forecast"))</f>
        <v>Forecast</v>
      </c>
      <c r="V4" s="667" t="str">
        <f>IF(V$24="","",IF(V$24&lt;=PROJECTS!$AP$257,"Actual","Forecast"))</f>
        <v>Forecast</v>
      </c>
      <c r="W4" s="667" t="str">
        <f>IF(W$24="","",IF(W$24&lt;=PROJECTS!$AP$257,"Actual","Forecast"))</f>
        <v>Forecast</v>
      </c>
      <c r="X4" s="667" t="str">
        <f>IF(X$24="","",IF(X$24&lt;=PROJECTS!$AP$257,"Actual","Forecast"))</f>
        <v>Forecast</v>
      </c>
      <c r="Y4" s="667" t="str">
        <f>IF(Y$24="","",IF(Y$24&lt;=PROJECTS!$AP$257,"Actual","Forecast"))</f>
        <v>Forecast</v>
      </c>
      <c r="Z4" s="667" t="str">
        <f>IF(Z$24="","",IF(Z$24&lt;=PROJECTS!$AP$257,"Actual","Forecast"))</f>
        <v>Forecast</v>
      </c>
      <c r="AA4" s="667" t="str">
        <f>IF(AA$24="","",IF(AA$24&lt;=PROJECTS!$AP$257,"Actual","Forecast"))</f>
        <v>Forecast</v>
      </c>
      <c r="AB4" s="667" t="str">
        <f>IF(AB$24="","",IF(AB$24&lt;=PROJECTS!$AP$257,"Actual","Forecast"))</f>
        <v>Forecast</v>
      </c>
      <c r="AC4" s="667" t="str">
        <f>IF(AC$24="","",IF(AC$24&lt;=PROJECTS!$AP$257,"Actual","Forecast"))</f>
        <v>Forecast</v>
      </c>
      <c r="AD4" s="667" t="str">
        <f>IF(AD$24="","",IF(AD$24&lt;=PROJECTS!$AP$257,"Actual","Forecast"))</f>
        <v>Forecast</v>
      </c>
      <c r="AE4" s="667" t="str">
        <f>IF(AE$24="","",IF(AE$24&lt;=PROJECTS!$AP$257,"Actual","Forecast"))</f>
        <v>Forecast</v>
      </c>
      <c r="AF4" s="667" t="str">
        <f>IF(AF$24="","",IF(AF$24&lt;=PROJECTS!$AP$257,"Actual","Forecast"))</f>
        <v>Forecast</v>
      </c>
      <c r="AG4" s="667" t="str">
        <f>IF(AG$24="","",IF(AG$24&lt;=PROJECTS!$AP$257,"Actual","Forecast"))</f>
        <v>Forecast</v>
      </c>
      <c r="AH4" s="667" t="str">
        <f>IF(AH$24="","",IF(AH$24&lt;=PROJECTS!$AP$257,"Actual","Forecast"))</f>
        <v>Forecast</v>
      </c>
      <c r="AI4" s="667" t="str">
        <f>IF(AI$24="","",IF(AI$24&lt;=PROJECTS!$AP$257,"Actual","Forecast"))</f>
        <v>Forecast</v>
      </c>
      <c r="AJ4" s="667" t="str">
        <f>IF(AJ$24="","",IF(AJ$24&lt;=PROJECTS!$AP$257,"Actual","Forecast"))</f>
        <v>Forecast</v>
      </c>
      <c r="AK4" s="667" t="str">
        <f>IF(AK$24="","",IF(AK$24&lt;=PROJECTS!$AP$257,"Actual","Forecast"))</f>
        <v>Forecast</v>
      </c>
      <c r="AL4" s="667" t="str">
        <f>IF(AL$24="","",IF(AL$24&lt;=PROJECTS!$AP$257,"Actual","Forecast"))</f>
        <v>Forecast</v>
      </c>
      <c r="AM4" s="667" t="str">
        <f>IF(AM$24="","",IF(AM$24&lt;=PROJECTS!$AP$257,"Actual","Forecast"))</f>
        <v>Forecast</v>
      </c>
      <c r="AN4" s="667" t="str">
        <f>IF(AN$24="","",IF(AN$24&lt;=PROJECTS!$AP$257,"Actual","Forecast"))</f>
        <v>Forecast</v>
      </c>
      <c r="AO4" s="667" t="str">
        <f>IF(AO$24="","",IF(AO$24&lt;=PROJECTS!$AP$257,"Actual","Forecast"))</f>
        <v>Forecast</v>
      </c>
      <c r="AP4" s="667" t="str">
        <f>IF(AP$24="","",IF(AP$24&lt;=PROJECTS!$AP$257,"Actual","Forecast"))</f>
        <v>Forecast</v>
      </c>
      <c r="AQ4" s="667" t="str">
        <f>IF(AQ$24="","",IF(AQ$24&lt;=PROJECTS!$AP$257,"Actual","Forecast"))</f>
        <v>Forecast</v>
      </c>
      <c r="AR4" s="667" t="str">
        <f>IF(AR$24="","",IF(AR$24&lt;=PROJECTS!$AP$257,"Actual","Forecast"))</f>
        <v>Forecast</v>
      </c>
      <c r="AS4" s="667" t="str">
        <f>IF(AS$24="","",IF(AS$24&lt;=PROJECTS!$AP$257,"Actual","Forecast"))</f>
        <v>Forecast</v>
      </c>
      <c r="AT4" s="667" t="str">
        <f>IF(AT$24="","",IF(AT$24&lt;=PROJECTS!$AP$257,"Actual","Forecast"))</f>
        <v>Forecast</v>
      </c>
      <c r="AU4" s="667" t="str">
        <f>IF(AU$24="","",IF(AU$24&lt;=PROJECTS!$AP$257,"Actual","Forecast"))</f>
        <v>Forecast</v>
      </c>
      <c r="AV4" s="667" t="str">
        <f>IF(AV$24="","",IF(AV$24&lt;=PROJECTS!$AP$257,"Actual","Forecast"))</f>
        <v>Forecast</v>
      </c>
      <c r="AW4" s="667" t="str">
        <f>IF(AW$24="","",IF(AW$24&lt;=PROJECTS!$AP$257,"Actual","Forecast"))</f>
        <v>Forecast</v>
      </c>
      <c r="AX4" s="667" t="str">
        <f>IF(AX$24="","",IF(AX$24&lt;=PROJECTS!$AP$257,"Actual","Forecast"))</f>
        <v>Forecast</v>
      </c>
      <c r="AY4" s="667" t="str">
        <f>IF(AY$24="","",IF(AY$24&lt;=PROJECTS!$AP$257,"Actual","Forecast"))</f>
        <v>Forecast</v>
      </c>
      <c r="AZ4" s="667" t="str">
        <f>IF(AZ$24="","",IF(AZ$24&lt;=PROJECTS!$AP$257,"Actual","Forecast"))</f>
        <v>Forecast</v>
      </c>
      <c r="BA4" s="667" t="str">
        <f>IF(BA$24="","",IF(BA$24&lt;=PROJECTS!$AP$257,"Actual","Forecast"))</f>
        <v>Forecast</v>
      </c>
      <c r="BB4" s="667" t="str">
        <f>IF(BB$24="","",IF(BB$24&lt;=PROJECTS!$AP$257,"Actual","Forecast"))</f>
        <v>Forecast</v>
      </c>
      <c r="BC4" s="667" t="str">
        <f>IF(BC$24="","",IF(BC$24&lt;=PROJECTS!$AP$257,"Actual","Forecast"))</f>
        <v>Forecast</v>
      </c>
      <c r="BD4" s="667" t="str">
        <f>IF(BD$24="","",IF(BD$24&lt;=PROJECTS!$AP$257,"Actual","Forecast"))</f>
        <v>Forecast</v>
      </c>
      <c r="BE4" s="667" t="str">
        <f>IF(BE$24="","",IF(BE$24&lt;=PROJECTS!$AP$257,"Actual","Forecast"))</f>
        <v>Forecast</v>
      </c>
      <c r="BF4" s="667" t="str">
        <f>IF(BF$24="","",IF(BF$24&lt;=PROJECTS!$AP$257,"Actual","Forecast"))</f>
        <v>Forecast</v>
      </c>
      <c r="BG4" s="667" t="str">
        <f>IF(BG$24="","",IF(BG$24&lt;=PROJECTS!$AP$257,"Actual","Forecast"))</f>
        <v>Forecast</v>
      </c>
      <c r="BH4" s="667" t="str">
        <f>IF(BH$24="","",IF(BH$24&lt;=PROJECTS!$AP$257,"Actual","Forecast"))</f>
        <v>Forecast</v>
      </c>
      <c r="BI4" s="667" t="str">
        <f>IF(BI$24="","",IF(BI$24&lt;=PROJECTS!$AP$257,"Actual","Forecast"))</f>
        <v>Forecast</v>
      </c>
      <c r="BJ4" s="667" t="str">
        <f>IF(BJ$24="","",IF(BJ$24&lt;=PROJECTS!$AP$257,"Actual","Forecast"))</f>
        <v>Forecast</v>
      </c>
      <c r="BK4" s="667" t="str">
        <f>IF(BK$24="","",IF(BK$24&lt;=PROJECTS!$AP$257,"Actual","Forecast"))</f>
        <v>Forecast</v>
      </c>
      <c r="BL4" s="667" t="str">
        <f>IF(BL$24="","",IF(BL$24&lt;=PROJECTS!$AP$257,"Actual","Forecast"))</f>
        <v>Forecast</v>
      </c>
      <c r="BM4" s="667" t="str">
        <f>IF(BM$24="","",IF(BM$24&lt;=PROJECTS!$AP$257,"Actual","Forecast"))</f>
        <v>Forecast</v>
      </c>
      <c r="BN4" s="667" t="str">
        <f>IF(BN$24="","",IF(BN$24&lt;=PROJECTS!$AP$257,"Actual","Forecast"))</f>
        <v>Forecast</v>
      </c>
      <c r="BO4" s="667" t="str">
        <f>IF(BO$24="","",IF(BO$24&lt;=PROJECTS!$AP$257,"Actual","Forecast"))</f>
        <v>Forecast</v>
      </c>
      <c r="BP4" s="667" t="str">
        <f>IF(BP$24="","",IF(BP$24&lt;=PROJECTS!$AP$257,"Actual","Forecast"))</f>
        <v>Forecast</v>
      </c>
      <c r="BQ4" s="667" t="str">
        <f>IF(BQ$24="","",IF(BQ$24&lt;=PROJECTS!$AP$257,"Actual","Forecast"))</f>
        <v>Forecast</v>
      </c>
      <c r="BR4" s="667" t="str">
        <f>IF(BR$24="","",IF(BR$24&lt;=PROJECTS!$AP$257,"Actual","Forecast"))</f>
        <v>Forecast</v>
      </c>
      <c r="BS4" s="667" t="str">
        <f>IF(BS$24="","",IF(BS$24&lt;=PROJECTS!$AP$257,"Actual","Forecast"))</f>
        <v>Forecast</v>
      </c>
      <c r="BT4" s="667" t="str">
        <f>IF(BT$24="","",IF(BT$24&lt;=PROJECTS!$AP$257,"Actual","Forecast"))</f>
        <v>Forecast</v>
      </c>
      <c r="BU4" s="667" t="str">
        <f>IF(BU$24="","",IF(BU$24&lt;=PROJECTS!$AP$257,"Actual","Forecast"))</f>
        <v>Forecast</v>
      </c>
      <c r="BV4" s="667" t="str">
        <f>IF(BV$24="","",IF(BV$24&lt;=PROJECTS!$AP$257,"Actual","Forecast"))</f>
        <v>Forecast</v>
      </c>
      <c r="BW4" s="667" t="str">
        <f>IF(BW$24="","",IF(BW$24&lt;=PROJECTS!$AP$257,"Actual","Forecast"))</f>
        <v>Forecast</v>
      </c>
      <c r="BX4" s="667" t="str">
        <f>IF(BX$24="","",IF(BX$24&lt;=PROJECTS!$AP$257,"Actual","Forecast"))</f>
        <v>Forecast</v>
      </c>
      <c r="BY4" s="667" t="str">
        <f>IF(BY$24="","",IF(BY$24&lt;=PROJECTS!$AP$257,"Actual","Forecast"))</f>
        <v>Forecast</v>
      </c>
      <c r="BZ4" s="667" t="str">
        <f>IF(BZ$24="","",IF(BZ$24&lt;=PROJECTS!$AP$257,"Actual","Forecast"))</f>
        <v>Forecast</v>
      </c>
      <c r="CA4" s="667" t="str">
        <f>IF(CA$24="","",IF(CA$24&lt;=PROJECTS!$AP$257,"Actual","Forecast"))</f>
        <v>Forecast</v>
      </c>
      <c r="CB4" s="667" t="str">
        <f>IF(CB$24="","",IF(CB$24&lt;=PROJECTS!$AP$257,"Actual","Forecast"))</f>
        <v>Forecast</v>
      </c>
      <c r="CC4" s="667" t="str">
        <f>IF(CC$24="","",IF(CC$24&lt;=PROJECTS!$AP$257,"Actual","Forecast"))</f>
        <v>Forecast</v>
      </c>
      <c r="CD4" s="667" t="str">
        <f>IF(CD$24="","",IF(CD$24&lt;=PROJECTS!$AP$257,"Actual","Forecast"))</f>
        <v>Forecast</v>
      </c>
      <c r="CE4" s="667" t="str">
        <f>IF(CE$24="","",IF(CE$24&lt;=PROJECTS!$AP$257,"Actual","Forecast"))</f>
        <v>Forecast</v>
      </c>
      <c r="CF4" s="667" t="str">
        <f>IF(CF$24="","",IF(CF$24&lt;=PROJECTS!$AP$257,"Actual","Forecast"))</f>
        <v>Forecast</v>
      </c>
      <c r="CG4" s="667" t="str">
        <f>IF(CG$24="","",IF(CG$24&lt;=PROJECTS!$AP$257,"Actual","Forecast"))</f>
        <v>Forecast</v>
      </c>
      <c r="CH4" s="667" t="str">
        <f>IF(CH$24="","",IF(CH$24&lt;=PROJECTS!$AP$257,"Actual","Forecast"))</f>
        <v>Forecast</v>
      </c>
      <c r="CI4" s="667" t="str">
        <f>IF(CI$24="","",IF(CI$24&lt;=PROJECTS!$AP$257,"Actual","Forecast"))</f>
        <v>Forecast</v>
      </c>
      <c r="CJ4" s="667" t="str">
        <f>IF(CJ$24="","",IF(CJ$24&lt;=PROJECTS!$AP$257,"Actual","Forecast"))</f>
        <v>Forecast</v>
      </c>
      <c r="CK4" s="667" t="str">
        <f>IF(CK$24="","",IF(CK$24&lt;=PROJECTS!$AP$257,"Actual","Forecast"))</f>
        <v>Forecast</v>
      </c>
      <c r="CL4" s="667" t="str">
        <f>IF(CL$24="","",IF(CL$24&lt;=PROJECTS!$AP$257,"Actual","Forecast"))</f>
        <v>Forecast</v>
      </c>
      <c r="CM4" s="667" t="str">
        <f>IF(CM$24="","",IF(CM$24&lt;=PROJECTS!$AP$257,"Actual","Forecast"))</f>
        <v>Forecast</v>
      </c>
      <c r="CN4" s="667" t="str">
        <f>IF(CN$24="","",IF(CN$24&lt;=PROJECTS!$AP$257,"Actual","Forecast"))</f>
        <v>Forecast</v>
      </c>
      <c r="CO4" s="667" t="str">
        <f>IF(CO$24="","",IF(CO$24&lt;=PROJECTS!$AP$257,"Actual","Forecast"))</f>
        <v>Forecast</v>
      </c>
      <c r="CP4" s="667" t="str">
        <f>IF(CP$24="","",IF(CP$24&lt;=PROJECTS!$AP$257,"Actual","Forecast"))</f>
        <v>Forecast</v>
      </c>
      <c r="CQ4" s="667" t="str">
        <f>IF(CQ$24="","",IF(CQ$24&lt;=PROJECTS!$AP$257,"Actual","Forecast"))</f>
        <v>Forecast</v>
      </c>
      <c r="CR4" s="667" t="str">
        <f>IF(CR$24="","",IF(CR$24&lt;=PROJECTS!$AP$257,"Actual","Forecast"))</f>
        <v>Forecast</v>
      </c>
      <c r="CS4" s="667" t="str">
        <f>IF(CS$24="","",IF(CS$24&lt;=PROJECTS!$AP$257,"Actual","Forecast"))</f>
        <v>Forecast</v>
      </c>
      <c r="CT4" s="667" t="str">
        <f>IF(CT$24="","",IF(CT$24&lt;=PROJECTS!$AP$257,"Actual","Forecast"))</f>
        <v>Forecast</v>
      </c>
      <c r="CU4" s="667" t="str">
        <f>IF(CU$24="","",IF(CU$24&lt;=PROJECTS!$AP$257,"Actual","Forecast"))</f>
        <v>Forecast</v>
      </c>
      <c r="CV4" s="667" t="str">
        <f>IF(CV$24="","",IF(CV$24&lt;=PROJECTS!$AP$257,"Actual","Forecast"))</f>
        <v>Forecast</v>
      </c>
      <c r="CW4" s="667" t="str">
        <f>IF(CW$24="","",IF(CW$24&lt;=PROJECTS!$AP$257,"Actual","Forecast"))</f>
        <v>Forecast</v>
      </c>
      <c r="CX4" s="667" t="str">
        <f>IF(CX$24="","",IF(CX$24&lt;=PROJECTS!$AP$257,"Actual","Forecast"))</f>
        <v>Forecast</v>
      </c>
      <c r="CY4" s="667" t="str">
        <f>IF(CY$24="","",IF(CY$24&lt;=PROJECTS!$AP$257,"Actual","Forecast"))</f>
        <v>Forecast</v>
      </c>
      <c r="CZ4" s="667" t="str">
        <f>IF(CZ$24="","",IF(CZ$24&lt;=PROJECTS!$AP$257,"Actual","Forecast"))</f>
        <v>Forecast</v>
      </c>
      <c r="DA4" s="667" t="str">
        <f>IF(DA$24="","",IF(DA$24&lt;=PROJECTS!$AP$257,"Actual","Forecast"))</f>
        <v>Forecast</v>
      </c>
      <c r="DB4" s="667" t="str">
        <f>IF(DB$24="","",IF(DB$24&lt;=PROJECTS!$AP$257,"Actual","Forecast"))</f>
        <v>Forecast</v>
      </c>
      <c r="DC4" s="667" t="str">
        <f>IF(DC$24="","",IF(DC$24&lt;=PROJECTS!$AP$257,"Actual","Forecast"))</f>
        <v>Forecast</v>
      </c>
      <c r="DD4" s="667" t="str">
        <f>IF(DD$24="","",IF(DD$24&lt;=PROJECTS!$AP$257,"Actual","Forecast"))</f>
        <v>Forecast</v>
      </c>
      <c r="DE4" s="667" t="str">
        <f>IF(DE$24="","",IF(DE$24&lt;=PROJECTS!$AP$257,"Actual","Forecast"))</f>
        <v>Forecast</v>
      </c>
      <c r="DF4" s="667" t="str">
        <f>IF(DF$24="","",IF(DF$24&lt;=PROJECTS!$AP$257,"Actual","Forecast"))</f>
        <v>Forecast</v>
      </c>
      <c r="DG4" s="667" t="str">
        <f>IF(DG$24="","",IF(DG$24&lt;=PROJECTS!$AP$257,"Actual","Forecast"))</f>
        <v>Forecast</v>
      </c>
      <c r="DH4" s="667" t="str">
        <f>IF(DH$24="","",IF(DH$24&lt;=PROJECTS!$AP$257,"Actual","Forecast"))</f>
        <v>Forecast</v>
      </c>
      <c r="DI4" s="667" t="str">
        <f>IF(DI$24="","",IF(DI$24&lt;=PROJECTS!$AP$257,"Actual","Forecast"))</f>
        <v>Forecast</v>
      </c>
      <c r="DJ4" s="667" t="str">
        <f>IF(DJ$24="","",IF(DJ$24&lt;=PROJECTS!$AP$257,"Actual","Forecast"))</f>
        <v>Forecast</v>
      </c>
      <c r="DK4" s="667" t="str">
        <f>IF(DK$24="","",IF(DK$24&lt;=PROJECTS!$AP$257,"Actual","Forecast"))</f>
        <v>Forecast</v>
      </c>
      <c r="DL4" s="667" t="str">
        <f>IF(DL$24="","",IF(DL$24&lt;=PROJECTS!$AP$257,"Actual","Forecast"))</f>
        <v>Forecast</v>
      </c>
      <c r="DM4" s="667" t="str">
        <f>IF(DM$24="","",IF(DM$24&lt;=PROJECTS!$AP$257,"Actual","Forecast"))</f>
        <v>Forecast</v>
      </c>
      <c r="DN4" s="667" t="str">
        <f>IF(DN$24="","",IF(DN$24&lt;=PROJECTS!$AP$257,"Actual","Forecast"))</f>
        <v>Forecast</v>
      </c>
      <c r="DO4" s="667" t="str">
        <f>IF(DO$24="","",IF(DO$24&lt;=PROJECTS!$AP$257,"Actual","Forecast"))</f>
        <v>Forecast</v>
      </c>
      <c r="DP4" s="667" t="str">
        <f>IF(DP$24="","",IF(DP$24&lt;=PROJECTS!$AP$257,"Actual","Forecast"))</f>
        <v>Forecast</v>
      </c>
      <c r="DQ4" s="667" t="str">
        <f>IF(DQ$24="","",IF(DQ$24&lt;=PROJECTS!$AP$257,"Actual","Forecast"))</f>
        <v>Forecast</v>
      </c>
      <c r="DR4" s="667" t="str">
        <f>IF(DR$24="","",IF(DR$24&lt;=PROJECTS!$AP$257,"Actual","Forecast"))</f>
        <v>Forecast</v>
      </c>
      <c r="DS4" s="667" t="str">
        <f>IF(DS$24="","",IF(DS$24&lt;=PROJECTS!$AP$257,"Actual","Forecast"))</f>
        <v>Forecast</v>
      </c>
      <c r="DT4" s="667" t="str">
        <f>IF(DT$24="","",IF(DT$24&lt;=PROJECTS!$AP$257,"Actual","Forecast"))</f>
        <v>Forecast</v>
      </c>
      <c r="DU4" s="667" t="str">
        <f>IF(DU$24="","",IF(DU$24&lt;=PROJECTS!$AP$257,"Actual","Forecast"))</f>
        <v>Forecast</v>
      </c>
      <c r="DV4" s="667" t="str">
        <f>IF(DV$24="","",IF(DV$24&lt;=PROJECTS!$AP$257,"Actual","Forecast"))</f>
        <v>Forecast</v>
      </c>
      <c r="DW4" s="667" t="str">
        <f>IF(DW$24="","",IF(DW$24&lt;=PROJECTS!$AP$257,"Actual","Forecast"))</f>
        <v>Forecast</v>
      </c>
      <c r="DX4" s="667" t="str">
        <f>IF(DX$24="","",IF(DX$24&lt;=PROJECTS!$AP$257,"Actual","Forecast"))</f>
        <v>Forecast</v>
      </c>
      <c r="DY4" s="667" t="str">
        <f>IF(DY$24="","",IF(DY$24&lt;=PROJECTS!$AP$257,"Actual","Forecast"))</f>
        <v>Forecast</v>
      </c>
      <c r="DZ4" s="667" t="str">
        <f>IF(DZ$24="","",IF(DZ$24&lt;=PROJECTS!$AP$257,"Actual","Forecast"))</f>
        <v>Forecast</v>
      </c>
      <c r="EA4" s="667" t="str">
        <f>IF(EA$24="","",IF(EA$24&lt;=PROJECTS!$AP$257,"Actual","Forecast"))</f>
        <v>Forecast</v>
      </c>
      <c r="EB4" s="667" t="str">
        <f>IF(EB$24="","",IF(EB$24&lt;=PROJECTS!$AP$257,"Actual","Forecast"))</f>
        <v>Forecast</v>
      </c>
      <c r="EC4" s="667" t="str">
        <f>IF(EC$24="","",IF(EC$24&lt;=PROJECTS!$AP$257,"Actual","Forecast"))</f>
        <v>Forecast</v>
      </c>
      <c r="ED4" s="667" t="str">
        <f>IF(ED$24="","",IF(ED$24&lt;=PROJECTS!$AP$257,"Actual","Forecast"))</f>
        <v>Forecast</v>
      </c>
      <c r="EE4" s="667" t="str">
        <f>IF(EE$24="","",IF(EE$24&lt;=PROJECTS!$AP$257,"Actual","Forecast"))</f>
        <v>Forecast</v>
      </c>
      <c r="EF4" s="667" t="str">
        <f>IF(EF$24="","",IF(EF$24&lt;=PROJECTS!$AP$257,"Actual","Forecast"))</f>
        <v>Forecast</v>
      </c>
      <c r="EG4" s="667" t="str">
        <f>IF(EG$24="","",IF(EG$24&lt;=PROJECTS!$AP$257,"Actual","Forecast"))</f>
        <v>Forecast</v>
      </c>
      <c r="EH4" s="667" t="str">
        <f>IF(EH$24="","",IF(EH$24&lt;=PROJECTS!$AP$257,"Actual","Forecast"))</f>
        <v>Forecast</v>
      </c>
      <c r="EI4" s="667" t="str">
        <f>IF(EI$24="","",IF(EI$24&lt;=PROJECTS!$AP$257,"Actual","Forecast"))</f>
        <v>Forecast</v>
      </c>
      <c r="EJ4" s="667" t="str">
        <f>IF(EJ$24="","",IF(EJ$24&lt;=PROJECTS!$AP$257,"Actual","Forecast"))</f>
        <v>Forecast</v>
      </c>
      <c r="EK4" s="667" t="str">
        <f>IF(EK$24="","",IF(EK$24&lt;=PROJECTS!$AP$257,"Actual","Forecast"))</f>
        <v>Forecast</v>
      </c>
      <c r="EL4" s="667" t="str">
        <f>IF(EL$24="","",IF(EL$24&lt;=PROJECTS!$AP$257,"Actual","Forecast"))</f>
        <v>Forecast</v>
      </c>
      <c r="EM4" s="667" t="str">
        <f>IF(EM$24="","",IF(EM$24&lt;=PROJECTS!$AP$257,"Actual","Forecast"))</f>
        <v>Forecast</v>
      </c>
      <c r="EN4" s="667" t="str">
        <f>IF(EN$24="","",IF(EN$24&lt;=PROJECTS!$AP$257,"Actual","Forecast"))</f>
        <v>Forecast</v>
      </c>
      <c r="EP4" s="220"/>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Z4" s="263"/>
      <c r="KA4" s="263"/>
      <c r="KB4" s="263"/>
      <c r="KC4" s="263"/>
      <c r="KD4" s="263"/>
      <c r="KE4" s="263"/>
      <c r="KF4" s="263"/>
      <c r="KG4" s="263"/>
      <c r="KH4" s="263"/>
      <c r="KI4" s="263"/>
      <c r="KJ4" s="263"/>
      <c r="KK4" s="263"/>
      <c r="KL4" s="263"/>
      <c r="KM4" s="263"/>
      <c r="KN4" s="263"/>
      <c r="KO4" s="263"/>
      <c r="KP4" s="263"/>
      <c r="KQ4" s="263"/>
      <c r="KR4" s="263"/>
      <c r="KS4" s="263"/>
      <c r="KT4" s="263"/>
      <c r="KU4" s="263"/>
      <c r="KV4" s="263"/>
      <c r="KW4" s="263"/>
      <c r="KX4" s="263"/>
      <c r="KY4" s="263"/>
      <c r="KZ4" s="263"/>
      <c r="LA4" s="263"/>
      <c r="LB4" s="263"/>
      <c r="LC4" s="263"/>
      <c r="LD4" s="263"/>
      <c r="LE4" s="263"/>
      <c r="LF4" s="263"/>
      <c r="LG4" s="263"/>
      <c r="LH4" s="263"/>
      <c r="LI4" s="263"/>
      <c r="LJ4" s="263"/>
      <c r="LK4" s="263"/>
      <c r="LL4" s="263"/>
      <c r="LM4" s="263"/>
      <c r="LN4" s="263"/>
      <c r="LO4" s="263"/>
      <c r="LP4" s="263"/>
      <c r="LQ4" s="263"/>
      <c r="LR4" s="263"/>
      <c r="LS4" s="263"/>
      <c r="LT4" s="263"/>
      <c r="LU4" s="263"/>
      <c r="LV4" s="263"/>
      <c r="LW4" s="263"/>
      <c r="LX4" s="263"/>
      <c r="LY4" s="263"/>
      <c r="LZ4" s="263"/>
      <c r="MA4" s="263"/>
      <c r="MB4" s="263"/>
      <c r="MC4" s="263"/>
      <c r="MD4" s="263"/>
      <c r="ME4" s="263"/>
      <c r="MF4" s="263"/>
      <c r="MG4" s="263"/>
      <c r="MH4" s="263"/>
      <c r="MI4" s="263"/>
      <c r="MJ4" s="263"/>
      <c r="MK4" s="263"/>
      <c r="ML4" s="263"/>
      <c r="MM4" s="263"/>
      <c r="MN4" s="263"/>
      <c r="MO4" s="263"/>
      <c r="MP4" s="263"/>
      <c r="MQ4" s="263"/>
      <c r="MR4" s="263"/>
      <c r="MS4" s="263"/>
      <c r="MT4" s="263"/>
      <c r="MU4" s="263"/>
      <c r="MV4" s="263"/>
      <c r="MW4" s="263"/>
      <c r="MX4" s="263"/>
      <c r="MY4" s="263"/>
      <c r="MZ4" s="263"/>
      <c r="NA4" s="263"/>
      <c r="NB4" s="263"/>
      <c r="NC4" s="263"/>
      <c r="ND4" s="263"/>
      <c r="NE4" s="263"/>
      <c r="NF4" s="263"/>
      <c r="NG4" s="263"/>
      <c r="NH4" s="263"/>
      <c r="NI4" s="263"/>
      <c r="NJ4" s="263"/>
      <c r="NK4" s="263"/>
      <c r="NL4" s="263"/>
      <c r="NM4" s="263"/>
      <c r="NN4" s="263"/>
      <c r="NO4" s="263"/>
      <c r="NP4" s="263"/>
      <c r="NQ4" s="263"/>
      <c r="NR4" s="263"/>
      <c r="NS4" s="263"/>
      <c r="NT4" s="263"/>
      <c r="NU4" s="263"/>
      <c r="NV4" s="263"/>
      <c r="NW4" s="263"/>
      <c r="NX4" s="263"/>
      <c r="NY4" s="263"/>
      <c r="NZ4" s="263"/>
      <c r="OA4" s="263"/>
      <c r="OB4" s="263"/>
      <c r="OC4" s="263"/>
      <c r="OD4" s="263"/>
      <c r="OE4" s="263"/>
      <c r="OF4" s="263"/>
      <c r="OG4" s="263"/>
      <c r="OH4" s="263"/>
      <c r="OI4" s="263"/>
      <c r="OJ4" s="263"/>
      <c r="OK4" s="263"/>
      <c r="OL4" s="263"/>
      <c r="OM4" s="263"/>
      <c r="ON4" s="263"/>
      <c r="OO4" s="263"/>
      <c r="OP4" s="263"/>
      <c r="OQ4" s="263"/>
      <c r="OR4" s="263"/>
      <c r="OS4" s="263"/>
      <c r="OT4" s="263"/>
      <c r="OU4" s="263"/>
      <c r="OV4" s="263"/>
      <c r="OW4" s="263"/>
      <c r="OX4" s="263"/>
      <c r="OY4" s="263"/>
      <c r="OZ4" s="263"/>
      <c r="PA4" s="263"/>
      <c r="PB4" s="263"/>
      <c r="PC4" s="263"/>
      <c r="PD4" s="263"/>
      <c r="PE4" s="263"/>
      <c r="PF4" s="263"/>
      <c r="PG4" s="263"/>
      <c r="PH4" s="263"/>
    </row>
    <row r="5" s="29" customFormat="1" ht="13.5">
      <c r="A5" s="379"/>
      <c r="B5" s="380" t="s">
        <v>91</v>
      </c>
      <c r="C5" s="30" t="n">
        <f>H212</f>
        <v>0.9214507461435774</v>
      </c>
      <c r="D5" s="31" t="s">
        <v>92</v>
      </c>
      <c r="E5" s="381" t="n">
        <f>G212</f>
        <v>9.688789923849196</v>
      </c>
      <c r="F5" s="280" t="n">
        <f>Timing_Reversion_Month</f>
        <v>61</v>
      </c>
      <c r="G5" s="30"/>
      <c r="H5" s="380" t="s">
        <v>93</v>
      </c>
      <c r="I5" s="33" t="n">
        <f>H217</f>
        <v>417.46410456714233</v>
      </c>
      <c r="K5" s="380"/>
      <c r="L5" s="380"/>
      <c r="M5" s="380"/>
      <c r="N5" s="380"/>
      <c r="O5" s="380"/>
      <c r="P5" s="380"/>
      <c r="Q5" s="380"/>
      <c r="R5" s="380"/>
      <c r="S5" s="380"/>
      <c r="T5" s="380"/>
      <c r="U5" s="380"/>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380"/>
      <c r="BJ5" s="380"/>
      <c r="BK5" s="380"/>
      <c r="BL5" s="380"/>
      <c r="BM5" s="380"/>
      <c r="BN5" s="380"/>
      <c r="BO5" s="380"/>
      <c r="BP5" s="380"/>
      <c r="BQ5" s="380"/>
      <c r="BR5" s="380"/>
      <c r="BS5" s="380"/>
      <c r="BT5" s="380"/>
      <c r="BU5" s="380"/>
      <c r="BV5" s="380"/>
      <c r="BW5" s="380"/>
      <c r="BX5" s="380"/>
      <c r="BY5" s="380"/>
      <c r="BZ5" s="380"/>
      <c r="CA5" s="380"/>
      <c r="CB5" s="380"/>
      <c r="CC5" s="380"/>
      <c r="CD5" s="380"/>
      <c r="CE5" s="380"/>
      <c r="CF5" s="380"/>
      <c r="CG5" s="380"/>
      <c r="CH5" s="380"/>
      <c r="CI5" s="380"/>
      <c r="CJ5" s="380"/>
      <c r="CK5" s="380"/>
      <c r="CL5" s="380"/>
      <c r="CM5" s="380"/>
      <c r="CN5" s="380"/>
      <c r="CO5" s="380"/>
      <c r="CP5" s="380"/>
      <c r="CQ5" s="380"/>
      <c r="CR5" s="380"/>
      <c r="CS5" s="380"/>
      <c r="CT5" s="380"/>
      <c r="CU5" s="380"/>
      <c r="CV5" s="380"/>
      <c r="CW5" s="380"/>
      <c r="CX5" s="380"/>
      <c r="CY5" s="380"/>
      <c r="CZ5" s="380"/>
      <c r="DA5" s="380"/>
      <c r="DB5" s="380"/>
      <c r="DC5" s="380"/>
      <c r="DD5" s="380"/>
      <c r="DE5" s="380"/>
      <c r="DF5" s="380"/>
      <c r="DG5" s="380"/>
      <c r="DH5" s="380"/>
      <c r="DI5" s="380"/>
      <c r="DJ5" s="380"/>
      <c r="DK5" s="380"/>
      <c r="DL5" s="380"/>
      <c r="DM5" s="380"/>
      <c r="DN5" s="380"/>
      <c r="DO5" s="380"/>
      <c r="DP5" s="380"/>
      <c r="DQ5" s="380"/>
      <c r="DR5" s="380"/>
      <c r="DS5" s="380"/>
      <c r="DT5" s="380"/>
      <c r="DU5" s="380"/>
      <c r="DV5" s="380"/>
      <c r="DW5" s="380"/>
      <c r="DX5" s="380"/>
      <c r="DY5" s="380"/>
      <c r="DZ5" s="380"/>
      <c r="EA5" s="380"/>
      <c r="EB5" s="380"/>
      <c r="EC5" s="380"/>
      <c r="ED5" s="380"/>
      <c r="EE5" s="380"/>
      <c r="EF5" s="380"/>
      <c r="EG5" s="380"/>
      <c r="EH5" s="380"/>
      <c r="EI5" s="380"/>
      <c r="EJ5" s="380"/>
      <c r="EK5" s="380"/>
      <c r="EL5" s="380"/>
      <c r="EM5" s="382" t="s">
        <v>94</v>
      </c>
      <c r="EN5" s="383" t="s">
        <v>95</v>
      </c>
      <c r="EO5" s="384">
        <v>1</v>
      </c>
      <c r="EP5" s="385"/>
      <c r="EQ5" s="386"/>
      <c r="ER5" s="386"/>
      <c r="ES5" s="386"/>
      <c r="ET5" s="386"/>
      <c r="EU5" s="386"/>
      <c r="EV5" s="386"/>
      <c r="EW5" s="386"/>
      <c r="EX5" s="386"/>
      <c r="EY5" s="386"/>
      <c r="EZ5" s="386"/>
      <c r="FA5" s="386"/>
      <c r="FB5" s="386"/>
      <c r="FC5" s="386"/>
      <c r="FD5" s="386"/>
      <c r="FE5" s="386"/>
      <c r="FF5" s="386"/>
      <c r="FG5" s="386"/>
      <c r="FH5" s="386"/>
      <c r="FI5" s="386"/>
      <c r="FJ5" s="386"/>
      <c r="FK5" s="386"/>
      <c r="FL5" s="386"/>
      <c r="FM5" s="386"/>
      <c r="FN5" s="386"/>
      <c r="FO5" s="386"/>
      <c r="FP5" s="386"/>
      <c r="FQ5" s="386"/>
      <c r="FR5" s="386"/>
      <c r="FS5" s="386"/>
      <c r="FT5" s="386"/>
      <c r="FU5" s="386"/>
      <c r="FV5" s="386"/>
      <c r="FW5" s="386"/>
      <c r="FX5" s="386"/>
      <c r="FY5" s="386"/>
      <c r="FZ5" s="386"/>
      <c r="GA5" s="386"/>
      <c r="GB5" s="386"/>
      <c r="GC5" s="386"/>
      <c r="GD5" s="386"/>
      <c r="GE5" s="386"/>
      <c r="GF5" s="386"/>
      <c r="GG5" s="386"/>
      <c r="GH5" s="386"/>
      <c r="GI5" s="386"/>
      <c r="GJ5" s="386"/>
      <c r="GK5" s="386"/>
      <c r="GL5" s="386"/>
      <c r="GM5" s="386"/>
      <c r="GN5" s="386"/>
      <c r="GO5" s="386"/>
      <c r="GP5" s="386"/>
      <c r="GQ5" s="386"/>
      <c r="GR5" s="386"/>
      <c r="GS5" s="386"/>
      <c r="GT5" s="386"/>
      <c r="GU5" s="386"/>
      <c r="GV5" s="386"/>
      <c r="GW5" s="386"/>
      <c r="GX5" s="386"/>
      <c r="GY5" s="386"/>
      <c r="GZ5" s="386"/>
      <c r="HA5" s="386"/>
      <c r="HB5" s="386"/>
      <c r="HC5" s="386"/>
      <c r="HD5" s="386"/>
      <c r="HE5" s="386"/>
      <c r="HF5" s="386"/>
      <c r="HG5" s="386"/>
      <c r="HH5" s="386"/>
      <c r="HI5" s="386"/>
      <c r="HJ5" s="386"/>
      <c r="HK5" s="386"/>
      <c r="HL5" s="386"/>
      <c r="HM5" s="386"/>
      <c r="HN5" s="386"/>
      <c r="HO5" s="386"/>
      <c r="HP5" s="386"/>
      <c r="HQ5" s="386"/>
      <c r="HR5" s="386"/>
      <c r="HS5" s="386"/>
      <c r="HT5" s="386"/>
      <c r="HU5" s="386"/>
      <c r="HV5" s="386"/>
      <c r="HW5" s="386"/>
      <c r="HX5" s="386"/>
      <c r="HY5" s="386"/>
      <c r="HZ5" s="386"/>
      <c r="IA5" s="386"/>
      <c r="IB5" s="386"/>
      <c r="IC5" s="386"/>
      <c r="ID5" s="386"/>
      <c r="IE5" s="386"/>
      <c r="IF5" s="386"/>
      <c r="IG5" s="386"/>
      <c r="IH5" s="386"/>
      <c r="II5" s="386"/>
      <c r="IJ5" s="386"/>
      <c r="IK5" s="386"/>
      <c r="IL5" s="386"/>
      <c r="IM5" s="386"/>
      <c r="IN5" s="386"/>
      <c r="IO5" s="386"/>
      <c r="IP5" s="386"/>
      <c r="IQ5" s="386"/>
      <c r="IR5" s="386"/>
      <c r="IS5" s="386"/>
      <c r="IT5" s="386"/>
      <c r="IU5" s="386"/>
      <c r="IV5" s="386"/>
      <c r="IW5" s="386"/>
      <c r="IX5" s="386"/>
      <c r="IY5" s="386"/>
      <c r="IZ5" s="386"/>
      <c r="JA5" s="386"/>
      <c r="JB5" s="386"/>
      <c r="JC5" s="386"/>
      <c r="JD5" s="386"/>
      <c r="JE5" s="386"/>
      <c r="JF5" s="386"/>
      <c r="JG5" s="386"/>
      <c r="JH5" s="386"/>
      <c r="JI5" s="386"/>
      <c r="JJ5" s="386"/>
      <c r="JK5" s="386"/>
      <c r="JL5" s="386"/>
      <c r="JM5" s="386"/>
      <c r="JN5" s="386"/>
      <c r="JO5" s="386"/>
      <c r="JP5" s="386"/>
      <c r="JQ5" s="386"/>
      <c r="JR5" s="386"/>
      <c r="JS5" s="386"/>
      <c r="JT5" s="386"/>
      <c r="JU5" s="386"/>
      <c r="JV5" s="386"/>
      <c r="JW5" s="386"/>
      <c r="JX5" s="386"/>
      <c r="JZ5" s="387"/>
      <c r="KA5" s="387"/>
      <c r="KB5" s="387"/>
      <c r="KC5" s="387"/>
      <c r="KD5" s="387"/>
      <c r="KE5" s="387"/>
      <c r="KF5" s="387"/>
      <c r="KG5" s="387"/>
      <c r="KH5" s="387"/>
      <c r="KI5" s="387"/>
      <c r="KJ5" s="387"/>
      <c r="KK5" s="387"/>
      <c r="KL5" s="387"/>
      <c r="KM5" s="387"/>
      <c r="KN5" s="387"/>
      <c r="KO5" s="387"/>
      <c r="KP5" s="387"/>
      <c r="KQ5" s="387"/>
      <c r="KR5" s="387"/>
      <c r="KS5" s="387"/>
      <c r="KT5" s="387"/>
      <c r="KU5" s="387"/>
      <c r="KV5" s="387"/>
      <c r="KW5" s="387"/>
      <c r="KX5" s="387"/>
      <c r="KY5" s="387"/>
      <c r="KZ5" s="387"/>
      <c r="LA5" s="387"/>
      <c r="LB5" s="387"/>
      <c r="LC5" s="387"/>
      <c r="LD5" s="387"/>
      <c r="LE5" s="387"/>
      <c r="LF5" s="387"/>
      <c r="LG5" s="387"/>
      <c r="LH5" s="387"/>
      <c r="LI5" s="387"/>
      <c r="LJ5" s="387"/>
      <c r="LK5" s="387"/>
      <c r="LL5" s="387"/>
      <c r="LM5" s="387"/>
      <c r="LN5" s="387"/>
      <c r="LO5" s="387"/>
      <c r="LP5" s="387"/>
      <c r="LQ5" s="387"/>
      <c r="LR5" s="387"/>
      <c r="LS5" s="387"/>
      <c r="LT5" s="387"/>
      <c r="LU5" s="387"/>
      <c r="LV5" s="387"/>
      <c r="LW5" s="387"/>
      <c r="LX5" s="387"/>
      <c r="LY5" s="387"/>
      <c r="LZ5" s="387"/>
      <c r="MA5" s="387"/>
      <c r="MB5" s="387"/>
      <c r="MC5" s="387"/>
      <c r="MD5" s="387"/>
      <c r="ME5" s="387"/>
      <c r="MF5" s="387"/>
      <c r="MG5" s="387"/>
      <c r="MH5" s="387"/>
      <c r="MI5" s="387"/>
      <c r="MJ5" s="387"/>
      <c r="MK5" s="387"/>
      <c r="ML5" s="387"/>
      <c r="MM5" s="387"/>
      <c r="MN5" s="387"/>
      <c r="MO5" s="387"/>
      <c r="MP5" s="387"/>
      <c r="MQ5" s="387"/>
      <c r="MR5" s="387"/>
      <c r="MS5" s="387"/>
      <c r="MT5" s="387"/>
      <c r="MU5" s="387"/>
      <c r="MV5" s="387"/>
      <c r="MW5" s="387"/>
      <c r="MX5" s="387"/>
      <c r="MY5" s="387"/>
      <c r="MZ5" s="387"/>
      <c r="NA5" s="387"/>
      <c r="NB5" s="387"/>
      <c r="NC5" s="387"/>
      <c r="ND5" s="387"/>
      <c r="NE5" s="387"/>
      <c r="NF5" s="387"/>
      <c r="NG5" s="387"/>
      <c r="NH5" s="387"/>
      <c r="NI5" s="387"/>
      <c r="NJ5" s="387"/>
      <c r="NK5" s="387"/>
      <c r="NL5" s="387"/>
      <c r="NM5" s="387"/>
      <c r="NN5" s="387"/>
      <c r="NO5" s="387"/>
      <c r="NP5" s="387"/>
      <c r="NQ5" s="387"/>
      <c r="NR5" s="387"/>
      <c r="NS5" s="387"/>
      <c r="NT5" s="387"/>
      <c r="NU5" s="387"/>
      <c r="NV5" s="387"/>
      <c r="NW5" s="387"/>
      <c r="NX5" s="387"/>
      <c r="NY5" s="387"/>
      <c r="NZ5" s="387"/>
      <c r="OA5" s="387"/>
      <c r="OB5" s="387"/>
      <c r="OC5" s="387"/>
      <c r="OD5" s="387"/>
      <c r="OE5" s="387"/>
      <c r="OF5" s="387"/>
      <c r="OG5" s="387"/>
      <c r="OH5" s="387"/>
      <c r="OI5" s="387"/>
      <c r="OJ5" s="387"/>
      <c r="OK5" s="387"/>
      <c r="OL5" s="387"/>
      <c r="OM5" s="387"/>
      <c r="ON5" s="387"/>
      <c r="OO5" s="387"/>
      <c r="OP5" s="387"/>
      <c r="OQ5" s="387"/>
      <c r="OR5" s="387"/>
      <c r="OS5" s="387"/>
      <c r="OT5" s="387"/>
      <c r="OU5" s="387"/>
      <c r="OV5" s="387"/>
      <c r="OW5" s="387"/>
      <c r="OX5" s="387"/>
      <c r="OY5" s="387"/>
      <c r="OZ5" s="387"/>
      <c r="PA5" s="387"/>
      <c r="PB5" s="387"/>
      <c r="PC5" s="387"/>
      <c r="PD5" s="387"/>
      <c r="PE5" s="387"/>
      <c r="PF5" s="387"/>
      <c r="PG5" s="387"/>
      <c r="PH5" s="387"/>
    </row>
    <row r="6" s="29" customFormat="1" ht="13.5">
      <c r="A6" s="379"/>
      <c r="B6" s="380"/>
      <c r="C6" s="30"/>
      <c r="D6" s="31"/>
      <c r="E6" s="32"/>
      <c r="F6" s="32"/>
      <c r="G6" s="30"/>
      <c r="H6" s="380"/>
      <c r="I6" s="33"/>
      <c r="K6" s="380"/>
      <c r="L6" s="380"/>
      <c r="M6" s="380"/>
      <c r="N6" s="380"/>
      <c r="O6" s="380"/>
      <c r="P6" s="380"/>
      <c r="Q6" s="380"/>
      <c r="R6" s="380"/>
      <c r="S6" s="380"/>
      <c r="T6" s="380"/>
      <c r="U6" s="380"/>
      <c r="V6" s="380"/>
      <c r="W6" s="380"/>
      <c r="X6" s="380"/>
      <c r="Y6" s="380"/>
      <c r="Z6" s="380"/>
      <c r="AA6" s="380"/>
      <c r="AB6" s="380"/>
      <c r="AC6" s="380"/>
      <c r="AD6" s="380"/>
      <c r="AE6" s="380"/>
      <c r="AF6" s="380"/>
      <c r="AG6" s="380"/>
      <c r="AH6" s="380"/>
      <c r="AI6" s="380"/>
      <c r="AJ6" s="380"/>
      <c r="AK6" s="380"/>
      <c r="AL6" s="380"/>
      <c r="AM6" s="380"/>
      <c r="AN6" s="380"/>
      <c r="AO6" s="380"/>
      <c r="AP6" s="380"/>
      <c r="AQ6" s="380"/>
      <c r="AR6" s="380"/>
      <c r="AS6" s="380"/>
      <c r="AT6" s="380"/>
      <c r="AU6" s="380"/>
      <c r="AV6" s="380"/>
      <c r="AW6" s="380"/>
      <c r="AX6" s="380"/>
      <c r="AY6" s="380"/>
      <c r="AZ6" s="380"/>
      <c r="BA6" s="380"/>
      <c r="BB6" s="380"/>
      <c r="BC6" s="380"/>
      <c r="BD6" s="380"/>
      <c r="BE6" s="380"/>
      <c r="BF6" s="380"/>
      <c r="BG6" s="380"/>
      <c r="BH6" s="380"/>
      <c r="BI6" s="380"/>
      <c r="BJ6" s="380"/>
      <c r="BK6" s="380"/>
      <c r="BL6" s="380"/>
      <c r="BM6" s="380"/>
      <c r="BN6" s="380"/>
      <c r="BO6" s="380"/>
      <c r="BP6" s="380"/>
      <c r="BQ6" s="380"/>
      <c r="BR6" s="380"/>
      <c r="BS6" s="380"/>
      <c r="BT6" s="380"/>
      <c r="BU6" s="380"/>
      <c r="BV6" s="380"/>
      <c r="BW6" s="380"/>
      <c r="BX6" s="380"/>
      <c r="BY6" s="380"/>
      <c r="BZ6" s="380"/>
      <c r="CA6" s="380"/>
      <c r="CB6" s="380"/>
      <c r="CC6" s="380"/>
      <c r="CD6" s="380"/>
      <c r="CE6" s="380"/>
      <c r="CF6" s="380"/>
      <c r="CG6" s="380"/>
      <c r="CH6" s="380"/>
      <c r="CI6" s="380"/>
      <c r="CJ6" s="380"/>
      <c r="CK6" s="380"/>
      <c r="CL6" s="380"/>
      <c r="CM6" s="380"/>
      <c r="CN6" s="380"/>
      <c r="CO6" s="380"/>
      <c r="CP6" s="380"/>
      <c r="CQ6" s="380"/>
      <c r="CR6" s="380"/>
      <c r="CS6" s="380"/>
      <c r="CT6" s="380"/>
      <c r="CU6" s="380"/>
      <c r="CV6" s="380"/>
      <c r="CW6" s="380"/>
      <c r="CX6" s="380"/>
      <c r="CY6" s="380"/>
      <c r="CZ6" s="380"/>
      <c r="DA6" s="380"/>
      <c r="DB6" s="380"/>
      <c r="DC6" s="380"/>
      <c r="DD6" s="380"/>
      <c r="DE6" s="380"/>
      <c r="DF6" s="380"/>
      <c r="DG6" s="380"/>
      <c r="DH6" s="380"/>
      <c r="DI6" s="380"/>
      <c r="DJ6" s="380"/>
      <c r="DK6" s="380"/>
      <c r="DL6" s="380"/>
      <c r="DM6" s="380"/>
      <c r="DN6" s="380"/>
      <c r="DO6" s="380"/>
      <c r="DP6" s="380"/>
      <c r="DQ6" s="380"/>
      <c r="DR6" s="380"/>
      <c r="DS6" s="380"/>
      <c r="DT6" s="380"/>
      <c r="DU6" s="380"/>
      <c r="DV6" s="380"/>
      <c r="DW6" s="380"/>
      <c r="DX6" s="380"/>
      <c r="DY6" s="380"/>
      <c r="DZ6" s="380"/>
      <c r="EA6" s="380"/>
      <c r="EB6" s="380"/>
      <c r="EC6" s="380"/>
      <c r="ED6" s="380"/>
      <c r="EE6" s="380"/>
      <c r="EF6" s="380"/>
      <c r="EG6" s="380"/>
      <c r="EH6" s="380"/>
      <c r="EI6" s="380"/>
      <c r="EJ6" s="380"/>
      <c r="EK6" s="380"/>
      <c r="EL6" s="380"/>
      <c r="EM6" s="388"/>
      <c r="EN6" s="389"/>
      <c r="EO6" s="380"/>
      <c r="EP6" s="385"/>
      <c r="EQ6" s="386"/>
      <c r="ER6" s="386"/>
      <c r="ES6" s="386"/>
      <c r="ET6" s="386"/>
      <c r="EU6" s="386"/>
      <c r="EV6" s="386"/>
      <c r="EW6" s="386"/>
      <c r="EX6" s="386"/>
      <c r="EY6" s="386"/>
      <c r="EZ6" s="386"/>
      <c r="FA6" s="386"/>
      <c r="FB6" s="386"/>
      <c r="FC6" s="386"/>
      <c r="FD6" s="386"/>
      <c r="FE6" s="386"/>
      <c r="FF6" s="386"/>
      <c r="FG6" s="386"/>
      <c r="FH6" s="386"/>
      <c r="FI6" s="386"/>
      <c r="FJ6" s="386"/>
      <c r="FK6" s="386"/>
      <c r="FL6" s="386"/>
      <c r="FM6" s="386"/>
      <c r="FN6" s="386"/>
      <c r="FO6" s="386"/>
      <c r="FP6" s="386"/>
      <c r="FQ6" s="386"/>
      <c r="FR6" s="386"/>
      <c r="FS6" s="386"/>
      <c r="FT6" s="386"/>
      <c r="FU6" s="386"/>
      <c r="FV6" s="386"/>
      <c r="FW6" s="386"/>
      <c r="FX6" s="386"/>
      <c r="FY6" s="386"/>
      <c r="FZ6" s="386"/>
      <c r="GA6" s="386"/>
      <c r="GB6" s="386"/>
      <c r="GC6" s="386"/>
      <c r="GD6" s="386"/>
      <c r="GE6" s="386"/>
      <c r="GF6" s="386"/>
      <c r="GG6" s="386"/>
      <c r="GH6" s="386"/>
      <c r="GI6" s="386"/>
      <c r="GJ6" s="386"/>
      <c r="GK6" s="386"/>
      <c r="GL6" s="386"/>
      <c r="GM6" s="386"/>
      <c r="GN6" s="386"/>
      <c r="GO6" s="386"/>
      <c r="GP6" s="386"/>
      <c r="GQ6" s="386"/>
      <c r="GR6" s="386"/>
      <c r="GS6" s="386"/>
      <c r="GT6" s="386"/>
      <c r="GU6" s="386"/>
      <c r="GV6" s="386"/>
      <c r="GW6" s="386"/>
      <c r="GX6" s="386"/>
      <c r="GY6" s="386"/>
      <c r="GZ6" s="386"/>
      <c r="HA6" s="386"/>
      <c r="HB6" s="386"/>
      <c r="HC6" s="386"/>
      <c r="HD6" s="386"/>
      <c r="HE6" s="386"/>
      <c r="HF6" s="386"/>
      <c r="HG6" s="386"/>
      <c r="HH6" s="386"/>
      <c r="HI6" s="386"/>
      <c r="HJ6" s="386"/>
      <c r="HK6" s="386"/>
      <c r="HL6" s="386"/>
      <c r="HM6" s="386"/>
      <c r="HN6" s="386"/>
      <c r="HO6" s="386"/>
      <c r="HP6" s="386"/>
      <c r="HQ6" s="386"/>
      <c r="HR6" s="386"/>
      <c r="HS6" s="386"/>
      <c r="HT6" s="386"/>
      <c r="HU6" s="386"/>
      <c r="HV6" s="386"/>
      <c r="HW6" s="386"/>
      <c r="HX6" s="386"/>
      <c r="HY6" s="386"/>
      <c r="HZ6" s="386"/>
      <c r="IA6" s="386"/>
      <c r="IB6" s="386"/>
      <c r="IC6" s="386"/>
      <c r="ID6" s="386"/>
      <c r="IE6" s="386"/>
      <c r="IF6" s="386"/>
      <c r="IG6" s="386"/>
      <c r="IH6" s="386"/>
      <c r="II6" s="386"/>
      <c r="IJ6" s="386"/>
      <c r="IK6" s="386"/>
      <c r="IL6" s="386"/>
      <c r="IM6" s="386"/>
      <c r="IN6" s="386"/>
      <c r="IO6" s="386"/>
      <c r="IP6" s="386"/>
      <c r="IQ6" s="386"/>
      <c r="IR6" s="386"/>
      <c r="IS6" s="386"/>
      <c r="IT6" s="386"/>
      <c r="IU6" s="386"/>
      <c r="IV6" s="386"/>
      <c r="IW6" s="386"/>
      <c r="IX6" s="386"/>
      <c r="IY6" s="386"/>
      <c r="IZ6" s="386"/>
      <c r="JA6" s="386"/>
      <c r="JB6" s="386"/>
      <c r="JC6" s="386"/>
      <c r="JD6" s="386"/>
      <c r="JE6" s="386"/>
      <c r="JF6" s="386"/>
      <c r="JG6" s="386"/>
      <c r="JH6" s="386"/>
      <c r="JI6" s="386"/>
      <c r="JJ6" s="386"/>
      <c r="JK6" s="386"/>
      <c r="JL6" s="386"/>
      <c r="JM6" s="386"/>
      <c r="JN6" s="386"/>
      <c r="JO6" s="386"/>
      <c r="JP6" s="386"/>
      <c r="JQ6" s="386"/>
      <c r="JR6" s="386"/>
      <c r="JS6" s="386"/>
      <c r="JT6" s="386"/>
      <c r="JU6" s="386"/>
      <c r="JV6" s="386"/>
      <c r="JW6" s="386"/>
      <c r="JX6" s="386"/>
      <c r="JZ6" s="387"/>
      <c r="KA6" s="387"/>
      <c r="KB6" s="387"/>
      <c r="KC6" s="387"/>
      <c r="KD6" s="387"/>
      <c r="KE6" s="387"/>
      <c r="KF6" s="387"/>
      <c r="KG6" s="387"/>
      <c r="KH6" s="387"/>
      <c r="KI6" s="387"/>
      <c r="KJ6" s="387"/>
      <c r="KK6" s="387"/>
      <c r="KL6" s="387"/>
      <c r="KM6" s="387"/>
      <c r="KN6" s="387"/>
      <c r="KO6" s="387"/>
      <c r="KP6" s="387"/>
      <c r="KQ6" s="387"/>
      <c r="KR6" s="387"/>
      <c r="KS6" s="387"/>
      <c r="KT6" s="387"/>
      <c r="KU6" s="387"/>
      <c r="KV6" s="387"/>
      <c r="KW6" s="387"/>
      <c r="KX6" s="387"/>
      <c r="KY6" s="387"/>
      <c r="KZ6" s="387"/>
      <c r="LA6" s="387"/>
      <c r="LB6" s="387"/>
      <c r="LC6" s="387"/>
      <c r="LD6" s="387"/>
      <c r="LE6" s="387"/>
      <c r="LF6" s="387"/>
      <c r="LG6" s="387"/>
      <c r="LH6" s="387"/>
      <c r="LI6" s="387"/>
      <c r="LJ6" s="387"/>
      <c r="LK6" s="387"/>
      <c r="LL6" s="387"/>
      <c r="LM6" s="387"/>
      <c r="LN6" s="387"/>
      <c r="LO6" s="387"/>
      <c r="LP6" s="387"/>
      <c r="LQ6" s="387"/>
      <c r="LR6" s="387"/>
      <c r="LS6" s="387"/>
      <c r="LT6" s="387"/>
      <c r="LU6" s="387"/>
      <c r="LV6" s="387"/>
      <c r="LW6" s="387"/>
      <c r="LX6" s="387"/>
      <c r="LY6" s="387"/>
      <c r="LZ6" s="387"/>
      <c r="MA6" s="387"/>
      <c r="MB6" s="387"/>
      <c r="MC6" s="387"/>
      <c r="MD6" s="387"/>
      <c r="ME6" s="387"/>
      <c r="MF6" s="387"/>
      <c r="MG6" s="387"/>
      <c r="MH6" s="387"/>
      <c r="MI6" s="387"/>
      <c r="MJ6" s="387"/>
      <c r="MK6" s="387"/>
      <c r="ML6" s="387"/>
      <c r="MM6" s="387"/>
      <c r="MN6" s="387"/>
      <c r="MO6" s="387"/>
      <c r="MP6" s="387"/>
      <c r="MQ6" s="387"/>
      <c r="MR6" s="387"/>
      <c r="MS6" s="387"/>
      <c r="MT6" s="387"/>
      <c r="MU6" s="387"/>
      <c r="MV6" s="387"/>
      <c r="MW6" s="387"/>
      <c r="MX6" s="387"/>
      <c r="MY6" s="387"/>
      <c r="MZ6" s="387"/>
      <c r="NA6" s="387"/>
      <c r="NB6" s="387"/>
      <c r="NC6" s="387"/>
      <c r="ND6" s="387"/>
      <c r="NE6" s="387"/>
      <c r="NF6" s="387"/>
      <c r="NG6" s="387"/>
      <c r="NH6" s="387"/>
      <c r="NI6" s="387"/>
      <c r="NJ6" s="387"/>
      <c r="NK6" s="387"/>
      <c r="NL6" s="387"/>
      <c r="NM6" s="387"/>
      <c r="NN6" s="387"/>
      <c r="NO6" s="387"/>
      <c r="NP6" s="387"/>
      <c r="NQ6" s="387"/>
      <c r="NR6" s="387"/>
      <c r="NS6" s="387"/>
      <c r="NT6" s="387"/>
      <c r="NU6" s="387"/>
      <c r="NV6" s="387"/>
      <c r="NW6" s="387"/>
      <c r="NX6" s="387"/>
      <c r="NY6" s="387"/>
      <c r="NZ6" s="387"/>
      <c r="OA6" s="387"/>
      <c r="OB6" s="387"/>
      <c r="OC6" s="387"/>
      <c r="OD6" s="387"/>
      <c r="OE6" s="387"/>
      <c r="OF6" s="387"/>
      <c r="OG6" s="387"/>
      <c r="OH6" s="387"/>
      <c r="OI6" s="387"/>
      <c r="OJ6" s="387"/>
      <c r="OK6" s="387"/>
      <c r="OL6" s="387"/>
      <c r="OM6" s="387"/>
      <c r="ON6" s="387"/>
      <c r="OO6" s="387"/>
      <c r="OP6" s="387"/>
      <c r="OQ6" s="387"/>
      <c r="OR6" s="387"/>
      <c r="OS6" s="387"/>
      <c r="OT6" s="387"/>
      <c r="OU6" s="387"/>
      <c r="OV6" s="387"/>
      <c r="OW6" s="387"/>
      <c r="OX6" s="387"/>
      <c r="OY6" s="387"/>
      <c r="OZ6" s="387"/>
      <c r="PA6" s="387"/>
      <c r="PB6" s="387"/>
      <c r="PC6" s="387"/>
      <c r="PD6" s="387"/>
      <c r="PE6" s="387"/>
      <c r="PF6" s="387"/>
      <c r="PG6" s="387"/>
      <c r="PH6" s="387"/>
    </row>
    <row r="7">
      <c r="B7" s="390"/>
      <c r="C7" s="390"/>
      <c r="D7" s="390"/>
      <c r="E7" s="390"/>
      <c r="F7" s="390"/>
      <c r="G7" s="390"/>
      <c r="H7" s="390"/>
      <c r="I7" s="390"/>
      <c r="J7" s="391"/>
      <c r="K7" s="392"/>
      <c r="L7" s="392"/>
      <c r="M7" s="392"/>
      <c r="N7" s="392"/>
      <c r="O7" s="392"/>
      <c r="P7" s="392"/>
      <c r="Q7" s="392"/>
      <c r="R7" s="392"/>
      <c r="S7" s="392"/>
      <c r="T7" s="392"/>
      <c r="U7" s="392"/>
      <c r="V7" s="392"/>
      <c r="W7" s="392"/>
      <c r="X7" s="392"/>
      <c r="Y7" s="392"/>
      <c r="Z7" s="392"/>
      <c r="AA7" s="392"/>
      <c r="AB7" s="392"/>
      <c r="AC7" s="392"/>
      <c r="AD7" s="392"/>
      <c r="AE7" s="392"/>
      <c r="AF7" s="392"/>
      <c r="AG7" s="392"/>
      <c r="AH7" s="392"/>
      <c r="AI7" s="392"/>
      <c r="AJ7" s="392"/>
      <c r="AK7" s="392"/>
      <c r="AL7" s="392"/>
      <c r="AM7" s="392"/>
      <c r="AN7" s="392"/>
      <c r="AO7" s="392"/>
      <c r="AP7" s="392"/>
      <c r="AQ7" s="392"/>
      <c r="AR7" s="392"/>
      <c r="AS7" s="392"/>
      <c r="AT7" s="392"/>
      <c r="AU7" s="392"/>
      <c r="AV7" s="392"/>
      <c r="AW7" s="392"/>
      <c r="AX7" s="392"/>
      <c r="AY7" s="392"/>
      <c r="AZ7" s="392"/>
      <c r="BA7" s="392"/>
      <c r="BB7" s="392"/>
      <c r="BC7" s="392"/>
      <c r="BD7" s="392"/>
      <c r="BE7" s="392"/>
      <c r="BF7" s="392"/>
      <c r="BG7" s="392"/>
      <c r="BH7" s="392"/>
      <c r="BI7" s="392"/>
      <c r="BJ7" s="392"/>
      <c r="BK7" s="392"/>
      <c r="BL7" s="392"/>
      <c r="BM7" s="392"/>
      <c r="BN7" s="392"/>
      <c r="BO7" s="392"/>
      <c r="BP7" s="392"/>
      <c r="BQ7" s="392"/>
      <c r="BR7" s="392"/>
      <c r="BS7" s="392"/>
      <c r="BT7" s="392"/>
      <c r="BU7" s="392"/>
      <c r="BV7" s="392"/>
      <c r="BW7" s="392"/>
      <c r="BX7" s="392"/>
      <c r="BY7" s="392"/>
      <c r="BZ7" s="392"/>
      <c r="CA7" s="392"/>
      <c r="CB7" s="392"/>
      <c r="CC7" s="392"/>
      <c r="CD7" s="392"/>
      <c r="CE7" s="392"/>
      <c r="CF7" s="392"/>
      <c r="CG7" s="392"/>
      <c r="CH7" s="392"/>
      <c r="CI7" s="392"/>
      <c r="CJ7" s="392"/>
      <c r="CK7" s="392"/>
      <c r="CL7" s="392"/>
      <c r="CM7" s="392"/>
      <c r="CN7" s="392"/>
      <c r="CO7" s="392"/>
      <c r="CP7" s="392"/>
      <c r="CQ7" s="392"/>
      <c r="CR7" s="392"/>
      <c r="CS7" s="392"/>
      <c r="CT7" s="392"/>
      <c r="CU7" s="392"/>
      <c r="CV7" s="392"/>
      <c r="CW7" s="392"/>
      <c r="CX7" s="392"/>
      <c r="CY7" s="392"/>
      <c r="CZ7" s="392"/>
      <c r="DA7" s="392"/>
      <c r="DB7" s="392"/>
      <c r="DC7" s="392"/>
      <c r="DD7" s="392"/>
      <c r="DE7" s="392"/>
      <c r="DF7" s="392"/>
      <c r="DG7" s="392"/>
      <c r="DH7" s="392"/>
      <c r="DI7" s="392"/>
      <c r="DJ7" s="392"/>
      <c r="DK7" s="392"/>
      <c r="DL7" s="392"/>
      <c r="DM7" s="392"/>
      <c r="DN7" s="392"/>
      <c r="DO7" s="392"/>
      <c r="DP7" s="392"/>
      <c r="DQ7" s="392"/>
      <c r="DR7" s="392"/>
      <c r="DS7" s="392"/>
      <c r="DT7" s="392"/>
      <c r="DU7" s="392"/>
      <c r="DV7" s="392"/>
      <c r="DW7" s="392"/>
      <c r="DX7" s="392"/>
      <c r="DY7" s="392"/>
      <c r="DZ7" s="392"/>
      <c r="EA7" s="392"/>
      <c r="EB7" s="392"/>
      <c r="EC7" s="392"/>
      <c r="ED7" s="392"/>
      <c r="EE7" s="392"/>
      <c r="EF7" s="392"/>
      <c r="EG7" s="392"/>
      <c r="EH7" s="392"/>
      <c r="EI7" s="392"/>
      <c r="EJ7" s="392"/>
      <c r="EK7" s="392"/>
      <c r="EL7" s="392"/>
      <c r="EM7" s="392"/>
      <c r="EN7" s="392"/>
      <c r="EO7" s="392"/>
      <c r="EP7" s="393"/>
      <c r="EQ7" s="394"/>
      <c r="ER7" s="394"/>
      <c r="ES7" s="394"/>
      <c r="ET7" s="394"/>
      <c r="EU7" s="394"/>
      <c r="EV7" s="394"/>
      <c r="EW7" s="394"/>
      <c r="EX7" s="394"/>
      <c r="EY7" s="394"/>
      <c r="EZ7" s="394"/>
      <c r="FA7" s="394"/>
      <c r="FB7" s="394"/>
      <c r="FC7" s="394"/>
      <c r="FD7" s="394"/>
      <c r="FE7" s="394"/>
      <c r="FF7" s="394"/>
      <c r="FG7" s="394"/>
      <c r="FH7" s="394"/>
      <c r="FI7" s="394"/>
      <c r="FJ7" s="394"/>
      <c r="FK7" s="394"/>
      <c r="FL7" s="394"/>
      <c r="FM7" s="394"/>
      <c r="FN7" s="394"/>
      <c r="FO7" s="394"/>
      <c r="FP7" s="394"/>
      <c r="FQ7" s="394"/>
      <c r="FR7" s="394"/>
      <c r="FS7" s="394"/>
      <c r="FT7" s="394"/>
      <c r="FU7" s="394"/>
      <c r="FV7" s="394"/>
      <c r="FW7" s="394"/>
      <c r="FX7" s="394"/>
      <c r="FY7" s="394"/>
      <c r="FZ7" s="394"/>
      <c r="GA7" s="394"/>
      <c r="GB7" s="394"/>
      <c r="GC7" s="394"/>
      <c r="GD7" s="394"/>
      <c r="GE7" s="394"/>
      <c r="GF7" s="394"/>
      <c r="GG7" s="394"/>
      <c r="GH7" s="394"/>
      <c r="GI7" s="394"/>
      <c r="GJ7" s="394"/>
      <c r="GK7" s="394"/>
      <c r="GL7" s="394"/>
      <c r="GM7" s="394"/>
      <c r="GN7" s="394"/>
      <c r="GO7" s="394"/>
      <c r="GP7" s="394"/>
      <c r="GQ7" s="394"/>
      <c r="GR7" s="394"/>
      <c r="GS7" s="394"/>
      <c r="GT7" s="394"/>
      <c r="GU7" s="394"/>
      <c r="GV7" s="394"/>
      <c r="GW7" s="394"/>
      <c r="GX7" s="394"/>
      <c r="GY7" s="394"/>
      <c r="GZ7" s="394"/>
      <c r="HA7" s="394"/>
      <c r="HB7" s="394"/>
      <c r="HC7" s="394"/>
      <c r="HD7" s="394"/>
      <c r="HE7" s="394"/>
      <c r="HF7" s="394"/>
      <c r="HG7" s="394"/>
      <c r="HH7" s="394"/>
      <c r="HI7" s="394"/>
      <c r="HJ7" s="394"/>
      <c r="HK7" s="394"/>
      <c r="HL7" s="394"/>
      <c r="HM7" s="394"/>
      <c r="HN7" s="394"/>
      <c r="HO7" s="394"/>
      <c r="HP7" s="394"/>
      <c r="HQ7" s="394"/>
      <c r="HR7" s="394"/>
      <c r="HS7" s="394"/>
      <c r="HT7" s="394"/>
      <c r="HU7" s="394"/>
      <c r="HV7" s="394"/>
      <c r="HW7" s="394"/>
      <c r="HX7" s="394"/>
      <c r="HY7" s="394"/>
      <c r="HZ7" s="394"/>
      <c r="IA7" s="394"/>
      <c r="IB7" s="394"/>
      <c r="IC7" s="394"/>
      <c r="ID7" s="394"/>
      <c r="IE7" s="394"/>
      <c r="IF7" s="394"/>
      <c r="IG7" s="394"/>
      <c r="IH7" s="394"/>
      <c r="II7" s="394"/>
      <c r="IJ7" s="394"/>
      <c r="IK7" s="394"/>
      <c r="IL7" s="394"/>
      <c r="IM7" s="394"/>
      <c r="IN7" s="394"/>
      <c r="IO7" s="394"/>
      <c r="IP7" s="394"/>
      <c r="IQ7" s="394"/>
      <c r="IR7" s="394"/>
      <c r="IS7" s="394"/>
      <c r="IT7" s="394"/>
      <c r="IU7" s="394"/>
      <c r="IV7" s="394"/>
      <c r="IW7" s="394"/>
      <c r="IX7" s="394"/>
      <c r="IY7" s="394"/>
      <c r="IZ7" s="394"/>
      <c r="JA7" s="394"/>
      <c r="JB7" s="394"/>
      <c r="JC7" s="394"/>
      <c r="JD7" s="394"/>
      <c r="JE7" s="394"/>
      <c r="JF7" s="394"/>
      <c r="JG7" s="394"/>
      <c r="JH7" s="394"/>
      <c r="JI7" s="394"/>
      <c r="JJ7" s="394"/>
      <c r="JK7" s="394"/>
      <c r="JL7" s="394"/>
      <c r="JM7" s="394"/>
      <c r="JN7" s="394"/>
      <c r="JO7" s="394"/>
      <c r="JP7" s="394"/>
      <c r="JQ7" s="394"/>
      <c r="JR7" s="394"/>
      <c r="JS7" s="394"/>
      <c r="JT7" s="394"/>
      <c r="JU7" s="394"/>
      <c r="JV7" s="394"/>
      <c r="JW7" s="394"/>
      <c r="JX7" s="394"/>
      <c r="JZ7" s="263"/>
      <c r="KA7" s="263"/>
      <c r="KB7" s="263"/>
      <c r="KC7" s="263"/>
      <c r="KD7" s="263"/>
      <c r="KE7" s="263"/>
      <c r="KF7" s="263"/>
      <c r="KG7" s="263"/>
      <c r="KH7" s="263"/>
      <c r="KI7" s="263"/>
      <c r="KJ7" s="263"/>
      <c r="KK7" s="263"/>
      <c r="KL7" s="263"/>
      <c r="KM7" s="263"/>
      <c r="KN7" s="263"/>
      <c r="KO7" s="263"/>
      <c r="KP7" s="263"/>
      <c r="KQ7" s="263"/>
      <c r="KR7" s="263"/>
      <c r="KS7" s="263"/>
      <c r="KT7" s="263"/>
      <c r="KU7" s="263"/>
      <c r="KV7" s="263"/>
      <c r="KW7" s="263"/>
      <c r="KX7" s="263"/>
      <c r="KY7" s="263"/>
      <c r="KZ7" s="263"/>
      <c r="LA7" s="263"/>
      <c r="LB7" s="263"/>
      <c r="LC7" s="263"/>
      <c r="LD7" s="263"/>
      <c r="LE7" s="263"/>
      <c r="LF7" s="263"/>
      <c r="LG7" s="263"/>
      <c r="LH7" s="263"/>
      <c r="LI7" s="263"/>
      <c r="LJ7" s="263"/>
      <c r="LK7" s="263"/>
      <c r="LL7" s="263"/>
      <c r="LM7" s="263"/>
      <c r="LN7" s="263"/>
      <c r="LO7" s="263"/>
      <c r="LP7" s="263"/>
      <c r="LQ7" s="263"/>
      <c r="LR7" s="263"/>
      <c r="LS7" s="263"/>
      <c r="LT7" s="263"/>
      <c r="LU7" s="263"/>
      <c r="LV7" s="263"/>
      <c r="LW7" s="263"/>
      <c r="LX7" s="263"/>
      <c r="LY7" s="263"/>
      <c r="LZ7" s="263"/>
      <c r="MA7" s="263"/>
      <c r="MB7" s="263"/>
      <c r="MC7" s="263"/>
      <c r="MD7" s="263"/>
      <c r="ME7" s="263"/>
      <c r="MF7" s="263"/>
      <c r="MG7" s="263"/>
      <c r="MH7" s="263"/>
      <c r="MI7" s="263"/>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c r="NN7" s="263"/>
      <c r="NO7" s="263"/>
      <c r="NP7" s="263"/>
      <c r="NQ7" s="263"/>
      <c r="NR7" s="263"/>
      <c r="NS7" s="263"/>
      <c r="NT7" s="263"/>
      <c r="NU7" s="263"/>
      <c r="NV7" s="263"/>
      <c r="NW7" s="263"/>
      <c r="NX7" s="263"/>
      <c r="NY7" s="263"/>
      <c r="NZ7" s="263"/>
      <c r="OA7" s="263"/>
      <c r="OB7" s="263"/>
      <c r="OC7" s="263"/>
      <c r="OD7" s="263"/>
      <c r="OE7" s="263"/>
      <c r="OF7" s="263"/>
      <c r="OG7" s="263"/>
      <c r="OH7" s="263"/>
      <c r="OI7" s="263"/>
      <c r="OJ7" s="263"/>
      <c r="OK7" s="263"/>
      <c r="OL7" s="263"/>
      <c r="OM7" s="263"/>
      <c r="ON7" s="263"/>
      <c r="OO7" s="263"/>
      <c r="OP7" s="263"/>
      <c r="OQ7" s="263"/>
      <c r="OR7" s="263"/>
      <c r="OS7" s="263"/>
      <c r="OT7" s="263"/>
      <c r="OU7" s="263"/>
      <c r="OV7" s="263"/>
      <c r="OW7" s="263"/>
      <c r="OX7" s="263"/>
      <c r="OY7" s="263"/>
      <c r="OZ7" s="263"/>
      <c r="PA7" s="263"/>
      <c r="PB7" s="263"/>
      <c r="PC7" s="263"/>
      <c r="PD7" s="263"/>
      <c r="PE7" s="263"/>
      <c r="PF7" s="263"/>
      <c r="PG7" s="263"/>
      <c r="PH7" s="263"/>
    </row>
    <row r="8">
      <c r="B8" s="395" t="s">
        <v>0</v>
      </c>
      <c r="C8" s="396"/>
      <c r="D8" s="396"/>
      <c r="E8" s="396"/>
      <c r="F8" s="396"/>
      <c r="G8" s="396"/>
      <c r="H8" s="397"/>
      <c r="I8" s="398" t="s">
        <v>96</v>
      </c>
      <c r="J8" s="399"/>
      <c r="K8" s="400"/>
      <c r="L8" s="400"/>
      <c r="M8" s="400"/>
      <c r="N8" s="400"/>
      <c r="O8" s="400"/>
      <c r="P8" s="400"/>
      <c r="Q8" s="400"/>
      <c r="R8" s="400"/>
      <c r="S8" s="400"/>
      <c r="T8" s="400"/>
      <c r="U8" s="400"/>
      <c r="V8" s="400"/>
      <c r="W8" s="400"/>
      <c r="X8" s="400"/>
      <c r="Y8" s="400"/>
      <c r="Z8" s="400"/>
      <c r="AA8" s="400"/>
      <c r="AB8" s="400"/>
      <c r="AC8" s="400"/>
      <c r="AD8" s="400"/>
      <c r="AE8" s="400"/>
      <c r="AF8" s="400"/>
      <c r="AG8" s="400"/>
      <c r="AH8" s="400"/>
      <c r="AI8" s="400"/>
      <c r="AJ8" s="400"/>
      <c r="AK8" s="400"/>
      <c r="AL8" s="400"/>
      <c r="AM8" s="400"/>
      <c r="AN8" s="400"/>
      <c r="AO8" s="400"/>
      <c r="AP8" s="400"/>
      <c r="AQ8" s="400"/>
      <c r="AR8" s="400"/>
      <c r="AS8" s="400"/>
      <c r="AT8" s="400"/>
      <c r="AU8" s="400"/>
      <c r="AV8" s="400"/>
      <c r="AW8" s="400"/>
      <c r="AX8" s="400"/>
      <c r="AY8" s="400"/>
      <c r="AZ8" s="400"/>
      <c r="BA8" s="400"/>
      <c r="BB8" s="400"/>
      <c r="BC8" s="400"/>
      <c r="BD8" s="400"/>
      <c r="BE8" s="400"/>
      <c r="BF8" s="400"/>
      <c r="BG8" s="400"/>
      <c r="BH8" s="400"/>
      <c r="BI8" s="400"/>
      <c r="BJ8" s="400"/>
      <c r="BK8" s="400"/>
      <c r="BL8" s="400"/>
      <c r="BM8" s="400"/>
      <c r="BN8" s="400"/>
      <c r="BO8" s="400"/>
      <c r="BP8" s="400"/>
      <c r="BQ8" s="400"/>
      <c r="BR8" s="400"/>
      <c r="BS8" s="400"/>
      <c r="BT8" s="400"/>
      <c r="BU8" s="400"/>
      <c r="BV8" s="400"/>
      <c r="BW8" s="400"/>
      <c r="BX8" s="400"/>
      <c r="BY8" s="400"/>
      <c r="BZ8" s="400"/>
      <c r="CA8" s="400"/>
      <c r="CB8" s="400"/>
      <c r="CC8" s="400"/>
      <c r="CD8" s="400"/>
      <c r="CE8" s="400"/>
      <c r="CF8" s="400"/>
      <c r="CG8" s="400"/>
      <c r="CH8" s="400"/>
      <c r="CI8" s="400"/>
      <c r="CJ8" s="400"/>
      <c r="CK8" s="400"/>
      <c r="CL8" s="400"/>
      <c r="CM8" s="400"/>
      <c r="CN8" s="400"/>
      <c r="CO8" s="400"/>
      <c r="CP8" s="400"/>
      <c r="CQ8" s="400"/>
      <c r="CR8" s="400"/>
      <c r="CS8" s="400"/>
      <c r="CT8" s="400"/>
      <c r="CU8" s="400"/>
      <c r="CV8" s="400"/>
      <c r="CW8" s="400"/>
      <c r="CX8" s="400"/>
      <c r="CY8" s="400"/>
      <c r="CZ8" s="400"/>
      <c r="DA8" s="400"/>
      <c r="DB8" s="400"/>
      <c r="DC8" s="400"/>
      <c r="DD8" s="400"/>
      <c r="DE8" s="400"/>
      <c r="DF8" s="400"/>
      <c r="DG8" s="400"/>
      <c r="DH8" s="400"/>
      <c r="DI8" s="400"/>
      <c r="DJ8" s="400"/>
      <c r="DK8" s="400"/>
      <c r="DL8" s="400"/>
      <c r="DM8" s="400"/>
      <c r="DN8" s="400"/>
      <c r="DO8" s="400"/>
      <c r="DP8" s="400"/>
      <c r="DQ8" s="400"/>
      <c r="DR8" s="400"/>
      <c r="DS8" s="400"/>
      <c r="DT8" s="400"/>
      <c r="DU8" s="400"/>
      <c r="DV8" s="400"/>
      <c r="DW8" s="400"/>
      <c r="DX8" s="400"/>
      <c r="DY8" s="400"/>
      <c r="DZ8" s="400"/>
      <c r="EA8" s="400"/>
      <c r="EB8" s="400"/>
      <c r="EC8" s="400"/>
      <c r="ED8" s="400"/>
      <c r="EE8" s="400"/>
      <c r="EF8" s="400"/>
      <c r="EG8" s="400"/>
      <c r="EH8" s="400"/>
      <c r="EI8" s="400"/>
      <c r="EJ8" s="400"/>
      <c r="EK8" s="400"/>
      <c r="EL8" s="400"/>
      <c r="EM8" s="400"/>
      <c r="EN8" s="400"/>
      <c r="EO8" s="400"/>
      <c r="EP8" s="220"/>
      <c r="EQ8" s="18"/>
      <c r="ER8" s="18"/>
      <c r="ES8" s="18"/>
      <c r="ET8" s="18"/>
      <c r="EU8" s="18"/>
      <c r="EV8" s="18"/>
      <c r="EW8" s="18"/>
      <c r="EX8" s="18"/>
      <c r="EY8" s="18"/>
      <c r="EZ8" s="18"/>
      <c r="FA8" s="18"/>
      <c r="FB8" s="18"/>
      <c r="FC8" s="18"/>
      <c r="FD8" s="18"/>
      <c r="FE8" s="18"/>
      <c r="FF8" s="18"/>
      <c r="FG8" s="18"/>
      <c r="FH8" s="18"/>
      <c r="FI8" s="18"/>
      <c r="FJ8" s="18"/>
      <c r="FK8" s="18"/>
      <c r="FL8" s="18"/>
      <c r="FM8" s="18"/>
      <c r="FN8" s="18"/>
      <c r="FO8" s="18"/>
      <c r="FP8" s="18"/>
      <c r="FQ8" s="18"/>
      <c r="FR8" s="18"/>
      <c r="FS8" s="18"/>
      <c r="FT8" s="18"/>
      <c r="FU8" s="18"/>
      <c r="FV8" s="18"/>
      <c r="FW8" s="18"/>
      <c r="FX8" s="18"/>
      <c r="FY8" s="18"/>
      <c r="FZ8" s="18"/>
      <c r="GA8" s="18"/>
      <c r="GB8" s="18"/>
      <c r="GC8" s="18"/>
      <c r="GD8" s="18"/>
      <c r="GE8" s="18"/>
      <c r="GF8" s="18"/>
      <c r="GG8" s="18"/>
      <c r="GH8" s="18"/>
      <c r="GI8" s="18"/>
      <c r="GJ8" s="18"/>
      <c r="GK8" s="18"/>
      <c r="GL8" s="18"/>
      <c r="GM8" s="18"/>
      <c r="GN8" s="18"/>
      <c r="GO8" s="18"/>
      <c r="GP8" s="18"/>
      <c r="GQ8" s="18"/>
      <c r="GR8" s="18"/>
      <c r="GS8" s="18"/>
      <c r="GT8" s="18"/>
      <c r="GU8" s="18"/>
      <c r="GV8" s="18"/>
      <c r="GW8" s="18"/>
      <c r="GX8" s="18"/>
      <c r="GY8" s="18"/>
      <c r="GZ8" s="18"/>
      <c r="HA8" s="18"/>
      <c r="HB8" s="18"/>
      <c r="HC8" s="18"/>
      <c r="HD8" s="18"/>
      <c r="HE8" s="18"/>
      <c r="HF8" s="18"/>
      <c r="HG8" s="18"/>
      <c r="HH8" s="18"/>
      <c r="HI8" s="18"/>
      <c r="HJ8" s="18"/>
      <c r="HK8" s="18"/>
      <c r="HL8" s="18"/>
      <c r="HM8" s="18"/>
      <c r="HN8" s="18"/>
      <c r="HO8" s="18"/>
      <c r="HP8" s="18"/>
      <c r="HQ8" s="18"/>
      <c r="HR8" s="18"/>
      <c r="HS8" s="18"/>
      <c r="HT8" s="18"/>
      <c r="HU8" s="18"/>
      <c r="HV8" s="18"/>
      <c r="HW8" s="18"/>
      <c r="HX8" s="18"/>
      <c r="HY8" s="18"/>
      <c r="HZ8" s="18"/>
      <c r="IA8" s="18"/>
      <c r="IB8" s="18"/>
      <c r="IC8" s="18"/>
      <c r="ID8" s="18"/>
      <c r="IE8" s="18"/>
      <c r="IF8" s="18"/>
      <c r="IG8" s="18"/>
      <c r="IH8" s="18"/>
      <c r="II8" s="18"/>
      <c r="IJ8" s="18"/>
      <c r="IK8" s="18"/>
      <c r="IL8" s="18"/>
      <c r="IM8" s="18"/>
      <c r="IN8" s="18"/>
      <c r="IO8" s="18"/>
      <c r="IP8" s="18"/>
      <c r="IQ8" s="18"/>
      <c r="IR8" s="18"/>
      <c r="IS8" s="18"/>
      <c r="IT8" s="18"/>
      <c r="IU8" s="18"/>
      <c r="IV8" s="18"/>
      <c r="IW8" s="18"/>
      <c r="IX8" s="18"/>
      <c r="IY8" s="18"/>
      <c r="IZ8" s="18"/>
      <c r="JA8" s="18"/>
      <c r="JB8" s="18"/>
      <c r="JC8" s="18"/>
      <c r="JD8" s="18"/>
      <c r="JE8" s="18"/>
      <c r="JF8" s="18"/>
      <c r="JG8" s="18"/>
      <c r="JH8" s="18"/>
      <c r="JI8" s="18"/>
      <c r="JJ8" s="18"/>
      <c r="JK8" s="18"/>
      <c r="JL8" s="18"/>
      <c r="JM8" s="18"/>
      <c r="JN8" s="18"/>
      <c r="JO8" s="18"/>
      <c r="JP8" s="18"/>
      <c r="JQ8" s="18"/>
      <c r="JR8" s="18"/>
      <c r="JS8" s="18"/>
      <c r="JT8" s="18"/>
      <c r="JU8" s="18"/>
      <c r="JV8" s="18"/>
      <c r="JW8" s="18"/>
      <c r="JX8" s="18"/>
      <c r="JZ8" s="263"/>
      <c r="KA8" s="263"/>
      <c r="KB8" s="263"/>
      <c r="KC8" s="263"/>
      <c r="KD8" s="263"/>
      <c r="KE8" s="263"/>
      <c r="KF8" s="263"/>
      <c r="KG8" s="263"/>
      <c r="KH8" s="263"/>
      <c r="KI8" s="263"/>
      <c r="KJ8" s="263"/>
      <c r="KK8" s="263"/>
      <c r="KL8" s="263"/>
      <c r="KM8" s="263"/>
      <c r="KN8" s="263"/>
      <c r="KO8" s="263"/>
      <c r="KP8" s="263"/>
      <c r="KQ8" s="263"/>
      <c r="KR8" s="263"/>
      <c r="KS8" s="263"/>
      <c r="KT8" s="263"/>
      <c r="KU8" s="263"/>
      <c r="KV8" s="263"/>
      <c r="KW8" s="263"/>
      <c r="KX8" s="263"/>
      <c r="KY8" s="263"/>
      <c r="KZ8" s="263"/>
      <c r="LA8" s="263"/>
      <c r="LB8" s="263"/>
      <c r="LC8" s="263"/>
      <c r="LD8" s="263"/>
      <c r="LE8" s="263"/>
      <c r="LF8" s="263"/>
      <c r="LG8" s="263"/>
      <c r="LH8" s="263"/>
      <c r="LI8" s="263"/>
      <c r="LJ8" s="263"/>
      <c r="LK8" s="263"/>
      <c r="LL8" s="263"/>
      <c r="LM8" s="263"/>
      <c r="LN8" s="263"/>
      <c r="LO8" s="263"/>
      <c r="LP8" s="263"/>
      <c r="LQ8" s="263"/>
      <c r="LR8" s="263"/>
      <c r="LS8" s="263"/>
      <c r="LT8" s="263"/>
      <c r="LU8" s="263"/>
      <c r="LV8" s="263"/>
      <c r="LW8" s="263"/>
      <c r="LX8" s="263"/>
      <c r="LY8" s="263"/>
      <c r="LZ8" s="263"/>
      <c r="MA8" s="263"/>
      <c r="MB8" s="263"/>
      <c r="MC8" s="263"/>
      <c r="MD8" s="263"/>
      <c r="ME8" s="263"/>
      <c r="MF8" s="263"/>
      <c r="MG8" s="263"/>
      <c r="MH8" s="263"/>
      <c r="MI8" s="263"/>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c r="NO8" s="263"/>
      <c r="NP8" s="263"/>
      <c r="NQ8" s="263"/>
      <c r="NR8" s="263"/>
      <c r="NS8" s="263"/>
      <c r="NT8" s="263"/>
      <c r="NU8" s="263"/>
      <c r="NV8" s="263"/>
      <c r="NW8" s="263"/>
      <c r="NX8" s="263"/>
      <c r="NY8" s="263"/>
      <c r="NZ8" s="263"/>
      <c r="OA8" s="263"/>
      <c r="OB8" s="263"/>
      <c r="OC8" s="263"/>
      <c r="OD8" s="263"/>
      <c r="OE8" s="263"/>
      <c r="OF8" s="263"/>
      <c r="OG8" s="263"/>
      <c r="OH8" s="263"/>
      <c r="OI8" s="263"/>
      <c r="OJ8" s="263"/>
      <c r="OK8" s="263"/>
      <c r="OL8" s="263"/>
      <c r="OM8" s="263"/>
      <c r="ON8" s="263"/>
      <c r="OO8" s="263"/>
      <c r="OP8" s="263"/>
      <c r="OQ8" s="263"/>
      <c r="OR8" s="263"/>
      <c r="OS8" s="263"/>
      <c r="OT8" s="263"/>
      <c r="OU8" s="263"/>
      <c r="OV8" s="263"/>
      <c r="OW8" s="263"/>
      <c r="OX8" s="263"/>
      <c r="OY8" s="263"/>
      <c r="OZ8" s="263"/>
      <c r="PA8" s="263"/>
      <c r="PB8" s="263"/>
      <c r="PC8" s="263"/>
      <c r="PD8" s="263"/>
      <c r="PE8" s="263"/>
      <c r="PF8" s="263"/>
      <c r="PG8" s="263"/>
      <c r="PH8" s="263"/>
    </row>
    <row r="9">
      <c r="B9" s="34" t="s">
        <v>97</v>
      </c>
      <c r="C9" s="34"/>
      <c r="D9" s="401"/>
      <c r="E9" s="402" t="str">
        <f>PROJECTS!$AP$8</f>
        <v>The Bend Precinct</v>
      </c>
      <c r="F9" s="34" t="s">
        <v>98</v>
      </c>
      <c r="G9" s="401"/>
      <c r="H9" s="401"/>
      <c r="I9" s="402" t="s">
        <v>99</v>
      </c>
      <c r="J9" s="399"/>
      <c r="K9" s="400"/>
      <c r="L9" s="400"/>
      <c r="M9" s="400"/>
      <c r="N9" s="400"/>
      <c r="O9" s="400"/>
      <c r="P9" s="400"/>
      <c r="Q9" s="400"/>
      <c r="R9" s="400"/>
      <c r="S9" s="400"/>
      <c r="T9" s="400"/>
      <c r="U9" s="400"/>
      <c r="V9" s="400"/>
      <c r="W9" s="400"/>
      <c r="X9" s="400"/>
      <c r="Y9" s="400"/>
      <c r="Z9" s="400"/>
      <c r="AA9" s="400"/>
      <c r="AB9" s="400"/>
      <c r="AC9" s="400"/>
      <c r="AD9" s="400"/>
      <c r="AE9" s="400"/>
      <c r="AF9" s="400"/>
      <c r="AG9" s="400"/>
      <c r="AH9" s="400"/>
      <c r="AI9" s="400"/>
      <c r="AJ9" s="400"/>
      <c r="AK9" s="400"/>
      <c r="AL9" s="400"/>
      <c r="AM9" s="400"/>
      <c r="AN9" s="400"/>
      <c r="AO9" s="400"/>
      <c r="AP9" s="400"/>
      <c r="AQ9" s="400"/>
      <c r="AR9" s="400"/>
      <c r="AS9" s="400"/>
      <c r="AT9" s="400"/>
      <c r="AU9" s="400"/>
      <c r="AV9" s="400"/>
      <c r="AW9" s="400"/>
      <c r="AX9" s="400"/>
      <c r="AY9" s="400"/>
      <c r="AZ9" s="400"/>
      <c r="BA9" s="400"/>
      <c r="BB9" s="400"/>
      <c r="BC9" s="400"/>
      <c r="BD9" s="400"/>
      <c r="BE9" s="400"/>
      <c r="BF9" s="400"/>
      <c r="BG9" s="400"/>
      <c r="BH9" s="400"/>
      <c r="BI9" s="400"/>
      <c r="BJ9" s="400"/>
      <c r="BK9" s="400"/>
      <c r="BL9" s="400"/>
      <c r="BM9" s="400"/>
      <c r="BN9" s="400"/>
      <c r="BO9" s="400"/>
      <c r="BP9" s="400"/>
      <c r="BQ9" s="400"/>
      <c r="BR9" s="400"/>
      <c r="BS9" s="400"/>
      <c r="BT9" s="400"/>
      <c r="BU9" s="400"/>
      <c r="BV9" s="400"/>
      <c r="BW9" s="400"/>
      <c r="BX9" s="400"/>
      <c r="BY9" s="400"/>
      <c r="BZ9" s="400"/>
      <c r="CA9" s="400"/>
      <c r="CB9" s="400"/>
      <c r="CC9" s="400"/>
      <c r="CD9" s="400"/>
      <c r="CE9" s="400"/>
      <c r="CF9" s="400"/>
      <c r="CG9" s="400"/>
      <c r="CH9" s="400"/>
      <c r="CI9" s="400"/>
      <c r="CJ9" s="400"/>
      <c r="CK9" s="400"/>
      <c r="CL9" s="400"/>
      <c r="CM9" s="400"/>
      <c r="CN9" s="400"/>
      <c r="CO9" s="400"/>
      <c r="CP9" s="400"/>
      <c r="CQ9" s="400"/>
      <c r="CR9" s="400"/>
      <c r="CS9" s="400"/>
      <c r="CT9" s="400"/>
      <c r="CU9" s="400"/>
      <c r="CV9" s="400"/>
      <c r="CW9" s="400"/>
      <c r="CX9" s="400"/>
      <c r="CY9" s="400"/>
      <c r="CZ9" s="400"/>
      <c r="DA9" s="400"/>
      <c r="DB9" s="400"/>
      <c r="DC9" s="400"/>
      <c r="DD9" s="400"/>
      <c r="DE9" s="400"/>
      <c r="DF9" s="400"/>
      <c r="DG9" s="400"/>
      <c r="DH9" s="400"/>
      <c r="DI9" s="400"/>
      <c r="DJ9" s="400"/>
      <c r="DK9" s="400"/>
      <c r="DL9" s="400"/>
      <c r="DM9" s="400"/>
      <c r="DN9" s="400"/>
      <c r="DO9" s="400"/>
      <c r="DP9" s="400"/>
      <c r="DQ9" s="400"/>
      <c r="DR9" s="400"/>
      <c r="DS9" s="400"/>
      <c r="DT9" s="400"/>
      <c r="DU9" s="400"/>
      <c r="DV9" s="400"/>
      <c r="DW9" s="400"/>
      <c r="DX9" s="400"/>
      <c r="DY9" s="400"/>
      <c r="DZ9" s="400"/>
      <c r="EA9" s="400"/>
      <c r="EB9" s="400"/>
      <c r="EC9" s="400"/>
      <c r="ED9" s="400"/>
      <c r="EE9" s="400"/>
      <c r="EF9" s="400"/>
      <c r="EG9" s="400"/>
      <c r="EH9" s="400"/>
      <c r="EI9" s="400"/>
      <c r="EJ9" s="400"/>
      <c r="EK9" s="400"/>
      <c r="EL9" s="400"/>
      <c r="EM9" s="400"/>
      <c r="EN9" s="400"/>
      <c r="EO9" s="400"/>
      <c r="EP9" s="220"/>
      <c r="EQ9" s="18"/>
      <c r="ER9" s="18"/>
      <c r="ES9" s="18"/>
      <c r="ET9" s="18"/>
      <c r="EU9" s="18"/>
      <c r="EV9" s="18"/>
      <c r="EW9" s="18"/>
      <c r="EX9" s="18"/>
      <c r="EY9" s="18"/>
      <c r="EZ9" s="18"/>
      <c r="FA9" s="18"/>
      <c r="FB9" s="18"/>
      <c r="FC9" s="18"/>
      <c r="FD9" s="18"/>
      <c r="FE9" s="18"/>
      <c r="FF9" s="18"/>
      <c r="FG9" s="18"/>
      <c r="FH9" s="18"/>
      <c r="FI9" s="18"/>
      <c r="FJ9" s="18"/>
      <c r="FK9" s="18"/>
      <c r="FL9" s="18"/>
      <c r="FM9" s="18"/>
      <c r="FN9" s="18"/>
      <c r="FO9" s="18"/>
      <c r="FP9" s="18"/>
      <c r="FQ9" s="18"/>
      <c r="FR9" s="18"/>
      <c r="FS9" s="18"/>
      <c r="FT9" s="18"/>
      <c r="FU9" s="18"/>
      <c r="FV9" s="18"/>
      <c r="FW9" s="18"/>
      <c r="FX9" s="18"/>
      <c r="FY9" s="18"/>
      <c r="FZ9" s="18"/>
      <c r="GA9" s="18"/>
      <c r="GB9" s="18"/>
      <c r="GC9" s="18"/>
      <c r="GD9" s="18"/>
      <c r="GE9" s="18"/>
      <c r="GF9" s="18"/>
      <c r="GG9" s="18"/>
      <c r="GH9" s="18"/>
      <c r="GI9" s="18"/>
      <c r="GJ9" s="18"/>
      <c r="GK9" s="18"/>
      <c r="GL9" s="18"/>
      <c r="GM9" s="18"/>
      <c r="GN9" s="18"/>
      <c r="GO9" s="18"/>
      <c r="GP9" s="18"/>
      <c r="GQ9" s="18"/>
      <c r="GR9" s="18"/>
      <c r="GS9" s="18"/>
      <c r="GT9" s="18"/>
      <c r="GU9" s="18"/>
      <c r="GV9" s="18"/>
      <c r="GW9" s="18"/>
      <c r="GX9" s="18"/>
      <c r="GY9" s="18"/>
      <c r="GZ9" s="18"/>
      <c r="HA9" s="18"/>
      <c r="HB9" s="18"/>
      <c r="HC9" s="18"/>
      <c r="HD9" s="18"/>
      <c r="HE9" s="18"/>
      <c r="HF9" s="18"/>
      <c r="HG9" s="18"/>
      <c r="HH9" s="18"/>
      <c r="HI9" s="18"/>
      <c r="HJ9" s="18"/>
      <c r="HK9" s="18"/>
      <c r="HL9" s="18"/>
      <c r="HM9" s="18"/>
      <c r="HN9" s="18"/>
      <c r="HO9" s="18"/>
      <c r="HP9" s="18"/>
      <c r="HQ9" s="18"/>
      <c r="HR9" s="18"/>
      <c r="HS9" s="18"/>
      <c r="HT9" s="18"/>
      <c r="HU9" s="18"/>
      <c r="HV9" s="18"/>
      <c r="HW9" s="18"/>
      <c r="HX9" s="18"/>
      <c r="HY9" s="18"/>
      <c r="HZ9" s="18"/>
      <c r="IA9" s="18"/>
      <c r="IB9" s="18"/>
      <c r="IC9" s="18"/>
      <c r="ID9" s="18"/>
      <c r="IE9" s="18"/>
      <c r="IF9" s="18"/>
      <c r="IG9" s="18"/>
      <c r="IH9" s="18"/>
      <c r="II9" s="18"/>
      <c r="IJ9" s="18"/>
      <c r="IK9" s="18"/>
      <c r="IL9" s="18"/>
      <c r="IM9" s="18"/>
      <c r="IN9" s="18"/>
      <c r="IO9" s="18"/>
      <c r="IP9" s="18"/>
      <c r="IQ9" s="18"/>
      <c r="IR9" s="18"/>
      <c r="IS9" s="18"/>
      <c r="IT9" s="18"/>
      <c r="IU9" s="18"/>
      <c r="IV9" s="18"/>
      <c r="IW9" s="18"/>
      <c r="IX9" s="18"/>
      <c r="IY9" s="18"/>
      <c r="IZ9" s="18"/>
      <c r="JA9" s="18"/>
      <c r="JB9" s="18"/>
      <c r="JC9" s="18"/>
      <c r="JD9" s="18"/>
      <c r="JE9" s="18"/>
      <c r="JF9" s="18"/>
      <c r="JG9" s="18"/>
      <c r="JH9" s="18"/>
      <c r="JI9" s="18"/>
      <c r="JJ9" s="18"/>
      <c r="JK9" s="18"/>
      <c r="JL9" s="18"/>
      <c r="JM9" s="18"/>
      <c r="JN9" s="18"/>
      <c r="JO9" s="18"/>
      <c r="JP9" s="18"/>
      <c r="JQ9" s="18"/>
      <c r="JR9" s="18"/>
      <c r="JS9" s="18"/>
      <c r="JT9" s="18"/>
      <c r="JU9" s="18"/>
      <c r="JV9" s="18"/>
      <c r="JW9" s="18"/>
      <c r="JX9" s="18"/>
      <c r="JZ9" s="263"/>
      <c r="KA9" s="263"/>
      <c r="KB9" s="263"/>
      <c r="KC9" s="263"/>
      <c r="KD9" s="263"/>
      <c r="KE9" s="263"/>
      <c r="KF9" s="263"/>
      <c r="KG9" s="263"/>
      <c r="KH9" s="263"/>
      <c r="KI9" s="263"/>
      <c r="KJ9" s="263"/>
      <c r="KK9" s="263"/>
      <c r="KL9" s="263"/>
      <c r="KM9" s="263"/>
      <c r="KN9" s="263"/>
      <c r="KO9" s="263"/>
      <c r="KP9" s="263"/>
      <c r="KQ9" s="263"/>
      <c r="KR9" s="263"/>
      <c r="KS9" s="263"/>
      <c r="KT9" s="263"/>
      <c r="KU9" s="263"/>
      <c r="KV9" s="263"/>
      <c r="KW9" s="263"/>
      <c r="KX9" s="263"/>
      <c r="KY9" s="263"/>
      <c r="KZ9" s="263"/>
      <c r="LA9" s="263"/>
      <c r="LB9" s="263"/>
      <c r="LC9" s="263"/>
      <c r="LD9" s="263"/>
      <c r="LE9" s="263"/>
      <c r="LF9" s="263"/>
      <c r="LG9" s="263"/>
      <c r="LH9" s="263"/>
      <c r="LI9" s="263"/>
      <c r="LJ9" s="263"/>
      <c r="LK9" s="263"/>
      <c r="LL9" s="263"/>
      <c r="LM9" s="263"/>
      <c r="LN9" s="263"/>
      <c r="LO9" s="263"/>
      <c r="LP9" s="263"/>
      <c r="LQ9" s="263"/>
      <c r="LR9" s="263"/>
      <c r="LS9" s="263"/>
      <c r="LT9" s="263"/>
      <c r="LU9" s="263"/>
      <c r="LV9" s="263"/>
      <c r="LW9" s="263"/>
      <c r="LX9" s="263"/>
      <c r="LY9" s="263"/>
      <c r="LZ9" s="263"/>
      <c r="MA9" s="263"/>
      <c r="MB9" s="263"/>
      <c r="MC9" s="263"/>
      <c r="MD9" s="263"/>
      <c r="ME9" s="263"/>
      <c r="MF9" s="263"/>
      <c r="MG9" s="263"/>
      <c r="MH9" s="263"/>
      <c r="MI9" s="263"/>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c r="NN9" s="263"/>
      <c r="NO9" s="263"/>
      <c r="NP9" s="263"/>
      <c r="NQ9" s="263"/>
      <c r="NR9" s="263"/>
      <c r="NS9" s="263"/>
      <c r="NT9" s="263"/>
      <c r="NU9" s="263"/>
      <c r="NV9" s="263"/>
      <c r="NW9" s="263"/>
      <c r="NX9" s="263"/>
      <c r="NY9" s="263"/>
      <c r="NZ9" s="263"/>
      <c r="OA9" s="263"/>
      <c r="OB9" s="263"/>
      <c r="OC9" s="263"/>
      <c r="OD9" s="263"/>
      <c r="OE9" s="263"/>
      <c r="OF9" s="263"/>
      <c r="OG9" s="263"/>
      <c r="OH9" s="263"/>
      <c r="OI9" s="263"/>
      <c r="OJ9" s="263"/>
      <c r="OK9" s="263"/>
      <c r="OL9" s="263"/>
      <c r="OM9" s="263"/>
      <c r="ON9" s="263"/>
      <c r="OO9" s="263"/>
      <c r="OP9" s="263"/>
      <c r="OQ9" s="263"/>
      <c r="OR9" s="263"/>
      <c r="OS9" s="263"/>
      <c r="OT9" s="263"/>
      <c r="OU9" s="263"/>
      <c r="OV9" s="263"/>
      <c r="OW9" s="263"/>
      <c r="OX9" s="263"/>
      <c r="OY9" s="263"/>
      <c r="OZ9" s="263"/>
      <c r="PA9" s="263"/>
      <c r="PB9" s="263"/>
      <c r="PC9" s="263"/>
      <c r="PD9" s="263"/>
      <c r="PE9" s="263"/>
      <c r="PF9" s="263"/>
      <c r="PG9" s="263"/>
      <c r="PH9" s="263"/>
    </row>
    <row r="10">
      <c r="B10" s="65" t="s">
        <v>2</v>
      </c>
      <c r="C10" s="34"/>
      <c r="D10" s="401"/>
      <c r="E10" s="402" t="str">
        <f>PROJECTS!$AP$9</f>
        <v>349 Bridge Street</v>
      </c>
      <c r="F10" s="34" t="s">
        <v>100</v>
      </c>
      <c r="G10" s="401"/>
      <c r="H10" s="401"/>
      <c r="I10" s="402" t="str">
        <f>PROJECTS!$AP$11</f>
        <v>Victoria</v>
      </c>
      <c r="J10" s="399"/>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00"/>
      <c r="AH10" s="400"/>
      <c r="AI10" s="400"/>
      <c r="AJ10" s="400"/>
      <c r="AK10" s="400"/>
      <c r="AL10" s="400"/>
      <c r="AM10" s="400"/>
      <c r="AN10" s="400"/>
      <c r="AO10" s="400"/>
      <c r="AP10" s="400"/>
      <c r="AQ10" s="400"/>
      <c r="AR10" s="400"/>
      <c r="AS10" s="400"/>
      <c r="AT10" s="400"/>
      <c r="AU10" s="400"/>
      <c r="AV10" s="400"/>
      <c r="AW10" s="400"/>
      <c r="AX10" s="400"/>
      <c r="AY10" s="400"/>
      <c r="AZ10" s="400"/>
      <c r="BA10" s="400"/>
      <c r="BB10" s="400"/>
      <c r="BC10" s="400"/>
      <c r="BD10" s="400"/>
      <c r="BE10" s="400"/>
      <c r="BF10" s="400"/>
      <c r="BG10" s="400"/>
      <c r="BH10" s="400"/>
      <c r="BI10" s="400"/>
      <c r="BJ10" s="400"/>
      <c r="BK10" s="400"/>
      <c r="BL10" s="400"/>
      <c r="BM10" s="400"/>
      <c r="BN10" s="400"/>
      <c r="BO10" s="400"/>
      <c r="BP10" s="400"/>
      <c r="BQ10" s="400"/>
      <c r="BR10" s="400"/>
      <c r="BS10" s="400"/>
      <c r="BT10" s="400"/>
      <c r="BU10" s="400"/>
      <c r="BV10" s="400"/>
      <c r="BW10" s="400"/>
      <c r="BX10" s="400"/>
      <c r="BY10" s="400"/>
      <c r="BZ10" s="400"/>
      <c r="CA10" s="400"/>
      <c r="CB10" s="400"/>
      <c r="CC10" s="400"/>
      <c r="CD10" s="400"/>
      <c r="CE10" s="400"/>
      <c r="CF10" s="400"/>
      <c r="CG10" s="400"/>
      <c r="CH10" s="400"/>
      <c r="CI10" s="400"/>
      <c r="CJ10" s="400"/>
      <c r="CK10" s="400"/>
      <c r="CL10" s="400"/>
      <c r="CM10" s="400"/>
      <c r="CN10" s="400"/>
      <c r="CO10" s="400"/>
      <c r="CP10" s="400"/>
      <c r="CQ10" s="400"/>
      <c r="CR10" s="400"/>
      <c r="CS10" s="400"/>
      <c r="CT10" s="400"/>
      <c r="CU10" s="400"/>
      <c r="CV10" s="400"/>
      <c r="CW10" s="400"/>
      <c r="CX10" s="400"/>
      <c r="CY10" s="400"/>
      <c r="CZ10" s="400"/>
      <c r="DA10" s="400"/>
      <c r="DB10" s="400"/>
      <c r="DC10" s="400"/>
      <c r="DD10" s="400"/>
      <c r="DE10" s="400"/>
      <c r="DF10" s="400"/>
      <c r="DG10" s="400"/>
      <c r="DH10" s="400"/>
      <c r="DI10" s="400"/>
      <c r="DJ10" s="400"/>
      <c r="DK10" s="400"/>
      <c r="DL10" s="400"/>
      <c r="DM10" s="400"/>
      <c r="DN10" s="400"/>
      <c r="DO10" s="400"/>
      <c r="DP10" s="400"/>
      <c r="DQ10" s="400"/>
      <c r="DR10" s="400"/>
      <c r="DS10" s="400"/>
      <c r="DT10" s="400"/>
      <c r="DU10" s="400"/>
      <c r="DV10" s="400"/>
      <c r="DW10" s="400"/>
      <c r="DX10" s="400"/>
      <c r="DY10" s="400"/>
      <c r="DZ10" s="400"/>
      <c r="EA10" s="400"/>
      <c r="EB10" s="400"/>
      <c r="EC10" s="400"/>
      <c r="ED10" s="400"/>
      <c r="EE10" s="400"/>
      <c r="EF10" s="400"/>
      <c r="EG10" s="400"/>
      <c r="EH10" s="400"/>
      <c r="EI10" s="400"/>
      <c r="EJ10" s="400"/>
      <c r="EK10" s="400"/>
      <c r="EL10" s="400"/>
      <c r="EM10" s="400"/>
      <c r="EN10" s="400"/>
      <c r="EO10" s="400"/>
      <c r="EP10" s="220"/>
      <c r="EQ10" s="18"/>
      <c r="ER10" s="18"/>
      <c r="ES10" s="18"/>
      <c r="ET10" s="18"/>
      <c r="EU10" s="18"/>
      <c r="EV10" s="18"/>
      <c r="EW10" s="18"/>
      <c r="EX10" s="18"/>
      <c r="EY10" s="18"/>
      <c r="EZ10" s="18"/>
      <c r="FA10" s="18"/>
      <c r="FB10" s="18"/>
      <c r="FC10" s="18"/>
      <c r="FD10" s="18"/>
      <c r="FE10" s="18"/>
      <c r="FF10" s="18"/>
      <c r="FG10" s="18"/>
      <c r="FH10" s="18"/>
      <c r="FI10" s="18"/>
      <c r="FJ10" s="18"/>
      <c r="FK10" s="18"/>
      <c r="FL10" s="18"/>
      <c r="FM10" s="18"/>
      <c r="FN10" s="18"/>
      <c r="FO10" s="18"/>
      <c r="FP10" s="18"/>
      <c r="FQ10" s="18"/>
      <c r="FR10" s="18"/>
      <c r="FS10" s="18"/>
      <c r="FT10" s="18"/>
      <c r="FU10" s="18"/>
      <c r="FV10" s="18"/>
      <c r="FW10" s="18"/>
      <c r="FX10" s="18"/>
      <c r="FY10" s="18"/>
      <c r="FZ10" s="18"/>
      <c r="GA10" s="18"/>
      <c r="GB10" s="18"/>
      <c r="GC10" s="18"/>
      <c r="GD10" s="18"/>
      <c r="GE10" s="18"/>
      <c r="GF10" s="18"/>
      <c r="GG10" s="18"/>
      <c r="GH10" s="18"/>
      <c r="GI10" s="18"/>
      <c r="GJ10" s="18"/>
      <c r="GK10" s="18"/>
      <c r="GL10" s="18"/>
      <c r="GM10" s="18"/>
      <c r="GN10" s="18"/>
      <c r="GO10" s="18"/>
      <c r="GP10" s="18"/>
      <c r="GQ10" s="18"/>
      <c r="GR10" s="18"/>
      <c r="GS10" s="18"/>
      <c r="GT10" s="18"/>
      <c r="GU10" s="18"/>
      <c r="GV10" s="18"/>
      <c r="GW10" s="18"/>
      <c r="GX10" s="18"/>
      <c r="GY10" s="18"/>
      <c r="GZ10" s="18"/>
      <c r="HA10" s="18"/>
      <c r="HB10" s="18"/>
      <c r="HC10" s="18"/>
      <c r="HD10" s="18"/>
      <c r="HE10" s="18"/>
      <c r="HF10" s="18"/>
      <c r="HG10" s="18"/>
      <c r="HH10" s="18"/>
      <c r="HI10" s="18"/>
      <c r="HJ10" s="18"/>
      <c r="HK10" s="18"/>
      <c r="HL10" s="18"/>
      <c r="HM10" s="18"/>
      <c r="HN10" s="18"/>
      <c r="HO10" s="18"/>
      <c r="HP10" s="18"/>
      <c r="HQ10" s="18"/>
      <c r="HR10" s="18"/>
      <c r="HS10" s="18"/>
      <c r="HT10" s="18"/>
      <c r="HU10" s="18"/>
      <c r="HV10" s="18"/>
      <c r="HW10" s="18"/>
      <c r="HX10" s="18"/>
      <c r="HY10" s="18"/>
      <c r="HZ10" s="18"/>
      <c r="IA10" s="18"/>
      <c r="IB10" s="18"/>
      <c r="IC10" s="18"/>
      <c r="ID10" s="18"/>
      <c r="IE10" s="18"/>
      <c r="IF10" s="18"/>
      <c r="IG10" s="18"/>
      <c r="IH10" s="18"/>
      <c r="II10" s="18"/>
      <c r="IJ10" s="18"/>
      <c r="IK10" s="18"/>
      <c r="IL10" s="18"/>
      <c r="IM10" s="18"/>
      <c r="IN10" s="18"/>
      <c r="IO10" s="18"/>
      <c r="IP10" s="18"/>
      <c r="IQ10" s="18"/>
      <c r="IR10" s="18"/>
      <c r="IS10" s="18"/>
      <c r="IT10" s="18"/>
      <c r="IU10" s="18"/>
      <c r="IV10" s="18"/>
      <c r="IW10" s="18"/>
      <c r="IX10" s="18"/>
      <c r="IY10" s="18"/>
      <c r="IZ10" s="18"/>
      <c r="JA10" s="18"/>
      <c r="JB10" s="18"/>
      <c r="JC10" s="18"/>
      <c r="JD10" s="18"/>
      <c r="JE10" s="18"/>
      <c r="JF10" s="18"/>
      <c r="JG10" s="18"/>
      <c r="JH10" s="18"/>
      <c r="JI10" s="18"/>
      <c r="JJ10" s="18"/>
      <c r="JK10" s="18"/>
      <c r="JL10" s="18"/>
      <c r="JM10" s="18"/>
      <c r="JN10" s="18"/>
      <c r="JO10" s="18"/>
      <c r="JP10" s="18"/>
      <c r="JQ10" s="18"/>
      <c r="JR10" s="18"/>
      <c r="JS10" s="18"/>
      <c r="JT10" s="18"/>
      <c r="JU10" s="18"/>
      <c r="JV10" s="18"/>
      <c r="JW10" s="18"/>
      <c r="JX10" s="18"/>
      <c r="JZ10" s="263"/>
      <c r="KA10" s="263"/>
      <c r="KB10" s="263"/>
      <c r="KC10" s="263"/>
      <c r="KD10" s="263"/>
      <c r="KE10" s="263"/>
      <c r="KF10" s="263"/>
      <c r="KG10" s="263"/>
      <c r="KH10" s="263"/>
      <c r="KI10" s="263"/>
      <c r="KJ10" s="263"/>
      <c r="KK10" s="263"/>
      <c r="KL10" s="263"/>
      <c r="KM10" s="263"/>
      <c r="KN10" s="263"/>
      <c r="KO10" s="263"/>
      <c r="KP10" s="263"/>
      <c r="KQ10" s="263"/>
      <c r="KR10" s="263"/>
      <c r="KS10" s="263"/>
      <c r="KT10" s="263"/>
      <c r="KU10" s="263"/>
      <c r="KV10" s="263"/>
      <c r="KW10" s="263"/>
      <c r="KX10" s="263"/>
      <c r="KY10" s="263"/>
      <c r="KZ10" s="263"/>
      <c r="LA10" s="263"/>
      <c r="LB10" s="263"/>
      <c r="LC10" s="263"/>
      <c r="LD10" s="263"/>
      <c r="LE10" s="263"/>
      <c r="LF10" s="263"/>
      <c r="LG10" s="263"/>
      <c r="LH10" s="263"/>
      <c r="LI10" s="263"/>
      <c r="LJ10" s="263"/>
      <c r="LK10" s="263"/>
      <c r="LL10" s="263"/>
      <c r="LM10" s="263"/>
      <c r="LN10" s="263"/>
      <c r="LO10" s="263"/>
      <c r="LP10" s="263"/>
      <c r="LQ10" s="263"/>
      <c r="LR10" s="263"/>
      <c r="LS10" s="263"/>
      <c r="LT10" s="263"/>
      <c r="LU10" s="263"/>
      <c r="LV10" s="263"/>
      <c r="LW10" s="263"/>
      <c r="LX10" s="263"/>
      <c r="LY10" s="263"/>
      <c r="LZ10" s="263"/>
      <c r="MA10" s="263"/>
      <c r="MB10" s="263"/>
      <c r="MC10" s="263"/>
      <c r="MD10" s="263"/>
      <c r="ME10" s="263"/>
      <c r="MF10" s="263"/>
      <c r="MG10" s="263"/>
      <c r="MH10" s="263"/>
      <c r="MI10" s="263"/>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c r="NO10" s="263"/>
      <c r="NP10" s="263"/>
      <c r="NQ10" s="263"/>
      <c r="NR10" s="263"/>
      <c r="NS10" s="263"/>
      <c r="NT10" s="263"/>
      <c r="NU10" s="263"/>
      <c r="NV10" s="263"/>
      <c r="NW10" s="263"/>
      <c r="NX10" s="263"/>
      <c r="NY10" s="263"/>
      <c r="NZ10" s="263"/>
      <c r="OA10" s="263"/>
      <c r="OB10" s="263"/>
      <c r="OC10" s="263"/>
      <c r="OD10" s="263"/>
      <c r="OE10" s="263"/>
      <c r="OF10" s="263"/>
      <c r="OG10" s="263"/>
      <c r="OH10" s="263"/>
      <c r="OI10" s="263"/>
      <c r="OJ10" s="263"/>
      <c r="OK10" s="263"/>
      <c r="OL10" s="263"/>
      <c r="OM10" s="263"/>
      <c r="ON10" s="263"/>
      <c r="OO10" s="263"/>
      <c r="OP10" s="263"/>
      <c r="OQ10" s="263"/>
      <c r="OR10" s="263"/>
      <c r="OS10" s="263"/>
      <c r="OT10" s="263"/>
      <c r="OU10" s="263"/>
      <c r="OV10" s="263"/>
      <c r="OW10" s="263"/>
      <c r="OX10" s="263"/>
      <c r="OY10" s="263"/>
      <c r="OZ10" s="263"/>
      <c r="PA10" s="263"/>
      <c r="PB10" s="263"/>
      <c r="PC10" s="263"/>
      <c r="PD10" s="263"/>
      <c r="PE10" s="263"/>
      <c r="PF10" s="263"/>
      <c r="PG10" s="263"/>
      <c r="PH10" s="263"/>
    </row>
    <row r="11">
      <c r="B11" s="34" t="s">
        <v>101</v>
      </c>
      <c r="C11" s="34"/>
      <c r="D11" s="401"/>
      <c r="E11" s="402" t="str">
        <f>PROJECTS!$AP$10</f>
        <v>Port Melbourne</v>
      </c>
      <c r="F11" s="34" t="s">
        <v>102</v>
      </c>
      <c r="G11" s="401"/>
      <c r="H11" s="401"/>
      <c r="I11" s="66" t="s">
        <v>103</v>
      </c>
      <c r="J11" s="399"/>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00"/>
      <c r="AH11" s="400"/>
      <c r="AI11" s="400"/>
      <c r="AJ11" s="400"/>
      <c r="AK11" s="400"/>
      <c r="AL11" s="400"/>
      <c r="AM11" s="400"/>
      <c r="AN11" s="400"/>
      <c r="AO11" s="400"/>
      <c r="AP11" s="400"/>
      <c r="AQ11" s="400"/>
      <c r="AR11" s="400"/>
      <c r="AS11" s="400"/>
      <c r="AT11" s="400"/>
      <c r="AU11" s="400"/>
      <c r="AV11" s="400"/>
      <c r="AW11" s="400"/>
      <c r="AX11" s="400"/>
      <c r="AY11" s="400"/>
      <c r="AZ11" s="400"/>
      <c r="BA11" s="400"/>
      <c r="BB11" s="400"/>
      <c r="BC11" s="400"/>
      <c r="BD11" s="400"/>
      <c r="BE11" s="400"/>
      <c r="BF11" s="400"/>
      <c r="BG11" s="400"/>
      <c r="BH11" s="400"/>
      <c r="BI11" s="400"/>
      <c r="BJ11" s="400"/>
      <c r="BK11" s="400"/>
      <c r="BL11" s="400"/>
      <c r="BM11" s="400"/>
      <c r="BN11" s="400"/>
      <c r="BO11" s="400"/>
      <c r="BP11" s="400"/>
      <c r="BQ11" s="400"/>
      <c r="BR11" s="400"/>
      <c r="BS11" s="400"/>
      <c r="BT11" s="400"/>
      <c r="BU11" s="400"/>
      <c r="BV11" s="400"/>
      <c r="BW11" s="400"/>
      <c r="BX11" s="400"/>
      <c r="BY11" s="400"/>
      <c r="BZ11" s="400"/>
      <c r="CA11" s="400"/>
      <c r="CB11" s="400"/>
      <c r="CC11" s="400"/>
      <c r="CD11" s="400"/>
      <c r="CE11" s="400"/>
      <c r="CF11" s="400"/>
      <c r="CG11" s="400"/>
      <c r="CH11" s="400"/>
      <c r="CI11" s="400"/>
      <c r="CJ11" s="400"/>
      <c r="CK11" s="400"/>
      <c r="CL11" s="400"/>
      <c r="CM11" s="400"/>
      <c r="CN11" s="400"/>
      <c r="CO11" s="400"/>
      <c r="CP11" s="400"/>
      <c r="CQ11" s="400"/>
      <c r="CR11" s="400"/>
      <c r="CS11" s="400"/>
      <c r="CT11" s="400"/>
      <c r="CU11" s="400"/>
      <c r="CV11" s="400"/>
      <c r="CW11" s="400"/>
      <c r="CX11" s="400"/>
      <c r="CY11" s="400"/>
      <c r="CZ11" s="400"/>
      <c r="DA11" s="400"/>
      <c r="DB11" s="400"/>
      <c r="DC11" s="400"/>
      <c r="DD11" s="400"/>
      <c r="DE11" s="400"/>
      <c r="DF11" s="400"/>
      <c r="DG11" s="400"/>
      <c r="DH11" s="400"/>
      <c r="DI11" s="400"/>
      <c r="DJ11" s="400"/>
      <c r="DK11" s="400"/>
      <c r="DL11" s="400"/>
      <c r="DM11" s="400"/>
      <c r="DN11" s="400"/>
      <c r="DO11" s="400"/>
      <c r="DP11" s="400"/>
      <c r="DQ11" s="400"/>
      <c r="DR11" s="400"/>
      <c r="DS11" s="400"/>
      <c r="DT11" s="400"/>
      <c r="DU11" s="400"/>
      <c r="DV11" s="400"/>
      <c r="DW11" s="400"/>
      <c r="DX11" s="400"/>
      <c r="DY11" s="400"/>
      <c r="DZ11" s="400"/>
      <c r="EA11" s="400"/>
      <c r="EB11" s="400"/>
      <c r="EC11" s="400"/>
      <c r="ED11" s="400"/>
      <c r="EE11" s="400"/>
      <c r="EF11" s="400"/>
      <c r="EG11" s="400"/>
      <c r="EH11" s="400"/>
      <c r="EI11" s="400"/>
      <c r="EJ11" s="400"/>
      <c r="EK11" s="400"/>
      <c r="EL11" s="400"/>
      <c r="EM11" s="400"/>
      <c r="EN11" s="400"/>
      <c r="EO11" s="400"/>
      <c r="EP11" s="220"/>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Z11" s="263"/>
      <c r="KA11" s="263"/>
      <c r="KB11" s="263"/>
      <c r="KC11" s="263"/>
      <c r="KD11" s="263"/>
      <c r="KE11" s="263"/>
      <c r="KF11" s="263"/>
      <c r="KG11" s="263"/>
      <c r="KH11" s="263"/>
      <c r="KI11" s="263"/>
      <c r="KJ11" s="263"/>
      <c r="KK11" s="263"/>
      <c r="KL11" s="263"/>
      <c r="KM11" s="263"/>
      <c r="KN11" s="263"/>
      <c r="KO11" s="263"/>
      <c r="KP11" s="263"/>
      <c r="KQ11" s="263"/>
      <c r="KR11" s="263"/>
      <c r="KS11" s="263"/>
      <c r="KT11" s="263"/>
      <c r="KU11" s="263"/>
      <c r="KV11" s="263"/>
      <c r="KW11" s="263"/>
      <c r="KX11" s="263"/>
      <c r="KY11" s="263"/>
      <c r="KZ11" s="263"/>
      <c r="LA11" s="263"/>
      <c r="LB11" s="263"/>
      <c r="LC11" s="263"/>
      <c r="LD11" s="263"/>
      <c r="LE11" s="263"/>
      <c r="LF11" s="263"/>
      <c r="LG11" s="263"/>
      <c r="LH11" s="263"/>
      <c r="LI11" s="263"/>
      <c r="LJ11" s="263"/>
      <c r="LK11" s="263"/>
      <c r="LL11" s="263"/>
      <c r="LM11" s="263"/>
      <c r="LN11" s="263"/>
      <c r="LO11" s="263"/>
      <c r="LP11" s="263"/>
      <c r="LQ11" s="263"/>
      <c r="LR11" s="263"/>
      <c r="LS11" s="263"/>
      <c r="LT11" s="263"/>
      <c r="LU11" s="263"/>
      <c r="LV11" s="263"/>
      <c r="LW11" s="263"/>
      <c r="LX11" s="263"/>
      <c r="LY11" s="263"/>
      <c r="LZ11" s="263"/>
      <c r="MA11" s="263"/>
      <c r="MB11" s="263"/>
      <c r="MC11" s="263"/>
      <c r="MD11" s="263"/>
      <c r="ME11" s="263"/>
      <c r="MF11" s="263"/>
      <c r="MG11" s="263"/>
      <c r="MH11" s="263"/>
      <c r="MI11" s="263"/>
      <c r="MJ11" s="263"/>
      <c r="MK11" s="263"/>
      <c r="ML11" s="263"/>
      <c r="MM11" s="263"/>
      <c r="MN11" s="263"/>
      <c r="MO11" s="263"/>
      <c r="MP11" s="263"/>
      <c r="MQ11" s="263"/>
      <c r="MR11" s="263"/>
      <c r="MS11" s="263"/>
      <c r="MT11" s="263"/>
      <c r="MU11" s="263"/>
      <c r="MV11" s="263"/>
      <c r="MW11" s="263"/>
      <c r="MX11" s="263"/>
      <c r="MY11" s="263"/>
      <c r="MZ11" s="263"/>
      <c r="NA11" s="263"/>
      <c r="NB11" s="263"/>
      <c r="NC11" s="263"/>
      <c r="ND11" s="263"/>
      <c r="NE11" s="263"/>
      <c r="NF11" s="263"/>
      <c r="NG11" s="263"/>
      <c r="NH11" s="263"/>
      <c r="NI11" s="263"/>
      <c r="NJ11" s="263"/>
      <c r="NK11" s="263"/>
      <c r="NL11" s="263"/>
      <c r="NM11" s="263"/>
      <c r="NN11" s="263"/>
      <c r="NO11" s="263"/>
      <c r="NP11" s="263"/>
      <c r="NQ11" s="263"/>
      <c r="NR11" s="263"/>
      <c r="NS11" s="263"/>
      <c r="NT11" s="263"/>
      <c r="NU11" s="263"/>
      <c r="NV11" s="263"/>
      <c r="NW11" s="263"/>
      <c r="NX11" s="263"/>
      <c r="NY11" s="263"/>
      <c r="NZ11" s="263"/>
      <c r="OA11" s="263"/>
      <c r="OB11" s="263"/>
      <c r="OC11" s="263"/>
      <c r="OD11" s="263"/>
      <c r="OE11" s="263"/>
      <c r="OF11" s="263"/>
      <c r="OG11" s="263"/>
      <c r="OH11" s="263"/>
      <c r="OI11" s="263"/>
      <c r="OJ11" s="263"/>
      <c r="OK11" s="263"/>
      <c r="OL11" s="263"/>
      <c r="OM11" s="263"/>
      <c r="ON11" s="263"/>
      <c r="OO11" s="263"/>
      <c r="OP11" s="263"/>
      <c r="OQ11" s="263"/>
      <c r="OR11" s="263"/>
      <c r="OS11" s="263"/>
      <c r="OT11" s="263"/>
      <c r="OU11" s="263"/>
      <c r="OV11" s="263"/>
      <c r="OW11" s="263"/>
      <c r="OX11" s="263"/>
      <c r="OY11" s="263"/>
      <c r="OZ11" s="263"/>
      <c r="PA11" s="263"/>
      <c r="PB11" s="263"/>
      <c r="PC11" s="263"/>
      <c r="PD11" s="263"/>
      <c r="PE11" s="263"/>
      <c r="PF11" s="263"/>
      <c r="PG11" s="263"/>
      <c r="PH11" s="263"/>
    </row>
    <row r="12">
      <c r="B12" s="34"/>
      <c r="C12" s="34"/>
      <c r="D12" s="401"/>
      <c r="E12" s="402"/>
      <c r="F12" s="34"/>
      <c r="G12" s="401"/>
      <c r="H12" s="401"/>
      <c r="I12" s="66"/>
      <c r="J12" s="399"/>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00"/>
      <c r="AH12" s="400"/>
      <c r="AI12" s="400"/>
      <c r="AJ12" s="400"/>
      <c r="AK12" s="400"/>
      <c r="AL12" s="400"/>
      <c r="AM12" s="400"/>
      <c r="AN12" s="400"/>
      <c r="AO12" s="400"/>
      <c r="AP12" s="400"/>
      <c r="AQ12" s="400"/>
      <c r="AR12" s="400"/>
      <c r="AS12" s="400"/>
      <c r="AT12" s="400"/>
      <c r="AU12" s="400"/>
      <c r="AV12" s="400"/>
      <c r="AW12" s="400"/>
      <c r="AX12" s="400"/>
      <c r="AY12" s="400"/>
      <c r="AZ12" s="400"/>
      <c r="BA12" s="400"/>
      <c r="BB12" s="400"/>
      <c r="BC12" s="400"/>
      <c r="BD12" s="400"/>
      <c r="BE12" s="400"/>
      <c r="BF12" s="400"/>
      <c r="BG12" s="400"/>
      <c r="BH12" s="400"/>
      <c r="BI12" s="400"/>
      <c r="BJ12" s="400"/>
      <c r="BK12" s="400"/>
      <c r="BL12" s="400"/>
      <c r="BM12" s="400"/>
      <c r="BN12" s="400"/>
      <c r="BO12" s="400"/>
      <c r="BP12" s="400"/>
      <c r="BQ12" s="400"/>
      <c r="BR12" s="400"/>
      <c r="BS12" s="400"/>
      <c r="BT12" s="400"/>
      <c r="BU12" s="400"/>
      <c r="BV12" s="400"/>
      <c r="BW12" s="400"/>
      <c r="BX12" s="400"/>
      <c r="BY12" s="400"/>
      <c r="BZ12" s="400"/>
      <c r="CA12" s="400"/>
      <c r="CB12" s="400"/>
      <c r="CC12" s="400"/>
      <c r="CD12" s="400"/>
      <c r="CE12" s="400"/>
      <c r="CF12" s="400"/>
      <c r="CG12" s="400"/>
      <c r="CH12" s="400"/>
      <c r="CI12" s="400"/>
      <c r="CJ12" s="400"/>
      <c r="CK12" s="400"/>
      <c r="CL12" s="400"/>
      <c r="CM12" s="400"/>
      <c r="CN12" s="400"/>
      <c r="CO12" s="400"/>
      <c r="CP12" s="400"/>
      <c r="CQ12" s="400"/>
      <c r="CR12" s="400"/>
      <c r="CS12" s="400"/>
      <c r="CT12" s="400"/>
      <c r="CU12" s="400"/>
      <c r="CV12" s="400"/>
      <c r="CW12" s="400"/>
      <c r="CX12" s="400"/>
      <c r="CY12" s="400"/>
      <c r="CZ12" s="400"/>
      <c r="DA12" s="400"/>
      <c r="DB12" s="400"/>
      <c r="DC12" s="400"/>
      <c r="DD12" s="400"/>
      <c r="DE12" s="400"/>
      <c r="DF12" s="400"/>
      <c r="DG12" s="400"/>
      <c r="DH12" s="400"/>
      <c r="DI12" s="400"/>
      <c r="DJ12" s="400"/>
      <c r="DK12" s="400"/>
      <c r="DL12" s="400"/>
      <c r="DM12" s="400"/>
      <c r="DN12" s="400"/>
      <c r="DO12" s="400"/>
      <c r="DP12" s="400"/>
      <c r="DQ12" s="400"/>
      <c r="DR12" s="400"/>
      <c r="DS12" s="400"/>
      <c r="DT12" s="400"/>
      <c r="DU12" s="400"/>
      <c r="DV12" s="400"/>
      <c r="DW12" s="400"/>
      <c r="DX12" s="400"/>
      <c r="DY12" s="400"/>
      <c r="DZ12" s="400"/>
      <c r="EA12" s="400"/>
      <c r="EB12" s="400"/>
      <c r="EC12" s="400"/>
      <c r="ED12" s="400"/>
      <c r="EE12" s="400"/>
      <c r="EF12" s="400"/>
      <c r="EG12" s="400"/>
      <c r="EH12" s="400"/>
      <c r="EI12" s="400"/>
      <c r="EJ12" s="400"/>
      <c r="EK12" s="400"/>
      <c r="EL12" s="400"/>
      <c r="EM12" s="400"/>
      <c r="EN12" s="400"/>
      <c r="EO12" s="400"/>
      <c r="EP12" s="220"/>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c r="GZ12" s="18"/>
      <c r="HA12" s="18"/>
      <c r="HB12" s="18"/>
      <c r="HC12" s="18"/>
      <c r="HD12" s="18"/>
      <c r="HE12" s="18"/>
      <c r="HF12" s="18"/>
      <c r="HG12" s="18"/>
      <c r="HH12" s="18"/>
      <c r="HI12" s="18"/>
      <c r="HJ12" s="18"/>
      <c r="HK12" s="18"/>
      <c r="HL12" s="18"/>
      <c r="HM12" s="18"/>
      <c r="HN12" s="18"/>
      <c r="HO12" s="18"/>
      <c r="HP12" s="18"/>
      <c r="HQ12" s="18"/>
      <c r="HR12" s="18"/>
      <c r="HS12" s="18"/>
      <c r="HT12" s="18"/>
      <c r="HU12" s="18"/>
      <c r="HV12" s="18"/>
      <c r="HW12" s="18"/>
      <c r="HX12" s="18"/>
      <c r="HY12" s="18"/>
      <c r="HZ12" s="18"/>
      <c r="IA12" s="18"/>
      <c r="IB12" s="18"/>
      <c r="IC12" s="18"/>
      <c r="ID12" s="18"/>
      <c r="IE12" s="18"/>
      <c r="IF12" s="18"/>
      <c r="IG12" s="18"/>
      <c r="IH12" s="18"/>
      <c r="II12" s="18"/>
      <c r="IJ12" s="18"/>
      <c r="IK12" s="18"/>
      <c r="IL12" s="18"/>
      <c r="IM12" s="18"/>
      <c r="IN12" s="18"/>
      <c r="IO12" s="18"/>
      <c r="IP12" s="18"/>
      <c r="IQ12" s="18"/>
      <c r="IR12" s="18"/>
      <c r="IS12" s="18"/>
      <c r="IT12" s="18"/>
      <c r="IU12" s="18"/>
      <c r="IV12" s="18"/>
      <c r="IW12" s="18"/>
      <c r="IX12" s="18"/>
      <c r="IY12" s="18"/>
      <c r="IZ12" s="18"/>
      <c r="JA12" s="18"/>
      <c r="JB12" s="18"/>
      <c r="JC12" s="18"/>
      <c r="JD12" s="18"/>
      <c r="JE12" s="18"/>
      <c r="JF12" s="18"/>
      <c r="JG12" s="18"/>
      <c r="JH12" s="18"/>
      <c r="JI12" s="18"/>
      <c r="JJ12" s="18"/>
      <c r="JK12" s="18"/>
      <c r="JL12" s="18"/>
      <c r="JM12" s="18"/>
      <c r="JN12" s="18"/>
      <c r="JO12" s="18"/>
      <c r="JP12" s="18"/>
      <c r="JQ12" s="18"/>
      <c r="JR12" s="18"/>
      <c r="JS12" s="18"/>
      <c r="JT12" s="18"/>
      <c r="JU12" s="18"/>
      <c r="JV12" s="18"/>
      <c r="JW12" s="18"/>
      <c r="JX12" s="18"/>
      <c r="JZ12" s="263"/>
      <c r="KA12" s="263"/>
      <c r="KB12" s="263"/>
      <c r="KC12" s="263"/>
      <c r="KD12" s="263"/>
      <c r="KE12" s="263"/>
      <c r="KF12" s="263"/>
      <c r="KG12" s="263"/>
      <c r="KH12" s="263"/>
      <c r="KI12" s="263"/>
      <c r="KJ12" s="263"/>
      <c r="KK12" s="263"/>
      <c r="KL12" s="263"/>
      <c r="KM12" s="263"/>
      <c r="KN12" s="263"/>
      <c r="KO12" s="263"/>
      <c r="KP12" s="263"/>
      <c r="KQ12" s="263"/>
      <c r="KR12" s="263"/>
      <c r="KS12" s="263"/>
      <c r="KT12" s="263"/>
      <c r="KU12" s="263"/>
      <c r="KV12" s="263"/>
      <c r="KW12" s="263"/>
      <c r="KX12" s="263"/>
      <c r="KY12" s="263"/>
      <c r="KZ12" s="263"/>
      <c r="LA12" s="263"/>
      <c r="LB12" s="263"/>
      <c r="LC12" s="263"/>
      <c r="LD12" s="263"/>
      <c r="LE12" s="263"/>
      <c r="LF12" s="263"/>
      <c r="LG12" s="263"/>
      <c r="LH12" s="263"/>
      <c r="LI12" s="263"/>
      <c r="LJ12" s="263"/>
      <c r="LK12" s="263"/>
      <c r="LL12" s="263"/>
      <c r="LM12" s="263"/>
      <c r="LN12" s="263"/>
      <c r="LO12" s="263"/>
      <c r="LP12" s="263"/>
      <c r="LQ12" s="263"/>
      <c r="LR12" s="263"/>
      <c r="LS12" s="263"/>
      <c r="LT12" s="263"/>
      <c r="LU12" s="263"/>
      <c r="LV12" s="263"/>
      <c r="LW12" s="263"/>
      <c r="LX12" s="263"/>
      <c r="LY12" s="263"/>
      <c r="LZ12" s="263"/>
      <c r="MA12" s="263"/>
      <c r="MB12" s="263"/>
      <c r="MC12" s="263"/>
      <c r="MD12" s="263"/>
      <c r="ME12" s="263"/>
      <c r="MF12" s="263"/>
      <c r="MG12" s="263"/>
      <c r="MH12" s="263"/>
      <c r="MI12" s="263"/>
      <c r="MJ12" s="263"/>
      <c r="MK12" s="263"/>
      <c r="ML12" s="263"/>
      <c r="MM12" s="263"/>
      <c r="MN12" s="263"/>
      <c r="MO12" s="263"/>
      <c r="MP12" s="263"/>
      <c r="MQ12" s="263"/>
      <c r="MR12" s="263"/>
      <c r="MS12" s="263"/>
      <c r="MT12" s="263"/>
      <c r="MU12" s="263"/>
      <c r="MV12" s="263"/>
      <c r="MW12" s="263"/>
      <c r="MX12" s="263"/>
      <c r="MY12" s="263"/>
      <c r="MZ12" s="263"/>
      <c r="NA12" s="263"/>
      <c r="NB12" s="263"/>
      <c r="NC12" s="263"/>
      <c r="ND12" s="263"/>
      <c r="NE12" s="263"/>
      <c r="NF12" s="263"/>
      <c r="NG12" s="263"/>
      <c r="NH12" s="263"/>
      <c r="NI12" s="263"/>
      <c r="NJ12" s="263"/>
      <c r="NK12" s="263"/>
      <c r="NL12" s="263"/>
      <c r="NM12" s="263"/>
      <c r="NN12" s="263"/>
      <c r="NO12" s="263"/>
      <c r="NP12" s="263"/>
      <c r="NQ12" s="263"/>
      <c r="NR12" s="263"/>
      <c r="NS12" s="263"/>
      <c r="NT12" s="263"/>
      <c r="NU12" s="263"/>
      <c r="NV12" s="263"/>
      <c r="NW12" s="263"/>
      <c r="NX12" s="263"/>
      <c r="NY12" s="263"/>
      <c r="NZ12" s="263"/>
      <c r="OA12" s="263"/>
      <c r="OB12" s="263"/>
      <c r="OC12" s="263"/>
      <c r="OD12" s="263"/>
      <c r="OE12" s="263"/>
      <c r="OF12" s="263"/>
      <c r="OG12" s="263"/>
      <c r="OH12" s="263"/>
      <c r="OI12" s="263"/>
      <c r="OJ12" s="263"/>
      <c r="OK12" s="263"/>
      <c r="OL12" s="263"/>
      <c r="OM12" s="263"/>
      <c r="ON12" s="263"/>
      <c r="OO12" s="263"/>
      <c r="OP12" s="263"/>
      <c r="OQ12" s="263"/>
      <c r="OR12" s="263"/>
      <c r="OS12" s="263"/>
      <c r="OT12" s="263"/>
      <c r="OU12" s="263"/>
      <c r="OV12" s="263"/>
      <c r="OW12" s="263"/>
      <c r="OX12" s="263"/>
      <c r="OY12" s="263"/>
      <c r="OZ12" s="263"/>
      <c r="PA12" s="263"/>
      <c r="PB12" s="263"/>
      <c r="PC12" s="263"/>
      <c r="PD12" s="263"/>
      <c r="PE12" s="263"/>
      <c r="PF12" s="263"/>
      <c r="PG12" s="263"/>
      <c r="PH12" s="263"/>
    </row>
    <row r="13">
      <c r="B13" s="34" t="s">
        <v>104</v>
      </c>
      <c r="C13" s="34"/>
      <c r="D13" s="401"/>
      <c r="E13" s="67" t="n">
        <f>PROJECTS!$AP$13</f>
        <v>46204</v>
      </c>
      <c r="F13" s="34" t="s">
        <v>105</v>
      </c>
      <c r="G13" s="401"/>
      <c r="H13" s="401"/>
      <c r="I13" s="66" t="str">
        <f>PROJECTS!$AP$12</f>
        <v>Australia</v>
      </c>
      <c r="J13" s="399"/>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00"/>
      <c r="AH13" s="400"/>
      <c r="AI13" s="400"/>
      <c r="AJ13" s="400"/>
      <c r="AK13" s="400"/>
      <c r="AL13" s="400"/>
      <c r="AM13" s="400"/>
      <c r="AN13" s="400"/>
      <c r="AO13" s="400"/>
      <c r="AP13" s="400"/>
      <c r="AQ13" s="400"/>
      <c r="AR13" s="400"/>
      <c r="AS13" s="400"/>
      <c r="AT13" s="400"/>
      <c r="AU13" s="400"/>
      <c r="AV13" s="400"/>
      <c r="AW13" s="400"/>
      <c r="AX13" s="400"/>
      <c r="AY13" s="400"/>
      <c r="AZ13" s="400"/>
      <c r="BA13" s="400"/>
      <c r="BB13" s="400"/>
      <c r="BC13" s="400"/>
      <c r="BD13" s="400"/>
      <c r="BE13" s="400"/>
      <c r="BF13" s="400"/>
      <c r="BG13" s="400"/>
      <c r="BH13" s="400"/>
      <c r="BI13" s="400"/>
      <c r="BJ13" s="400"/>
      <c r="BK13" s="400"/>
      <c r="BL13" s="400"/>
      <c r="BM13" s="400"/>
      <c r="BN13" s="400"/>
      <c r="BO13" s="400"/>
      <c r="BP13" s="400"/>
      <c r="BQ13" s="400"/>
      <c r="BR13" s="400"/>
      <c r="BS13" s="400"/>
      <c r="BT13" s="400"/>
      <c r="BU13" s="400"/>
      <c r="BV13" s="400"/>
      <c r="BW13" s="400"/>
      <c r="BX13" s="400"/>
      <c r="BY13" s="400"/>
      <c r="BZ13" s="400"/>
      <c r="CA13" s="400"/>
      <c r="CB13" s="400"/>
      <c r="CC13" s="400"/>
      <c r="CD13" s="400"/>
      <c r="CE13" s="400"/>
      <c r="CF13" s="400"/>
      <c r="CG13" s="400"/>
      <c r="CH13" s="400"/>
      <c r="CI13" s="400"/>
      <c r="CJ13" s="400"/>
      <c r="CK13" s="400"/>
      <c r="CL13" s="400"/>
      <c r="CM13" s="400"/>
      <c r="CN13" s="400"/>
      <c r="CO13" s="400"/>
      <c r="CP13" s="400"/>
      <c r="CQ13" s="400"/>
      <c r="CR13" s="400"/>
      <c r="CS13" s="400"/>
      <c r="CT13" s="400"/>
      <c r="CU13" s="400"/>
      <c r="CV13" s="400"/>
      <c r="CW13" s="400"/>
      <c r="CX13" s="400"/>
      <c r="CY13" s="400"/>
      <c r="CZ13" s="400"/>
      <c r="DA13" s="400"/>
      <c r="DB13" s="400"/>
      <c r="DC13" s="400"/>
      <c r="DD13" s="400"/>
      <c r="DE13" s="400"/>
      <c r="DF13" s="400"/>
      <c r="DG13" s="400"/>
      <c r="DH13" s="400"/>
      <c r="DI13" s="400"/>
      <c r="DJ13" s="400"/>
      <c r="DK13" s="400"/>
      <c r="DL13" s="400"/>
      <c r="DM13" s="400"/>
      <c r="DN13" s="400"/>
      <c r="DO13" s="400"/>
      <c r="DP13" s="400"/>
      <c r="DQ13" s="400"/>
      <c r="DR13" s="400"/>
      <c r="DS13" s="400"/>
      <c r="DT13" s="400"/>
      <c r="DU13" s="400"/>
      <c r="DV13" s="400"/>
      <c r="DW13" s="400"/>
      <c r="DX13" s="400"/>
      <c r="DY13" s="400"/>
      <c r="DZ13" s="400"/>
      <c r="EA13" s="400"/>
      <c r="EB13" s="400"/>
      <c r="EC13" s="400"/>
      <c r="ED13" s="400"/>
      <c r="EE13" s="400"/>
      <c r="EF13" s="400"/>
      <c r="EG13" s="400"/>
      <c r="EH13" s="400"/>
      <c r="EI13" s="400"/>
      <c r="EJ13" s="400"/>
      <c r="EK13" s="400"/>
      <c r="EL13" s="400"/>
      <c r="EM13" s="400"/>
      <c r="EN13" s="400"/>
      <c r="EO13" s="400"/>
      <c r="EP13" s="220"/>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c r="HB13" s="18"/>
      <c r="HC13" s="18"/>
      <c r="HD13" s="18"/>
      <c r="HE13" s="18"/>
      <c r="HF13" s="18"/>
      <c r="HG13" s="18"/>
      <c r="HH13" s="18"/>
      <c r="HI13" s="18"/>
      <c r="HJ13" s="18"/>
      <c r="HK13" s="18"/>
      <c r="HL13" s="18"/>
      <c r="HM13" s="18"/>
      <c r="HN13" s="18"/>
      <c r="HO13" s="18"/>
      <c r="HP13" s="18"/>
      <c r="HQ13" s="18"/>
      <c r="HR13" s="18"/>
      <c r="HS13" s="18"/>
      <c r="HT13" s="18"/>
      <c r="HU13" s="18"/>
      <c r="HV13" s="18"/>
      <c r="HW13" s="18"/>
      <c r="HX13" s="18"/>
      <c r="HY13" s="18"/>
      <c r="HZ13" s="18"/>
      <c r="IA13" s="18"/>
      <c r="IB13" s="18"/>
      <c r="IC13" s="18"/>
      <c r="ID13" s="18"/>
      <c r="IE13" s="18"/>
      <c r="IF13" s="18"/>
      <c r="IG13" s="18"/>
      <c r="IH13" s="18"/>
      <c r="II13" s="18"/>
      <c r="IJ13" s="18"/>
      <c r="IK13" s="18"/>
      <c r="IL13" s="18"/>
      <c r="IM13" s="18"/>
      <c r="IN13" s="18"/>
      <c r="IO13" s="18"/>
      <c r="IP13" s="18"/>
      <c r="IQ13" s="18"/>
      <c r="IR13" s="18"/>
      <c r="IS13" s="18"/>
      <c r="IT13" s="18"/>
      <c r="IU13" s="18"/>
      <c r="IV13" s="18"/>
      <c r="IW13" s="18"/>
      <c r="IX13" s="18"/>
      <c r="IY13" s="18"/>
      <c r="IZ13" s="18"/>
      <c r="JA13" s="18"/>
      <c r="JB13" s="18"/>
      <c r="JC13" s="18"/>
      <c r="JD13" s="18"/>
      <c r="JE13" s="18"/>
      <c r="JF13" s="18"/>
      <c r="JG13" s="18"/>
      <c r="JH13" s="18"/>
      <c r="JI13" s="18"/>
      <c r="JJ13" s="18"/>
      <c r="JK13" s="18"/>
      <c r="JL13" s="18"/>
      <c r="JM13" s="18"/>
      <c r="JN13" s="18"/>
      <c r="JO13" s="18"/>
      <c r="JP13" s="18"/>
      <c r="JQ13" s="18"/>
      <c r="JR13" s="18"/>
      <c r="JS13" s="18"/>
      <c r="JT13" s="18"/>
      <c r="JU13" s="18"/>
      <c r="JV13" s="18"/>
      <c r="JW13" s="18"/>
      <c r="JX13" s="18"/>
      <c r="JZ13" s="263"/>
      <c r="KA13" s="263"/>
      <c r="KB13" s="263"/>
      <c r="KC13" s="263"/>
      <c r="KD13" s="263"/>
      <c r="KE13" s="263"/>
      <c r="KF13" s="263"/>
      <c r="KG13" s="263"/>
      <c r="KH13" s="263"/>
      <c r="KI13" s="263"/>
      <c r="KJ13" s="263"/>
      <c r="KK13" s="263"/>
      <c r="KL13" s="263"/>
      <c r="KM13" s="263"/>
      <c r="KN13" s="263"/>
      <c r="KO13" s="263"/>
      <c r="KP13" s="263"/>
      <c r="KQ13" s="263"/>
      <c r="KR13" s="263"/>
      <c r="KS13" s="263"/>
      <c r="KT13" s="263"/>
      <c r="KU13" s="263"/>
      <c r="KV13" s="263"/>
      <c r="KW13" s="263"/>
      <c r="KX13" s="263"/>
      <c r="KY13" s="263"/>
      <c r="KZ13" s="263"/>
      <c r="LA13" s="263"/>
      <c r="LB13" s="263"/>
      <c r="LC13" s="263"/>
      <c r="LD13" s="263"/>
      <c r="LE13" s="263"/>
      <c r="LF13" s="263"/>
      <c r="LG13" s="263"/>
      <c r="LH13" s="263"/>
      <c r="LI13" s="263"/>
      <c r="LJ13" s="263"/>
      <c r="LK13" s="263"/>
      <c r="LL13" s="263"/>
      <c r="LM13" s="263"/>
      <c r="LN13" s="263"/>
      <c r="LO13" s="263"/>
      <c r="LP13" s="263"/>
      <c r="LQ13" s="263"/>
      <c r="LR13" s="263"/>
      <c r="LS13" s="263"/>
      <c r="LT13" s="263"/>
      <c r="LU13" s="263"/>
      <c r="LV13" s="263"/>
      <c r="LW13" s="263"/>
      <c r="LX13" s="263"/>
      <c r="LY13" s="263"/>
      <c r="LZ13" s="263"/>
      <c r="MA13" s="263"/>
      <c r="MB13" s="263"/>
      <c r="MC13" s="263"/>
      <c r="MD13" s="263"/>
      <c r="ME13" s="263"/>
      <c r="MF13" s="263"/>
      <c r="MG13" s="263"/>
      <c r="MH13" s="263"/>
      <c r="MI13" s="263"/>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c r="NN13" s="263"/>
      <c r="NO13" s="263"/>
      <c r="NP13" s="263"/>
      <c r="NQ13" s="263"/>
      <c r="NR13" s="263"/>
      <c r="NS13" s="263"/>
      <c r="NT13" s="263"/>
      <c r="NU13" s="263"/>
      <c r="NV13" s="263"/>
      <c r="NW13" s="263"/>
      <c r="NX13" s="263"/>
      <c r="NY13" s="263"/>
      <c r="NZ13" s="263"/>
      <c r="OA13" s="263"/>
      <c r="OB13" s="263"/>
      <c r="OC13" s="263"/>
      <c r="OD13" s="263"/>
      <c r="OE13" s="263"/>
      <c r="OF13" s="263"/>
      <c r="OG13" s="263"/>
      <c r="OH13" s="263"/>
      <c r="OI13" s="263"/>
      <c r="OJ13" s="263"/>
      <c r="OK13" s="263"/>
      <c r="OL13" s="263"/>
      <c r="OM13" s="263"/>
      <c r="ON13" s="263"/>
      <c r="OO13" s="263"/>
      <c r="OP13" s="263"/>
      <c r="OQ13" s="263"/>
      <c r="OR13" s="263"/>
      <c r="OS13" s="263"/>
      <c r="OT13" s="263"/>
      <c r="OU13" s="263"/>
      <c r="OV13" s="263"/>
      <c r="OW13" s="263"/>
      <c r="OX13" s="263"/>
      <c r="OY13" s="263"/>
      <c r="OZ13" s="263"/>
      <c r="PA13" s="263"/>
      <c r="PB13" s="263"/>
      <c r="PC13" s="263"/>
      <c r="PD13" s="263"/>
      <c r="PE13" s="263"/>
      <c r="PF13" s="263"/>
      <c r="PG13" s="263"/>
      <c r="PH13" s="263"/>
    </row>
    <row r="14">
      <c r="B14" s="34"/>
      <c r="C14" s="34"/>
      <c r="D14" s="401"/>
      <c r="E14" s="402"/>
      <c r="F14" s="34"/>
      <c r="G14" s="401"/>
      <c r="H14" s="401"/>
      <c r="I14" s="402"/>
      <c r="J14" s="399"/>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00"/>
      <c r="AH14" s="400"/>
      <c r="AI14" s="400"/>
      <c r="AJ14" s="400"/>
      <c r="AK14" s="400"/>
      <c r="AL14" s="400"/>
      <c r="AM14" s="400"/>
      <c r="AN14" s="400"/>
      <c r="AO14" s="400"/>
      <c r="AP14" s="400"/>
      <c r="AQ14" s="400"/>
      <c r="AR14" s="400"/>
      <c r="AS14" s="400"/>
      <c r="AT14" s="400"/>
      <c r="AU14" s="400"/>
      <c r="AV14" s="400"/>
      <c r="AW14" s="400"/>
      <c r="AX14" s="400"/>
      <c r="AY14" s="400"/>
      <c r="AZ14" s="400"/>
      <c r="BA14" s="400"/>
      <c r="BB14" s="400"/>
      <c r="BC14" s="400"/>
      <c r="BD14" s="400"/>
      <c r="BE14" s="400"/>
      <c r="BF14" s="400"/>
      <c r="BG14" s="400"/>
      <c r="BH14" s="400"/>
      <c r="BI14" s="400"/>
      <c r="BJ14" s="400"/>
      <c r="BK14" s="400"/>
      <c r="BL14" s="400"/>
      <c r="BM14" s="400"/>
      <c r="BN14" s="400"/>
      <c r="BO14" s="400"/>
      <c r="BP14" s="400"/>
      <c r="BQ14" s="400"/>
      <c r="BR14" s="400"/>
      <c r="BS14" s="400"/>
      <c r="BT14" s="400"/>
      <c r="BU14" s="400"/>
      <c r="BV14" s="400"/>
      <c r="BW14" s="400"/>
      <c r="BX14" s="400"/>
      <c r="BY14" s="400"/>
      <c r="BZ14" s="400"/>
      <c r="CA14" s="400"/>
      <c r="CB14" s="400"/>
      <c r="CC14" s="400"/>
      <c r="CD14" s="400"/>
      <c r="CE14" s="400"/>
      <c r="CF14" s="400"/>
      <c r="CG14" s="400"/>
      <c r="CH14" s="400"/>
      <c r="CI14" s="400"/>
      <c r="CJ14" s="400"/>
      <c r="CK14" s="400"/>
      <c r="CL14" s="400"/>
      <c r="CM14" s="400"/>
      <c r="CN14" s="400"/>
      <c r="CO14" s="400"/>
      <c r="CP14" s="400"/>
      <c r="CQ14" s="400"/>
      <c r="CR14" s="400"/>
      <c r="CS14" s="400"/>
      <c r="CT14" s="400"/>
      <c r="CU14" s="400"/>
      <c r="CV14" s="400"/>
      <c r="CW14" s="400"/>
      <c r="CX14" s="400"/>
      <c r="CY14" s="400"/>
      <c r="CZ14" s="400"/>
      <c r="DA14" s="400"/>
      <c r="DB14" s="400"/>
      <c r="DC14" s="400"/>
      <c r="DD14" s="400"/>
      <c r="DE14" s="400"/>
      <c r="DF14" s="400"/>
      <c r="DG14" s="400"/>
      <c r="DH14" s="400"/>
      <c r="DI14" s="400"/>
      <c r="DJ14" s="400"/>
      <c r="DK14" s="400"/>
      <c r="DL14" s="400"/>
      <c r="DM14" s="400"/>
      <c r="DN14" s="400"/>
      <c r="DO14" s="400"/>
      <c r="DP14" s="400"/>
      <c r="DQ14" s="400"/>
      <c r="DR14" s="400"/>
      <c r="DS14" s="400"/>
      <c r="DT14" s="400"/>
      <c r="DU14" s="400"/>
      <c r="DV14" s="400"/>
      <c r="DW14" s="400"/>
      <c r="DX14" s="400"/>
      <c r="DY14" s="400"/>
      <c r="DZ14" s="400"/>
      <c r="EA14" s="400"/>
      <c r="EB14" s="400"/>
      <c r="EC14" s="400"/>
      <c r="ED14" s="400"/>
      <c r="EE14" s="400"/>
      <c r="EF14" s="400"/>
      <c r="EG14" s="400"/>
      <c r="EH14" s="400"/>
      <c r="EI14" s="400"/>
      <c r="EJ14" s="400"/>
      <c r="EK14" s="400"/>
      <c r="EL14" s="400"/>
      <c r="EM14" s="400"/>
      <c r="EN14" s="400"/>
      <c r="EO14" s="400"/>
      <c r="EP14" s="220"/>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18"/>
      <c r="GJ14" s="18"/>
      <c r="GK14" s="18"/>
      <c r="GL14" s="18"/>
      <c r="GM14" s="18"/>
      <c r="GN14" s="18"/>
      <c r="GO14" s="18"/>
      <c r="GP14" s="18"/>
      <c r="GQ14" s="18"/>
      <c r="GR14" s="18"/>
      <c r="GS14" s="18"/>
      <c r="GT14" s="18"/>
      <c r="GU14" s="18"/>
      <c r="GV14" s="18"/>
      <c r="GW14" s="18"/>
      <c r="GX14" s="18"/>
      <c r="GY14" s="18"/>
      <c r="GZ14" s="18"/>
      <c r="HA14" s="18"/>
      <c r="HB14" s="18"/>
      <c r="HC14" s="18"/>
      <c r="HD14" s="18"/>
      <c r="HE14" s="18"/>
      <c r="HF14" s="18"/>
      <c r="HG14" s="18"/>
      <c r="HH14" s="18"/>
      <c r="HI14" s="18"/>
      <c r="HJ14" s="18"/>
      <c r="HK14" s="18"/>
      <c r="HL14" s="18"/>
      <c r="HM14" s="18"/>
      <c r="HN14" s="18"/>
      <c r="HO14" s="18"/>
      <c r="HP14" s="18"/>
      <c r="HQ14" s="18"/>
      <c r="HR14" s="18"/>
      <c r="HS14" s="18"/>
      <c r="HT14" s="18"/>
      <c r="HU14" s="18"/>
      <c r="HV14" s="18"/>
      <c r="HW14" s="18"/>
      <c r="HX14" s="18"/>
      <c r="HY14" s="18"/>
      <c r="HZ14" s="18"/>
      <c r="IA14" s="18"/>
      <c r="IB14" s="18"/>
      <c r="IC14" s="18"/>
      <c r="ID14" s="18"/>
      <c r="IE14" s="18"/>
      <c r="IF14" s="18"/>
      <c r="IG14" s="18"/>
      <c r="IH14" s="18"/>
      <c r="II14" s="18"/>
      <c r="IJ14" s="18"/>
      <c r="IK14" s="18"/>
      <c r="IL14" s="18"/>
      <c r="IM14" s="18"/>
      <c r="IN14" s="18"/>
      <c r="IO14" s="18"/>
      <c r="IP14" s="18"/>
      <c r="IQ14" s="18"/>
      <c r="IR14" s="18"/>
      <c r="IS14" s="18"/>
      <c r="IT14" s="18"/>
      <c r="IU14" s="18"/>
      <c r="IV14" s="18"/>
      <c r="IW14" s="18"/>
      <c r="IX14" s="18"/>
      <c r="IY14" s="18"/>
      <c r="IZ14" s="18"/>
      <c r="JA14" s="18"/>
      <c r="JB14" s="18"/>
      <c r="JC14" s="18"/>
      <c r="JD14" s="18"/>
      <c r="JE14" s="18"/>
      <c r="JF14" s="18"/>
      <c r="JG14" s="18"/>
      <c r="JH14" s="18"/>
      <c r="JI14" s="18"/>
      <c r="JJ14" s="18"/>
      <c r="JK14" s="18"/>
      <c r="JL14" s="18"/>
      <c r="JM14" s="18"/>
      <c r="JN14" s="18"/>
      <c r="JO14" s="18"/>
      <c r="JP14" s="18"/>
      <c r="JQ14" s="18"/>
      <c r="JR14" s="18"/>
      <c r="JS14" s="18"/>
      <c r="JT14" s="18"/>
      <c r="JU14" s="18"/>
      <c r="JV14" s="18"/>
      <c r="JW14" s="18"/>
      <c r="JX14" s="18"/>
      <c r="JZ14" s="263"/>
      <c r="KA14" s="263"/>
      <c r="KB14" s="263"/>
      <c r="KC14" s="263"/>
      <c r="KD14" s="263"/>
      <c r="KE14" s="263"/>
      <c r="KF14" s="263"/>
      <c r="KG14" s="263"/>
      <c r="KH14" s="263"/>
      <c r="KI14" s="263"/>
      <c r="KJ14" s="263"/>
      <c r="KK14" s="263"/>
      <c r="KL14" s="263"/>
      <c r="KM14" s="263"/>
      <c r="KN14" s="263"/>
      <c r="KO14" s="263"/>
      <c r="KP14" s="263"/>
      <c r="KQ14" s="263"/>
      <c r="KR14" s="263"/>
      <c r="KS14" s="263"/>
      <c r="KT14" s="263"/>
      <c r="KU14" s="263"/>
      <c r="KV14" s="263"/>
      <c r="KW14" s="263"/>
      <c r="KX14" s="263"/>
      <c r="KY14" s="263"/>
      <c r="KZ14" s="263"/>
      <c r="LA14" s="263"/>
      <c r="LB14" s="263"/>
      <c r="LC14" s="263"/>
      <c r="LD14" s="263"/>
      <c r="LE14" s="263"/>
      <c r="LF14" s="263"/>
      <c r="LG14" s="263"/>
      <c r="LH14" s="263"/>
      <c r="LI14" s="263"/>
      <c r="LJ14" s="263"/>
      <c r="LK14" s="263"/>
      <c r="LL14" s="263"/>
      <c r="LM14" s="263"/>
      <c r="LN14" s="263"/>
      <c r="LO14" s="263"/>
      <c r="LP14" s="263"/>
      <c r="LQ14" s="263"/>
      <c r="LR14" s="263"/>
      <c r="LS14" s="263"/>
      <c r="LT14" s="263"/>
      <c r="LU14" s="263"/>
      <c r="LV14" s="263"/>
      <c r="LW14" s="263"/>
      <c r="LX14" s="263"/>
      <c r="LY14" s="263"/>
      <c r="LZ14" s="263"/>
      <c r="MA14" s="263"/>
      <c r="MB14" s="263"/>
      <c r="MC14" s="263"/>
      <c r="MD14" s="263"/>
      <c r="ME14" s="263"/>
      <c r="MF14" s="263"/>
      <c r="MG14" s="263"/>
      <c r="MH14" s="263"/>
      <c r="MI14" s="263"/>
      <c r="MJ14" s="263"/>
      <c r="MK14" s="263"/>
      <c r="ML14" s="263"/>
      <c r="MM14" s="263"/>
      <c r="MN14" s="263"/>
      <c r="MO14" s="263"/>
      <c r="MP14" s="263"/>
      <c r="MQ14" s="263"/>
      <c r="MR14" s="263"/>
      <c r="MS14" s="263"/>
      <c r="MT14" s="263"/>
      <c r="MU14" s="263"/>
      <c r="MV14" s="263"/>
      <c r="MW14" s="263"/>
      <c r="MX14" s="263"/>
      <c r="MY14" s="263"/>
      <c r="MZ14" s="263"/>
      <c r="NA14" s="263"/>
      <c r="NB14" s="263"/>
      <c r="NC14" s="263"/>
      <c r="ND14" s="263"/>
      <c r="NE14" s="263"/>
      <c r="NF14" s="263"/>
      <c r="NG14" s="263"/>
      <c r="NH14" s="263"/>
      <c r="NI14" s="263"/>
      <c r="NJ14" s="263"/>
      <c r="NK14" s="263"/>
      <c r="NL14" s="263"/>
      <c r="NM14" s="263"/>
      <c r="NN14" s="263"/>
      <c r="NO14" s="263"/>
      <c r="NP14" s="263"/>
      <c r="NQ14" s="263"/>
      <c r="NR14" s="263"/>
      <c r="NS14" s="263"/>
      <c r="NT14" s="263"/>
      <c r="NU14" s="263"/>
      <c r="NV14" s="263"/>
      <c r="NW14" s="263"/>
      <c r="NX14" s="263"/>
      <c r="NY14" s="263"/>
      <c r="NZ14" s="263"/>
      <c r="OA14" s="263"/>
      <c r="OB14" s="263"/>
      <c r="OC14" s="263"/>
      <c r="OD14" s="263"/>
      <c r="OE14" s="263"/>
      <c r="OF14" s="263"/>
      <c r="OG14" s="263"/>
      <c r="OH14" s="263"/>
      <c r="OI14" s="263"/>
      <c r="OJ14" s="263"/>
      <c r="OK14" s="263"/>
      <c r="OL14" s="263"/>
      <c r="OM14" s="263"/>
      <c r="ON14" s="263"/>
      <c r="OO14" s="263"/>
      <c r="OP14" s="263"/>
      <c r="OQ14" s="263"/>
      <c r="OR14" s="263"/>
      <c r="OS14" s="263"/>
      <c r="OT14" s="263"/>
      <c r="OU14" s="263"/>
      <c r="OV14" s="263"/>
      <c r="OW14" s="263"/>
      <c r="OX14" s="263"/>
      <c r="OY14" s="263"/>
      <c r="OZ14" s="263"/>
      <c r="PA14" s="263"/>
      <c r="PB14" s="263"/>
      <c r="PC14" s="263"/>
      <c r="PD14" s="263"/>
      <c r="PE14" s="263"/>
      <c r="PF14" s="263"/>
      <c r="PG14" s="263"/>
      <c r="PH14" s="263"/>
    </row>
    <row r="15">
      <c r="B15" s="34" t="s">
        <v>106</v>
      </c>
      <c r="C15" s="403"/>
      <c r="D15" s="691" t="s">
        <v>107</v>
      </c>
      <c r="E15" s="691"/>
      <c r="F15" s="34" t="s">
        <v>38</v>
      </c>
      <c r="G15" s="401"/>
      <c r="H15" s="401"/>
      <c r="I15" s="68" t="n">
        <f>EDATE(E13,I16-1)</f>
        <v>48030</v>
      </c>
      <c r="J15" s="399"/>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00"/>
      <c r="AH15" s="400"/>
      <c r="AI15" s="400"/>
      <c r="AJ15" s="400"/>
      <c r="AK15" s="400"/>
      <c r="AL15" s="400"/>
      <c r="AM15" s="400"/>
      <c r="AN15" s="400"/>
      <c r="AO15" s="400"/>
      <c r="AP15" s="400"/>
      <c r="AQ15" s="400"/>
      <c r="AR15" s="400"/>
      <c r="AS15" s="400"/>
      <c r="AT15" s="400"/>
      <c r="AU15" s="400"/>
      <c r="AV15" s="400"/>
      <c r="AW15" s="400"/>
      <c r="AX15" s="400"/>
      <c r="AY15" s="400"/>
      <c r="AZ15" s="400"/>
      <c r="BA15" s="400"/>
      <c r="BB15" s="400"/>
      <c r="BC15" s="400"/>
      <c r="BD15" s="400"/>
      <c r="BE15" s="400"/>
      <c r="BF15" s="400"/>
      <c r="BG15" s="400"/>
      <c r="BH15" s="400"/>
      <c r="BI15" s="400"/>
      <c r="BJ15" s="400"/>
      <c r="BK15" s="400"/>
      <c r="BL15" s="400"/>
      <c r="BM15" s="400"/>
      <c r="BN15" s="400"/>
      <c r="BO15" s="400"/>
      <c r="BP15" s="400"/>
      <c r="BQ15" s="400"/>
      <c r="BR15" s="400"/>
      <c r="BS15" s="400"/>
      <c r="BT15" s="400"/>
      <c r="BU15" s="400"/>
      <c r="BV15" s="400"/>
      <c r="BW15" s="400"/>
      <c r="BX15" s="400"/>
      <c r="BY15" s="400"/>
      <c r="BZ15" s="400"/>
      <c r="CA15" s="400"/>
      <c r="CB15" s="400"/>
      <c r="CC15" s="400"/>
      <c r="CD15" s="400"/>
      <c r="CE15" s="400"/>
      <c r="CF15" s="400"/>
      <c r="CG15" s="400"/>
      <c r="CH15" s="400"/>
      <c r="CI15" s="400"/>
      <c r="CJ15" s="400"/>
      <c r="CK15" s="400"/>
      <c r="CL15" s="400"/>
      <c r="CM15" s="400"/>
      <c r="CN15" s="400"/>
      <c r="CO15" s="400"/>
      <c r="CP15" s="400"/>
      <c r="CQ15" s="400"/>
      <c r="CR15" s="400"/>
      <c r="CS15" s="400"/>
      <c r="CT15" s="400"/>
      <c r="CU15" s="400"/>
      <c r="CV15" s="400"/>
      <c r="CW15" s="400"/>
      <c r="CX15" s="400"/>
      <c r="CY15" s="400"/>
      <c r="CZ15" s="400"/>
      <c r="DA15" s="400"/>
      <c r="DB15" s="400"/>
      <c r="DC15" s="400"/>
      <c r="DD15" s="400"/>
      <c r="DE15" s="400"/>
      <c r="DF15" s="400"/>
      <c r="DG15" s="400"/>
      <c r="DH15" s="400"/>
      <c r="DI15" s="400"/>
      <c r="DJ15" s="400"/>
      <c r="DK15" s="400"/>
      <c r="DL15" s="400"/>
      <c r="DM15" s="400"/>
      <c r="DN15" s="400"/>
      <c r="DO15" s="400"/>
      <c r="DP15" s="400"/>
      <c r="DQ15" s="400"/>
      <c r="DR15" s="400"/>
      <c r="DS15" s="400"/>
      <c r="DT15" s="400"/>
      <c r="DU15" s="400"/>
      <c r="DV15" s="400"/>
      <c r="DW15" s="400"/>
      <c r="DX15" s="400"/>
      <c r="DY15" s="400"/>
      <c r="DZ15" s="400"/>
      <c r="EA15" s="400"/>
      <c r="EB15" s="400"/>
      <c r="EC15" s="400"/>
      <c r="ED15" s="400"/>
      <c r="EE15" s="400"/>
      <c r="EF15" s="400"/>
      <c r="EG15" s="400"/>
      <c r="EH15" s="400"/>
      <c r="EI15" s="400"/>
      <c r="EJ15" s="400"/>
      <c r="EK15" s="400"/>
      <c r="EL15" s="400"/>
      <c r="EM15" s="400"/>
      <c r="EN15" s="400"/>
      <c r="EO15" s="400"/>
      <c r="EP15" s="220"/>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c r="HB15" s="18"/>
      <c r="HC15" s="18"/>
      <c r="HD15" s="18"/>
      <c r="HE15" s="18"/>
      <c r="HF15" s="18"/>
      <c r="HG15" s="18"/>
      <c r="HH15" s="18"/>
      <c r="HI15" s="18"/>
      <c r="HJ15" s="18"/>
      <c r="HK15" s="18"/>
      <c r="HL15" s="18"/>
      <c r="HM15" s="18"/>
      <c r="HN15" s="18"/>
      <c r="HO15" s="18"/>
      <c r="HP15" s="18"/>
      <c r="HQ15" s="18"/>
      <c r="HR15" s="18"/>
      <c r="HS15" s="18"/>
      <c r="HT15" s="18"/>
      <c r="HU15" s="18"/>
      <c r="HV15" s="18"/>
      <c r="HW15" s="18"/>
      <c r="HX15" s="18"/>
      <c r="HY15" s="18"/>
      <c r="HZ15" s="18"/>
      <c r="IA15" s="18"/>
      <c r="IB15" s="18"/>
      <c r="IC15" s="18"/>
      <c r="ID15" s="18"/>
      <c r="IE15" s="18"/>
      <c r="IF15" s="18"/>
      <c r="IG15" s="18"/>
      <c r="IH15" s="18"/>
      <c r="II15" s="18"/>
      <c r="IJ15" s="18"/>
      <c r="IK15" s="18"/>
      <c r="IL15" s="18"/>
      <c r="IM15" s="18"/>
      <c r="IN15" s="18"/>
      <c r="IO15" s="18"/>
      <c r="IP15" s="18"/>
      <c r="IQ15" s="18"/>
      <c r="IR15" s="18"/>
      <c r="IS15" s="18"/>
      <c r="IT15" s="18"/>
      <c r="IU15" s="18"/>
      <c r="IV15" s="18"/>
      <c r="IW15" s="18"/>
      <c r="IX15" s="18"/>
      <c r="IY15" s="18"/>
      <c r="IZ15" s="18"/>
      <c r="JA15" s="18"/>
      <c r="JB15" s="18"/>
      <c r="JC15" s="18"/>
      <c r="JD15" s="18"/>
      <c r="JE15" s="18"/>
      <c r="JF15" s="18"/>
      <c r="JG15" s="18"/>
      <c r="JH15" s="18"/>
      <c r="JI15" s="18"/>
      <c r="JJ15" s="18"/>
      <c r="JK15" s="18"/>
      <c r="JL15" s="18"/>
      <c r="JM15" s="18"/>
      <c r="JN15" s="18"/>
      <c r="JO15" s="18"/>
      <c r="JP15" s="18"/>
      <c r="JQ15" s="18"/>
      <c r="JR15" s="18"/>
      <c r="JS15" s="18"/>
      <c r="JT15" s="18"/>
      <c r="JU15" s="18"/>
      <c r="JV15" s="18"/>
      <c r="JW15" s="18"/>
      <c r="JX15" s="18"/>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row>
    <row r="16">
      <c r="B16" s="34" t="s">
        <v>108</v>
      </c>
      <c r="C16" s="403"/>
      <c r="D16" s="401"/>
      <c r="E16" s="69" t="s">
        <v>109</v>
      </c>
      <c r="F16" s="34" t="s">
        <v>110</v>
      </c>
      <c r="G16" s="401"/>
      <c r="H16" s="401"/>
      <c r="I16" s="277" t="n">
        <f>Timing_Reversion_Month</f>
        <v>61</v>
      </c>
      <c r="J16" s="399"/>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00"/>
      <c r="AH16" s="400"/>
      <c r="AI16" s="400"/>
      <c r="AJ16" s="400"/>
      <c r="AK16" s="400"/>
      <c r="AL16" s="400"/>
      <c r="AM16" s="400"/>
      <c r="AN16" s="400"/>
      <c r="AO16" s="400"/>
      <c r="AP16" s="400"/>
      <c r="AQ16" s="400"/>
      <c r="AR16" s="400"/>
      <c r="AS16" s="400"/>
      <c r="AT16" s="400"/>
      <c r="AU16" s="400"/>
      <c r="AV16" s="400"/>
      <c r="AW16" s="400"/>
      <c r="AX16" s="400"/>
      <c r="AY16" s="400"/>
      <c r="AZ16" s="400"/>
      <c r="BA16" s="400"/>
      <c r="BB16" s="400"/>
      <c r="BC16" s="400"/>
      <c r="BD16" s="400"/>
      <c r="BE16" s="400"/>
      <c r="BF16" s="400"/>
      <c r="BG16" s="400"/>
      <c r="BH16" s="400"/>
      <c r="BI16" s="400"/>
      <c r="BJ16" s="400"/>
      <c r="BK16" s="400"/>
      <c r="BL16" s="400"/>
      <c r="BM16" s="400"/>
      <c r="BN16" s="400"/>
      <c r="BO16" s="400"/>
      <c r="BP16" s="400"/>
      <c r="BQ16" s="400"/>
      <c r="BR16" s="400"/>
      <c r="BS16" s="400"/>
      <c r="BT16" s="400"/>
      <c r="BU16" s="400"/>
      <c r="BV16" s="400"/>
      <c r="BW16" s="400"/>
      <c r="BX16" s="400"/>
      <c r="BY16" s="400"/>
      <c r="BZ16" s="400"/>
      <c r="CA16" s="400"/>
      <c r="CB16" s="400"/>
      <c r="CC16" s="400"/>
      <c r="CD16" s="400"/>
      <c r="CE16" s="400"/>
      <c r="CF16" s="400"/>
      <c r="CG16" s="400"/>
      <c r="CH16" s="400"/>
      <c r="CI16" s="400"/>
      <c r="CJ16" s="400"/>
      <c r="CK16" s="400"/>
      <c r="CL16" s="400"/>
      <c r="CM16" s="400"/>
      <c r="CN16" s="400"/>
      <c r="CO16" s="400"/>
      <c r="CP16" s="400"/>
      <c r="CQ16" s="400"/>
      <c r="CR16" s="400"/>
      <c r="CS16" s="400"/>
      <c r="CT16" s="400"/>
      <c r="CU16" s="400"/>
      <c r="CV16" s="400"/>
      <c r="CW16" s="400"/>
      <c r="CX16" s="400"/>
      <c r="CY16" s="400"/>
      <c r="CZ16" s="400"/>
      <c r="DA16" s="400"/>
      <c r="DB16" s="400"/>
      <c r="DC16" s="400"/>
      <c r="DD16" s="400"/>
      <c r="DE16" s="400"/>
      <c r="DF16" s="400"/>
      <c r="DG16" s="400"/>
      <c r="DH16" s="400"/>
      <c r="DI16" s="400"/>
      <c r="DJ16" s="400"/>
      <c r="DK16" s="400"/>
      <c r="DL16" s="400"/>
      <c r="DM16" s="400"/>
      <c r="DN16" s="400"/>
      <c r="DO16" s="400"/>
      <c r="DP16" s="400"/>
      <c r="DQ16" s="400"/>
      <c r="DR16" s="400"/>
      <c r="DS16" s="400"/>
      <c r="DT16" s="400"/>
      <c r="DU16" s="400"/>
      <c r="DV16" s="400"/>
      <c r="DW16" s="400"/>
      <c r="DX16" s="400"/>
      <c r="DY16" s="400"/>
      <c r="DZ16" s="400"/>
      <c r="EA16" s="400"/>
      <c r="EB16" s="400"/>
      <c r="EC16" s="400"/>
      <c r="ED16" s="400"/>
      <c r="EE16" s="400"/>
      <c r="EF16" s="400"/>
      <c r="EG16" s="400"/>
      <c r="EH16" s="400"/>
      <c r="EI16" s="400"/>
      <c r="EJ16" s="400"/>
      <c r="EK16" s="400"/>
      <c r="EL16" s="400"/>
      <c r="EM16" s="400"/>
      <c r="EN16" s="400"/>
      <c r="EO16" s="400"/>
      <c r="EP16" s="220"/>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c r="HC16" s="18"/>
      <c r="HD16" s="18"/>
      <c r="HE16" s="18"/>
      <c r="HF16" s="18"/>
      <c r="HG16" s="18"/>
      <c r="HH16" s="18"/>
      <c r="HI16" s="18"/>
      <c r="HJ16" s="18"/>
      <c r="HK16" s="18"/>
      <c r="HL16" s="18"/>
      <c r="HM16" s="18"/>
      <c r="HN16" s="18"/>
      <c r="HO16" s="18"/>
      <c r="HP16" s="18"/>
      <c r="HQ16" s="18"/>
      <c r="HR16" s="18"/>
      <c r="HS16" s="18"/>
      <c r="HT16" s="18"/>
      <c r="HU16" s="18"/>
      <c r="HV16" s="18"/>
      <c r="HW16" s="18"/>
      <c r="HX16" s="18"/>
      <c r="HY16" s="18"/>
      <c r="HZ16" s="18"/>
      <c r="IA16" s="18"/>
      <c r="IB16" s="18"/>
      <c r="IC16" s="18"/>
      <c r="ID16" s="18"/>
      <c r="IE16" s="18"/>
      <c r="IF16" s="18"/>
      <c r="IG16" s="18"/>
      <c r="IH16" s="18"/>
      <c r="II16" s="18"/>
      <c r="IJ16" s="18"/>
      <c r="IK16" s="18"/>
      <c r="IL16" s="18"/>
      <c r="IM16" s="18"/>
      <c r="IN16" s="18"/>
      <c r="IO16" s="18"/>
      <c r="IP16" s="18"/>
      <c r="IQ16" s="18"/>
      <c r="IR16" s="18"/>
      <c r="IS16" s="18"/>
      <c r="IT16" s="18"/>
      <c r="IU16" s="18"/>
      <c r="IV16" s="18"/>
      <c r="IW16" s="18"/>
      <c r="IX16" s="18"/>
      <c r="IY16" s="18"/>
      <c r="IZ16" s="18"/>
      <c r="JA16" s="18"/>
      <c r="JB16" s="18"/>
      <c r="JC16" s="18"/>
      <c r="JD16" s="18"/>
      <c r="JE16" s="18"/>
      <c r="JF16" s="18"/>
      <c r="JG16" s="18"/>
      <c r="JH16" s="18"/>
      <c r="JI16" s="18"/>
      <c r="JJ16" s="18"/>
      <c r="JK16" s="18"/>
      <c r="JL16" s="18"/>
      <c r="JM16" s="18"/>
      <c r="JN16" s="18"/>
      <c r="JO16" s="18"/>
      <c r="JP16" s="18"/>
      <c r="JQ16" s="18"/>
      <c r="JR16" s="18"/>
      <c r="JS16" s="18"/>
      <c r="JT16" s="18"/>
      <c r="JU16" s="18"/>
      <c r="JV16" s="18"/>
      <c r="JW16" s="18"/>
      <c r="JX16" s="18"/>
      <c r="JZ16" s="263"/>
      <c r="KA16" s="263"/>
      <c r="KB16" s="263"/>
      <c r="KC16" s="263"/>
      <c r="KD16" s="263"/>
      <c r="KE16" s="263"/>
      <c r="KF16" s="263"/>
      <c r="KG16" s="263"/>
      <c r="KH16" s="263"/>
      <c r="KI16" s="263"/>
      <c r="KJ16" s="263"/>
      <c r="KK16" s="263"/>
      <c r="KL16" s="263"/>
      <c r="KM16" s="263"/>
      <c r="KN16" s="263"/>
      <c r="KO16" s="263"/>
      <c r="KP16" s="263"/>
      <c r="KQ16" s="263"/>
      <c r="KR16" s="263"/>
      <c r="KS16" s="263"/>
      <c r="KT16" s="263"/>
      <c r="KU16" s="263"/>
      <c r="KV16" s="263"/>
      <c r="KW16" s="263"/>
      <c r="KX16" s="263"/>
      <c r="KY16" s="263"/>
      <c r="KZ16" s="263"/>
      <c r="LA16" s="263"/>
      <c r="LB16" s="263"/>
      <c r="LC16" s="263"/>
      <c r="LD16" s="263"/>
      <c r="LE16" s="263"/>
      <c r="LF16" s="263"/>
      <c r="LG16" s="263"/>
      <c r="LH16" s="263"/>
      <c r="LI16" s="263"/>
      <c r="LJ16" s="263"/>
      <c r="LK16" s="263"/>
      <c r="LL16" s="263"/>
      <c r="LM16" s="263"/>
      <c r="LN16" s="263"/>
      <c r="LO16" s="263"/>
      <c r="LP16" s="263"/>
      <c r="LQ16" s="263"/>
      <c r="LR16" s="263"/>
      <c r="LS16" s="263"/>
      <c r="LT16" s="263"/>
      <c r="LU16" s="263"/>
      <c r="LV16" s="263"/>
      <c r="LW16" s="263"/>
      <c r="LX16" s="263"/>
      <c r="LY16" s="263"/>
      <c r="LZ16" s="263"/>
      <c r="MA16" s="263"/>
      <c r="MB16" s="263"/>
      <c r="MC16" s="263"/>
      <c r="MD16" s="263"/>
      <c r="ME16" s="263"/>
      <c r="MF16" s="263"/>
      <c r="MG16" s="263"/>
      <c r="MH16" s="263"/>
      <c r="MI16" s="263"/>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c r="NO16" s="263"/>
      <c r="NP16" s="263"/>
      <c r="NQ16" s="263"/>
      <c r="NR16" s="263"/>
      <c r="NS16" s="263"/>
      <c r="NT16" s="263"/>
      <c r="NU16" s="263"/>
      <c r="NV16" s="263"/>
      <c r="NW16" s="263"/>
      <c r="NX16" s="263"/>
      <c r="NY16" s="263"/>
      <c r="NZ16" s="263"/>
      <c r="OA16" s="263"/>
      <c r="OB16" s="263"/>
      <c r="OC16" s="263"/>
      <c r="OD16" s="263"/>
      <c r="OE16" s="263"/>
      <c r="OF16" s="263"/>
      <c r="OG16" s="263"/>
      <c r="OH16" s="263"/>
      <c r="OI16" s="263"/>
      <c r="OJ16" s="263"/>
      <c r="OK16" s="263"/>
      <c r="OL16" s="263"/>
      <c r="OM16" s="263"/>
      <c r="ON16" s="263"/>
      <c r="OO16" s="263"/>
      <c r="OP16" s="263"/>
      <c r="OQ16" s="263"/>
      <c r="OR16" s="263"/>
      <c r="OS16" s="263"/>
      <c r="OT16" s="263"/>
      <c r="OU16" s="263"/>
      <c r="OV16" s="263"/>
      <c r="OW16" s="263"/>
      <c r="OX16" s="263"/>
      <c r="OY16" s="263"/>
      <c r="OZ16" s="263"/>
      <c r="PA16" s="263"/>
      <c r="PB16" s="263"/>
      <c r="PC16" s="263"/>
      <c r="PD16" s="263"/>
      <c r="PE16" s="263"/>
      <c r="PF16" s="263"/>
      <c r="PG16" s="263"/>
      <c r="PH16" s="263"/>
    </row>
    <row r="17">
      <c r="B17" s="34" t="s">
        <v>8</v>
      </c>
      <c r="C17" s="38" t="n">
        <f>IF(Unit_Type="SF",E17*43560,E17*4046.86)</f>
        <v>34400.03041112092</v>
      </c>
      <c r="D17" s="401" t="str">
        <f>Unit_Type</f>
        <v>M2</v>
      </c>
      <c r="E17" s="278" t="n">
        <f>PROJECTS!$AP$19/4046.8564224</f>
        <v>8.500425122470487</v>
      </c>
      <c r="F17" s="34" t="s">
        <v>111</v>
      </c>
      <c r="G17" s="401"/>
      <c r="H17" s="404"/>
      <c r="I17" s="190" t="n">
        <f>COUNTA($B$93:$B$105)-1</f>
        <v>12</v>
      </c>
      <c r="J17" s="399"/>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00"/>
      <c r="AH17" s="400"/>
      <c r="AI17" s="400"/>
      <c r="AJ17" s="400"/>
      <c r="AK17" s="400"/>
      <c r="AL17" s="400"/>
      <c r="AM17" s="400"/>
      <c r="AN17" s="400"/>
      <c r="AO17" s="400"/>
      <c r="AP17" s="400"/>
      <c r="AQ17" s="400"/>
      <c r="AR17" s="400"/>
      <c r="AS17" s="400"/>
      <c r="AT17" s="400"/>
      <c r="AU17" s="400"/>
      <c r="AV17" s="400"/>
      <c r="AW17" s="400"/>
      <c r="AX17" s="400"/>
      <c r="AY17" s="400"/>
      <c r="AZ17" s="400"/>
      <c r="BA17" s="400"/>
      <c r="BB17" s="400"/>
      <c r="BC17" s="400"/>
      <c r="BD17" s="400"/>
      <c r="BE17" s="400"/>
      <c r="BF17" s="400"/>
      <c r="BG17" s="400"/>
      <c r="BH17" s="400"/>
      <c r="BI17" s="400"/>
      <c r="BJ17" s="400"/>
      <c r="BK17" s="400"/>
      <c r="BL17" s="400"/>
      <c r="BM17" s="400"/>
      <c r="BN17" s="400"/>
      <c r="BO17" s="400"/>
      <c r="BP17" s="400"/>
      <c r="BQ17" s="400"/>
      <c r="BR17" s="400"/>
      <c r="BS17" s="400"/>
      <c r="BT17" s="400"/>
      <c r="BU17" s="400"/>
      <c r="BV17" s="400"/>
      <c r="BW17" s="400"/>
      <c r="BX17" s="400"/>
      <c r="BY17" s="400"/>
      <c r="BZ17" s="400"/>
      <c r="CA17" s="400"/>
      <c r="CB17" s="400"/>
      <c r="CC17" s="400"/>
      <c r="CD17" s="400"/>
      <c r="CE17" s="400"/>
      <c r="CF17" s="400"/>
      <c r="CG17" s="400"/>
      <c r="CH17" s="400"/>
      <c r="CI17" s="400"/>
      <c r="CJ17" s="400"/>
      <c r="CK17" s="400"/>
      <c r="CL17" s="400"/>
      <c r="CM17" s="400"/>
      <c r="CN17" s="400"/>
      <c r="CO17" s="400"/>
      <c r="CP17" s="400"/>
      <c r="CQ17" s="400"/>
      <c r="CR17" s="400"/>
      <c r="CS17" s="400"/>
      <c r="CT17" s="400"/>
      <c r="CU17" s="400"/>
      <c r="CV17" s="400"/>
      <c r="CW17" s="400"/>
      <c r="CX17" s="400"/>
      <c r="CY17" s="400"/>
      <c r="CZ17" s="400"/>
      <c r="DA17" s="400"/>
      <c r="DB17" s="400"/>
      <c r="DC17" s="400"/>
      <c r="DD17" s="400"/>
      <c r="DE17" s="400"/>
      <c r="DF17" s="400"/>
      <c r="DG17" s="400"/>
      <c r="DH17" s="400"/>
      <c r="DI17" s="400"/>
      <c r="DJ17" s="400"/>
      <c r="DK17" s="400"/>
      <c r="DL17" s="400"/>
      <c r="DM17" s="400"/>
      <c r="DN17" s="400"/>
      <c r="DO17" s="400"/>
      <c r="DP17" s="400"/>
      <c r="DQ17" s="400"/>
      <c r="DR17" s="400"/>
      <c r="DS17" s="400"/>
      <c r="DT17" s="400"/>
      <c r="DU17" s="400"/>
      <c r="DV17" s="400"/>
      <c r="DW17" s="400"/>
      <c r="DX17" s="400"/>
      <c r="DY17" s="400"/>
      <c r="DZ17" s="400"/>
      <c r="EA17" s="400"/>
      <c r="EB17" s="400"/>
      <c r="EC17" s="400"/>
      <c r="ED17" s="400"/>
      <c r="EE17" s="400"/>
      <c r="EF17" s="400"/>
      <c r="EG17" s="400"/>
      <c r="EH17" s="400"/>
      <c r="EI17" s="400"/>
      <c r="EJ17" s="400"/>
      <c r="EK17" s="400"/>
      <c r="EL17" s="400"/>
      <c r="EM17" s="400"/>
      <c r="EN17" s="400"/>
      <c r="EO17" s="400"/>
      <c r="EP17" s="220"/>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c r="HB17" s="18"/>
      <c r="HC17" s="18"/>
      <c r="HD17" s="18"/>
      <c r="HE17" s="18"/>
      <c r="HF17" s="18"/>
      <c r="HG17" s="18"/>
      <c r="HH17" s="18"/>
      <c r="HI17" s="18"/>
      <c r="HJ17" s="18"/>
      <c r="HK17" s="18"/>
      <c r="HL17" s="18"/>
      <c r="HM17" s="18"/>
      <c r="HN17" s="18"/>
      <c r="HO17" s="18"/>
      <c r="HP17" s="18"/>
      <c r="HQ17" s="18"/>
      <c r="HR17" s="18"/>
      <c r="HS17" s="18"/>
      <c r="HT17" s="18"/>
      <c r="HU17" s="18"/>
      <c r="HV17" s="18"/>
      <c r="HW17" s="18"/>
      <c r="HX17" s="18"/>
      <c r="HY17" s="18"/>
      <c r="HZ17" s="18"/>
      <c r="IA17" s="18"/>
      <c r="IB17" s="18"/>
      <c r="IC17" s="18"/>
      <c r="ID17" s="18"/>
      <c r="IE17" s="18"/>
      <c r="IF17" s="18"/>
      <c r="IG17" s="18"/>
      <c r="IH17" s="18"/>
      <c r="II17" s="18"/>
      <c r="IJ17" s="18"/>
      <c r="IK17" s="18"/>
      <c r="IL17" s="18"/>
      <c r="IM17" s="18"/>
      <c r="IN17" s="18"/>
      <c r="IO17" s="18"/>
      <c r="IP17" s="18"/>
      <c r="IQ17" s="18"/>
      <c r="IR17" s="18"/>
      <c r="IS17" s="18"/>
      <c r="IT17" s="18"/>
      <c r="IU17" s="18"/>
      <c r="IV17" s="18"/>
      <c r="IW17" s="18"/>
      <c r="IX17" s="18"/>
      <c r="IY17" s="18"/>
      <c r="IZ17" s="18"/>
      <c r="JA17" s="18"/>
      <c r="JB17" s="18"/>
      <c r="JC17" s="18"/>
      <c r="JD17" s="18"/>
      <c r="JE17" s="18"/>
      <c r="JF17" s="18"/>
      <c r="JG17" s="18"/>
      <c r="JH17" s="18"/>
      <c r="JI17" s="18"/>
      <c r="JJ17" s="18"/>
      <c r="JK17" s="18"/>
      <c r="JL17" s="18"/>
      <c r="JM17" s="18"/>
      <c r="JN17" s="18"/>
      <c r="JO17" s="18"/>
      <c r="JP17" s="18"/>
      <c r="JQ17" s="18"/>
      <c r="JR17" s="18"/>
      <c r="JS17" s="18"/>
      <c r="JT17" s="18"/>
      <c r="JU17" s="18"/>
      <c r="JV17" s="18"/>
      <c r="JW17" s="18"/>
      <c r="JX17" s="18"/>
      <c r="JZ17" s="263"/>
      <c r="KA17" s="263"/>
      <c r="KB17" s="263"/>
      <c r="KC17" s="263"/>
      <c r="KD17" s="263"/>
      <c r="KE17" s="263"/>
      <c r="KF17" s="263"/>
      <c r="KG17" s="263"/>
      <c r="KH17" s="263"/>
      <c r="KI17" s="263"/>
      <c r="KJ17" s="263"/>
      <c r="KK17" s="263"/>
      <c r="KL17" s="263"/>
      <c r="KM17" s="263"/>
      <c r="KN17" s="263"/>
      <c r="KO17" s="263"/>
      <c r="KP17" s="263"/>
      <c r="KQ17" s="263"/>
      <c r="KR17" s="263"/>
      <c r="KS17" s="263"/>
      <c r="KT17" s="263"/>
      <c r="KU17" s="263"/>
      <c r="KV17" s="263"/>
      <c r="KW17" s="263"/>
      <c r="KX17" s="263"/>
      <c r="KY17" s="263"/>
      <c r="KZ17" s="263"/>
      <c r="LA17" s="263"/>
      <c r="LB17" s="263"/>
      <c r="LC17" s="263"/>
      <c r="LD17" s="263"/>
      <c r="LE17" s="263"/>
      <c r="LF17" s="263"/>
      <c r="LG17" s="263"/>
      <c r="LH17" s="263"/>
      <c r="LI17" s="263"/>
      <c r="LJ17" s="263"/>
      <c r="LK17" s="263"/>
      <c r="LL17" s="263"/>
      <c r="LM17" s="263"/>
      <c r="LN17" s="263"/>
      <c r="LO17" s="263"/>
      <c r="LP17" s="263"/>
      <c r="LQ17" s="263"/>
      <c r="LR17" s="263"/>
      <c r="LS17" s="263"/>
      <c r="LT17" s="263"/>
      <c r="LU17" s="263"/>
      <c r="LV17" s="263"/>
      <c r="LW17" s="263"/>
      <c r="LX17" s="263"/>
      <c r="LY17" s="263"/>
      <c r="LZ17" s="263"/>
      <c r="MA17" s="263"/>
      <c r="MB17" s="263"/>
      <c r="MC17" s="263"/>
      <c r="MD17" s="263"/>
      <c r="ME17" s="263"/>
      <c r="MF17" s="263"/>
      <c r="MG17" s="263"/>
      <c r="MH17" s="263"/>
      <c r="MI17" s="263"/>
      <c r="MJ17" s="263"/>
      <c r="MK17" s="263"/>
      <c r="ML17" s="263"/>
      <c r="MM17" s="263"/>
      <c r="MN17" s="263"/>
      <c r="MO17" s="263"/>
      <c r="MP17" s="263"/>
      <c r="MQ17" s="263"/>
      <c r="MR17" s="263"/>
      <c r="MS17" s="263"/>
      <c r="MT17" s="263"/>
      <c r="MU17" s="263"/>
      <c r="MV17" s="263"/>
      <c r="MW17" s="263"/>
      <c r="MX17" s="263"/>
      <c r="MY17" s="263"/>
      <c r="MZ17" s="263"/>
      <c r="NA17" s="263"/>
      <c r="NB17" s="263"/>
      <c r="NC17" s="263"/>
      <c r="ND17" s="263"/>
      <c r="NE17" s="263"/>
      <c r="NF17" s="263"/>
      <c r="NG17" s="263"/>
      <c r="NH17" s="263"/>
      <c r="NI17" s="263"/>
      <c r="NJ17" s="263"/>
      <c r="NK17" s="263"/>
      <c r="NL17" s="263"/>
      <c r="NM17" s="263"/>
      <c r="NN17" s="263"/>
      <c r="NO17" s="263"/>
      <c r="NP17" s="263"/>
      <c r="NQ17" s="263"/>
      <c r="NR17" s="263"/>
      <c r="NS17" s="263"/>
      <c r="NT17" s="263"/>
      <c r="NU17" s="263"/>
      <c r="NV17" s="263"/>
      <c r="NW17" s="263"/>
      <c r="NX17" s="263"/>
      <c r="NY17" s="263"/>
      <c r="NZ17" s="263"/>
      <c r="OA17" s="263"/>
      <c r="OB17" s="263"/>
      <c r="OC17" s="263"/>
      <c r="OD17" s="263"/>
      <c r="OE17" s="263"/>
      <c r="OF17" s="263"/>
      <c r="OG17" s="263"/>
      <c r="OH17" s="263"/>
      <c r="OI17" s="263"/>
      <c r="OJ17" s="263"/>
      <c r="OK17" s="263"/>
      <c r="OL17" s="263"/>
      <c r="OM17" s="263"/>
      <c r="ON17" s="263"/>
      <c r="OO17" s="263"/>
      <c r="OP17" s="263"/>
      <c r="OQ17" s="263"/>
      <c r="OR17" s="263"/>
      <c r="OS17" s="263"/>
      <c r="OT17" s="263"/>
      <c r="OU17" s="263"/>
      <c r="OV17" s="263"/>
      <c r="OW17" s="263"/>
      <c r="OX17" s="263"/>
      <c r="OY17" s="263"/>
      <c r="OZ17" s="263"/>
      <c r="PA17" s="263"/>
      <c r="PB17" s="263"/>
      <c r="PC17" s="263"/>
      <c r="PD17" s="263"/>
      <c r="PE17" s="263"/>
      <c r="PF17" s="263"/>
      <c r="PG17" s="263"/>
      <c r="PH17" s="263"/>
    </row>
    <row r="18">
      <c r="B18" s="34" t="str">
        <f>"Gross Buildable (NRA - "&amp;Unit_Type&amp;")"</f>
        <v>Gross Buildable (NRA - M2)</v>
      </c>
      <c r="C18" s="401"/>
      <c r="D18" s="404"/>
      <c r="E18" s="275" t="n">
        <f>Units_SF_M2</f>
        <v>78312.38</v>
      </c>
      <c r="F18" s="34" t="str">
        <f>"Net Rentable (NRA - "&amp;Unit_Type&amp;")"</f>
        <v>Net Rentable (NRA - M2)</v>
      </c>
      <c r="G18" s="401"/>
      <c r="H18" s="404"/>
      <c r="I18" s="190" t="n">
        <f>Units</f>
        <v>78312.38</v>
      </c>
      <c r="J18" s="399"/>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0"/>
      <c r="AJ18" s="400"/>
      <c r="AK18" s="400"/>
      <c r="AL18" s="400"/>
      <c r="AM18" s="400"/>
      <c r="AN18" s="400"/>
      <c r="AO18" s="400"/>
      <c r="AP18" s="400"/>
      <c r="AQ18" s="400"/>
      <c r="AR18" s="400"/>
      <c r="AS18" s="400"/>
      <c r="AT18" s="400"/>
      <c r="AU18" s="400"/>
      <c r="AV18" s="400"/>
      <c r="AW18" s="400"/>
      <c r="AX18" s="400"/>
      <c r="AY18" s="400"/>
      <c r="AZ18" s="400"/>
      <c r="BA18" s="400"/>
      <c r="BB18" s="400"/>
      <c r="BC18" s="400"/>
      <c r="BD18" s="400"/>
      <c r="BE18" s="400"/>
      <c r="BF18" s="400"/>
      <c r="BG18" s="400"/>
      <c r="BH18" s="400"/>
      <c r="BI18" s="400"/>
      <c r="BJ18" s="400"/>
      <c r="BK18" s="400"/>
      <c r="BL18" s="400"/>
      <c r="BM18" s="400"/>
      <c r="BN18" s="400"/>
      <c r="BO18" s="400"/>
      <c r="BP18" s="400"/>
      <c r="BQ18" s="400"/>
      <c r="BR18" s="400"/>
      <c r="BS18" s="400"/>
      <c r="BT18" s="400"/>
      <c r="BU18" s="400"/>
      <c r="BV18" s="400"/>
      <c r="BW18" s="400"/>
      <c r="BX18" s="400"/>
      <c r="BY18" s="400"/>
      <c r="BZ18" s="400"/>
      <c r="CA18" s="400"/>
      <c r="CB18" s="400"/>
      <c r="CC18" s="400"/>
      <c r="CD18" s="400"/>
      <c r="CE18" s="400"/>
      <c r="CF18" s="400"/>
      <c r="CG18" s="400"/>
      <c r="CH18" s="400"/>
      <c r="CI18" s="400"/>
      <c r="CJ18" s="400"/>
      <c r="CK18" s="400"/>
      <c r="CL18" s="400"/>
      <c r="CM18" s="400"/>
      <c r="CN18" s="400"/>
      <c r="CO18" s="400"/>
      <c r="CP18" s="400"/>
      <c r="CQ18" s="400"/>
      <c r="CR18" s="400"/>
      <c r="CS18" s="400"/>
      <c r="CT18" s="400"/>
      <c r="CU18" s="400"/>
      <c r="CV18" s="400"/>
      <c r="CW18" s="400"/>
      <c r="CX18" s="400"/>
      <c r="CY18" s="400"/>
      <c r="CZ18" s="400"/>
      <c r="DA18" s="400"/>
      <c r="DB18" s="400"/>
      <c r="DC18" s="400"/>
      <c r="DD18" s="400"/>
      <c r="DE18" s="400"/>
      <c r="DF18" s="400"/>
      <c r="DG18" s="400"/>
      <c r="DH18" s="400"/>
      <c r="DI18" s="400"/>
      <c r="DJ18" s="400"/>
      <c r="DK18" s="400"/>
      <c r="DL18" s="400"/>
      <c r="DM18" s="400"/>
      <c r="DN18" s="400"/>
      <c r="DO18" s="400"/>
      <c r="DP18" s="400"/>
      <c r="DQ18" s="400"/>
      <c r="DR18" s="400"/>
      <c r="DS18" s="400"/>
      <c r="DT18" s="400"/>
      <c r="DU18" s="400"/>
      <c r="DV18" s="400"/>
      <c r="DW18" s="400"/>
      <c r="DX18" s="400"/>
      <c r="DY18" s="400"/>
      <c r="DZ18" s="400"/>
      <c r="EA18" s="400"/>
      <c r="EB18" s="400"/>
      <c r="EC18" s="400"/>
      <c r="ED18" s="400"/>
      <c r="EE18" s="400"/>
      <c r="EF18" s="400"/>
      <c r="EG18" s="400"/>
      <c r="EH18" s="400"/>
      <c r="EI18" s="400"/>
      <c r="EJ18" s="400"/>
      <c r="EK18" s="400"/>
      <c r="EL18" s="400"/>
      <c r="EM18" s="400"/>
      <c r="EN18" s="400"/>
      <c r="EO18" s="400"/>
      <c r="EP18" s="220"/>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c r="HB18" s="18"/>
      <c r="HC18" s="18"/>
      <c r="HD18" s="18"/>
      <c r="HE18" s="18"/>
      <c r="HF18" s="18"/>
      <c r="HG18" s="18"/>
      <c r="HH18" s="18"/>
      <c r="HI18" s="18"/>
      <c r="HJ18" s="18"/>
      <c r="HK18" s="18"/>
      <c r="HL18" s="18"/>
      <c r="HM18" s="18"/>
      <c r="HN18" s="18"/>
      <c r="HO18" s="18"/>
      <c r="HP18" s="18"/>
      <c r="HQ18" s="18"/>
      <c r="HR18" s="18"/>
      <c r="HS18" s="18"/>
      <c r="HT18" s="18"/>
      <c r="HU18" s="18"/>
      <c r="HV18" s="18"/>
      <c r="HW18" s="18"/>
      <c r="HX18" s="18"/>
      <c r="HY18" s="18"/>
      <c r="HZ18" s="18"/>
      <c r="IA18" s="18"/>
      <c r="IB18" s="18"/>
      <c r="IC18" s="18"/>
      <c r="ID18" s="18"/>
      <c r="IE18" s="18"/>
      <c r="IF18" s="18"/>
      <c r="IG18" s="18"/>
      <c r="IH18" s="18"/>
      <c r="II18" s="18"/>
      <c r="IJ18" s="18"/>
      <c r="IK18" s="18"/>
      <c r="IL18" s="18"/>
      <c r="IM18" s="18"/>
      <c r="IN18" s="18"/>
      <c r="IO18" s="18"/>
      <c r="IP18" s="18"/>
      <c r="IQ18" s="18"/>
      <c r="IR18" s="18"/>
      <c r="IS18" s="18"/>
      <c r="IT18" s="18"/>
      <c r="IU18" s="18"/>
      <c r="IV18" s="18"/>
      <c r="IW18" s="18"/>
      <c r="IX18" s="18"/>
      <c r="IY18" s="18"/>
      <c r="IZ18" s="18"/>
      <c r="JA18" s="18"/>
      <c r="JB18" s="18"/>
      <c r="JC18" s="18"/>
      <c r="JD18" s="18"/>
      <c r="JE18" s="18"/>
      <c r="JF18" s="18"/>
      <c r="JG18" s="18"/>
      <c r="JH18" s="18"/>
      <c r="JI18" s="18"/>
      <c r="JJ18" s="18"/>
      <c r="JK18" s="18"/>
      <c r="JL18" s="18"/>
      <c r="JM18" s="18"/>
      <c r="JN18" s="18"/>
      <c r="JO18" s="18"/>
      <c r="JP18" s="18"/>
      <c r="JQ18" s="18"/>
      <c r="JR18" s="18"/>
      <c r="JS18" s="18"/>
      <c r="JT18" s="18"/>
      <c r="JU18" s="18"/>
      <c r="JV18" s="18"/>
      <c r="JW18" s="18"/>
      <c r="JX18" s="18"/>
      <c r="JZ18" s="263"/>
      <c r="KA18" s="263"/>
      <c r="KB18" s="263"/>
      <c r="KC18" s="263"/>
      <c r="KD18" s="263"/>
      <c r="KE18" s="263"/>
      <c r="KF18" s="263"/>
      <c r="KG18" s="263"/>
      <c r="KH18" s="263"/>
      <c r="KI18" s="263"/>
      <c r="KJ18" s="263"/>
      <c r="KK18" s="263"/>
      <c r="KL18" s="263"/>
      <c r="KM18" s="263"/>
      <c r="KN18" s="263"/>
      <c r="KO18" s="263"/>
      <c r="KP18" s="263"/>
      <c r="KQ18" s="263"/>
      <c r="KR18" s="263"/>
      <c r="KS18" s="263"/>
      <c r="KT18" s="263"/>
      <c r="KU18" s="263"/>
      <c r="KV18" s="263"/>
      <c r="KW18" s="263"/>
      <c r="KX18" s="263"/>
      <c r="KY18" s="263"/>
      <c r="KZ18" s="263"/>
      <c r="LA18" s="263"/>
      <c r="LB18" s="263"/>
      <c r="LC18" s="263"/>
      <c r="LD18" s="263"/>
      <c r="LE18" s="263"/>
      <c r="LF18" s="263"/>
      <c r="LG18" s="263"/>
      <c r="LH18" s="263"/>
      <c r="LI18" s="263"/>
      <c r="LJ18" s="263"/>
      <c r="LK18" s="263"/>
      <c r="LL18" s="263"/>
      <c r="LM18" s="263"/>
      <c r="LN18" s="263"/>
      <c r="LO18" s="263"/>
      <c r="LP18" s="263"/>
      <c r="LQ18" s="263"/>
      <c r="LR18" s="263"/>
      <c r="LS18" s="263"/>
      <c r="LT18" s="263"/>
      <c r="LU18" s="263"/>
      <c r="LV18" s="263"/>
      <c r="LW18" s="263"/>
      <c r="LX18" s="263"/>
      <c r="LY18" s="263"/>
      <c r="LZ18" s="263"/>
      <c r="MA18" s="263"/>
      <c r="MB18" s="263"/>
      <c r="MC18" s="263"/>
      <c r="MD18" s="263"/>
      <c r="ME18" s="263"/>
      <c r="MF18" s="263"/>
      <c r="MG18" s="263"/>
      <c r="MH18" s="263"/>
      <c r="MI18" s="263"/>
      <c r="MJ18" s="263"/>
      <c r="MK18" s="263"/>
      <c r="ML18" s="263"/>
      <c r="MM18" s="263"/>
      <c r="MN18" s="263"/>
      <c r="MO18" s="263"/>
      <c r="MP18" s="263"/>
      <c r="MQ18" s="263"/>
      <c r="MR18" s="263"/>
      <c r="MS18" s="263"/>
      <c r="MT18" s="263"/>
      <c r="MU18" s="263"/>
      <c r="MV18" s="263"/>
      <c r="MW18" s="263"/>
      <c r="MX18" s="263"/>
      <c r="MY18" s="263"/>
      <c r="MZ18" s="263"/>
      <c r="NA18" s="263"/>
      <c r="NB18" s="263"/>
      <c r="NC18" s="263"/>
      <c r="ND18" s="263"/>
      <c r="NE18" s="263"/>
      <c r="NF18" s="263"/>
      <c r="NG18" s="263"/>
      <c r="NH18" s="263"/>
      <c r="NI18" s="263"/>
      <c r="NJ18" s="263"/>
      <c r="NK18" s="263"/>
      <c r="NL18" s="263"/>
      <c r="NM18" s="263"/>
      <c r="NN18" s="263"/>
      <c r="NO18" s="263"/>
      <c r="NP18" s="263"/>
      <c r="NQ18" s="263"/>
      <c r="NR18" s="263"/>
      <c r="NS18" s="263"/>
      <c r="NT18" s="263"/>
      <c r="NU18" s="263"/>
      <c r="NV18" s="263"/>
      <c r="NW18" s="263"/>
      <c r="NX18" s="263"/>
      <c r="NY18" s="263"/>
      <c r="NZ18" s="263"/>
      <c r="OA18" s="263"/>
      <c r="OB18" s="263"/>
      <c r="OC18" s="263"/>
      <c r="OD18" s="263"/>
      <c r="OE18" s="263"/>
      <c r="OF18" s="263"/>
      <c r="OG18" s="263"/>
      <c r="OH18" s="263"/>
      <c r="OI18" s="263"/>
      <c r="OJ18" s="263"/>
      <c r="OK18" s="263"/>
      <c r="OL18" s="263"/>
      <c r="OM18" s="263"/>
      <c r="ON18" s="263"/>
      <c r="OO18" s="263"/>
      <c r="OP18" s="263"/>
      <c r="OQ18" s="263"/>
      <c r="OR18" s="263"/>
      <c r="OS18" s="263"/>
      <c r="OT18" s="263"/>
      <c r="OU18" s="263"/>
      <c r="OV18" s="263"/>
      <c r="OW18" s="263"/>
      <c r="OX18" s="263"/>
      <c r="OY18" s="263"/>
      <c r="OZ18" s="263"/>
      <c r="PA18" s="263"/>
      <c r="PB18" s="263"/>
      <c r="PC18" s="263"/>
      <c r="PD18" s="263"/>
      <c r="PE18" s="263"/>
      <c r="PF18" s="263"/>
      <c r="PG18" s="263"/>
      <c r="PH18" s="263"/>
    </row>
    <row r="19">
      <c r="B19" s="34" t="s">
        <v>112</v>
      </c>
      <c r="C19" s="401"/>
      <c r="D19" s="401"/>
      <c r="E19" s="253">
        <v>4</v>
      </c>
      <c r="F19" s="34" t="s">
        <v>113</v>
      </c>
      <c r="G19" s="403"/>
      <c r="H19" s="401"/>
      <c r="I19" s="405" t="n">
        <f>Units_SF_M2/C17</f>
        <v>2.2765206618736884</v>
      </c>
      <c r="J19" s="399"/>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00"/>
      <c r="AH19" s="400"/>
      <c r="AI19" s="400"/>
      <c r="AJ19" s="400"/>
      <c r="AK19" s="400"/>
      <c r="AL19" s="400"/>
      <c r="AM19" s="400"/>
      <c r="AN19" s="400"/>
      <c r="AO19" s="400"/>
      <c r="AP19" s="400"/>
      <c r="AQ19" s="400"/>
      <c r="AR19" s="400"/>
      <c r="AS19" s="400"/>
      <c r="AT19" s="400"/>
      <c r="AU19" s="400"/>
      <c r="AV19" s="400"/>
      <c r="AW19" s="400"/>
      <c r="AX19" s="400"/>
      <c r="AY19" s="400"/>
      <c r="AZ19" s="400"/>
      <c r="BA19" s="400"/>
      <c r="BB19" s="400"/>
      <c r="BC19" s="400"/>
      <c r="BD19" s="400"/>
      <c r="BE19" s="400"/>
      <c r="BF19" s="400"/>
      <c r="BG19" s="400"/>
      <c r="BH19" s="400"/>
      <c r="BI19" s="400"/>
      <c r="BJ19" s="400"/>
      <c r="BK19" s="400"/>
      <c r="BL19" s="400"/>
      <c r="BM19" s="400"/>
      <c r="BN19" s="400"/>
      <c r="BO19" s="400"/>
      <c r="BP19" s="400"/>
      <c r="BQ19" s="400"/>
      <c r="BR19" s="400"/>
      <c r="BS19" s="400"/>
      <c r="BT19" s="400"/>
      <c r="BU19" s="400"/>
      <c r="BV19" s="400"/>
      <c r="BW19" s="400"/>
      <c r="BX19" s="400"/>
      <c r="BY19" s="400"/>
      <c r="BZ19" s="400"/>
      <c r="CA19" s="400"/>
      <c r="CB19" s="400"/>
      <c r="CC19" s="400"/>
      <c r="CD19" s="400"/>
      <c r="CE19" s="400"/>
      <c r="CF19" s="400"/>
      <c r="CG19" s="400"/>
      <c r="CH19" s="400"/>
      <c r="CI19" s="400"/>
      <c r="CJ19" s="400"/>
      <c r="CK19" s="400"/>
      <c r="CL19" s="400"/>
      <c r="CM19" s="400"/>
      <c r="CN19" s="400"/>
      <c r="CO19" s="400"/>
      <c r="CP19" s="400"/>
      <c r="CQ19" s="400"/>
      <c r="CR19" s="400"/>
      <c r="CS19" s="400"/>
      <c r="CT19" s="400"/>
      <c r="CU19" s="400"/>
      <c r="CV19" s="400"/>
      <c r="CW19" s="400"/>
      <c r="CX19" s="400"/>
      <c r="CY19" s="400"/>
      <c r="CZ19" s="400"/>
      <c r="DA19" s="400"/>
      <c r="DB19" s="400"/>
      <c r="DC19" s="400"/>
      <c r="DD19" s="400"/>
      <c r="DE19" s="400"/>
      <c r="DF19" s="400"/>
      <c r="DG19" s="400"/>
      <c r="DH19" s="400"/>
      <c r="DI19" s="400"/>
      <c r="DJ19" s="400"/>
      <c r="DK19" s="400"/>
      <c r="DL19" s="400"/>
      <c r="DM19" s="400"/>
      <c r="DN19" s="400"/>
      <c r="DO19" s="400"/>
      <c r="DP19" s="400"/>
      <c r="DQ19" s="400"/>
      <c r="DR19" s="400"/>
      <c r="DS19" s="400"/>
      <c r="DT19" s="400"/>
      <c r="DU19" s="400"/>
      <c r="DV19" s="400"/>
      <c r="DW19" s="400"/>
      <c r="DX19" s="400"/>
      <c r="DY19" s="400"/>
      <c r="DZ19" s="400"/>
      <c r="EA19" s="400"/>
      <c r="EB19" s="400"/>
      <c r="EC19" s="400"/>
      <c r="ED19" s="400"/>
      <c r="EE19" s="400"/>
      <c r="EF19" s="400"/>
      <c r="EG19" s="400"/>
      <c r="EH19" s="400"/>
      <c r="EI19" s="400"/>
      <c r="EJ19" s="400"/>
      <c r="EK19" s="400"/>
      <c r="EL19" s="400"/>
      <c r="EM19" s="400"/>
      <c r="EN19" s="400"/>
      <c r="EO19" s="400"/>
      <c r="EP19" s="220"/>
      <c r="EQ19" s="18"/>
      <c r="ER19" s="18"/>
      <c r="ES19" s="18"/>
      <c r="ET19" s="18"/>
      <c r="EU19" s="18"/>
      <c r="EV19" s="18"/>
      <c r="EW19" s="18"/>
      <c r="EX19" s="18"/>
      <c r="EY19" s="18"/>
      <c r="EZ19" s="18"/>
      <c r="FA19" s="18"/>
      <c r="FB19" s="18"/>
      <c r="FC19" s="18"/>
      <c r="FD19" s="18"/>
      <c r="FE19" s="18"/>
      <c r="FF19" s="18"/>
      <c r="FG19" s="18"/>
      <c r="FH19" s="18"/>
      <c r="FI19" s="18"/>
      <c r="FJ19" s="18"/>
      <c r="FK19" s="18"/>
      <c r="FL19" s="18"/>
      <c r="FM19" s="18"/>
      <c r="FN19" s="18"/>
      <c r="FO19" s="18"/>
      <c r="FP19" s="18"/>
      <c r="FQ19" s="18"/>
      <c r="FR19" s="18"/>
      <c r="FS19" s="18"/>
      <c r="FT19" s="18"/>
      <c r="FU19" s="18"/>
      <c r="FV19" s="18"/>
      <c r="FW19" s="18"/>
      <c r="FX19" s="18"/>
      <c r="FY19" s="18"/>
      <c r="FZ19" s="18"/>
      <c r="GA19" s="18"/>
      <c r="GB19" s="18"/>
      <c r="GC19" s="18"/>
      <c r="GD19" s="18"/>
      <c r="GE19" s="18"/>
      <c r="GF19" s="18"/>
      <c r="GG19" s="18"/>
      <c r="GH19" s="18"/>
      <c r="GI19" s="18"/>
      <c r="GJ19" s="18"/>
      <c r="GK19" s="18"/>
      <c r="GL19" s="18"/>
      <c r="GM19" s="18"/>
      <c r="GN19" s="18"/>
      <c r="GO19" s="18"/>
      <c r="GP19" s="18"/>
      <c r="GQ19" s="18"/>
      <c r="GR19" s="18"/>
      <c r="GS19" s="18"/>
      <c r="GT19" s="18"/>
      <c r="GU19" s="18"/>
      <c r="GV19" s="18"/>
      <c r="GW19" s="18"/>
      <c r="GX19" s="18"/>
      <c r="GY19" s="18"/>
      <c r="GZ19" s="18"/>
      <c r="HA19" s="18"/>
      <c r="HB19" s="18"/>
      <c r="HC19" s="18"/>
      <c r="HD19" s="18"/>
      <c r="HE19" s="18"/>
      <c r="HF19" s="18"/>
      <c r="HG19" s="18"/>
      <c r="HH19" s="18"/>
      <c r="HI19" s="18"/>
      <c r="HJ19" s="18"/>
      <c r="HK19" s="18"/>
      <c r="HL19" s="18"/>
      <c r="HM19" s="18"/>
      <c r="HN19" s="18"/>
      <c r="HO19" s="18"/>
      <c r="HP19" s="18"/>
      <c r="HQ19" s="18"/>
      <c r="HR19" s="18"/>
      <c r="HS19" s="18"/>
      <c r="HT19" s="18"/>
      <c r="HU19" s="18"/>
      <c r="HV19" s="18"/>
      <c r="HW19" s="18"/>
      <c r="HX19" s="18"/>
      <c r="HY19" s="18"/>
      <c r="HZ19" s="18"/>
      <c r="IA19" s="18"/>
      <c r="IB19" s="18"/>
      <c r="IC19" s="18"/>
      <c r="ID19" s="18"/>
      <c r="IE19" s="18"/>
      <c r="IF19" s="18"/>
      <c r="IG19" s="18"/>
      <c r="IH19" s="18"/>
      <c r="II19" s="18"/>
      <c r="IJ19" s="18"/>
      <c r="IK19" s="18"/>
      <c r="IL19" s="18"/>
      <c r="IM19" s="18"/>
      <c r="IN19" s="18"/>
      <c r="IO19" s="18"/>
      <c r="IP19" s="18"/>
      <c r="IQ19" s="18"/>
      <c r="IR19" s="18"/>
      <c r="IS19" s="18"/>
      <c r="IT19" s="18"/>
      <c r="IU19" s="18"/>
      <c r="IV19" s="18"/>
      <c r="IW19" s="18"/>
      <c r="IX19" s="18"/>
      <c r="IY19" s="18"/>
      <c r="IZ19" s="18"/>
      <c r="JA19" s="18"/>
      <c r="JB19" s="18"/>
      <c r="JC19" s="18"/>
      <c r="JD19" s="18"/>
      <c r="JE19" s="18"/>
      <c r="JF19" s="18"/>
      <c r="JG19" s="18"/>
      <c r="JH19" s="18"/>
      <c r="JI19" s="18"/>
      <c r="JJ19" s="18"/>
      <c r="JK19" s="18"/>
      <c r="JL19" s="18"/>
      <c r="JM19" s="18"/>
      <c r="JN19" s="18"/>
      <c r="JO19" s="18"/>
      <c r="JP19" s="18"/>
      <c r="JQ19" s="18"/>
      <c r="JR19" s="18"/>
      <c r="JS19" s="18"/>
      <c r="JT19" s="18"/>
      <c r="JU19" s="18"/>
      <c r="JV19" s="18"/>
      <c r="JW19" s="18"/>
      <c r="JX19" s="18"/>
      <c r="JZ19" s="263"/>
      <c r="KA19" s="263"/>
      <c r="KB19" s="263"/>
      <c r="KC19" s="263"/>
      <c r="KD19" s="263"/>
      <c r="KE19" s="263"/>
      <c r="KF19" s="263"/>
      <c r="KG19" s="263"/>
      <c r="KH19" s="263"/>
      <c r="KI19" s="263"/>
      <c r="KJ19" s="263"/>
      <c r="KK19" s="263"/>
      <c r="KL19" s="263"/>
      <c r="KM19" s="263"/>
      <c r="KN19" s="263"/>
      <c r="KO19" s="263"/>
      <c r="KP19" s="263"/>
      <c r="KQ19" s="263"/>
      <c r="KR19" s="263"/>
      <c r="KS19" s="263"/>
      <c r="KT19" s="263"/>
      <c r="KU19" s="263"/>
      <c r="KV19" s="263"/>
      <c r="KW19" s="263"/>
      <c r="KX19" s="263"/>
      <c r="KY19" s="263"/>
      <c r="KZ19" s="263"/>
      <c r="LA19" s="263"/>
      <c r="LB19" s="263"/>
      <c r="LC19" s="263"/>
      <c r="LD19" s="263"/>
      <c r="LE19" s="263"/>
      <c r="LF19" s="263"/>
      <c r="LG19" s="263"/>
      <c r="LH19" s="263"/>
      <c r="LI19" s="263"/>
      <c r="LJ19" s="263"/>
      <c r="LK19" s="263"/>
      <c r="LL19" s="263"/>
      <c r="LM19" s="263"/>
      <c r="LN19" s="263"/>
      <c r="LO19" s="263"/>
      <c r="LP19" s="263"/>
      <c r="LQ19" s="263"/>
      <c r="LR19" s="263"/>
      <c r="LS19" s="263"/>
      <c r="LT19" s="263"/>
      <c r="LU19" s="263"/>
      <c r="LV19" s="263"/>
      <c r="LW19" s="263"/>
      <c r="LX19" s="263"/>
      <c r="LY19" s="263"/>
      <c r="LZ19" s="263"/>
      <c r="MA19" s="263"/>
      <c r="MB19" s="263"/>
      <c r="MC19" s="263"/>
      <c r="MD19" s="263"/>
      <c r="ME19" s="263"/>
      <c r="MF19" s="263"/>
      <c r="MG19" s="263"/>
      <c r="MH19" s="263"/>
      <c r="MI19" s="263"/>
      <c r="MJ19" s="263"/>
      <c r="MK19" s="263"/>
      <c r="ML19" s="263"/>
      <c r="MM19" s="263"/>
      <c r="MN19" s="263"/>
      <c r="MO19" s="263"/>
      <c r="MP19" s="263"/>
      <c r="MQ19" s="263"/>
      <c r="MR19" s="263"/>
      <c r="MS19" s="263"/>
      <c r="MT19" s="263"/>
      <c r="MU19" s="263"/>
      <c r="MV19" s="263"/>
      <c r="MW19" s="263"/>
      <c r="MX19" s="263"/>
      <c r="MY19" s="263"/>
      <c r="MZ19" s="263"/>
      <c r="NA19" s="263"/>
      <c r="NB19" s="263"/>
      <c r="NC19" s="263"/>
      <c r="ND19" s="263"/>
      <c r="NE19" s="263"/>
      <c r="NF19" s="263"/>
      <c r="NG19" s="263"/>
      <c r="NH19" s="263"/>
      <c r="NI19" s="263"/>
      <c r="NJ19" s="263"/>
      <c r="NK19" s="263"/>
      <c r="NL19" s="263"/>
      <c r="NM19" s="263"/>
      <c r="NN19" s="263"/>
      <c r="NO19" s="263"/>
      <c r="NP19" s="263"/>
      <c r="NQ19" s="263"/>
      <c r="NR19" s="263"/>
      <c r="NS19" s="263"/>
      <c r="NT19" s="263"/>
      <c r="NU19" s="263"/>
      <c r="NV19" s="263"/>
      <c r="NW19" s="263"/>
      <c r="NX19" s="263"/>
      <c r="NY19" s="263"/>
      <c r="NZ19" s="263"/>
      <c r="OA19" s="263"/>
      <c r="OB19" s="263"/>
      <c r="OC19" s="263"/>
      <c r="OD19" s="263"/>
      <c r="OE19" s="263"/>
      <c r="OF19" s="263"/>
      <c r="OG19" s="263"/>
      <c r="OH19" s="263"/>
      <c r="OI19" s="263"/>
      <c r="OJ19" s="263"/>
      <c r="OK19" s="263"/>
      <c r="OL19" s="263"/>
      <c r="OM19" s="263"/>
      <c r="ON19" s="263"/>
      <c r="OO19" s="263"/>
      <c r="OP19" s="263"/>
      <c r="OQ19" s="263"/>
      <c r="OR19" s="263"/>
      <c r="OS19" s="263"/>
      <c r="OT19" s="263"/>
      <c r="OU19" s="263"/>
      <c r="OV19" s="263"/>
      <c r="OW19" s="263"/>
      <c r="OX19" s="263"/>
      <c r="OY19" s="263"/>
      <c r="OZ19" s="263"/>
      <c r="PA19" s="263"/>
      <c r="PB19" s="263"/>
      <c r="PC19" s="263"/>
      <c r="PD19" s="263"/>
      <c r="PE19" s="263"/>
      <c r="PF19" s="263"/>
      <c r="PG19" s="263"/>
      <c r="PH19" s="263"/>
    </row>
    <row r="20">
      <c r="B20" s="34" t="s">
        <v>114</v>
      </c>
      <c r="C20" s="401"/>
      <c r="D20" s="34"/>
      <c r="E20" s="253" t="n">
        <f>Units_SF_M2/1000*0.5</f>
        <v>39.15619</v>
      </c>
      <c r="F20" s="34" t="s">
        <v>115</v>
      </c>
      <c r="G20" s="401"/>
      <c r="H20" s="401"/>
      <c r="I20" s="406" t="n">
        <f>Units_SF_M2/E18</f>
        <v>1</v>
      </c>
      <c r="J20" s="399"/>
      <c r="K20" s="400"/>
      <c r="L20" s="400"/>
      <c r="M20" s="400"/>
      <c r="N20" s="400"/>
      <c r="O20" s="400"/>
      <c r="P20" s="400"/>
      <c r="Q20" s="400"/>
      <c r="R20" s="400"/>
      <c r="S20" s="400"/>
      <c r="T20" s="400"/>
      <c r="U20" s="400"/>
      <c r="V20" s="400"/>
      <c r="W20" s="400"/>
      <c r="X20" s="400"/>
      <c r="Y20" s="400"/>
      <c r="Z20" s="400"/>
      <c r="AA20" s="400"/>
      <c r="AB20" s="400"/>
      <c r="AC20" s="400"/>
      <c r="AD20" s="400"/>
      <c r="AE20" s="400"/>
      <c r="AF20" s="400"/>
      <c r="AG20" s="400"/>
      <c r="AH20" s="400"/>
      <c r="AI20" s="400"/>
      <c r="AJ20" s="400"/>
      <c r="AK20" s="400"/>
      <c r="AL20" s="400"/>
      <c r="AM20" s="400"/>
      <c r="AN20" s="400"/>
      <c r="AO20" s="400"/>
      <c r="AP20" s="400"/>
      <c r="AQ20" s="400"/>
      <c r="AR20" s="400"/>
      <c r="AS20" s="400"/>
      <c r="AT20" s="400"/>
      <c r="AU20" s="400"/>
      <c r="AV20" s="400"/>
      <c r="AW20" s="400"/>
      <c r="AX20" s="400"/>
      <c r="AY20" s="400"/>
      <c r="AZ20" s="400"/>
      <c r="BA20" s="400"/>
      <c r="BB20" s="400"/>
      <c r="BC20" s="400"/>
      <c r="BD20" s="400"/>
      <c r="BE20" s="400"/>
      <c r="BF20" s="400"/>
      <c r="BG20" s="400"/>
      <c r="BH20" s="400"/>
      <c r="BI20" s="400"/>
      <c r="BJ20" s="400"/>
      <c r="BK20" s="400"/>
      <c r="BL20" s="400"/>
      <c r="BM20" s="400"/>
      <c r="BN20" s="400"/>
      <c r="BO20" s="400"/>
      <c r="BP20" s="400"/>
      <c r="BQ20" s="400"/>
      <c r="BR20" s="400"/>
      <c r="BS20" s="400"/>
      <c r="BT20" s="400"/>
      <c r="BU20" s="400"/>
      <c r="BV20" s="400"/>
      <c r="BW20" s="400"/>
      <c r="BX20" s="400"/>
      <c r="BY20" s="400"/>
      <c r="BZ20" s="400"/>
      <c r="CA20" s="400"/>
      <c r="CB20" s="400"/>
      <c r="CC20" s="400"/>
      <c r="CD20" s="400"/>
      <c r="CE20" s="400"/>
      <c r="CF20" s="400"/>
      <c r="CG20" s="400"/>
      <c r="CH20" s="400"/>
      <c r="CI20" s="400"/>
      <c r="CJ20" s="400"/>
      <c r="CK20" s="400"/>
      <c r="CL20" s="400"/>
      <c r="CM20" s="400"/>
      <c r="CN20" s="400"/>
      <c r="CO20" s="400"/>
      <c r="CP20" s="400"/>
      <c r="CQ20" s="400"/>
      <c r="CR20" s="400"/>
      <c r="CS20" s="400"/>
      <c r="CT20" s="400"/>
      <c r="CU20" s="400"/>
      <c r="CV20" s="400"/>
      <c r="CW20" s="400"/>
      <c r="CX20" s="400"/>
      <c r="CY20" s="400"/>
      <c r="CZ20" s="400"/>
      <c r="DA20" s="400"/>
      <c r="DB20" s="400"/>
      <c r="DC20" s="400"/>
      <c r="DD20" s="400"/>
      <c r="DE20" s="400"/>
      <c r="DF20" s="400"/>
      <c r="DG20" s="400"/>
      <c r="DH20" s="400"/>
      <c r="DI20" s="400"/>
      <c r="DJ20" s="400"/>
      <c r="DK20" s="400"/>
      <c r="DL20" s="400"/>
      <c r="DM20" s="400"/>
      <c r="DN20" s="400"/>
      <c r="DO20" s="400"/>
      <c r="DP20" s="400"/>
      <c r="DQ20" s="400"/>
      <c r="DR20" s="400"/>
      <c r="DS20" s="400"/>
      <c r="DT20" s="400"/>
      <c r="DU20" s="400"/>
      <c r="DV20" s="400"/>
      <c r="DW20" s="400"/>
      <c r="DX20" s="400"/>
      <c r="DY20" s="400"/>
      <c r="DZ20" s="400"/>
      <c r="EA20" s="400"/>
      <c r="EB20" s="400"/>
      <c r="EC20" s="400"/>
      <c r="ED20" s="400"/>
      <c r="EE20" s="400"/>
      <c r="EF20" s="400"/>
      <c r="EG20" s="400"/>
      <c r="EH20" s="400"/>
      <c r="EI20" s="400"/>
      <c r="EJ20" s="400"/>
      <c r="EK20" s="400"/>
      <c r="EL20" s="400"/>
      <c r="EM20" s="400"/>
      <c r="EN20" s="400"/>
      <c r="EO20" s="400"/>
      <c r="EP20" s="220"/>
      <c r="EQ20" s="18"/>
      <c r="ER20" s="18"/>
      <c r="ES20" s="18"/>
      <c r="ET20" s="18"/>
      <c r="EU20" s="18"/>
      <c r="EV20" s="18"/>
      <c r="EW20" s="18"/>
      <c r="EX20" s="18"/>
      <c r="EY20" s="18"/>
      <c r="EZ20" s="18"/>
      <c r="FA20" s="18"/>
      <c r="FB20" s="18"/>
      <c r="FC20" s="18"/>
      <c r="FD20" s="18"/>
      <c r="FE20" s="18"/>
      <c r="FF20" s="18"/>
      <c r="FG20" s="18"/>
      <c r="FH20" s="18"/>
      <c r="FI20" s="18"/>
      <c r="FJ20" s="18"/>
      <c r="FK20" s="18"/>
      <c r="FL20" s="18"/>
      <c r="FM20" s="18"/>
      <c r="FN20" s="18"/>
      <c r="FO20" s="18"/>
      <c r="FP20" s="18"/>
      <c r="FQ20" s="18"/>
      <c r="FR20" s="18"/>
      <c r="FS20" s="18"/>
      <c r="FT20" s="18"/>
      <c r="FU20" s="18"/>
      <c r="FV20" s="18"/>
      <c r="FW20" s="18"/>
      <c r="FX20" s="18"/>
      <c r="FY20" s="18"/>
      <c r="FZ20" s="18"/>
      <c r="GA20" s="18"/>
      <c r="GB20" s="18"/>
      <c r="GC20" s="18"/>
      <c r="GD20" s="18"/>
      <c r="GE20" s="18"/>
      <c r="GF20" s="18"/>
      <c r="GG20" s="18"/>
      <c r="GH20" s="18"/>
      <c r="GI20" s="18"/>
      <c r="GJ20" s="18"/>
      <c r="GK20" s="18"/>
      <c r="GL20" s="18"/>
      <c r="GM20" s="18"/>
      <c r="GN20" s="18"/>
      <c r="GO20" s="18"/>
      <c r="GP20" s="18"/>
      <c r="GQ20" s="18"/>
      <c r="GR20" s="18"/>
      <c r="GS20" s="18"/>
      <c r="GT20" s="18"/>
      <c r="GU20" s="18"/>
      <c r="GV20" s="18"/>
      <c r="GW20" s="18"/>
      <c r="GX20" s="18"/>
      <c r="GY20" s="18"/>
      <c r="GZ20" s="18"/>
      <c r="HA20" s="18"/>
      <c r="HB20" s="18"/>
      <c r="HC20" s="18"/>
      <c r="HD20" s="18"/>
      <c r="HE20" s="18"/>
      <c r="HF20" s="18"/>
      <c r="HG20" s="18"/>
      <c r="HH20" s="18"/>
      <c r="HI20" s="18"/>
      <c r="HJ20" s="18"/>
      <c r="HK20" s="18"/>
      <c r="HL20" s="18"/>
      <c r="HM20" s="18"/>
      <c r="HN20" s="18"/>
      <c r="HO20" s="18"/>
      <c r="HP20" s="18"/>
      <c r="HQ20" s="18"/>
      <c r="HR20" s="18"/>
      <c r="HS20" s="18"/>
      <c r="HT20" s="18"/>
      <c r="HU20" s="18"/>
      <c r="HV20" s="18"/>
      <c r="HW20" s="18"/>
      <c r="HX20" s="18"/>
      <c r="HY20" s="18"/>
      <c r="HZ20" s="18"/>
      <c r="IA20" s="18"/>
      <c r="IB20" s="18"/>
      <c r="IC20" s="18"/>
      <c r="ID20" s="18"/>
      <c r="IE20" s="18"/>
      <c r="IF20" s="18"/>
      <c r="IG20" s="18"/>
      <c r="IH20" s="18"/>
      <c r="II20" s="18"/>
      <c r="IJ20" s="18"/>
      <c r="IK20" s="18"/>
      <c r="IL20" s="18"/>
      <c r="IM20" s="18"/>
      <c r="IN20" s="18"/>
      <c r="IO20" s="18"/>
      <c r="IP20" s="18"/>
      <c r="IQ20" s="18"/>
      <c r="IR20" s="18"/>
      <c r="IS20" s="18"/>
      <c r="IT20" s="18"/>
      <c r="IU20" s="18"/>
      <c r="IV20" s="18"/>
      <c r="IW20" s="18"/>
      <c r="IX20" s="18"/>
      <c r="IY20" s="18"/>
      <c r="IZ20" s="18"/>
      <c r="JA20" s="18"/>
      <c r="JB20" s="18"/>
      <c r="JC20" s="18"/>
      <c r="JD20" s="18"/>
      <c r="JE20" s="18"/>
      <c r="JF20" s="18"/>
      <c r="JG20" s="18"/>
      <c r="JH20" s="18"/>
      <c r="JI20" s="18"/>
      <c r="JJ20" s="18"/>
      <c r="JK20" s="18"/>
      <c r="JL20" s="18"/>
      <c r="JM20" s="18"/>
      <c r="JN20" s="18"/>
      <c r="JO20" s="18"/>
      <c r="JP20" s="18"/>
      <c r="JQ20" s="18"/>
      <c r="JR20" s="18"/>
      <c r="JS20" s="18"/>
      <c r="JT20" s="18"/>
      <c r="JU20" s="18"/>
      <c r="JV20" s="18"/>
      <c r="JW20" s="18"/>
      <c r="JX20" s="18"/>
      <c r="JZ20" s="263"/>
      <c r="KA20" s="263"/>
      <c r="KB20" s="263"/>
      <c r="KC20" s="263"/>
      <c r="KD20" s="263"/>
      <c r="KE20" s="263"/>
      <c r="KF20" s="263"/>
      <c r="KG20" s="263"/>
      <c r="KH20" s="263"/>
      <c r="KI20" s="263"/>
      <c r="KJ20" s="263"/>
      <c r="KK20" s="263"/>
      <c r="KL20" s="263"/>
      <c r="KM20" s="263"/>
      <c r="KN20" s="263"/>
      <c r="KO20" s="263"/>
      <c r="KP20" s="263"/>
      <c r="KQ20" s="263"/>
      <c r="KR20" s="263"/>
      <c r="KS20" s="263"/>
      <c r="KT20" s="263"/>
      <c r="KU20" s="263"/>
      <c r="KV20" s="263"/>
      <c r="KW20" s="263"/>
      <c r="KX20" s="263"/>
      <c r="KY20" s="263"/>
      <c r="KZ20" s="263"/>
      <c r="LA20" s="263"/>
      <c r="LB20" s="263"/>
      <c r="LC20" s="263"/>
      <c r="LD20" s="263"/>
      <c r="LE20" s="263"/>
      <c r="LF20" s="263"/>
      <c r="LG20" s="263"/>
      <c r="LH20" s="263"/>
      <c r="LI20" s="263"/>
      <c r="LJ20" s="263"/>
      <c r="LK20" s="263"/>
      <c r="LL20" s="263"/>
      <c r="LM20" s="263"/>
      <c r="LN20" s="263"/>
      <c r="LO20" s="263"/>
      <c r="LP20" s="263"/>
      <c r="LQ20" s="263"/>
      <c r="LR20" s="263"/>
      <c r="LS20" s="263"/>
      <c r="LT20" s="263"/>
      <c r="LU20" s="263"/>
      <c r="LV20" s="263"/>
      <c r="LW20" s="263"/>
      <c r="LX20" s="263"/>
      <c r="LY20" s="263"/>
      <c r="LZ20" s="263"/>
      <c r="MA20" s="263"/>
      <c r="MB20" s="263"/>
      <c r="MC20" s="263"/>
      <c r="MD20" s="263"/>
      <c r="ME20" s="263"/>
      <c r="MF20" s="263"/>
      <c r="MG20" s="263"/>
      <c r="MH20" s="263"/>
      <c r="MI20" s="263"/>
      <c r="MJ20" s="263"/>
      <c r="MK20" s="263"/>
      <c r="ML20" s="263"/>
      <c r="MM20" s="263"/>
      <c r="MN20" s="263"/>
      <c r="MO20" s="263"/>
      <c r="MP20" s="263"/>
      <c r="MQ20" s="263"/>
      <c r="MR20" s="263"/>
      <c r="MS20" s="263"/>
      <c r="MT20" s="263"/>
      <c r="MU20" s="263"/>
      <c r="MV20" s="263"/>
      <c r="MW20" s="263"/>
      <c r="MX20" s="263"/>
      <c r="MY20" s="263"/>
      <c r="MZ20" s="263"/>
      <c r="NA20" s="263"/>
      <c r="NB20" s="263"/>
      <c r="NC20" s="263"/>
      <c r="ND20" s="263"/>
      <c r="NE20" s="263"/>
      <c r="NF20" s="263"/>
      <c r="NG20" s="263"/>
      <c r="NH20" s="263"/>
      <c r="NI20" s="263"/>
      <c r="NJ20" s="263"/>
      <c r="NK20" s="263"/>
      <c r="NL20" s="263"/>
      <c r="NM20" s="263"/>
      <c r="NN20" s="263"/>
      <c r="NO20" s="263"/>
      <c r="NP20" s="263"/>
      <c r="NQ20" s="263"/>
      <c r="NR20" s="263"/>
      <c r="NS20" s="263"/>
      <c r="NT20" s="263"/>
      <c r="NU20" s="263"/>
      <c r="NV20" s="263"/>
      <c r="NW20" s="263"/>
      <c r="NX20" s="263"/>
      <c r="NY20" s="263"/>
      <c r="NZ20" s="263"/>
      <c r="OA20" s="263"/>
      <c r="OB20" s="263"/>
      <c r="OC20" s="263"/>
      <c r="OD20" s="263"/>
      <c r="OE20" s="263"/>
      <c r="OF20" s="263"/>
      <c r="OG20" s="263"/>
      <c r="OH20" s="263"/>
      <c r="OI20" s="263"/>
      <c r="OJ20" s="263"/>
      <c r="OK20" s="263"/>
      <c r="OL20" s="263"/>
      <c r="OM20" s="263"/>
      <c r="ON20" s="263"/>
      <c r="OO20" s="263"/>
      <c r="OP20" s="263"/>
      <c r="OQ20" s="263"/>
      <c r="OR20" s="263"/>
      <c r="OS20" s="263"/>
      <c r="OT20" s="263"/>
      <c r="OU20" s="263"/>
      <c r="OV20" s="263"/>
      <c r="OW20" s="263"/>
      <c r="OX20" s="263"/>
      <c r="OY20" s="263"/>
      <c r="OZ20" s="263"/>
      <c r="PA20" s="263"/>
      <c r="PB20" s="263"/>
      <c r="PC20" s="263"/>
      <c r="PD20" s="263"/>
      <c r="PE20" s="263"/>
      <c r="PF20" s="263"/>
      <c r="PG20" s="263"/>
      <c r="PH20" s="263"/>
    </row>
    <row r="21">
      <c r="B21" s="34" t="s">
        <v>116</v>
      </c>
      <c r="C21" s="401"/>
      <c r="D21" s="34"/>
      <c r="E21" s="253" t="n">
        <f>Units_SF_M2/1000*4</f>
        <v>313.24952</v>
      </c>
      <c r="F21" s="34" t="str">
        <f>"Parking Ratio (Per "&amp;Unit_Type&amp;")"</f>
        <v>Parking Ratio (Per M2)</v>
      </c>
      <c r="G21" s="401"/>
      <c r="H21" s="34"/>
      <c r="I21" s="276" t="n">
        <f>(E21+E20)/(Units_SF_M2/1000)</f>
        <v>4.5</v>
      </c>
      <c r="J21" s="399"/>
      <c r="K21" s="400"/>
      <c r="L21" s="400"/>
      <c r="M21" s="400"/>
      <c r="N21" s="400"/>
      <c r="O21" s="400"/>
      <c r="P21" s="400"/>
      <c r="Q21" s="400"/>
      <c r="R21" s="400"/>
      <c r="S21" s="400"/>
      <c r="T21" s="400"/>
      <c r="U21" s="400"/>
      <c r="V21" s="400"/>
      <c r="W21" s="400"/>
      <c r="X21" s="400"/>
      <c r="Y21" s="400"/>
      <c r="Z21" s="400"/>
      <c r="AA21" s="400"/>
      <c r="AB21" s="400"/>
      <c r="AC21" s="400"/>
      <c r="AD21" s="400"/>
      <c r="AE21" s="400"/>
      <c r="AF21" s="400"/>
      <c r="AG21" s="400"/>
      <c r="AH21" s="400"/>
      <c r="AI21" s="400"/>
      <c r="AJ21" s="400"/>
      <c r="AK21" s="400"/>
      <c r="AL21" s="400"/>
      <c r="AM21" s="400"/>
      <c r="AN21" s="400"/>
      <c r="AO21" s="400"/>
      <c r="AP21" s="400"/>
      <c r="AQ21" s="400"/>
      <c r="AR21" s="400"/>
      <c r="AS21" s="400"/>
      <c r="AT21" s="400"/>
      <c r="AU21" s="400"/>
      <c r="AV21" s="400"/>
      <c r="AW21" s="400"/>
      <c r="AX21" s="400"/>
      <c r="AY21" s="400"/>
      <c r="AZ21" s="400"/>
      <c r="BA21" s="400"/>
      <c r="BB21" s="400"/>
      <c r="BC21" s="400"/>
      <c r="BD21" s="400"/>
      <c r="BE21" s="400"/>
      <c r="BF21" s="400"/>
      <c r="BG21" s="400"/>
      <c r="BH21" s="400"/>
      <c r="BI21" s="400"/>
      <c r="BJ21" s="400"/>
      <c r="BK21" s="400"/>
      <c r="BL21" s="400"/>
      <c r="BM21" s="400"/>
      <c r="BN21" s="400"/>
      <c r="BO21" s="400"/>
      <c r="BP21" s="400"/>
      <c r="BQ21" s="400"/>
      <c r="BR21" s="400"/>
      <c r="BS21" s="400"/>
      <c r="BT21" s="400"/>
      <c r="BU21" s="400"/>
      <c r="BV21" s="400"/>
      <c r="BW21" s="400"/>
      <c r="BX21" s="400"/>
      <c r="BY21" s="400"/>
      <c r="BZ21" s="400"/>
      <c r="CA21" s="400"/>
      <c r="CB21" s="400"/>
      <c r="CC21" s="400"/>
      <c r="CD21" s="400"/>
      <c r="CE21" s="400"/>
      <c r="CF21" s="400"/>
      <c r="CG21" s="400"/>
      <c r="CH21" s="400"/>
      <c r="CI21" s="400"/>
      <c r="CJ21" s="400"/>
      <c r="CK21" s="400"/>
      <c r="CL21" s="400"/>
      <c r="CM21" s="400"/>
      <c r="CN21" s="400"/>
      <c r="CO21" s="400"/>
      <c r="CP21" s="400"/>
      <c r="CQ21" s="400"/>
      <c r="CR21" s="400"/>
      <c r="CS21" s="400"/>
      <c r="CT21" s="400"/>
      <c r="CU21" s="400"/>
      <c r="CV21" s="400"/>
      <c r="CW21" s="400"/>
      <c r="CX21" s="400"/>
      <c r="CY21" s="400"/>
      <c r="CZ21" s="400"/>
      <c r="DA21" s="400"/>
      <c r="DB21" s="400"/>
      <c r="DC21" s="400"/>
      <c r="DD21" s="400"/>
      <c r="DE21" s="400"/>
      <c r="DF21" s="400"/>
      <c r="DG21" s="400"/>
      <c r="DH21" s="400"/>
      <c r="DI21" s="400"/>
      <c r="DJ21" s="400"/>
      <c r="DK21" s="400"/>
      <c r="DL21" s="400"/>
      <c r="DM21" s="400"/>
      <c r="DN21" s="400"/>
      <c r="DO21" s="400"/>
      <c r="DP21" s="400"/>
      <c r="DQ21" s="400"/>
      <c r="DR21" s="400"/>
      <c r="DS21" s="400"/>
      <c r="DT21" s="400"/>
      <c r="DU21" s="400"/>
      <c r="DV21" s="400"/>
      <c r="DW21" s="400"/>
      <c r="DX21" s="400"/>
      <c r="DY21" s="400"/>
      <c r="DZ21" s="400"/>
      <c r="EA21" s="400"/>
      <c r="EB21" s="400"/>
      <c r="EC21" s="400"/>
      <c r="ED21" s="400"/>
      <c r="EE21" s="400"/>
      <c r="EF21" s="400"/>
      <c r="EG21" s="400"/>
      <c r="EH21" s="400"/>
      <c r="EI21" s="400"/>
      <c r="EJ21" s="400"/>
      <c r="EK21" s="400"/>
      <c r="EL21" s="400"/>
      <c r="EM21" s="400"/>
      <c r="EN21" s="400"/>
      <c r="EO21" s="400"/>
      <c r="EP21" s="220"/>
      <c r="EQ21" s="18"/>
      <c r="ER21" s="18"/>
      <c r="ES21" s="18"/>
      <c r="ET21" s="18"/>
      <c r="EU21" s="18"/>
      <c r="EV21" s="18"/>
      <c r="EW21" s="18"/>
      <c r="EX21" s="18"/>
      <c r="EY21" s="18"/>
      <c r="EZ21" s="18"/>
      <c r="FA21" s="18"/>
      <c r="FB21" s="18"/>
      <c r="FC21" s="18"/>
      <c r="FD21" s="18"/>
      <c r="FE21" s="18"/>
      <c r="FF21" s="18"/>
      <c r="FG21" s="18"/>
      <c r="FH21" s="18"/>
      <c r="FI21" s="18"/>
      <c r="FJ21" s="18"/>
      <c r="FK21" s="18"/>
      <c r="FL21" s="18"/>
      <c r="FM21" s="18"/>
      <c r="FN21" s="18"/>
      <c r="FO21" s="18"/>
      <c r="FP21" s="18"/>
      <c r="FQ21" s="18"/>
      <c r="FR21" s="18"/>
      <c r="FS21" s="18"/>
      <c r="FT21" s="18"/>
      <c r="FU21" s="18"/>
      <c r="FV21" s="18"/>
      <c r="FW21" s="18"/>
      <c r="FX21" s="18"/>
      <c r="FY21" s="18"/>
      <c r="FZ21" s="18"/>
      <c r="GA21" s="18"/>
      <c r="GB21" s="18"/>
      <c r="GC21" s="18"/>
      <c r="GD21" s="18"/>
      <c r="GE21" s="18"/>
      <c r="GF21" s="18"/>
      <c r="GG21" s="18"/>
      <c r="GH21" s="18"/>
      <c r="GI21" s="18"/>
      <c r="GJ21" s="18"/>
      <c r="GK21" s="18"/>
      <c r="GL21" s="18"/>
      <c r="GM21" s="18"/>
      <c r="GN21" s="18"/>
      <c r="GO21" s="18"/>
      <c r="GP21" s="18"/>
      <c r="GQ21" s="18"/>
      <c r="GR21" s="18"/>
      <c r="GS21" s="18"/>
      <c r="GT21" s="18"/>
      <c r="GU21" s="18"/>
      <c r="GV21" s="18"/>
      <c r="GW21" s="18"/>
      <c r="GX21" s="18"/>
      <c r="GY21" s="18"/>
      <c r="GZ21" s="18"/>
      <c r="HA21" s="18"/>
      <c r="HB21" s="18"/>
      <c r="HC21" s="18"/>
      <c r="HD21" s="18"/>
      <c r="HE21" s="18"/>
      <c r="HF21" s="18"/>
      <c r="HG21" s="18"/>
      <c r="HH21" s="18"/>
      <c r="HI21" s="18"/>
      <c r="HJ21" s="18"/>
      <c r="HK21" s="18"/>
      <c r="HL21" s="18"/>
      <c r="HM21" s="18"/>
      <c r="HN21" s="18"/>
      <c r="HO21" s="18"/>
      <c r="HP21" s="18"/>
      <c r="HQ21" s="18"/>
      <c r="HR21" s="18"/>
      <c r="HS21" s="18"/>
      <c r="HT21" s="18"/>
      <c r="HU21" s="18"/>
      <c r="HV21" s="18"/>
      <c r="HW21" s="18"/>
      <c r="HX21" s="18"/>
      <c r="HY21" s="18"/>
      <c r="HZ21" s="18"/>
      <c r="IA21" s="18"/>
      <c r="IB21" s="18"/>
      <c r="IC21" s="18"/>
      <c r="ID21" s="18"/>
      <c r="IE21" s="18"/>
      <c r="IF21" s="18"/>
      <c r="IG21" s="18"/>
      <c r="IH21" s="18"/>
      <c r="II21" s="18"/>
      <c r="IJ21" s="18"/>
      <c r="IK21" s="18"/>
      <c r="IL21" s="18"/>
      <c r="IM21" s="18"/>
      <c r="IN21" s="18"/>
      <c r="IO21" s="18"/>
      <c r="IP21" s="18"/>
      <c r="IQ21" s="18"/>
      <c r="IR21" s="18"/>
      <c r="IS21" s="18"/>
      <c r="IT21" s="18"/>
      <c r="IU21" s="18"/>
      <c r="IV21" s="18"/>
      <c r="IW21" s="18"/>
      <c r="IX21" s="18"/>
      <c r="IY21" s="18"/>
      <c r="IZ21" s="18"/>
      <c r="JA21" s="18"/>
      <c r="JB21" s="18"/>
      <c r="JC21" s="18"/>
      <c r="JD21" s="18"/>
      <c r="JE21" s="18"/>
      <c r="JF21" s="18"/>
      <c r="JG21" s="18"/>
      <c r="JH21" s="18"/>
      <c r="JI21" s="18"/>
      <c r="JJ21" s="18"/>
      <c r="JK21" s="18"/>
      <c r="JL21" s="18"/>
      <c r="JM21" s="18"/>
      <c r="JN21" s="18"/>
      <c r="JO21" s="18"/>
      <c r="JP21" s="18"/>
      <c r="JQ21" s="18"/>
      <c r="JR21" s="18"/>
      <c r="JS21" s="18"/>
      <c r="JT21" s="18"/>
      <c r="JU21" s="18"/>
      <c r="JV21" s="18"/>
      <c r="JW21" s="18"/>
      <c r="JX21" s="18"/>
      <c r="JZ21" s="263"/>
      <c r="KA21" s="263"/>
      <c r="KB21" s="263"/>
      <c r="KC21" s="263"/>
      <c r="KD21" s="263"/>
      <c r="KE21" s="263"/>
      <c r="KF21" s="263"/>
      <c r="KG21" s="263"/>
      <c r="KH21" s="263"/>
      <c r="KI21" s="263"/>
      <c r="KJ21" s="263"/>
      <c r="KK21" s="263"/>
      <c r="KL21" s="263"/>
      <c r="KM21" s="263"/>
      <c r="KN21" s="263"/>
      <c r="KO21" s="263"/>
      <c r="KP21" s="263"/>
      <c r="KQ21" s="263"/>
      <c r="KR21" s="263"/>
      <c r="KS21" s="263"/>
      <c r="KT21" s="263"/>
      <c r="KU21" s="263"/>
      <c r="KV21" s="263"/>
      <c r="KW21" s="263"/>
      <c r="KX21" s="263"/>
      <c r="KY21" s="263"/>
      <c r="KZ21" s="263"/>
      <c r="LA21" s="263"/>
      <c r="LB21" s="263"/>
      <c r="LC21" s="263"/>
      <c r="LD21" s="263"/>
      <c r="LE21" s="263"/>
      <c r="LF21" s="263"/>
      <c r="LG21" s="263"/>
      <c r="LH21" s="263"/>
      <c r="LI21" s="263"/>
      <c r="LJ21" s="263"/>
      <c r="LK21" s="263"/>
      <c r="LL21" s="263"/>
      <c r="LM21" s="263"/>
      <c r="LN21" s="263"/>
      <c r="LO21" s="263"/>
      <c r="LP21" s="263"/>
      <c r="LQ21" s="263"/>
      <c r="LR21" s="263"/>
      <c r="LS21" s="263"/>
      <c r="LT21" s="263"/>
      <c r="LU21" s="263"/>
      <c r="LV21" s="263"/>
      <c r="LW21" s="263"/>
      <c r="LX21" s="263"/>
      <c r="LY21" s="263"/>
      <c r="LZ21" s="263"/>
      <c r="MA21" s="263"/>
      <c r="MB21" s="263"/>
      <c r="MC21" s="263"/>
      <c r="MD21" s="263"/>
      <c r="ME21" s="263"/>
      <c r="MF21" s="263"/>
      <c r="MG21" s="263"/>
      <c r="MH21" s="263"/>
      <c r="MI21" s="263"/>
      <c r="MJ21" s="263"/>
      <c r="MK21" s="263"/>
      <c r="ML21" s="263"/>
      <c r="MM21" s="263"/>
      <c r="MN21" s="263"/>
      <c r="MO21" s="263"/>
      <c r="MP21" s="263"/>
      <c r="MQ21" s="263"/>
      <c r="MR21" s="263"/>
      <c r="MS21" s="263"/>
      <c r="MT21" s="263"/>
      <c r="MU21" s="263"/>
      <c r="MV21" s="263"/>
      <c r="MW21" s="263"/>
      <c r="MX21" s="263"/>
      <c r="MY21" s="263"/>
      <c r="MZ21" s="263"/>
      <c r="NA21" s="263"/>
      <c r="NB21" s="263"/>
      <c r="NC21" s="263"/>
      <c r="ND21" s="263"/>
      <c r="NE21" s="263"/>
      <c r="NF21" s="263"/>
      <c r="NG21" s="263"/>
      <c r="NH21" s="263"/>
      <c r="NI21" s="263"/>
      <c r="NJ21" s="263"/>
      <c r="NK21" s="263"/>
      <c r="NL21" s="263"/>
      <c r="NM21" s="263"/>
      <c r="NN21" s="263"/>
      <c r="NO21" s="263"/>
      <c r="NP21" s="263"/>
      <c r="NQ21" s="263"/>
      <c r="NR21" s="263"/>
      <c r="NS21" s="263"/>
      <c r="NT21" s="263"/>
      <c r="NU21" s="263"/>
      <c r="NV21" s="263"/>
      <c r="NW21" s="263"/>
      <c r="NX21" s="263"/>
      <c r="NY21" s="263"/>
      <c r="NZ21" s="263"/>
      <c r="OA21" s="263"/>
      <c r="OB21" s="263"/>
      <c r="OC21" s="263"/>
      <c r="OD21" s="263"/>
      <c r="OE21" s="263"/>
      <c r="OF21" s="263"/>
      <c r="OG21" s="263"/>
      <c r="OH21" s="263"/>
      <c r="OI21" s="263"/>
      <c r="OJ21" s="263"/>
      <c r="OK21" s="263"/>
      <c r="OL21" s="263"/>
      <c r="OM21" s="263"/>
      <c r="ON21" s="263"/>
      <c r="OO21" s="263"/>
      <c r="OP21" s="263"/>
      <c r="OQ21" s="263"/>
      <c r="OR21" s="263"/>
      <c r="OS21" s="263"/>
      <c r="OT21" s="263"/>
      <c r="OU21" s="263"/>
      <c r="OV21" s="263"/>
      <c r="OW21" s="263"/>
      <c r="OX21" s="263"/>
      <c r="OY21" s="263"/>
      <c r="OZ21" s="263"/>
      <c r="PA21" s="263"/>
      <c r="PB21" s="263"/>
      <c r="PC21" s="263"/>
      <c r="PD21" s="263"/>
      <c r="PE21" s="263"/>
      <c r="PF21" s="263"/>
      <c r="PG21" s="263"/>
      <c r="PH21" s="263"/>
    </row>
    <row r="22">
      <c r="B22" s="390"/>
      <c r="C22" s="390"/>
      <c r="D22" s="390"/>
      <c r="E22" s="390"/>
      <c r="F22" s="390"/>
      <c r="G22" s="390"/>
      <c r="H22" s="390"/>
      <c r="I22" s="390"/>
      <c r="J22" s="391"/>
      <c r="K22" s="392"/>
      <c r="L22" s="392"/>
      <c r="M22" s="392"/>
      <c r="N22" s="392"/>
      <c r="O22" s="392"/>
      <c r="P22" s="392"/>
      <c r="Q22" s="392"/>
      <c r="R22" s="392"/>
      <c r="S22" s="392"/>
      <c r="T22" s="392"/>
      <c r="U22" s="392"/>
      <c r="V22" s="392"/>
      <c r="W22" s="392"/>
      <c r="X22" s="392"/>
      <c r="Y22" s="392"/>
      <c r="Z22" s="392"/>
      <c r="AA22" s="392"/>
      <c r="AB22" s="392"/>
      <c r="AC22" s="392"/>
      <c r="AD22" s="392"/>
      <c r="AE22" s="392"/>
      <c r="AF22" s="392"/>
      <c r="AG22" s="392"/>
      <c r="AH22" s="392"/>
      <c r="AI22" s="392"/>
      <c r="AJ22" s="392"/>
      <c r="AK22" s="392"/>
      <c r="AL22" s="392"/>
      <c r="AM22" s="392"/>
      <c r="AN22" s="392"/>
      <c r="AO22" s="392"/>
      <c r="AP22" s="392"/>
      <c r="AQ22" s="392"/>
      <c r="AR22" s="392"/>
      <c r="AS22" s="392"/>
      <c r="AT22" s="392"/>
      <c r="AU22" s="392"/>
      <c r="AV22" s="392"/>
      <c r="AW22" s="392"/>
      <c r="AX22" s="392"/>
      <c r="AY22" s="392"/>
      <c r="AZ22" s="392"/>
      <c r="BA22" s="392"/>
      <c r="BB22" s="392"/>
      <c r="BC22" s="392"/>
      <c r="BD22" s="392"/>
      <c r="BE22" s="392"/>
      <c r="BF22" s="392"/>
      <c r="BG22" s="392"/>
      <c r="BH22" s="392"/>
      <c r="BI22" s="392"/>
      <c r="BJ22" s="392"/>
      <c r="BK22" s="392"/>
      <c r="BL22" s="392"/>
      <c r="BM22" s="392"/>
      <c r="BN22" s="392"/>
      <c r="BO22" s="392"/>
      <c r="BP22" s="392"/>
      <c r="BQ22" s="392"/>
      <c r="BR22" s="392"/>
      <c r="BS22" s="392"/>
      <c r="BT22" s="392"/>
      <c r="BU22" s="392"/>
      <c r="BV22" s="392"/>
      <c r="BW22" s="392"/>
      <c r="BX22" s="392"/>
      <c r="BY22" s="392"/>
      <c r="BZ22" s="392"/>
      <c r="CA22" s="392"/>
      <c r="CB22" s="392"/>
      <c r="CC22" s="392"/>
      <c r="CD22" s="392"/>
      <c r="CE22" s="392"/>
      <c r="CF22" s="392"/>
      <c r="CG22" s="392"/>
      <c r="CH22" s="392"/>
      <c r="CI22" s="392"/>
      <c r="CJ22" s="392"/>
      <c r="CK22" s="392"/>
      <c r="CL22" s="392"/>
      <c r="CM22" s="392"/>
      <c r="CN22" s="392"/>
      <c r="CO22" s="392"/>
      <c r="CP22" s="392"/>
      <c r="CQ22" s="392"/>
      <c r="CR22" s="392"/>
      <c r="CS22" s="392"/>
      <c r="CT22" s="392"/>
      <c r="CU22" s="392"/>
      <c r="CV22" s="392"/>
      <c r="CW22" s="392"/>
      <c r="CX22" s="392"/>
      <c r="CY22" s="392"/>
      <c r="CZ22" s="392"/>
      <c r="DA22" s="392"/>
      <c r="DB22" s="392"/>
      <c r="DC22" s="392"/>
      <c r="DD22" s="392"/>
      <c r="DE22" s="392"/>
      <c r="DF22" s="392"/>
      <c r="DG22" s="392"/>
      <c r="DH22" s="392"/>
      <c r="DI22" s="392"/>
      <c r="DJ22" s="392"/>
      <c r="DK22" s="392"/>
      <c r="DL22" s="392"/>
      <c r="DM22" s="392"/>
      <c r="DN22" s="392"/>
      <c r="DO22" s="392"/>
      <c r="DP22" s="392"/>
      <c r="DQ22" s="392"/>
      <c r="DR22" s="392"/>
      <c r="DS22" s="392"/>
      <c r="DT22" s="392"/>
      <c r="DU22" s="392"/>
      <c r="DV22" s="392"/>
      <c r="DW22" s="392"/>
      <c r="DX22" s="392"/>
      <c r="DY22" s="392"/>
      <c r="DZ22" s="392"/>
      <c r="EA22" s="392"/>
      <c r="EB22" s="392"/>
      <c r="EC22" s="392"/>
      <c r="ED22" s="392"/>
      <c r="EE22" s="392"/>
      <c r="EF22" s="392"/>
      <c r="EG22" s="392"/>
      <c r="EH22" s="392"/>
      <c r="EI22" s="392"/>
      <c r="EJ22" s="392"/>
      <c r="EK22" s="392"/>
      <c r="EL22" s="392"/>
      <c r="EM22" s="392"/>
      <c r="EN22" s="392"/>
      <c r="EO22" s="392"/>
      <c r="EP22" s="407"/>
      <c r="EQ22" s="408"/>
      <c r="ER22" s="408"/>
      <c r="ES22" s="408"/>
      <c r="ET22" s="408"/>
      <c r="EU22" s="408"/>
      <c r="EV22" s="408"/>
      <c r="EW22" s="408"/>
      <c r="EX22" s="408"/>
      <c r="EY22" s="408"/>
      <c r="EZ22" s="408"/>
      <c r="FA22" s="408"/>
      <c r="FB22" s="408"/>
      <c r="FC22" s="408"/>
      <c r="FD22" s="408"/>
      <c r="FE22" s="408"/>
      <c r="FF22" s="408"/>
      <c r="FG22" s="408"/>
      <c r="FH22" s="408"/>
      <c r="FI22" s="408"/>
      <c r="FJ22" s="408"/>
      <c r="FK22" s="408"/>
      <c r="FL22" s="408"/>
      <c r="FM22" s="408"/>
      <c r="FN22" s="408"/>
      <c r="FO22" s="408"/>
      <c r="FP22" s="408"/>
      <c r="FQ22" s="408"/>
      <c r="FR22" s="408"/>
      <c r="FS22" s="408"/>
      <c r="FT22" s="408"/>
      <c r="FU22" s="408"/>
      <c r="FV22" s="408"/>
      <c r="FW22" s="408"/>
      <c r="FX22" s="408"/>
      <c r="FY22" s="408"/>
      <c r="FZ22" s="408"/>
      <c r="GA22" s="408"/>
      <c r="GB22" s="408"/>
      <c r="GC22" s="408"/>
      <c r="GD22" s="408"/>
      <c r="GE22" s="408"/>
      <c r="GF22" s="408"/>
      <c r="GG22" s="408"/>
      <c r="GH22" s="408"/>
      <c r="GI22" s="408"/>
      <c r="GJ22" s="408"/>
      <c r="GK22" s="408"/>
      <c r="GL22" s="408"/>
      <c r="GM22" s="408"/>
      <c r="GN22" s="408"/>
      <c r="GO22" s="408"/>
      <c r="GP22" s="408"/>
      <c r="GQ22" s="408"/>
      <c r="GR22" s="408"/>
      <c r="GS22" s="408"/>
      <c r="GT22" s="408"/>
      <c r="GU22" s="408"/>
      <c r="GV22" s="408"/>
      <c r="GW22" s="408"/>
      <c r="GX22" s="408"/>
      <c r="GY22" s="408"/>
      <c r="GZ22" s="408"/>
      <c r="HA22" s="408"/>
      <c r="HB22" s="408"/>
      <c r="HC22" s="408"/>
      <c r="HD22" s="408"/>
      <c r="HE22" s="408"/>
      <c r="HF22" s="408"/>
      <c r="HG22" s="408"/>
      <c r="HH22" s="408"/>
      <c r="HI22" s="408"/>
      <c r="HJ22" s="408"/>
      <c r="HK22" s="408"/>
      <c r="HL22" s="408"/>
      <c r="HM22" s="408"/>
      <c r="HN22" s="408"/>
      <c r="HO22" s="408"/>
      <c r="HP22" s="408"/>
      <c r="HQ22" s="408"/>
      <c r="HR22" s="408"/>
      <c r="HS22" s="408"/>
      <c r="HT22" s="408"/>
      <c r="HU22" s="408"/>
      <c r="HV22" s="408"/>
      <c r="HW22" s="408"/>
      <c r="HX22" s="408"/>
      <c r="HY22" s="408"/>
      <c r="HZ22" s="408"/>
      <c r="IA22" s="408"/>
      <c r="IB22" s="408"/>
      <c r="IC22" s="408"/>
      <c r="ID22" s="408"/>
      <c r="IE22" s="408"/>
      <c r="IF22" s="408"/>
      <c r="IG22" s="408"/>
      <c r="IH22" s="408"/>
      <c r="II22" s="408"/>
      <c r="IJ22" s="408"/>
      <c r="IK22" s="408"/>
      <c r="IL22" s="408"/>
      <c r="IM22" s="408"/>
      <c r="IN22" s="408"/>
      <c r="IO22" s="408"/>
      <c r="IP22" s="408"/>
      <c r="IQ22" s="408"/>
      <c r="IR22" s="408"/>
      <c r="IS22" s="408"/>
      <c r="IT22" s="408"/>
      <c r="IU22" s="408"/>
      <c r="IV22" s="408"/>
      <c r="IW22" s="408"/>
      <c r="IX22" s="408"/>
      <c r="IY22" s="408"/>
      <c r="IZ22" s="408"/>
      <c r="JA22" s="408"/>
      <c r="JB22" s="408"/>
      <c r="JC22" s="408"/>
      <c r="JD22" s="408"/>
      <c r="JE22" s="408"/>
      <c r="JF22" s="408"/>
      <c r="JG22" s="408"/>
      <c r="JH22" s="408"/>
      <c r="JI22" s="408"/>
      <c r="JJ22" s="408"/>
      <c r="JK22" s="408"/>
      <c r="JL22" s="408"/>
      <c r="JM22" s="408"/>
      <c r="JN22" s="408"/>
      <c r="JO22" s="408"/>
      <c r="JP22" s="408"/>
      <c r="JQ22" s="408"/>
      <c r="JR22" s="408"/>
      <c r="JS22" s="408"/>
      <c r="JT22" s="408"/>
      <c r="JU22" s="408"/>
      <c r="JV22" s="408"/>
      <c r="JW22" s="408"/>
      <c r="JX22" s="408"/>
      <c r="JZ22" s="263"/>
      <c r="KA22" s="263"/>
      <c r="KB22" s="263"/>
      <c r="KC22" s="263"/>
      <c r="KD22" s="263"/>
      <c r="KE22" s="263"/>
      <c r="KF22" s="263"/>
      <c r="KG22" s="263"/>
      <c r="KH22" s="263"/>
      <c r="KI22" s="263"/>
      <c r="KJ22" s="263"/>
      <c r="KK22" s="263"/>
      <c r="KL22" s="263"/>
      <c r="KM22" s="263"/>
      <c r="KN22" s="263"/>
      <c r="KO22" s="263"/>
      <c r="KP22" s="263"/>
      <c r="KQ22" s="263"/>
      <c r="KR22" s="263"/>
      <c r="KS22" s="263"/>
      <c r="KT22" s="263"/>
      <c r="KU22" s="263"/>
      <c r="KV22" s="263"/>
      <c r="KW22" s="263"/>
      <c r="KX22" s="263"/>
      <c r="KY22" s="263"/>
      <c r="KZ22" s="263"/>
      <c r="LA22" s="263"/>
      <c r="LB22" s="263"/>
      <c r="LC22" s="263"/>
      <c r="LD22" s="263"/>
      <c r="LE22" s="263"/>
      <c r="LF22" s="263"/>
      <c r="LG22" s="263"/>
      <c r="LH22" s="263"/>
      <c r="LI22" s="263"/>
      <c r="LJ22" s="263"/>
      <c r="LK22" s="263"/>
      <c r="LL22" s="263"/>
      <c r="LM22" s="263"/>
      <c r="LN22" s="263"/>
      <c r="LO22" s="263"/>
      <c r="LP22" s="263"/>
      <c r="LQ22" s="263"/>
      <c r="LR22" s="263"/>
      <c r="LS22" s="263"/>
      <c r="LT22" s="263"/>
      <c r="LU22" s="263"/>
      <c r="LV22" s="263"/>
      <c r="LW22" s="263"/>
      <c r="LX22" s="263"/>
      <c r="LY22" s="263"/>
      <c r="LZ22" s="263"/>
      <c r="MA22" s="263"/>
      <c r="MB22" s="263"/>
      <c r="MC22" s="263"/>
      <c r="MD22" s="263"/>
      <c r="ME22" s="263"/>
      <c r="MF22" s="263"/>
      <c r="MG22" s="263"/>
      <c r="MH22" s="263"/>
      <c r="MI22" s="263"/>
      <c r="MJ22" s="263"/>
      <c r="MK22" s="263"/>
      <c r="ML22" s="263"/>
      <c r="MM22" s="263"/>
      <c r="MN22" s="263"/>
      <c r="MO22" s="263"/>
      <c r="MP22" s="263"/>
      <c r="MQ22" s="263"/>
      <c r="MR22" s="263"/>
      <c r="MS22" s="263"/>
      <c r="MT22" s="263"/>
      <c r="MU22" s="263"/>
      <c r="MV22" s="263"/>
      <c r="MW22" s="263"/>
      <c r="MX22" s="263"/>
      <c r="MY22" s="263"/>
      <c r="MZ22" s="263"/>
      <c r="NA22" s="263"/>
      <c r="NB22" s="263"/>
      <c r="NC22" s="263"/>
      <c r="ND22" s="263"/>
      <c r="NE22" s="263"/>
      <c r="NF22" s="263"/>
      <c r="NG22" s="263"/>
      <c r="NH22" s="263"/>
      <c r="NI22" s="263"/>
      <c r="NJ22" s="263"/>
      <c r="NK22" s="263"/>
      <c r="NL22" s="263"/>
      <c r="NM22" s="263"/>
      <c r="NN22" s="263"/>
      <c r="NO22" s="263"/>
      <c r="NP22" s="263"/>
      <c r="NQ22" s="263"/>
      <c r="NR22" s="263"/>
      <c r="NS22" s="263"/>
      <c r="NT22" s="263"/>
      <c r="NU22" s="263"/>
      <c r="NV22" s="263"/>
      <c r="NW22" s="263"/>
      <c r="NX22" s="263"/>
      <c r="NY22" s="263"/>
      <c r="NZ22" s="263"/>
      <c r="OA22" s="263"/>
      <c r="OB22" s="263"/>
      <c r="OC22" s="263"/>
      <c r="OD22" s="263"/>
      <c r="OE22" s="263"/>
      <c r="OF22" s="263"/>
      <c r="OG22" s="263"/>
      <c r="OH22" s="263"/>
      <c r="OI22" s="263"/>
      <c r="OJ22" s="263"/>
      <c r="OK22" s="263"/>
      <c r="OL22" s="263"/>
      <c r="OM22" s="263"/>
      <c r="ON22" s="263"/>
      <c r="OO22" s="263"/>
      <c r="OP22" s="263"/>
      <c r="OQ22" s="263"/>
      <c r="OR22" s="263"/>
      <c r="OS22" s="263"/>
      <c r="OT22" s="263"/>
      <c r="OU22" s="263"/>
      <c r="OV22" s="263"/>
      <c r="OW22" s="263"/>
      <c r="OX22" s="263"/>
      <c r="OY22" s="263"/>
      <c r="OZ22" s="263"/>
      <c r="PA22" s="263"/>
      <c r="PB22" s="263"/>
      <c r="PC22" s="263"/>
      <c r="PD22" s="263"/>
      <c r="PE22" s="263"/>
      <c r="PF22" s="263"/>
      <c r="PG22" s="263"/>
      <c r="PH22" s="263"/>
    </row>
    <row r="23">
      <c r="B23" s="2" t="s">
        <v>117</v>
      </c>
      <c r="C23" s="1"/>
      <c r="D23" s="1"/>
      <c r="E23" s="1"/>
      <c r="F23" s="1"/>
      <c r="G23" s="1"/>
      <c r="H23" s="1"/>
      <c r="I23" s="1"/>
      <c r="J23" s="162"/>
      <c r="K23" s="162" t="s">
        <v>89</v>
      </c>
      <c r="L23" s="199">
        <v>0</v>
      </c>
      <c r="M23" s="199" t="n">
        <f t="shared" ref="M23:BX23" si="143">L23+1</f>
        <v>1</v>
      </c>
      <c r="N23" s="199">
        <f t="shared" si="143"/>
        <v>2</v>
      </c>
      <c r="O23" s="199">
        <f t="shared" si="143"/>
        <v>3</v>
      </c>
      <c r="P23" s="199">
        <f t="shared" si="143"/>
        <v>4</v>
      </c>
      <c r="Q23" s="199">
        <f t="shared" si="143"/>
        <v>5</v>
      </c>
      <c r="R23" s="199">
        <f t="shared" si="143"/>
        <v>6</v>
      </c>
      <c r="S23" s="199">
        <f t="shared" si="143"/>
        <v>7</v>
      </c>
      <c r="T23" s="199">
        <f t="shared" si="143"/>
        <v>8</v>
      </c>
      <c r="U23" s="199">
        <f t="shared" si="143"/>
        <v>9</v>
      </c>
      <c r="V23" s="199">
        <f t="shared" si="143"/>
        <v>10</v>
      </c>
      <c r="W23" s="199">
        <f t="shared" si="143"/>
        <v>11</v>
      </c>
      <c r="X23" s="199">
        <f t="shared" si="143"/>
        <v>12</v>
      </c>
      <c r="Y23" s="199">
        <f t="shared" si="143"/>
        <v>13</v>
      </c>
      <c r="Z23" s="199">
        <f t="shared" si="143"/>
        <v>14</v>
      </c>
      <c r="AA23" s="199">
        <f t="shared" si="143"/>
        <v>15</v>
      </c>
      <c r="AB23" s="199">
        <f t="shared" si="143"/>
        <v>16</v>
      </c>
      <c r="AC23" s="199">
        <f t="shared" si="143"/>
        <v>17</v>
      </c>
      <c r="AD23" s="199">
        <f t="shared" si="143"/>
        <v>18</v>
      </c>
      <c r="AE23" s="199">
        <f t="shared" si="143"/>
        <v>19</v>
      </c>
      <c r="AF23" s="199">
        <f t="shared" si="143"/>
        <v>20</v>
      </c>
      <c r="AG23" s="199">
        <f t="shared" si="143"/>
        <v>21</v>
      </c>
      <c r="AH23" s="199">
        <f t="shared" si="143"/>
        <v>22</v>
      </c>
      <c r="AI23" s="199">
        <f t="shared" si="143"/>
        <v>23</v>
      </c>
      <c r="AJ23" s="199">
        <f t="shared" si="143"/>
        <v>24</v>
      </c>
      <c r="AK23" s="199">
        <f t="shared" si="143"/>
        <v>25</v>
      </c>
      <c r="AL23" s="199">
        <f t="shared" si="143"/>
        <v>26</v>
      </c>
      <c r="AM23" s="199">
        <f t="shared" si="143"/>
        <v>27</v>
      </c>
      <c r="AN23" s="199">
        <f t="shared" si="143"/>
        <v>28</v>
      </c>
      <c r="AO23" s="199">
        <f t="shared" si="143"/>
        <v>29</v>
      </c>
      <c r="AP23" s="199">
        <f t="shared" si="143"/>
        <v>30</v>
      </c>
      <c r="AQ23" s="199">
        <f t="shared" si="143"/>
        <v>31</v>
      </c>
      <c r="AR23" s="199">
        <f t="shared" si="143"/>
        <v>32</v>
      </c>
      <c r="AS23" s="199">
        <f t="shared" si="143"/>
        <v>33</v>
      </c>
      <c r="AT23" s="199">
        <f t="shared" si="143"/>
        <v>34</v>
      </c>
      <c r="AU23" s="199">
        <f t="shared" si="143"/>
        <v>35</v>
      </c>
      <c r="AV23" s="199">
        <f t="shared" si="143"/>
        <v>36</v>
      </c>
      <c r="AW23" s="199">
        <f t="shared" si="143"/>
        <v>37</v>
      </c>
      <c r="AX23" s="199">
        <f t="shared" si="143"/>
        <v>38</v>
      </c>
      <c r="AY23" s="199">
        <f t="shared" si="143"/>
        <v>39</v>
      </c>
      <c r="AZ23" s="199">
        <f t="shared" si="143"/>
        <v>40</v>
      </c>
      <c r="BA23" s="199">
        <f t="shared" si="143"/>
        <v>41</v>
      </c>
      <c r="BB23" s="199">
        <f t="shared" si="143"/>
        <v>42</v>
      </c>
      <c r="BC23" s="199">
        <f t="shared" si="143"/>
        <v>43</v>
      </c>
      <c r="BD23" s="199">
        <f t="shared" si="143"/>
        <v>44</v>
      </c>
      <c r="BE23" s="199">
        <f t="shared" si="143"/>
        <v>45</v>
      </c>
      <c r="BF23" s="199">
        <f t="shared" si="143"/>
        <v>46</v>
      </c>
      <c r="BG23" s="199">
        <f t="shared" si="143"/>
        <v>47</v>
      </c>
      <c r="BH23" s="199">
        <f t="shared" si="143"/>
        <v>48</v>
      </c>
      <c r="BI23" s="199">
        <f t="shared" si="143"/>
        <v>49</v>
      </c>
      <c r="BJ23" s="199">
        <f t="shared" si="143"/>
        <v>50</v>
      </c>
      <c r="BK23" s="199">
        <f t="shared" si="143"/>
        <v>51</v>
      </c>
      <c r="BL23" s="199">
        <f t="shared" si="143"/>
        <v>52</v>
      </c>
      <c r="BM23" s="199">
        <f t="shared" si="143"/>
        <v>53</v>
      </c>
      <c r="BN23" s="199">
        <f t="shared" si="143"/>
        <v>54</v>
      </c>
      <c r="BO23" s="199">
        <f t="shared" si="143"/>
        <v>55</v>
      </c>
      <c r="BP23" s="199">
        <f t="shared" si="143"/>
        <v>56</v>
      </c>
      <c r="BQ23" s="199">
        <f t="shared" si="143"/>
        <v>57</v>
      </c>
      <c r="BR23" s="199">
        <f t="shared" si="143"/>
        <v>58</v>
      </c>
      <c r="BS23" s="199">
        <f t="shared" si="143"/>
        <v>59</v>
      </c>
      <c r="BT23" s="199">
        <f t="shared" si="143"/>
        <v>60</v>
      </c>
      <c r="BU23" s="199">
        <f t="shared" si="143"/>
        <v>61</v>
      </c>
      <c r="BV23" s="199">
        <f t="shared" si="143"/>
        <v>62</v>
      </c>
      <c r="BW23" s="199">
        <f t="shared" si="143"/>
        <v>63</v>
      </c>
      <c r="BX23" s="199">
        <f t="shared" si="143"/>
        <v>64</v>
      </c>
      <c r="BY23" s="199" t="n">
        <f t="shared" ref="BY23:EJ23" si="144">BX23+1</f>
        <v>65</v>
      </c>
      <c r="BZ23" s="199">
        <f t="shared" si="144"/>
        <v>66</v>
      </c>
      <c r="CA23" s="199">
        <f t="shared" si="144"/>
        <v>67</v>
      </c>
      <c r="CB23" s="199">
        <f t="shared" si="144"/>
        <v>68</v>
      </c>
      <c r="CC23" s="199">
        <f t="shared" si="144"/>
        <v>69</v>
      </c>
      <c r="CD23" s="199">
        <f t="shared" si="144"/>
        <v>70</v>
      </c>
      <c r="CE23" s="199">
        <f t="shared" si="144"/>
        <v>71</v>
      </c>
      <c r="CF23" s="199">
        <f t="shared" si="144"/>
        <v>72</v>
      </c>
      <c r="CG23" s="199">
        <f t="shared" si="144"/>
        <v>73</v>
      </c>
      <c r="CH23" s="199">
        <f t="shared" si="144"/>
        <v>74</v>
      </c>
      <c r="CI23" s="199">
        <f t="shared" si="144"/>
        <v>75</v>
      </c>
      <c r="CJ23" s="199">
        <f t="shared" si="144"/>
        <v>76</v>
      </c>
      <c r="CK23" s="199">
        <f t="shared" si="144"/>
        <v>77</v>
      </c>
      <c r="CL23" s="199">
        <f t="shared" si="144"/>
        <v>78</v>
      </c>
      <c r="CM23" s="199">
        <f t="shared" si="144"/>
        <v>79</v>
      </c>
      <c r="CN23" s="199">
        <f t="shared" si="144"/>
        <v>80</v>
      </c>
      <c r="CO23" s="199">
        <f t="shared" si="144"/>
        <v>81</v>
      </c>
      <c r="CP23" s="199">
        <f t="shared" si="144"/>
        <v>82</v>
      </c>
      <c r="CQ23" s="199">
        <f t="shared" si="144"/>
        <v>83</v>
      </c>
      <c r="CR23" s="199">
        <f t="shared" si="144"/>
        <v>84</v>
      </c>
      <c r="CS23" s="199">
        <f t="shared" si="144"/>
        <v>85</v>
      </c>
      <c r="CT23" s="199">
        <f t="shared" si="144"/>
        <v>86</v>
      </c>
      <c r="CU23" s="199">
        <f t="shared" si="144"/>
        <v>87</v>
      </c>
      <c r="CV23" s="199">
        <f t="shared" si="144"/>
        <v>88</v>
      </c>
      <c r="CW23" s="199">
        <f t="shared" si="144"/>
        <v>89</v>
      </c>
      <c r="CX23" s="199">
        <f t="shared" si="144"/>
        <v>90</v>
      </c>
      <c r="CY23" s="199">
        <f t="shared" si="144"/>
        <v>91</v>
      </c>
      <c r="CZ23" s="199">
        <f t="shared" si="144"/>
        <v>92</v>
      </c>
      <c r="DA23" s="199">
        <f t="shared" si="144"/>
        <v>93</v>
      </c>
      <c r="DB23" s="199">
        <f t="shared" si="144"/>
        <v>94</v>
      </c>
      <c r="DC23" s="199">
        <f t="shared" si="144"/>
        <v>95</v>
      </c>
      <c r="DD23" s="199">
        <f t="shared" si="144"/>
        <v>96</v>
      </c>
      <c r="DE23" s="199">
        <f t="shared" si="144"/>
        <v>97</v>
      </c>
      <c r="DF23" s="199">
        <f t="shared" si="144"/>
        <v>98</v>
      </c>
      <c r="DG23" s="199">
        <f t="shared" si="144"/>
        <v>99</v>
      </c>
      <c r="DH23" s="199">
        <f t="shared" si="144"/>
        <v>100</v>
      </c>
      <c r="DI23" s="199">
        <f t="shared" si="144"/>
        <v>101</v>
      </c>
      <c r="DJ23" s="199">
        <f t="shared" si="144"/>
        <v>102</v>
      </c>
      <c r="DK23" s="199">
        <f t="shared" si="144"/>
        <v>103</v>
      </c>
      <c r="DL23" s="199">
        <f t="shared" si="144"/>
        <v>104</v>
      </c>
      <c r="DM23" s="199">
        <f t="shared" si="144"/>
        <v>105</v>
      </c>
      <c r="DN23" s="199">
        <f t="shared" si="144"/>
        <v>106</v>
      </c>
      <c r="DO23" s="199">
        <f t="shared" si="144"/>
        <v>107</v>
      </c>
      <c r="DP23" s="199">
        <f t="shared" si="144"/>
        <v>108</v>
      </c>
      <c r="DQ23" s="199">
        <f t="shared" si="144"/>
        <v>109</v>
      </c>
      <c r="DR23" s="199">
        <f t="shared" si="144"/>
        <v>110</v>
      </c>
      <c r="DS23" s="199">
        <f t="shared" si="144"/>
        <v>111</v>
      </c>
      <c r="DT23" s="199">
        <f t="shared" si="144"/>
        <v>112</v>
      </c>
      <c r="DU23" s="199">
        <f t="shared" si="144"/>
        <v>113</v>
      </c>
      <c r="DV23" s="199">
        <f t="shared" si="144"/>
        <v>114</v>
      </c>
      <c r="DW23" s="199">
        <f t="shared" si="144"/>
        <v>115</v>
      </c>
      <c r="DX23" s="199">
        <f t="shared" si="144"/>
        <v>116</v>
      </c>
      <c r="DY23" s="199">
        <f t="shared" si="144"/>
        <v>117</v>
      </c>
      <c r="DZ23" s="199">
        <f t="shared" si="144"/>
        <v>118</v>
      </c>
      <c r="EA23" s="199">
        <f t="shared" si="144"/>
        <v>119</v>
      </c>
      <c r="EB23" s="199">
        <f t="shared" si="144"/>
        <v>120</v>
      </c>
      <c r="EC23" s="199">
        <f t="shared" si="144"/>
        <v>121</v>
      </c>
      <c r="ED23" s="199">
        <f t="shared" si="144"/>
        <v>122</v>
      </c>
      <c r="EE23" s="199">
        <f t="shared" si="144"/>
        <v>123</v>
      </c>
      <c r="EF23" s="199">
        <f t="shared" si="144"/>
        <v>124</v>
      </c>
      <c r="EG23" s="199">
        <f t="shared" si="144"/>
        <v>125</v>
      </c>
      <c r="EH23" s="199">
        <f t="shared" si="144"/>
        <v>126</v>
      </c>
      <c r="EI23" s="199">
        <f t="shared" si="144"/>
        <v>127</v>
      </c>
      <c r="EJ23" s="199">
        <f t="shared" si="144"/>
        <v>128</v>
      </c>
      <c r="EK23" s="199" t="n">
        <f>EJ23+1</f>
        <v>129</v>
      </c>
      <c r="EL23" s="199" t="n">
        <f>EK23+1</f>
        <v>130</v>
      </c>
      <c r="EM23" s="199" t="n">
        <f>EL23+1</f>
        <v>131</v>
      </c>
      <c r="EN23" s="199" t="n">
        <f>EM23+1</f>
        <v>132</v>
      </c>
      <c r="EO23" s="162"/>
      <c r="EP23" s="409" t="s">
        <v>118</v>
      </c>
      <c r="EQ23" s="200"/>
      <c r="ER23" s="16"/>
      <c r="ES23" s="16"/>
      <c r="ET23" s="16"/>
      <c r="EU23" s="16"/>
      <c r="EV23" s="17" t="n">
        <f>L23</f>
        <v>0</v>
      </c>
      <c r="EW23" s="17" t="n">
        <f t="shared" ref="EW23:HH24" si="145">M23</f>
        <v>1</v>
      </c>
      <c r="EX23" s="17">
        <f t="shared" si="145"/>
        <v>2</v>
      </c>
      <c r="EY23" s="17">
        <f t="shared" si="145"/>
        <v>3</v>
      </c>
      <c r="EZ23" s="17">
        <f t="shared" si="145"/>
        <v>4</v>
      </c>
      <c r="FA23" s="17">
        <f t="shared" si="145"/>
        <v>5</v>
      </c>
      <c r="FB23" s="17">
        <f t="shared" si="145"/>
        <v>6</v>
      </c>
      <c r="FC23" s="17">
        <f t="shared" si="145"/>
        <v>7</v>
      </c>
      <c r="FD23" s="17">
        <f t="shared" si="145"/>
        <v>8</v>
      </c>
      <c r="FE23" s="17">
        <f t="shared" si="145"/>
        <v>9</v>
      </c>
      <c r="FF23" s="17">
        <f t="shared" si="145"/>
        <v>10</v>
      </c>
      <c r="FG23" s="17">
        <f t="shared" si="145"/>
        <v>11</v>
      </c>
      <c r="FH23" s="17">
        <f t="shared" si="145"/>
        <v>12</v>
      </c>
      <c r="FI23" s="17">
        <f t="shared" si="145"/>
        <v>13</v>
      </c>
      <c r="FJ23" s="17">
        <f t="shared" si="145"/>
        <v>14</v>
      </c>
      <c r="FK23" s="17">
        <f t="shared" si="145"/>
        <v>15</v>
      </c>
      <c r="FL23" s="17">
        <f t="shared" si="145"/>
        <v>16</v>
      </c>
      <c r="FM23" s="17">
        <f t="shared" si="145"/>
        <v>17</v>
      </c>
      <c r="FN23" s="17">
        <f t="shared" si="145"/>
        <v>18</v>
      </c>
      <c r="FO23" s="17">
        <f t="shared" si="145"/>
        <v>19</v>
      </c>
      <c r="FP23" s="17">
        <f t="shared" si="145"/>
        <v>20</v>
      </c>
      <c r="FQ23" s="17">
        <f t="shared" si="145"/>
        <v>21</v>
      </c>
      <c r="FR23" s="17">
        <f t="shared" si="145"/>
        <v>22</v>
      </c>
      <c r="FS23" s="17">
        <f t="shared" si="145"/>
        <v>23</v>
      </c>
      <c r="FT23" s="17">
        <f t="shared" si="145"/>
        <v>24</v>
      </c>
      <c r="FU23" s="17">
        <f t="shared" si="145"/>
        <v>25</v>
      </c>
      <c r="FV23" s="17">
        <f t="shared" si="145"/>
        <v>26</v>
      </c>
      <c r="FW23" s="17">
        <f t="shared" si="145"/>
        <v>27</v>
      </c>
      <c r="FX23" s="17">
        <f t="shared" si="145"/>
        <v>28</v>
      </c>
      <c r="FY23" s="17">
        <f t="shared" si="145"/>
        <v>29</v>
      </c>
      <c r="FZ23" s="17">
        <f t="shared" si="145"/>
        <v>30</v>
      </c>
      <c r="GA23" s="17">
        <f t="shared" si="145"/>
        <v>31</v>
      </c>
      <c r="GB23" s="17">
        <f t="shared" si="145"/>
        <v>32</v>
      </c>
      <c r="GC23" s="17">
        <f t="shared" si="145"/>
        <v>33</v>
      </c>
      <c r="GD23" s="17">
        <f t="shared" si="145"/>
        <v>34</v>
      </c>
      <c r="GE23" s="17">
        <f t="shared" si="145"/>
        <v>35</v>
      </c>
      <c r="GF23" s="17">
        <f t="shared" si="145"/>
        <v>36</v>
      </c>
      <c r="GG23" s="17">
        <f t="shared" si="145"/>
        <v>37</v>
      </c>
      <c r="GH23" s="17">
        <f t="shared" si="145"/>
        <v>38</v>
      </c>
      <c r="GI23" s="17">
        <f t="shared" si="145"/>
        <v>39</v>
      </c>
      <c r="GJ23" s="17">
        <f t="shared" si="145"/>
        <v>40</v>
      </c>
      <c r="GK23" s="17">
        <f t="shared" si="145"/>
        <v>41</v>
      </c>
      <c r="GL23" s="17">
        <f t="shared" si="145"/>
        <v>42</v>
      </c>
      <c r="GM23" s="17">
        <f t="shared" si="145"/>
        <v>43</v>
      </c>
      <c r="GN23" s="17">
        <f t="shared" si="145"/>
        <v>44</v>
      </c>
      <c r="GO23" s="17">
        <f t="shared" si="145"/>
        <v>45</v>
      </c>
      <c r="GP23" s="17">
        <f t="shared" si="145"/>
        <v>46</v>
      </c>
      <c r="GQ23" s="17">
        <f t="shared" si="145"/>
        <v>47</v>
      </c>
      <c r="GR23" s="17">
        <f t="shared" si="145"/>
        <v>48</v>
      </c>
      <c r="GS23" s="17">
        <f t="shared" si="145"/>
        <v>49</v>
      </c>
      <c r="GT23" s="17">
        <f t="shared" si="145"/>
        <v>50</v>
      </c>
      <c r="GU23" s="17">
        <f t="shared" si="145"/>
        <v>51</v>
      </c>
      <c r="GV23" s="17">
        <f t="shared" si="145"/>
        <v>52</v>
      </c>
      <c r="GW23" s="17">
        <f t="shared" si="145"/>
        <v>53</v>
      </c>
      <c r="GX23" s="17">
        <f t="shared" si="145"/>
        <v>54</v>
      </c>
      <c r="GY23" s="17">
        <f t="shared" si="145"/>
        <v>55</v>
      </c>
      <c r="GZ23" s="17">
        <f t="shared" si="145"/>
        <v>56</v>
      </c>
      <c r="HA23" s="17">
        <f t="shared" si="145"/>
        <v>57</v>
      </c>
      <c r="HB23" s="17">
        <f t="shared" si="145"/>
        <v>58</v>
      </c>
      <c r="HC23" s="17">
        <f t="shared" si="145"/>
        <v>59</v>
      </c>
      <c r="HD23" s="17">
        <f t="shared" si="145"/>
        <v>60</v>
      </c>
      <c r="HE23" s="17">
        <f t="shared" si="145"/>
        <v>61</v>
      </c>
      <c r="HF23" s="17">
        <f t="shared" si="145"/>
        <v>62</v>
      </c>
      <c r="HG23" s="17">
        <f t="shared" si="145"/>
        <v>63</v>
      </c>
      <c r="HH23" s="17">
        <f t="shared" si="145"/>
        <v>64</v>
      </c>
      <c r="HI23" s="17" t="n">
        <f t="shared" ref="HI23:JT24" si="146">BY23</f>
        <v>65</v>
      </c>
      <c r="HJ23" s="17">
        <f t="shared" si="146"/>
        <v>66</v>
      </c>
      <c r="HK23" s="17">
        <f t="shared" si="146"/>
        <v>67</v>
      </c>
      <c r="HL23" s="17">
        <f t="shared" si="146"/>
        <v>68</v>
      </c>
      <c r="HM23" s="17">
        <f t="shared" si="146"/>
        <v>69</v>
      </c>
      <c r="HN23" s="17">
        <f t="shared" si="146"/>
        <v>70</v>
      </c>
      <c r="HO23" s="17">
        <f t="shared" si="146"/>
        <v>71</v>
      </c>
      <c r="HP23" s="17">
        <f t="shared" si="146"/>
        <v>72</v>
      </c>
      <c r="HQ23" s="17">
        <f t="shared" si="146"/>
        <v>73</v>
      </c>
      <c r="HR23" s="17">
        <f t="shared" si="146"/>
        <v>74</v>
      </c>
      <c r="HS23" s="17">
        <f t="shared" si="146"/>
        <v>75</v>
      </c>
      <c r="HT23" s="17">
        <f t="shared" si="146"/>
        <v>76</v>
      </c>
      <c r="HU23" s="17">
        <f t="shared" si="146"/>
        <v>77</v>
      </c>
      <c r="HV23" s="17">
        <f t="shared" si="146"/>
        <v>78</v>
      </c>
      <c r="HW23" s="17">
        <f t="shared" si="146"/>
        <v>79</v>
      </c>
      <c r="HX23" s="17">
        <f t="shared" si="146"/>
        <v>80</v>
      </c>
      <c r="HY23" s="17">
        <f t="shared" si="146"/>
        <v>81</v>
      </c>
      <c r="HZ23" s="17">
        <f t="shared" si="146"/>
        <v>82</v>
      </c>
      <c r="IA23" s="17">
        <f t="shared" si="146"/>
        <v>83</v>
      </c>
      <c r="IB23" s="17">
        <f t="shared" si="146"/>
        <v>84</v>
      </c>
      <c r="IC23" s="17">
        <f t="shared" si="146"/>
        <v>85</v>
      </c>
      <c r="ID23" s="17">
        <f t="shared" si="146"/>
        <v>86</v>
      </c>
      <c r="IE23" s="17">
        <f t="shared" si="146"/>
        <v>87</v>
      </c>
      <c r="IF23" s="17">
        <f t="shared" si="146"/>
        <v>88</v>
      </c>
      <c r="IG23" s="17">
        <f t="shared" si="146"/>
        <v>89</v>
      </c>
      <c r="IH23" s="17">
        <f t="shared" si="146"/>
        <v>90</v>
      </c>
      <c r="II23" s="17">
        <f t="shared" si="146"/>
        <v>91</v>
      </c>
      <c r="IJ23" s="17">
        <f t="shared" si="146"/>
        <v>92</v>
      </c>
      <c r="IK23" s="17">
        <f t="shared" si="146"/>
        <v>93</v>
      </c>
      <c r="IL23" s="17">
        <f t="shared" si="146"/>
        <v>94</v>
      </c>
      <c r="IM23" s="17">
        <f t="shared" si="146"/>
        <v>95</v>
      </c>
      <c r="IN23" s="17">
        <f t="shared" si="146"/>
        <v>96</v>
      </c>
      <c r="IO23" s="17">
        <f t="shared" si="146"/>
        <v>97</v>
      </c>
      <c r="IP23" s="17">
        <f t="shared" si="146"/>
        <v>98</v>
      </c>
      <c r="IQ23" s="17">
        <f t="shared" si="146"/>
        <v>99</v>
      </c>
      <c r="IR23" s="17">
        <f t="shared" si="146"/>
        <v>100</v>
      </c>
      <c r="IS23" s="17">
        <f t="shared" si="146"/>
        <v>101</v>
      </c>
      <c r="IT23" s="17">
        <f t="shared" si="146"/>
        <v>102</v>
      </c>
      <c r="IU23" s="17">
        <f t="shared" si="146"/>
        <v>103</v>
      </c>
      <c r="IV23" s="17">
        <f t="shared" si="146"/>
        <v>104</v>
      </c>
      <c r="IW23" s="17">
        <f t="shared" si="146"/>
        <v>105</v>
      </c>
      <c r="IX23" s="17">
        <f t="shared" si="146"/>
        <v>106</v>
      </c>
      <c r="IY23" s="17">
        <f t="shared" si="146"/>
        <v>107</v>
      </c>
      <c r="IZ23" s="17">
        <f t="shared" si="146"/>
        <v>108</v>
      </c>
      <c r="JA23" s="17">
        <f t="shared" si="146"/>
        <v>109</v>
      </c>
      <c r="JB23" s="17">
        <f t="shared" si="146"/>
        <v>110</v>
      </c>
      <c r="JC23" s="17">
        <f t="shared" si="146"/>
        <v>111</v>
      </c>
      <c r="JD23" s="17">
        <f t="shared" si="146"/>
        <v>112</v>
      </c>
      <c r="JE23" s="17">
        <f t="shared" si="146"/>
        <v>113</v>
      </c>
      <c r="JF23" s="17">
        <f t="shared" si="146"/>
        <v>114</v>
      </c>
      <c r="JG23" s="17">
        <f t="shared" si="146"/>
        <v>115</v>
      </c>
      <c r="JH23" s="17">
        <f t="shared" si="146"/>
        <v>116</v>
      </c>
      <c r="JI23" s="17">
        <f t="shared" si="146"/>
        <v>117</v>
      </c>
      <c r="JJ23" s="17">
        <f t="shared" si="146"/>
        <v>118</v>
      </c>
      <c r="JK23" s="17">
        <f t="shared" si="146"/>
        <v>119</v>
      </c>
      <c r="JL23" s="17">
        <f t="shared" si="146"/>
        <v>120</v>
      </c>
      <c r="JM23" s="17">
        <f t="shared" si="146"/>
        <v>121</v>
      </c>
      <c r="JN23" s="17">
        <f t="shared" si="146"/>
        <v>122</v>
      </c>
      <c r="JO23" s="17">
        <f t="shared" si="146"/>
        <v>123</v>
      </c>
      <c r="JP23" s="17">
        <f t="shared" si="146"/>
        <v>124</v>
      </c>
      <c r="JQ23" s="17">
        <f t="shared" si="146"/>
        <v>125</v>
      </c>
      <c r="JR23" s="17">
        <f t="shared" si="146"/>
        <v>126</v>
      </c>
      <c r="JS23" s="17">
        <f t="shared" si="146"/>
        <v>127</v>
      </c>
      <c r="JT23" s="17">
        <f t="shared" si="146"/>
        <v>128</v>
      </c>
      <c r="JU23" s="17" t="n">
        <f t="shared" ref="JU23:JX24" si="147">EK23</f>
        <v>129</v>
      </c>
      <c r="JV23" s="17">
        <f t="shared" si="147"/>
        <v>130</v>
      </c>
      <c r="JW23" s="17">
        <f t="shared" si="147"/>
        <v>131</v>
      </c>
      <c r="JX23" s="17">
        <f t="shared" si="147"/>
        <v>132</v>
      </c>
      <c r="JZ23" s="409" t="s">
        <v>119</v>
      </c>
      <c r="KA23" s="200"/>
      <c r="KB23" s="16"/>
      <c r="KC23" s="16"/>
      <c r="KD23" s="16"/>
      <c r="KE23" s="16"/>
      <c r="KF23" s="17" t="n">
        <f t="shared" ref="KF23" si="148">EV23</f>
        <v>0</v>
      </c>
      <c r="KG23" s="17" t="n">
        <f t="shared" ref="KG23:KG24" si="149">EW23</f>
        <v>1</v>
      </c>
      <c r="KH23" s="17" t="n">
        <f t="shared" ref="KH23:KH24" si="150">EX23</f>
        <v>2</v>
      </c>
      <c r="KI23" s="17" t="n">
        <f t="shared" ref="KI23:KI24" si="151">EY23</f>
        <v>3</v>
      </c>
      <c r="KJ23" s="17" t="n">
        <f t="shared" ref="KJ23:KJ24" si="152">EZ23</f>
        <v>4</v>
      </c>
      <c r="KK23" s="17" t="n">
        <f t="shared" ref="KK23:KK24" si="153">FA23</f>
        <v>5</v>
      </c>
      <c r="KL23" s="17" t="n">
        <f t="shared" ref="KL23:KL24" si="154">FB23</f>
        <v>6</v>
      </c>
      <c r="KM23" s="17" t="n">
        <f t="shared" ref="KM23:KM24" si="155">FC23</f>
        <v>7</v>
      </c>
      <c r="KN23" s="17" t="n">
        <f t="shared" ref="KN23:KN24" si="156">FD23</f>
        <v>8</v>
      </c>
      <c r="KO23" s="17" t="n">
        <f t="shared" ref="KO23:KO24" si="157">FE23</f>
        <v>9</v>
      </c>
      <c r="KP23" s="17" t="n">
        <f t="shared" ref="KP23:KP24" si="158">FF23</f>
        <v>10</v>
      </c>
      <c r="KQ23" s="17" t="n">
        <f t="shared" ref="KQ23:KQ24" si="159">FG23</f>
        <v>11</v>
      </c>
      <c r="KR23" s="17" t="n">
        <f t="shared" ref="KR23:KR24" si="160">FH23</f>
        <v>12</v>
      </c>
      <c r="KS23" s="17" t="n">
        <f t="shared" ref="KS23:KS24" si="161">FI23</f>
        <v>13</v>
      </c>
      <c r="KT23" s="17" t="n">
        <f t="shared" ref="KT23:KT24" si="162">FJ23</f>
        <v>14</v>
      </c>
      <c r="KU23" s="17" t="n">
        <f t="shared" ref="KU23:KU24" si="163">FK23</f>
        <v>15</v>
      </c>
      <c r="KV23" s="17" t="n">
        <f t="shared" ref="KV23:KV24" si="164">FL23</f>
        <v>16</v>
      </c>
      <c r="KW23" s="17" t="n">
        <f t="shared" ref="KW23:KW24" si="165">FM23</f>
        <v>17</v>
      </c>
      <c r="KX23" s="17" t="n">
        <f t="shared" ref="KX23:KX24" si="166">FN23</f>
        <v>18</v>
      </c>
      <c r="KY23" s="17" t="n">
        <f t="shared" ref="KY23:KY24" si="167">FO23</f>
        <v>19</v>
      </c>
      <c r="KZ23" s="17" t="n">
        <f t="shared" ref="KZ23:KZ24" si="168">FP23</f>
        <v>20</v>
      </c>
      <c r="LA23" s="17" t="n">
        <f t="shared" ref="LA23:LA24" si="169">FQ23</f>
        <v>21</v>
      </c>
      <c r="LB23" s="17" t="n">
        <f t="shared" ref="LB23:LB24" si="170">FR23</f>
        <v>22</v>
      </c>
      <c r="LC23" s="17" t="n">
        <f t="shared" ref="LC23:LC24" si="171">FS23</f>
        <v>23</v>
      </c>
      <c r="LD23" s="17" t="n">
        <f t="shared" ref="LD23:LD24" si="172">FT23</f>
        <v>24</v>
      </c>
      <c r="LE23" s="17" t="n">
        <f t="shared" ref="LE23:LE24" si="173">FU23</f>
        <v>25</v>
      </c>
      <c r="LF23" s="17" t="n">
        <f t="shared" ref="LF23:LF24" si="174">FV23</f>
        <v>26</v>
      </c>
      <c r="LG23" s="17" t="n">
        <f t="shared" ref="LG23:LG24" si="175">FW23</f>
        <v>27</v>
      </c>
      <c r="LH23" s="17" t="n">
        <f t="shared" ref="LH23:LH24" si="176">FX23</f>
        <v>28</v>
      </c>
      <c r="LI23" s="17" t="n">
        <f t="shared" ref="LI23:LI24" si="177">FY23</f>
        <v>29</v>
      </c>
      <c r="LJ23" s="17" t="n">
        <f t="shared" ref="LJ23:LJ24" si="178">FZ23</f>
        <v>30</v>
      </c>
      <c r="LK23" s="17" t="n">
        <f t="shared" ref="LK23:LK24" si="179">GA23</f>
        <v>31</v>
      </c>
      <c r="LL23" s="17" t="n">
        <f t="shared" ref="LL23:LL24" si="180">GB23</f>
        <v>32</v>
      </c>
      <c r="LM23" s="17" t="n">
        <f t="shared" ref="LM23:LM24" si="181">GC23</f>
        <v>33</v>
      </c>
      <c r="LN23" s="17" t="n">
        <f t="shared" ref="LN23:LN24" si="182">GD23</f>
        <v>34</v>
      </c>
      <c r="LO23" s="17" t="n">
        <f t="shared" ref="LO23:LO24" si="183">GE23</f>
        <v>35</v>
      </c>
      <c r="LP23" s="17" t="n">
        <f t="shared" ref="LP23:LP24" si="184">GF23</f>
        <v>36</v>
      </c>
      <c r="LQ23" s="17" t="n">
        <f t="shared" ref="LQ23:LQ24" si="185">GG23</f>
        <v>37</v>
      </c>
      <c r="LR23" s="17" t="n">
        <f t="shared" ref="LR23:LR24" si="186">GH23</f>
        <v>38</v>
      </c>
      <c r="LS23" s="17" t="n">
        <f t="shared" ref="LS23:LS24" si="187">GI23</f>
        <v>39</v>
      </c>
      <c r="LT23" s="17" t="n">
        <f t="shared" ref="LT23:LT24" si="188">GJ23</f>
        <v>40</v>
      </c>
      <c r="LU23" s="17" t="n">
        <f t="shared" ref="LU23:LU24" si="189">GK23</f>
        <v>41</v>
      </c>
      <c r="LV23" s="17" t="n">
        <f t="shared" ref="LV23:LV24" si="190">GL23</f>
        <v>42</v>
      </c>
      <c r="LW23" s="17" t="n">
        <f t="shared" ref="LW23:LW24" si="191">GM23</f>
        <v>43</v>
      </c>
      <c r="LX23" s="17" t="n">
        <f t="shared" ref="LX23:LX24" si="192">GN23</f>
        <v>44</v>
      </c>
      <c r="LY23" s="17" t="n">
        <f t="shared" ref="LY23:LY24" si="193">GO23</f>
        <v>45</v>
      </c>
      <c r="LZ23" s="17" t="n">
        <f t="shared" ref="LZ23:LZ24" si="194">GP23</f>
        <v>46</v>
      </c>
      <c r="MA23" s="17" t="n">
        <f t="shared" ref="MA23:MA24" si="195">GQ23</f>
        <v>47</v>
      </c>
      <c r="MB23" s="17" t="n">
        <f t="shared" ref="MB23:MB24" si="196">GR23</f>
        <v>48</v>
      </c>
      <c r="MC23" s="17" t="n">
        <f t="shared" ref="MC23:MC24" si="197">GS23</f>
        <v>49</v>
      </c>
      <c r="MD23" s="17" t="n">
        <f t="shared" ref="MD23:MD24" si="198">GT23</f>
        <v>50</v>
      </c>
      <c r="ME23" s="17" t="n">
        <f t="shared" ref="ME23:ME24" si="199">GU23</f>
        <v>51</v>
      </c>
      <c r="MF23" s="17" t="n">
        <f t="shared" ref="MF23:MF24" si="200">GV23</f>
        <v>52</v>
      </c>
      <c r="MG23" s="17" t="n">
        <f t="shared" ref="MG23:MG24" si="201">GW23</f>
        <v>53</v>
      </c>
      <c r="MH23" s="17" t="n">
        <f t="shared" ref="MH23:MH24" si="202">GX23</f>
        <v>54</v>
      </c>
      <c r="MI23" s="17" t="n">
        <f t="shared" ref="MI23:MI24" si="203">GY23</f>
        <v>55</v>
      </c>
      <c r="MJ23" s="17" t="n">
        <f t="shared" ref="MJ23:MJ24" si="204">GZ23</f>
        <v>56</v>
      </c>
      <c r="MK23" s="17" t="n">
        <f t="shared" ref="MK23:MK24" si="205">HA23</f>
        <v>57</v>
      </c>
      <c r="ML23" s="17" t="n">
        <f t="shared" ref="ML23:ML24" si="206">HB23</f>
        <v>58</v>
      </c>
      <c r="MM23" s="17" t="n">
        <f t="shared" ref="MM23:MM24" si="207">HC23</f>
        <v>59</v>
      </c>
      <c r="MN23" s="17" t="n">
        <f t="shared" ref="MN23:MN24" si="208">HD23</f>
        <v>60</v>
      </c>
      <c r="MO23" s="17" t="n">
        <f t="shared" ref="MO23:MO24" si="209">HE23</f>
        <v>61</v>
      </c>
      <c r="MP23" s="17" t="n">
        <f t="shared" ref="MP23:MP24" si="210">HF23</f>
        <v>62</v>
      </c>
      <c r="MQ23" s="17" t="n">
        <f t="shared" ref="MQ23:MQ24" si="211">HG23</f>
        <v>63</v>
      </c>
      <c r="MR23" s="17" t="n">
        <f t="shared" ref="MR23:MR24" si="212">HH23</f>
        <v>64</v>
      </c>
      <c r="MS23" s="17" t="n">
        <f t="shared" ref="MS23:MS24" si="213">HI23</f>
        <v>65</v>
      </c>
      <c r="MT23" s="17" t="n">
        <f t="shared" ref="MT23:MT24" si="214">HJ23</f>
        <v>66</v>
      </c>
      <c r="MU23" s="17" t="n">
        <f t="shared" ref="MU23:MU24" si="215">HK23</f>
        <v>67</v>
      </c>
      <c r="MV23" s="17" t="n">
        <f t="shared" ref="MV23:MV24" si="216">HL23</f>
        <v>68</v>
      </c>
      <c r="MW23" s="17" t="n">
        <f t="shared" ref="MW23:MW24" si="217">HM23</f>
        <v>69</v>
      </c>
      <c r="MX23" s="17" t="n">
        <f t="shared" ref="MX23:MX24" si="218">HN23</f>
        <v>70</v>
      </c>
      <c r="MY23" s="17" t="n">
        <f t="shared" ref="MY23:MY24" si="219">HO23</f>
        <v>71</v>
      </c>
      <c r="MZ23" s="17" t="n">
        <f t="shared" ref="MZ23:MZ24" si="220">HP23</f>
        <v>72</v>
      </c>
      <c r="NA23" s="17" t="n">
        <f t="shared" ref="NA23:NA24" si="221">HQ23</f>
        <v>73</v>
      </c>
      <c r="NB23" s="17" t="n">
        <f t="shared" ref="NB23:NB24" si="222">HR23</f>
        <v>74</v>
      </c>
      <c r="NC23" s="17" t="n">
        <f t="shared" ref="NC23:NC24" si="223">HS23</f>
        <v>75</v>
      </c>
      <c r="ND23" s="17" t="n">
        <f t="shared" ref="ND23:ND24" si="224">HT23</f>
        <v>76</v>
      </c>
      <c r="NE23" s="17" t="n">
        <f t="shared" ref="NE23:NE24" si="225">HU23</f>
        <v>77</v>
      </c>
      <c r="NF23" s="17" t="n">
        <f t="shared" ref="NF23:NF24" si="226">HV23</f>
        <v>78</v>
      </c>
      <c r="NG23" s="17" t="n">
        <f t="shared" ref="NG23:NG24" si="227">HW23</f>
        <v>79</v>
      </c>
      <c r="NH23" s="17" t="n">
        <f t="shared" ref="NH23:NH24" si="228">HX23</f>
        <v>80</v>
      </c>
      <c r="NI23" s="17" t="n">
        <f t="shared" ref="NI23:NI24" si="229">HY23</f>
        <v>81</v>
      </c>
      <c r="NJ23" s="17" t="n">
        <f t="shared" ref="NJ23:NJ24" si="230">HZ23</f>
        <v>82</v>
      </c>
      <c r="NK23" s="17" t="n">
        <f t="shared" ref="NK23:NK24" si="231">IA23</f>
        <v>83</v>
      </c>
      <c r="NL23" s="17" t="n">
        <f t="shared" ref="NL23:NL24" si="232">IB23</f>
        <v>84</v>
      </c>
      <c r="NM23" s="17" t="n">
        <f t="shared" ref="NM23:NM24" si="233">IC23</f>
        <v>85</v>
      </c>
      <c r="NN23" s="17" t="n">
        <f t="shared" ref="NN23:NN24" si="234">ID23</f>
        <v>86</v>
      </c>
      <c r="NO23" s="17" t="n">
        <f t="shared" ref="NO23:NO24" si="235">IE23</f>
        <v>87</v>
      </c>
      <c r="NP23" s="17" t="n">
        <f t="shared" ref="NP23:NP24" si="236">IF23</f>
        <v>88</v>
      </c>
      <c r="NQ23" s="17" t="n">
        <f t="shared" ref="NQ23:NQ24" si="237">IG23</f>
        <v>89</v>
      </c>
      <c r="NR23" s="17" t="n">
        <f t="shared" ref="NR23:NR24" si="238">IH23</f>
        <v>90</v>
      </c>
      <c r="NS23" s="17" t="n">
        <f t="shared" ref="NS23:NS24" si="239">II23</f>
        <v>91</v>
      </c>
      <c r="NT23" s="17" t="n">
        <f t="shared" ref="NT23:NT24" si="240">IJ23</f>
        <v>92</v>
      </c>
      <c r="NU23" s="17" t="n">
        <f t="shared" ref="NU23:NU24" si="241">IK23</f>
        <v>93</v>
      </c>
      <c r="NV23" s="17" t="n">
        <f t="shared" ref="NV23:NV24" si="242">IL23</f>
        <v>94</v>
      </c>
      <c r="NW23" s="17" t="n">
        <f t="shared" ref="NW23:NW24" si="243">IM23</f>
        <v>95</v>
      </c>
      <c r="NX23" s="17" t="n">
        <f t="shared" ref="NX23:NX24" si="244">IN23</f>
        <v>96</v>
      </c>
      <c r="NY23" s="17" t="n">
        <f t="shared" ref="NY23:NY24" si="245">IO23</f>
        <v>97</v>
      </c>
      <c r="NZ23" s="17" t="n">
        <f t="shared" ref="NZ23:NZ24" si="246">IP23</f>
        <v>98</v>
      </c>
      <c r="OA23" s="17" t="n">
        <f t="shared" ref="OA23:OA24" si="247">IQ23</f>
        <v>99</v>
      </c>
      <c r="OB23" s="17" t="n">
        <f t="shared" ref="OB23:OB24" si="248">IR23</f>
        <v>100</v>
      </c>
      <c r="OC23" s="17" t="n">
        <f t="shared" ref="OC23:OC24" si="249">IS23</f>
        <v>101</v>
      </c>
      <c r="OD23" s="17" t="n">
        <f t="shared" ref="OD23:OD24" si="250">IT23</f>
        <v>102</v>
      </c>
      <c r="OE23" s="17" t="n">
        <f t="shared" ref="OE23:OE24" si="251">IU23</f>
        <v>103</v>
      </c>
      <c r="OF23" s="17" t="n">
        <f t="shared" ref="OF23:OF24" si="252">IV23</f>
        <v>104</v>
      </c>
      <c r="OG23" s="17" t="n">
        <f t="shared" ref="OG23:OG24" si="253">IW23</f>
        <v>105</v>
      </c>
      <c r="OH23" s="17" t="n">
        <f t="shared" ref="OH23:OH24" si="254">IX23</f>
        <v>106</v>
      </c>
      <c r="OI23" s="17" t="n">
        <f t="shared" ref="OI23:OI24" si="255">IY23</f>
        <v>107</v>
      </c>
      <c r="OJ23" s="17" t="n">
        <f t="shared" ref="OJ23:OJ24" si="256">IZ23</f>
        <v>108</v>
      </c>
      <c r="OK23" s="17" t="n">
        <f t="shared" ref="OK23:OK24" si="257">JA23</f>
        <v>109</v>
      </c>
      <c r="OL23" s="17" t="n">
        <f t="shared" ref="OL23:OL24" si="258">JB23</f>
        <v>110</v>
      </c>
      <c r="OM23" s="17" t="n">
        <f t="shared" ref="OM23:OM24" si="259">JC23</f>
        <v>111</v>
      </c>
      <c r="ON23" s="17" t="n">
        <f t="shared" ref="ON23:ON24" si="260">JD23</f>
        <v>112</v>
      </c>
      <c r="OO23" s="17" t="n">
        <f t="shared" ref="OO23:OO24" si="261">JE23</f>
        <v>113</v>
      </c>
      <c r="OP23" s="17" t="n">
        <f t="shared" ref="OP23:OP24" si="262">JF23</f>
        <v>114</v>
      </c>
      <c r="OQ23" s="17" t="n">
        <f t="shared" ref="OQ23:OQ24" si="263">JG23</f>
        <v>115</v>
      </c>
      <c r="OR23" s="17" t="n">
        <f t="shared" ref="OR23:OR24" si="264">JH23</f>
        <v>116</v>
      </c>
      <c r="OS23" s="17" t="n">
        <f t="shared" ref="OS23:OS24" si="265">JI23</f>
        <v>117</v>
      </c>
      <c r="OT23" s="17" t="n">
        <f t="shared" ref="OT23:OT24" si="266">JJ23</f>
        <v>118</v>
      </c>
      <c r="OU23" s="17" t="n">
        <f t="shared" ref="OU23:OU24" si="267">JK23</f>
        <v>119</v>
      </c>
      <c r="OV23" s="17" t="n">
        <f t="shared" ref="OV23:OV24" si="268">JL23</f>
        <v>120</v>
      </c>
      <c r="OW23" s="17" t="n">
        <f t="shared" ref="OW23:OW24" si="269">JM23</f>
        <v>121</v>
      </c>
      <c r="OX23" s="17" t="n">
        <f t="shared" ref="OX23:OX24" si="270">JN23</f>
        <v>122</v>
      </c>
      <c r="OY23" s="17" t="n">
        <f t="shared" ref="OY23:OY24" si="271">JO23</f>
        <v>123</v>
      </c>
      <c r="OZ23" s="17" t="n">
        <f t="shared" ref="OZ23:OZ24" si="272">JP23</f>
        <v>124</v>
      </c>
      <c r="PA23" s="17" t="n">
        <f t="shared" ref="PA23:PA24" si="273">JQ23</f>
        <v>125</v>
      </c>
      <c r="PB23" s="17" t="n">
        <f t="shared" ref="PB23:PB24" si="274">JR23</f>
        <v>126</v>
      </c>
      <c r="PC23" s="17" t="n">
        <f t="shared" ref="PC23:PC24" si="275">JS23</f>
        <v>127</v>
      </c>
      <c r="PD23" s="17" t="n">
        <f t="shared" ref="PD23:PD24" si="276">JT23</f>
        <v>128</v>
      </c>
      <c r="PE23" s="17" t="n">
        <f t="shared" ref="PE23:PE24" si="277">JU23</f>
        <v>129</v>
      </c>
      <c r="PF23" s="17" t="n">
        <f t="shared" ref="PF23:PF24" si="278">JV23</f>
        <v>130</v>
      </c>
      <c r="PG23" s="17" t="n">
        <f t="shared" ref="PG23:PG24" si="279">JW23</f>
        <v>131</v>
      </c>
      <c r="PH23" s="17" t="n">
        <f t="shared" ref="PH23:PH24" si="280">JX23</f>
        <v>132</v>
      </c>
    </row>
    <row r="24">
      <c r="B24" s="410" t="s">
        <v>120</v>
      </c>
      <c r="C24" s="411"/>
      <c r="D24" s="411"/>
      <c r="E24" s="411"/>
      <c r="F24" s="411"/>
      <c r="G24" s="191"/>
      <c r="H24" s="191"/>
      <c r="I24" s="412"/>
      <c r="J24" s="378"/>
      <c r="K24" s="378" t="s">
        <v>121</v>
      </c>
      <c r="L24" s="201" t="n">
        <f>EOMONTH(E13,-1)</f>
        <v>46203</v>
      </c>
      <c r="M24" s="201" t="n">
        <f>EOMONTH(L24,1)</f>
        <v>46234</v>
      </c>
      <c r="N24" s="201" t="n">
        <f t="shared" ref="N24:BY24" si="281">EOMONTH(M24,1)</f>
        <v>46265</v>
      </c>
      <c r="O24" s="201">
        <f t="shared" si="281"/>
        <v>46295</v>
      </c>
      <c r="P24" s="201">
        <f t="shared" si="281"/>
        <v>46326</v>
      </c>
      <c r="Q24" s="201">
        <f t="shared" si="281"/>
        <v>46356</v>
      </c>
      <c r="R24" s="201">
        <f t="shared" si="281"/>
        <v>46387</v>
      </c>
      <c r="S24" s="201">
        <f t="shared" si="281"/>
        <v>46418</v>
      </c>
      <c r="T24" s="201">
        <f t="shared" si="281"/>
        <v>46446</v>
      </c>
      <c r="U24" s="201">
        <f t="shared" si="281"/>
        <v>46477</v>
      </c>
      <c r="V24" s="201">
        <f t="shared" si="281"/>
        <v>46507</v>
      </c>
      <c r="W24" s="201">
        <f t="shared" si="281"/>
        <v>46538</v>
      </c>
      <c r="X24" s="201">
        <f t="shared" si="281"/>
        <v>46568</v>
      </c>
      <c r="Y24" s="201">
        <f t="shared" si="281"/>
        <v>46599</v>
      </c>
      <c r="Z24" s="201">
        <f t="shared" si="281"/>
        <v>46630</v>
      </c>
      <c r="AA24" s="201">
        <f t="shared" si="281"/>
        <v>46660</v>
      </c>
      <c r="AB24" s="201">
        <f t="shared" si="281"/>
        <v>46691</v>
      </c>
      <c r="AC24" s="201">
        <f t="shared" si="281"/>
        <v>46721</v>
      </c>
      <c r="AD24" s="201">
        <f t="shared" si="281"/>
        <v>46752</v>
      </c>
      <c r="AE24" s="201">
        <f t="shared" si="281"/>
        <v>46783</v>
      </c>
      <c r="AF24" s="201">
        <f t="shared" si="281"/>
        <v>46812</v>
      </c>
      <c r="AG24" s="201">
        <f t="shared" si="281"/>
        <v>46843</v>
      </c>
      <c r="AH24" s="201">
        <f t="shared" si="281"/>
        <v>46873</v>
      </c>
      <c r="AI24" s="201">
        <f t="shared" si="281"/>
        <v>46904</v>
      </c>
      <c r="AJ24" s="201">
        <f t="shared" si="281"/>
        <v>46934</v>
      </c>
      <c r="AK24" s="201">
        <f t="shared" si="281"/>
        <v>46965</v>
      </c>
      <c r="AL24" s="201">
        <f t="shared" si="281"/>
        <v>46996</v>
      </c>
      <c r="AM24" s="201">
        <f t="shared" si="281"/>
        <v>47026</v>
      </c>
      <c r="AN24" s="201">
        <f t="shared" si="281"/>
        <v>47057</v>
      </c>
      <c r="AO24" s="201">
        <f t="shared" si="281"/>
        <v>47087</v>
      </c>
      <c r="AP24" s="201">
        <f t="shared" si="281"/>
        <v>47118</v>
      </c>
      <c r="AQ24" s="201">
        <f t="shared" si="281"/>
        <v>47149</v>
      </c>
      <c r="AR24" s="201">
        <f t="shared" si="281"/>
        <v>47177</v>
      </c>
      <c r="AS24" s="201">
        <f t="shared" si="281"/>
        <v>47208</v>
      </c>
      <c r="AT24" s="201">
        <f t="shared" si="281"/>
        <v>47238</v>
      </c>
      <c r="AU24" s="201">
        <f t="shared" si="281"/>
        <v>47269</v>
      </c>
      <c r="AV24" s="201">
        <f t="shared" si="281"/>
        <v>47299</v>
      </c>
      <c r="AW24" s="201">
        <f t="shared" si="281"/>
        <v>47330</v>
      </c>
      <c r="AX24" s="201">
        <f t="shared" si="281"/>
        <v>47361</v>
      </c>
      <c r="AY24" s="201">
        <f t="shared" si="281"/>
        <v>47391</v>
      </c>
      <c r="AZ24" s="201">
        <f t="shared" si="281"/>
        <v>47422</v>
      </c>
      <c r="BA24" s="201">
        <f t="shared" si="281"/>
        <v>47452</v>
      </c>
      <c r="BB24" s="201">
        <f t="shared" si="281"/>
        <v>47483</v>
      </c>
      <c r="BC24" s="201">
        <f t="shared" si="281"/>
        <v>47514</v>
      </c>
      <c r="BD24" s="201">
        <f t="shared" si="281"/>
        <v>47542</v>
      </c>
      <c r="BE24" s="201">
        <f t="shared" si="281"/>
        <v>47573</v>
      </c>
      <c r="BF24" s="201">
        <f t="shared" si="281"/>
        <v>47603</v>
      </c>
      <c r="BG24" s="201">
        <f t="shared" si="281"/>
        <v>47634</v>
      </c>
      <c r="BH24" s="201">
        <f t="shared" si="281"/>
        <v>47664</v>
      </c>
      <c r="BI24" s="201">
        <f t="shared" si="281"/>
        <v>47695</v>
      </c>
      <c r="BJ24" s="201">
        <f t="shared" si="281"/>
        <v>47726</v>
      </c>
      <c r="BK24" s="201">
        <f t="shared" si="281"/>
        <v>47756</v>
      </c>
      <c r="BL24" s="201">
        <f t="shared" si="281"/>
        <v>47787</v>
      </c>
      <c r="BM24" s="201">
        <f t="shared" si="281"/>
        <v>47817</v>
      </c>
      <c r="BN24" s="201">
        <f t="shared" si="281"/>
        <v>47848</v>
      </c>
      <c r="BO24" s="201">
        <f t="shared" si="281"/>
        <v>47879</v>
      </c>
      <c r="BP24" s="201">
        <f t="shared" si="281"/>
        <v>47907</v>
      </c>
      <c r="BQ24" s="201">
        <f t="shared" si="281"/>
        <v>47938</v>
      </c>
      <c r="BR24" s="201">
        <f t="shared" si="281"/>
        <v>47968</v>
      </c>
      <c r="BS24" s="201">
        <f t="shared" si="281"/>
        <v>47999</v>
      </c>
      <c r="BT24" s="201">
        <f t="shared" si="281"/>
        <v>48029</v>
      </c>
      <c r="BU24" s="201">
        <f t="shared" si="281"/>
        <v>48060</v>
      </c>
      <c r="BV24" s="201">
        <f t="shared" si="281"/>
        <v>48091</v>
      </c>
      <c r="BW24" s="201">
        <f t="shared" si="281"/>
        <v>48121</v>
      </c>
      <c r="BX24" s="201">
        <f t="shared" si="281"/>
        <v>48152</v>
      </c>
      <c r="BY24" s="201">
        <f t="shared" si="281"/>
        <v>48182</v>
      </c>
      <c r="BZ24" s="201" t="n">
        <f t="shared" ref="BZ24:EK24" si="282">EOMONTH(BY24,1)</f>
        <v>48213</v>
      </c>
      <c r="CA24" s="201">
        <f t="shared" si="282"/>
        <v>48244</v>
      </c>
      <c r="CB24" s="201">
        <f t="shared" si="282"/>
        <v>48273</v>
      </c>
      <c r="CC24" s="201">
        <f t="shared" si="282"/>
        <v>48304</v>
      </c>
      <c r="CD24" s="201">
        <f t="shared" si="282"/>
        <v>48334</v>
      </c>
      <c r="CE24" s="201">
        <f t="shared" si="282"/>
        <v>48365</v>
      </c>
      <c r="CF24" s="201">
        <f t="shared" si="282"/>
        <v>48395</v>
      </c>
      <c r="CG24" s="201">
        <f t="shared" si="282"/>
        <v>48426</v>
      </c>
      <c r="CH24" s="201">
        <f t="shared" si="282"/>
        <v>48457</v>
      </c>
      <c r="CI24" s="201">
        <f t="shared" si="282"/>
        <v>48487</v>
      </c>
      <c r="CJ24" s="201">
        <f t="shared" si="282"/>
        <v>48518</v>
      </c>
      <c r="CK24" s="201">
        <f t="shared" si="282"/>
        <v>48548</v>
      </c>
      <c r="CL24" s="201">
        <f t="shared" si="282"/>
        <v>48579</v>
      </c>
      <c r="CM24" s="201">
        <f t="shared" si="282"/>
        <v>48610</v>
      </c>
      <c r="CN24" s="201">
        <f t="shared" si="282"/>
        <v>48638</v>
      </c>
      <c r="CO24" s="201">
        <f t="shared" si="282"/>
        <v>48669</v>
      </c>
      <c r="CP24" s="201">
        <f t="shared" si="282"/>
        <v>48699</v>
      </c>
      <c r="CQ24" s="201">
        <f t="shared" si="282"/>
        <v>48730</v>
      </c>
      <c r="CR24" s="201">
        <f t="shared" si="282"/>
        <v>48760</v>
      </c>
      <c r="CS24" s="201">
        <f t="shared" si="282"/>
        <v>48791</v>
      </c>
      <c r="CT24" s="201">
        <f t="shared" si="282"/>
        <v>48822</v>
      </c>
      <c r="CU24" s="201">
        <f t="shared" si="282"/>
        <v>48852</v>
      </c>
      <c r="CV24" s="201">
        <f t="shared" si="282"/>
        <v>48883</v>
      </c>
      <c r="CW24" s="201">
        <f t="shared" si="282"/>
        <v>48913</v>
      </c>
      <c r="CX24" s="201">
        <f t="shared" si="282"/>
        <v>48944</v>
      </c>
      <c r="CY24" s="201">
        <f t="shared" si="282"/>
        <v>48975</v>
      </c>
      <c r="CZ24" s="201">
        <f t="shared" si="282"/>
        <v>49003</v>
      </c>
      <c r="DA24" s="201">
        <f t="shared" si="282"/>
        <v>49034</v>
      </c>
      <c r="DB24" s="201">
        <f t="shared" si="282"/>
        <v>49064</v>
      </c>
      <c r="DC24" s="201">
        <f t="shared" si="282"/>
        <v>49095</v>
      </c>
      <c r="DD24" s="201">
        <f t="shared" si="282"/>
        <v>49125</v>
      </c>
      <c r="DE24" s="201">
        <f t="shared" si="282"/>
        <v>49156</v>
      </c>
      <c r="DF24" s="201">
        <f t="shared" si="282"/>
        <v>49187</v>
      </c>
      <c r="DG24" s="201">
        <f t="shared" si="282"/>
        <v>49217</v>
      </c>
      <c r="DH24" s="201">
        <f t="shared" si="282"/>
        <v>49248</v>
      </c>
      <c r="DI24" s="201">
        <f t="shared" si="282"/>
        <v>49278</v>
      </c>
      <c r="DJ24" s="201">
        <f t="shared" si="282"/>
        <v>49309</v>
      </c>
      <c r="DK24" s="201">
        <f t="shared" si="282"/>
        <v>49340</v>
      </c>
      <c r="DL24" s="201">
        <f t="shared" si="282"/>
        <v>49368</v>
      </c>
      <c r="DM24" s="201">
        <f t="shared" si="282"/>
        <v>49399</v>
      </c>
      <c r="DN24" s="201">
        <f t="shared" si="282"/>
        <v>49429</v>
      </c>
      <c r="DO24" s="201">
        <f t="shared" si="282"/>
        <v>49460</v>
      </c>
      <c r="DP24" s="201">
        <f t="shared" si="282"/>
        <v>49490</v>
      </c>
      <c r="DQ24" s="201">
        <f t="shared" si="282"/>
        <v>49521</v>
      </c>
      <c r="DR24" s="201">
        <f t="shared" si="282"/>
        <v>49552</v>
      </c>
      <c r="DS24" s="201">
        <f t="shared" si="282"/>
        <v>49582</v>
      </c>
      <c r="DT24" s="201">
        <f t="shared" si="282"/>
        <v>49613</v>
      </c>
      <c r="DU24" s="201">
        <f t="shared" si="282"/>
        <v>49643</v>
      </c>
      <c r="DV24" s="201">
        <f t="shared" si="282"/>
        <v>49674</v>
      </c>
      <c r="DW24" s="201">
        <f t="shared" si="282"/>
        <v>49705</v>
      </c>
      <c r="DX24" s="201">
        <f t="shared" si="282"/>
        <v>49734</v>
      </c>
      <c r="DY24" s="201">
        <f t="shared" si="282"/>
        <v>49765</v>
      </c>
      <c r="DZ24" s="201">
        <f t="shared" si="282"/>
        <v>49795</v>
      </c>
      <c r="EA24" s="201">
        <f t="shared" si="282"/>
        <v>49826</v>
      </c>
      <c r="EB24" s="201">
        <f t="shared" si="282"/>
        <v>49856</v>
      </c>
      <c r="EC24" s="201">
        <f t="shared" si="282"/>
        <v>49887</v>
      </c>
      <c r="ED24" s="201">
        <f t="shared" si="282"/>
        <v>49918</v>
      </c>
      <c r="EE24" s="201">
        <f t="shared" si="282"/>
        <v>49948</v>
      </c>
      <c r="EF24" s="201">
        <f t="shared" si="282"/>
        <v>49979</v>
      </c>
      <c r="EG24" s="201">
        <f t="shared" si="282"/>
        <v>50009</v>
      </c>
      <c r="EH24" s="201">
        <f t="shared" si="282"/>
        <v>50040</v>
      </c>
      <c r="EI24" s="201">
        <f t="shared" si="282"/>
        <v>50071</v>
      </c>
      <c r="EJ24" s="201">
        <f t="shared" si="282"/>
        <v>50099</v>
      </c>
      <c r="EK24" s="201">
        <f t="shared" si="282"/>
        <v>50130</v>
      </c>
      <c r="EL24" s="201" t="n">
        <f>EOMONTH(EK24,1)</f>
        <v>50160</v>
      </c>
      <c r="EM24" s="201" t="n">
        <f>EOMONTH(EL24,1)</f>
        <v>50191</v>
      </c>
      <c r="EN24" s="201" t="n">
        <f>EOMONTH(EM24,1)</f>
        <v>50221</v>
      </c>
      <c r="EP24" s="413" t="s">
        <v>80</v>
      </c>
      <c r="EQ24" s="414" t="s">
        <v>122</v>
      </c>
      <c r="ER24" s="414" t="s">
        <v>123</v>
      </c>
      <c r="ES24" s="414" t="s">
        <v>124</v>
      </c>
      <c r="ET24" s="414" t="s">
        <v>125</v>
      </c>
      <c r="EU24" s="414" t="s">
        <v>126</v>
      </c>
      <c r="EV24" s="19" t="n">
        <f>L24</f>
        <v>46203</v>
      </c>
      <c r="EW24" s="19">
        <f t="shared" si="145"/>
        <v>46234</v>
      </c>
      <c r="EX24" s="19">
        <f t="shared" si="145"/>
        <v>46265</v>
      </c>
      <c r="EY24" s="19">
        <f t="shared" si="145"/>
        <v>46295</v>
      </c>
      <c r="EZ24" s="19">
        <f t="shared" si="145"/>
        <v>46326</v>
      </c>
      <c r="FA24" s="19">
        <f t="shared" si="145"/>
        <v>46356</v>
      </c>
      <c r="FB24" s="19">
        <f t="shared" si="145"/>
        <v>46387</v>
      </c>
      <c r="FC24" s="19">
        <f t="shared" si="145"/>
        <v>46418</v>
      </c>
      <c r="FD24" s="19">
        <f t="shared" si="145"/>
        <v>46446</v>
      </c>
      <c r="FE24" s="19">
        <f t="shared" si="145"/>
        <v>46477</v>
      </c>
      <c r="FF24" s="19">
        <f t="shared" si="145"/>
        <v>46507</v>
      </c>
      <c r="FG24" s="19">
        <f t="shared" si="145"/>
        <v>46538</v>
      </c>
      <c r="FH24" s="19">
        <f t="shared" si="145"/>
        <v>46568</v>
      </c>
      <c r="FI24" s="19">
        <f t="shared" si="145"/>
        <v>46599</v>
      </c>
      <c r="FJ24" s="19">
        <f t="shared" si="145"/>
        <v>46630</v>
      </c>
      <c r="FK24" s="19">
        <f t="shared" si="145"/>
        <v>46660</v>
      </c>
      <c r="FL24" s="19">
        <f t="shared" si="145"/>
        <v>46691</v>
      </c>
      <c r="FM24" s="19">
        <f t="shared" si="145"/>
        <v>46721</v>
      </c>
      <c r="FN24" s="19">
        <f t="shared" si="145"/>
        <v>46752</v>
      </c>
      <c r="FO24" s="19">
        <f t="shared" si="145"/>
        <v>46783</v>
      </c>
      <c r="FP24" s="19">
        <f t="shared" si="145"/>
        <v>46812</v>
      </c>
      <c r="FQ24" s="19">
        <f t="shared" si="145"/>
        <v>46843</v>
      </c>
      <c r="FR24" s="19">
        <f t="shared" si="145"/>
        <v>46873</v>
      </c>
      <c r="FS24" s="19">
        <f t="shared" si="145"/>
        <v>46904</v>
      </c>
      <c r="FT24" s="19">
        <f t="shared" si="145"/>
        <v>46934</v>
      </c>
      <c r="FU24" s="19">
        <f t="shared" si="145"/>
        <v>46965</v>
      </c>
      <c r="FV24" s="19">
        <f t="shared" si="145"/>
        <v>46996</v>
      </c>
      <c r="FW24" s="19">
        <f t="shared" si="145"/>
        <v>47026</v>
      </c>
      <c r="FX24" s="19">
        <f t="shared" si="145"/>
        <v>47057</v>
      </c>
      <c r="FY24" s="19">
        <f t="shared" si="145"/>
        <v>47087</v>
      </c>
      <c r="FZ24" s="19">
        <f t="shared" si="145"/>
        <v>47118</v>
      </c>
      <c r="GA24" s="19">
        <f t="shared" si="145"/>
        <v>47149</v>
      </c>
      <c r="GB24" s="19">
        <f t="shared" si="145"/>
        <v>47177</v>
      </c>
      <c r="GC24" s="19">
        <f t="shared" si="145"/>
        <v>47208</v>
      </c>
      <c r="GD24" s="19">
        <f t="shared" si="145"/>
        <v>47238</v>
      </c>
      <c r="GE24" s="19">
        <f t="shared" si="145"/>
        <v>47269</v>
      </c>
      <c r="GF24" s="19">
        <f t="shared" si="145"/>
        <v>47299</v>
      </c>
      <c r="GG24" s="19">
        <f t="shared" si="145"/>
        <v>47330</v>
      </c>
      <c r="GH24" s="19">
        <f t="shared" si="145"/>
        <v>47361</v>
      </c>
      <c r="GI24" s="19">
        <f t="shared" si="145"/>
        <v>47391</v>
      </c>
      <c r="GJ24" s="19">
        <f t="shared" si="145"/>
        <v>47422</v>
      </c>
      <c r="GK24" s="19">
        <f t="shared" si="145"/>
        <v>47452</v>
      </c>
      <c r="GL24" s="19">
        <f t="shared" si="145"/>
        <v>47483</v>
      </c>
      <c r="GM24" s="19">
        <f t="shared" si="145"/>
        <v>47514</v>
      </c>
      <c r="GN24" s="19">
        <f t="shared" si="145"/>
        <v>47542</v>
      </c>
      <c r="GO24" s="19">
        <f t="shared" si="145"/>
        <v>47573</v>
      </c>
      <c r="GP24" s="19">
        <f t="shared" si="145"/>
        <v>47603</v>
      </c>
      <c r="GQ24" s="19">
        <f t="shared" si="145"/>
        <v>47634</v>
      </c>
      <c r="GR24" s="19">
        <f t="shared" si="145"/>
        <v>47664</v>
      </c>
      <c r="GS24" s="19">
        <f t="shared" si="145"/>
        <v>47695</v>
      </c>
      <c r="GT24" s="19">
        <f t="shared" si="145"/>
        <v>47726</v>
      </c>
      <c r="GU24" s="19">
        <f t="shared" si="145"/>
        <v>47756</v>
      </c>
      <c r="GV24" s="19">
        <f t="shared" si="145"/>
        <v>47787</v>
      </c>
      <c r="GW24" s="19">
        <f t="shared" si="145"/>
        <v>47817</v>
      </c>
      <c r="GX24" s="19">
        <f t="shared" si="145"/>
        <v>47848</v>
      </c>
      <c r="GY24" s="19">
        <f t="shared" si="145"/>
        <v>47879</v>
      </c>
      <c r="GZ24" s="19">
        <f t="shared" si="145"/>
        <v>47907</v>
      </c>
      <c r="HA24" s="19">
        <f t="shared" si="145"/>
        <v>47938</v>
      </c>
      <c r="HB24" s="19">
        <f t="shared" si="145"/>
        <v>47968</v>
      </c>
      <c r="HC24" s="19">
        <f t="shared" si="145"/>
        <v>47999</v>
      </c>
      <c r="HD24" s="19">
        <f t="shared" si="145"/>
        <v>48029</v>
      </c>
      <c r="HE24" s="19">
        <f t="shared" si="145"/>
        <v>48060</v>
      </c>
      <c r="HF24" s="19">
        <f t="shared" si="145"/>
        <v>48091</v>
      </c>
      <c r="HG24" s="19">
        <f t="shared" si="145"/>
        <v>48121</v>
      </c>
      <c r="HH24" s="19">
        <f t="shared" si="145"/>
        <v>48152</v>
      </c>
      <c r="HI24" s="19">
        <f t="shared" si="146"/>
        <v>48182</v>
      </c>
      <c r="HJ24" s="19">
        <f t="shared" si="146"/>
        <v>48213</v>
      </c>
      <c r="HK24" s="19">
        <f t="shared" si="146"/>
        <v>48244</v>
      </c>
      <c r="HL24" s="19">
        <f t="shared" si="146"/>
        <v>48273</v>
      </c>
      <c r="HM24" s="19">
        <f t="shared" si="146"/>
        <v>48304</v>
      </c>
      <c r="HN24" s="19">
        <f t="shared" si="146"/>
        <v>48334</v>
      </c>
      <c r="HO24" s="19">
        <f t="shared" si="146"/>
        <v>48365</v>
      </c>
      <c r="HP24" s="19">
        <f t="shared" si="146"/>
        <v>48395</v>
      </c>
      <c r="HQ24" s="19">
        <f t="shared" si="146"/>
        <v>48426</v>
      </c>
      <c r="HR24" s="19">
        <f t="shared" si="146"/>
        <v>48457</v>
      </c>
      <c r="HS24" s="19">
        <f t="shared" si="146"/>
        <v>48487</v>
      </c>
      <c r="HT24" s="19">
        <f t="shared" si="146"/>
        <v>48518</v>
      </c>
      <c r="HU24" s="19">
        <f t="shared" si="146"/>
        <v>48548</v>
      </c>
      <c r="HV24" s="19">
        <f t="shared" si="146"/>
        <v>48579</v>
      </c>
      <c r="HW24" s="19">
        <f t="shared" si="146"/>
        <v>48610</v>
      </c>
      <c r="HX24" s="19">
        <f t="shared" si="146"/>
        <v>48638</v>
      </c>
      <c r="HY24" s="19">
        <f t="shared" si="146"/>
        <v>48669</v>
      </c>
      <c r="HZ24" s="19">
        <f t="shared" si="146"/>
        <v>48699</v>
      </c>
      <c r="IA24" s="19">
        <f t="shared" si="146"/>
        <v>48730</v>
      </c>
      <c r="IB24" s="19">
        <f t="shared" si="146"/>
        <v>48760</v>
      </c>
      <c r="IC24" s="19">
        <f t="shared" si="146"/>
        <v>48791</v>
      </c>
      <c r="ID24" s="19">
        <f t="shared" si="146"/>
        <v>48822</v>
      </c>
      <c r="IE24" s="19">
        <f t="shared" si="146"/>
        <v>48852</v>
      </c>
      <c r="IF24" s="19">
        <f t="shared" si="146"/>
        <v>48883</v>
      </c>
      <c r="IG24" s="19">
        <f t="shared" si="146"/>
        <v>48913</v>
      </c>
      <c r="IH24" s="19">
        <f t="shared" si="146"/>
        <v>48944</v>
      </c>
      <c r="II24" s="19">
        <f t="shared" si="146"/>
        <v>48975</v>
      </c>
      <c r="IJ24" s="19">
        <f t="shared" si="146"/>
        <v>49003</v>
      </c>
      <c r="IK24" s="19">
        <f t="shared" si="146"/>
        <v>49034</v>
      </c>
      <c r="IL24" s="19">
        <f t="shared" si="146"/>
        <v>49064</v>
      </c>
      <c r="IM24" s="19">
        <f t="shared" si="146"/>
        <v>49095</v>
      </c>
      <c r="IN24" s="19">
        <f t="shared" si="146"/>
        <v>49125</v>
      </c>
      <c r="IO24" s="19">
        <f t="shared" si="146"/>
        <v>49156</v>
      </c>
      <c r="IP24" s="19">
        <f t="shared" si="146"/>
        <v>49187</v>
      </c>
      <c r="IQ24" s="19">
        <f t="shared" si="146"/>
        <v>49217</v>
      </c>
      <c r="IR24" s="19">
        <f t="shared" si="146"/>
        <v>49248</v>
      </c>
      <c r="IS24" s="19">
        <f t="shared" si="146"/>
        <v>49278</v>
      </c>
      <c r="IT24" s="19">
        <f t="shared" si="146"/>
        <v>49309</v>
      </c>
      <c r="IU24" s="19">
        <f t="shared" si="146"/>
        <v>49340</v>
      </c>
      <c r="IV24" s="19">
        <f t="shared" si="146"/>
        <v>49368</v>
      </c>
      <c r="IW24" s="19">
        <f t="shared" si="146"/>
        <v>49399</v>
      </c>
      <c r="IX24" s="19">
        <f t="shared" si="146"/>
        <v>49429</v>
      </c>
      <c r="IY24" s="19">
        <f t="shared" si="146"/>
        <v>49460</v>
      </c>
      <c r="IZ24" s="19">
        <f t="shared" si="146"/>
        <v>49490</v>
      </c>
      <c r="JA24" s="19">
        <f t="shared" si="146"/>
        <v>49521</v>
      </c>
      <c r="JB24" s="19">
        <f t="shared" si="146"/>
        <v>49552</v>
      </c>
      <c r="JC24" s="19">
        <f t="shared" si="146"/>
        <v>49582</v>
      </c>
      <c r="JD24" s="19">
        <f t="shared" si="146"/>
        <v>49613</v>
      </c>
      <c r="JE24" s="19">
        <f t="shared" si="146"/>
        <v>49643</v>
      </c>
      <c r="JF24" s="19">
        <f t="shared" si="146"/>
        <v>49674</v>
      </c>
      <c r="JG24" s="19">
        <f t="shared" si="146"/>
        <v>49705</v>
      </c>
      <c r="JH24" s="19">
        <f t="shared" si="146"/>
        <v>49734</v>
      </c>
      <c r="JI24" s="19">
        <f t="shared" si="146"/>
        <v>49765</v>
      </c>
      <c r="JJ24" s="19">
        <f t="shared" si="146"/>
        <v>49795</v>
      </c>
      <c r="JK24" s="19">
        <f t="shared" si="146"/>
        <v>49826</v>
      </c>
      <c r="JL24" s="19">
        <f t="shared" si="146"/>
        <v>49856</v>
      </c>
      <c r="JM24" s="19">
        <f t="shared" si="146"/>
        <v>49887</v>
      </c>
      <c r="JN24" s="19">
        <f t="shared" si="146"/>
        <v>49918</v>
      </c>
      <c r="JO24" s="19">
        <f t="shared" si="146"/>
        <v>49948</v>
      </c>
      <c r="JP24" s="19">
        <f t="shared" si="146"/>
        <v>49979</v>
      </c>
      <c r="JQ24" s="19">
        <f t="shared" si="146"/>
        <v>50009</v>
      </c>
      <c r="JR24" s="19">
        <f t="shared" si="146"/>
        <v>50040</v>
      </c>
      <c r="JS24" s="19">
        <f t="shared" si="146"/>
        <v>50071</v>
      </c>
      <c r="JT24" s="19">
        <f t="shared" si="146"/>
        <v>50099</v>
      </c>
      <c r="JU24" s="19">
        <f t="shared" si="147"/>
        <v>50130</v>
      </c>
      <c r="JV24" s="19">
        <f t="shared" si="147"/>
        <v>50160</v>
      </c>
      <c r="JW24" s="19">
        <f t="shared" si="147"/>
        <v>50191</v>
      </c>
      <c r="JX24" s="19">
        <f t="shared" si="147"/>
        <v>50221</v>
      </c>
      <c r="JZ24" s="413"/>
      <c r="KA24" s="414"/>
      <c r="KB24" s="414"/>
      <c r="KC24" s="414"/>
      <c r="KD24" s="414"/>
      <c r="KE24" s="414"/>
      <c r="KF24" s="19" t="n">
        <f>EV24</f>
        <v>46203</v>
      </c>
      <c r="KG24" s="19">
        <f t="shared" si="149"/>
        <v>46234</v>
      </c>
      <c r="KH24" s="19">
        <f t="shared" si="150"/>
        <v>46265</v>
      </c>
      <c r="KI24" s="19">
        <f t="shared" si="151"/>
        <v>46295</v>
      </c>
      <c r="KJ24" s="19">
        <f t="shared" si="152"/>
        <v>46326</v>
      </c>
      <c r="KK24" s="19">
        <f t="shared" si="153"/>
        <v>46356</v>
      </c>
      <c r="KL24" s="19">
        <f t="shared" si="154"/>
        <v>46387</v>
      </c>
      <c r="KM24" s="19">
        <f t="shared" si="155"/>
        <v>46418</v>
      </c>
      <c r="KN24" s="19">
        <f t="shared" si="156"/>
        <v>46446</v>
      </c>
      <c r="KO24" s="19">
        <f t="shared" si="157"/>
        <v>46477</v>
      </c>
      <c r="KP24" s="19">
        <f t="shared" si="158"/>
        <v>46507</v>
      </c>
      <c r="KQ24" s="19">
        <f t="shared" si="159"/>
        <v>46538</v>
      </c>
      <c r="KR24" s="19">
        <f t="shared" si="160"/>
        <v>46568</v>
      </c>
      <c r="KS24" s="19">
        <f t="shared" si="161"/>
        <v>46599</v>
      </c>
      <c r="KT24" s="19">
        <f t="shared" si="162"/>
        <v>46630</v>
      </c>
      <c r="KU24" s="19">
        <f t="shared" si="163"/>
        <v>46660</v>
      </c>
      <c r="KV24" s="19">
        <f t="shared" si="164"/>
        <v>46691</v>
      </c>
      <c r="KW24" s="19">
        <f t="shared" si="165"/>
        <v>46721</v>
      </c>
      <c r="KX24" s="19">
        <f t="shared" si="166"/>
        <v>46752</v>
      </c>
      <c r="KY24" s="19">
        <f t="shared" si="167"/>
        <v>46783</v>
      </c>
      <c r="KZ24" s="19">
        <f t="shared" si="168"/>
        <v>46812</v>
      </c>
      <c r="LA24" s="19">
        <f t="shared" si="169"/>
        <v>46843</v>
      </c>
      <c r="LB24" s="19">
        <f t="shared" si="170"/>
        <v>46873</v>
      </c>
      <c r="LC24" s="19">
        <f t="shared" si="171"/>
        <v>46904</v>
      </c>
      <c r="LD24" s="19">
        <f t="shared" si="172"/>
        <v>46934</v>
      </c>
      <c r="LE24" s="19">
        <f t="shared" si="173"/>
        <v>46965</v>
      </c>
      <c r="LF24" s="19">
        <f t="shared" si="174"/>
        <v>46996</v>
      </c>
      <c r="LG24" s="19">
        <f t="shared" si="175"/>
        <v>47026</v>
      </c>
      <c r="LH24" s="19">
        <f t="shared" si="176"/>
        <v>47057</v>
      </c>
      <c r="LI24" s="19">
        <f t="shared" si="177"/>
        <v>47087</v>
      </c>
      <c r="LJ24" s="19">
        <f t="shared" si="178"/>
        <v>47118</v>
      </c>
      <c r="LK24" s="19">
        <f t="shared" si="179"/>
        <v>47149</v>
      </c>
      <c r="LL24" s="19">
        <f t="shared" si="180"/>
        <v>47177</v>
      </c>
      <c r="LM24" s="19">
        <f t="shared" si="181"/>
        <v>47208</v>
      </c>
      <c r="LN24" s="19">
        <f t="shared" si="182"/>
        <v>47238</v>
      </c>
      <c r="LO24" s="19">
        <f t="shared" si="183"/>
        <v>47269</v>
      </c>
      <c r="LP24" s="19">
        <f t="shared" si="184"/>
        <v>47299</v>
      </c>
      <c r="LQ24" s="19">
        <f t="shared" si="185"/>
        <v>47330</v>
      </c>
      <c r="LR24" s="19">
        <f t="shared" si="186"/>
        <v>47361</v>
      </c>
      <c r="LS24" s="19">
        <f t="shared" si="187"/>
        <v>47391</v>
      </c>
      <c r="LT24" s="19">
        <f t="shared" si="188"/>
        <v>47422</v>
      </c>
      <c r="LU24" s="19">
        <f t="shared" si="189"/>
        <v>47452</v>
      </c>
      <c r="LV24" s="19">
        <f t="shared" si="190"/>
        <v>47483</v>
      </c>
      <c r="LW24" s="19">
        <f t="shared" si="191"/>
        <v>47514</v>
      </c>
      <c r="LX24" s="19">
        <f t="shared" si="192"/>
        <v>47542</v>
      </c>
      <c r="LY24" s="19">
        <f t="shared" si="193"/>
        <v>47573</v>
      </c>
      <c r="LZ24" s="19">
        <f t="shared" si="194"/>
        <v>47603</v>
      </c>
      <c r="MA24" s="19">
        <f t="shared" si="195"/>
        <v>47634</v>
      </c>
      <c r="MB24" s="19">
        <f t="shared" si="196"/>
        <v>47664</v>
      </c>
      <c r="MC24" s="19">
        <f t="shared" si="197"/>
        <v>47695</v>
      </c>
      <c r="MD24" s="19">
        <f t="shared" si="198"/>
        <v>47726</v>
      </c>
      <c r="ME24" s="19">
        <f t="shared" si="199"/>
        <v>47756</v>
      </c>
      <c r="MF24" s="19">
        <f t="shared" si="200"/>
        <v>47787</v>
      </c>
      <c r="MG24" s="19">
        <f t="shared" si="201"/>
        <v>47817</v>
      </c>
      <c r="MH24" s="19">
        <f t="shared" si="202"/>
        <v>47848</v>
      </c>
      <c r="MI24" s="19">
        <f t="shared" si="203"/>
        <v>47879</v>
      </c>
      <c r="MJ24" s="19">
        <f t="shared" si="204"/>
        <v>47907</v>
      </c>
      <c r="MK24" s="19">
        <f t="shared" si="205"/>
        <v>47938</v>
      </c>
      <c r="ML24" s="19">
        <f t="shared" si="206"/>
        <v>47968</v>
      </c>
      <c r="MM24" s="19">
        <f t="shared" si="207"/>
        <v>47999</v>
      </c>
      <c r="MN24" s="19">
        <f t="shared" si="208"/>
        <v>48029</v>
      </c>
      <c r="MO24" s="19">
        <f t="shared" si="209"/>
        <v>48060</v>
      </c>
      <c r="MP24" s="19">
        <f t="shared" si="210"/>
        <v>48091</v>
      </c>
      <c r="MQ24" s="19">
        <f t="shared" si="211"/>
        <v>48121</v>
      </c>
      <c r="MR24" s="19">
        <f t="shared" si="212"/>
        <v>48152</v>
      </c>
      <c r="MS24" s="19">
        <f t="shared" si="213"/>
        <v>48182</v>
      </c>
      <c r="MT24" s="19">
        <f t="shared" si="214"/>
        <v>48213</v>
      </c>
      <c r="MU24" s="19">
        <f t="shared" si="215"/>
        <v>48244</v>
      </c>
      <c r="MV24" s="19">
        <f t="shared" si="216"/>
        <v>48273</v>
      </c>
      <c r="MW24" s="19">
        <f t="shared" si="217"/>
        <v>48304</v>
      </c>
      <c r="MX24" s="19">
        <f t="shared" si="218"/>
        <v>48334</v>
      </c>
      <c r="MY24" s="19">
        <f t="shared" si="219"/>
        <v>48365</v>
      </c>
      <c r="MZ24" s="19">
        <f t="shared" si="220"/>
        <v>48395</v>
      </c>
      <c r="NA24" s="19">
        <f t="shared" si="221"/>
        <v>48426</v>
      </c>
      <c r="NB24" s="19">
        <f t="shared" si="222"/>
        <v>48457</v>
      </c>
      <c r="NC24" s="19">
        <f t="shared" si="223"/>
        <v>48487</v>
      </c>
      <c r="ND24" s="19">
        <f t="shared" si="224"/>
        <v>48518</v>
      </c>
      <c r="NE24" s="19">
        <f t="shared" si="225"/>
        <v>48548</v>
      </c>
      <c r="NF24" s="19">
        <f t="shared" si="226"/>
        <v>48579</v>
      </c>
      <c r="NG24" s="19">
        <f t="shared" si="227"/>
        <v>48610</v>
      </c>
      <c r="NH24" s="19">
        <f t="shared" si="228"/>
        <v>48638</v>
      </c>
      <c r="NI24" s="19">
        <f t="shared" si="229"/>
        <v>48669</v>
      </c>
      <c r="NJ24" s="19">
        <f t="shared" si="230"/>
        <v>48699</v>
      </c>
      <c r="NK24" s="19">
        <f t="shared" si="231"/>
        <v>48730</v>
      </c>
      <c r="NL24" s="19">
        <f t="shared" si="232"/>
        <v>48760</v>
      </c>
      <c r="NM24" s="19">
        <f t="shared" si="233"/>
        <v>48791</v>
      </c>
      <c r="NN24" s="19">
        <f t="shared" si="234"/>
        <v>48822</v>
      </c>
      <c r="NO24" s="19">
        <f t="shared" si="235"/>
        <v>48852</v>
      </c>
      <c r="NP24" s="19">
        <f t="shared" si="236"/>
        <v>48883</v>
      </c>
      <c r="NQ24" s="19">
        <f t="shared" si="237"/>
        <v>48913</v>
      </c>
      <c r="NR24" s="19">
        <f t="shared" si="238"/>
        <v>48944</v>
      </c>
      <c r="NS24" s="19">
        <f t="shared" si="239"/>
        <v>48975</v>
      </c>
      <c r="NT24" s="19">
        <f t="shared" si="240"/>
        <v>49003</v>
      </c>
      <c r="NU24" s="19">
        <f t="shared" si="241"/>
        <v>49034</v>
      </c>
      <c r="NV24" s="19">
        <f t="shared" si="242"/>
        <v>49064</v>
      </c>
      <c r="NW24" s="19">
        <f t="shared" si="243"/>
        <v>49095</v>
      </c>
      <c r="NX24" s="19">
        <f t="shared" si="244"/>
        <v>49125</v>
      </c>
      <c r="NY24" s="19">
        <f t="shared" si="245"/>
        <v>49156</v>
      </c>
      <c r="NZ24" s="19">
        <f t="shared" si="246"/>
        <v>49187</v>
      </c>
      <c r="OA24" s="19">
        <f t="shared" si="247"/>
        <v>49217</v>
      </c>
      <c r="OB24" s="19">
        <f t="shared" si="248"/>
        <v>49248</v>
      </c>
      <c r="OC24" s="19">
        <f t="shared" si="249"/>
        <v>49278</v>
      </c>
      <c r="OD24" s="19">
        <f t="shared" si="250"/>
        <v>49309</v>
      </c>
      <c r="OE24" s="19">
        <f t="shared" si="251"/>
        <v>49340</v>
      </c>
      <c r="OF24" s="19">
        <f t="shared" si="252"/>
        <v>49368</v>
      </c>
      <c r="OG24" s="19">
        <f t="shared" si="253"/>
        <v>49399</v>
      </c>
      <c r="OH24" s="19">
        <f t="shared" si="254"/>
        <v>49429</v>
      </c>
      <c r="OI24" s="19">
        <f t="shared" si="255"/>
        <v>49460</v>
      </c>
      <c r="OJ24" s="19">
        <f t="shared" si="256"/>
        <v>49490</v>
      </c>
      <c r="OK24" s="19">
        <f t="shared" si="257"/>
        <v>49521</v>
      </c>
      <c r="OL24" s="19">
        <f t="shared" si="258"/>
        <v>49552</v>
      </c>
      <c r="OM24" s="19">
        <f t="shared" si="259"/>
        <v>49582</v>
      </c>
      <c r="ON24" s="19">
        <f t="shared" si="260"/>
        <v>49613</v>
      </c>
      <c r="OO24" s="19">
        <f t="shared" si="261"/>
        <v>49643</v>
      </c>
      <c r="OP24" s="19">
        <f t="shared" si="262"/>
        <v>49674</v>
      </c>
      <c r="OQ24" s="19">
        <f t="shared" si="263"/>
        <v>49705</v>
      </c>
      <c r="OR24" s="19">
        <f t="shared" si="264"/>
        <v>49734</v>
      </c>
      <c r="OS24" s="19">
        <f t="shared" si="265"/>
        <v>49765</v>
      </c>
      <c r="OT24" s="19">
        <f t="shared" si="266"/>
        <v>49795</v>
      </c>
      <c r="OU24" s="19">
        <f t="shared" si="267"/>
        <v>49826</v>
      </c>
      <c r="OV24" s="19">
        <f t="shared" si="268"/>
        <v>49856</v>
      </c>
      <c r="OW24" s="19">
        <f t="shared" si="269"/>
        <v>49887</v>
      </c>
      <c r="OX24" s="19">
        <f t="shared" si="270"/>
        <v>49918</v>
      </c>
      <c r="OY24" s="19">
        <f t="shared" si="271"/>
        <v>49948</v>
      </c>
      <c r="OZ24" s="19">
        <f t="shared" si="272"/>
        <v>49979</v>
      </c>
      <c r="PA24" s="19">
        <f t="shared" si="273"/>
        <v>50009</v>
      </c>
      <c r="PB24" s="19">
        <f t="shared" si="274"/>
        <v>50040</v>
      </c>
      <c r="PC24" s="19">
        <f t="shared" si="275"/>
        <v>50071</v>
      </c>
      <c r="PD24" s="19">
        <f t="shared" si="276"/>
        <v>50099</v>
      </c>
      <c r="PE24" s="19">
        <f t="shared" si="277"/>
        <v>50130</v>
      </c>
      <c r="PF24" s="19">
        <f t="shared" si="278"/>
        <v>50160</v>
      </c>
      <c r="PG24" s="19">
        <f t="shared" si="279"/>
        <v>50191</v>
      </c>
      <c r="PH24" s="19">
        <f t="shared" si="280"/>
        <v>50221</v>
      </c>
    </row>
    <row r="25">
      <c r="B25" s="415" t="s">
        <v>81</v>
      </c>
      <c r="C25" s="416"/>
      <c r="D25" s="416" t="s">
        <v>127</v>
      </c>
      <c r="E25" s="416" t="s">
        <v>128</v>
      </c>
      <c r="F25" s="416" t="s">
        <v>129</v>
      </c>
      <c r="G25" s="416"/>
      <c r="H25" s="416" t="str">
        <f>"/RENTABLE "&amp;Unit_Type</f>
        <v>/RENTABLE M2</v>
      </c>
      <c r="I25" s="416" t="s">
        <v>130</v>
      </c>
      <c r="J25" s="22"/>
      <c r="K25" s="22" t="s">
        <v>131</v>
      </c>
      <c r="L25" s="93" t="n">
        <f>SUM($L$57:L57)/Project_Cost_Total</f>
        <v>0.2078400372677355</v>
      </c>
      <c r="M25" s="93" t="n">
        <f>SUM($L$57:M57)/Project_Cost_Total</f>
        <v>0.20834668419152702</v>
      </c>
      <c r="N25" s="93" t="n">
        <f>SUM($L$57:N57)/Project_Cost_Total</f>
        <v>0.20950098450951432</v>
      </c>
      <c r="O25" s="93" t="n">
        <f>SUM($L$57:O57)/Project_Cost_Total</f>
        <v>0.21158024046031093</v>
      </c>
      <c r="P25" s="93" t="n">
        <f>SUM($L$57:P57)/Project_Cost_Total</f>
        <v>0.21494099103049275</v>
      </c>
      <c r="Q25" s="93" t="n">
        <f>SUM($L$57:Q57)/Project_Cost_Total</f>
        <v>0.22029614236999767</v>
      </c>
      <c r="R25" s="93" t="n">
        <f>SUM($L$57:R57)/Project_Cost_Total</f>
        <v>0.2276183408449395</v>
      </c>
      <c r="S25" s="93" t="n">
        <f>SUM($L$57:S57)/Project_Cost_Total</f>
        <v>0.237762171114207</v>
      </c>
      <c r="T25" s="93" t="n">
        <f>SUM($L$57:T57)/Project_Cost_Total</f>
        <v>0.2513421202177091</v>
      </c>
      <c r="U25" s="93" t="n">
        <f>SUM($L$57:U57)/Project_Cost_Total</f>
        <v>0.2689613883723668</v>
      </c>
      <c r="V25" s="93" t="n">
        <f>SUM($L$57:V57)/Project_Cost_Total</f>
        <v>0.29115510236430137</v>
      </c>
      <c r="W25" s="93" t="n">
        <f>SUM($L$57:W57)/Project_Cost_Total</f>
        <v>0.3183255592448647</v>
      </c>
      <c r="X25" s="93" t="n">
        <f>SUM($L$57:X57)/Project_Cost_Total</f>
        <v>0.35067674742237775</v>
      </c>
      <c r="Y25" s="93" t="n">
        <f>SUM($L$57:Y57)/Project_Cost_Total</f>
        <v>0.38815730040483754</v>
      </c>
      <c r="Z25" s="93" t="n">
        <f>SUM($L$57:Z57)/Project_Cost_Total</f>
        <v>0.43042157652128066</v>
      </c>
      <c r="AA25" s="93" t="n">
        <f>SUM($L$57:AA57)/Project_Cost_Total</f>
        <v>0.4768173135252622</v>
      </c>
      <c r="AB25" s="93" t="n">
        <f>SUM($L$57:AB57)/Project_Cost_Total</f>
        <v>0.5264052289479473</v>
      </c>
      <c r="AC25" s="93" t="n">
        <f>SUM($L$57:AC57)/Project_Cost_Total</f>
        <v>0.57801141515345</v>
      </c>
      <c r="AD25" s="93" t="n">
        <f>SUM($L$57:AD57)/Project_Cost_Total</f>
        <v>0.6303082047232281</v>
      </c>
      <c r="AE25" s="93" t="n">
        <f>SUM($L$57:AE57)/Project_Cost_Total</f>
        <v>0.6819143909287309</v>
      </c>
      <c r="AF25" s="93" t="n">
        <f>SUM($L$57:AF57)/Project_Cost_Total</f>
        <v>0.7315023063514159</v>
      </c>
      <c r="AG25" s="93" t="n">
        <f>SUM($L$57:AG57)/Project_Cost_Total</f>
        <v>0.7778980433553975</v>
      </c>
      <c r="AH25" s="93" t="n">
        <f>SUM($L$57:AH57)/Project_Cost_Total</f>
        <v>0.8201623194718406</v>
      </c>
      <c r="AI25" s="93" t="n">
        <f>SUM($L$57:AI57)/Project_Cost_Total</f>
        <v>0.8576428724543003</v>
      </c>
      <c r="AJ25" s="93" t="n">
        <f>SUM($L$57:AJ57)/Project_Cost_Total</f>
        <v>0.8899940606318134</v>
      </c>
      <c r="AK25" s="93" t="n">
        <f>SUM($L$57:AK57)/Project_Cost_Total</f>
        <v>0.9171645175123767</v>
      </c>
      <c r="AL25" s="93" t="n">
        <f>SUM($L$57:AL57)/Project_Cost_Total</f>
        <v>0.9393582315043113</v>
      </c>
      <c r="AM25" s="93" t="n">
        <f>SUM($L$57:AM57)/Project_Cost_Total</f>
        <v>0.956977499658969</v>
      </c>
      <c r="AN25" s="93" t="n">
        <f>SUM($L$57:AN57)/Project_Cost_Total</f>
        <v>0.9705574487624711</v>
      </c>
      <c r="AO25" s="93" t="n">
        <f>SUM($L$57:AO57)/Project_Cost_Total</f>
        <v>0.9807012790317385</v>
      </c>
      <c r="AP25" s="93" t="n">
        <f>SUM($L$57:AP57)/Project_Cost_Total</f>
        <v>0.9880234775066804</v>
      </c>
      <c r="AQ25" s="93" t="n">
        <f>SUM($L$57:AQ57)/Project_Cost_Total</f>
        <v>0.9931055863273277</v>
      </c>
      <c r="AR25" s="93" t="n">
        <f>SUM($L$57:AR57)/Project_Cost_Total</f>
        <v>0.9964663368975095</v>
      </c>
      <c r="AS25" s="93" t="n">
        <f>SUM($L$57:AS57)/Project_Cost_Total</f>
        <v>0.9985455928483061</v>
      </c>
      <c r="AT25" s="93" t="n">
        <f>SUM($L$57:AT57)/Project_Cost_Total</f>
        <v>0.9996998931662935</v>
      </c>
      <c r="AU25" s="93" t="n">
        <f>SUM($L$57:AU57)/Project_Cost_Total</f>
        <v>1.000206540090085</v>
      </c>
      <c r="AV25" s="93" t="n">
        <f>SUM($L$57:AV57)/Project_Cost_Total</f>
        <v>1.0002730425188577</v>
      </c>
      <c r="AW25" s="93" t="n">
        <f>SUM($L$57:AW57)/Project_Cost_Total</f>
        <v>1.0002730425188577</v>
      </c>
      <c r="AX25" s="93" t="n">
        <f>SUM($L$57:AX57)/Project_Cost_Total</f>
        <v>1.0002730425188577</v>
      </c>
      <c r="AY25" s="93" t="n">
        <f>SUM($L$57:AY57)/Project_Cost_Total</f>
        <v>1.0002730425188577</v>
      </c>
      <c r="AZ25" s="93" t="n">
        <f>SUM($L$57:AZ57)/Project_Cost_Total</f>
        <v>1.0002730425188577</v>
      </c>
      <c r="BA25" s="93" t="n">
        <f>SUM($L$57:BA57)/Project_Cost_Total</f>
        <v>1.0002730425188577</v>
      </c>
      <c r="BB25" s="93" t="n">
        <f>SUM($L$57:BB57)/Project_Cost_Total</f>
        <v>1.0002730425188577</v>
      </c>
      <c r="BC25" s="93" t="n">
        <f>SUM($L$57:BC57)/Project_Cost_Total</f>
        <v>1.0002730425188577</v>
      </c>
      <c r="BD25" s="93" t="n">
        <f>SUM($L$57:BD57)/Project_Cost_Total</f>
        <v>1.0002730425188577</v>
      </c>
      <c r="BE25" s="93" t="n">
        <f>SUM($L$57:BE57)/Project_Cost_Total</f>
        <v>1.0002730425188577</v>
      </c>
      <c r="BF25" s="93" t="n">
        <f>SUM($L$57:BF57)/Project_Cost_Total</f>
        <v>1.0002730425188577</v>
      </c>
      <c r="BG25" s="93" t="n">
        <f>SUM($L$57:BG57)/Project_Cost_Total</f>
        <v>1.0002730425188577</v>
      </c>
      <c r="BH25" s="93" t="n">
        <f>SUM($L$57:BH57)/Project_Cost_Total</f>
        <v>1.0002730425188577</v>
      </c>
      <c r="BI25" s="93" t="n">
        <f>SUM($L$57:BI57)/Project_Cost_Total</f>
        <v>1.0002730425188577</v>
      </c>
      <c r="BJ25" s="93" t="n">
        <f>SUM($L$57:BJ57)/Project_Cost_Total</f>
        <v>1.0002730425188577</v>
      </c>
      <c r="BK25" s="93" t="n">
        <f>SUM($L$57:BK57)/Project_Cost_Total</f>
        <v>1.0002730425188577</v>
      </c>
      <c r="BL25" s="93" t="n">
        <f>SUM($L$57:BL57)/Project_Cost_Total</f>
        <v>1.0002730425188577</v>
      </c>
      <c r="BM25" s="93" t="n">
        <f>SUM($L$57:BM57)/Project_Cost_Total</f>
        <v>1.0002730425188577</v>
      </c>
      <c r="BN25" s="93" t="n">
        <f>SUM($L$57:BN57)/Project_Cost_Total</f>
        <v>1.0002730425188577</v>
      </c>
      <c r="BO25" s="93" t="n">
        <f>SUM($L$57:BO57)/Project_Cost_Total</f>
        <v>1.0002730425188577</v>
      </c>
      <c r="BP25" s="93" t="n">
        <f>SUM($L$57:BP57)/Project_Cost_Total</f>
        <v>1.0002730425188577</v>
      </c>
      <c r="BQ25" s="93" t="n">
        <f>SUM($L$57:BQ57)/Project_Cost_Total</f>
        <v>1.0002730425188577</v>
      </c>
      <c r="BR25" s="93" t="n">
        <f>SUM($L$57:BR57)/Project_Cost_Total</f>
        <v>1.0002730425188577</v>
      </c>
      <c r="BS25" s="93" t="n">
        <f>SUM($L$57:BS57)/Project_Cost_Total</f>
        <v>1.0002730425188577</v>
      </c>
      <c r="BT25" s="93" t="n">
        <f>SUM($L$57:BT57)/Project_Cost_Total</f>
        <v>1.0002730425188577</v>
      </c>
      <c r="BU25" s="93" t="n">
        <f>SUM($L$57:BU57)/Project_Cost_Total</f>
        <v>1.0002730425188577</v>
      </c>
      <c r="BV25" s="93" t="n">
        <f>SUM($L$57:BV57)/Project_Cost_Total</f>
        <v>1.0002730425188577</v>
      </c>
      <c r="BW25" s="93" t="n">
        <f>SUM($L$57:BW57)/Project_Cost_Total</f>
        <v>1.0002730425188577</v>
      </c>
      <c r="BX25" s="93" t="n">
        <f>SUM($L$57:BX57)/Project_Cost_Total</f>
        <v>1.0002730425188577</v>
      </c>
      <c r="BY25" s="93" t="n">
        <f>SUM($L$57:BY57)/Project_Cost_Total</f>
        <v>1.0002730425188577</v>
      </c>
      <c r="BZ25" s="93" t="n">
        <f>SUM($L$57:BZ57)/Project_Cost_Total</f>
        <v>1.0002730425188577</v>
      </c>
      <c r="CA25" s="93" t="n">
        <f>SUM($L$57:CA57)/Project_Cost_Total</f>
        <v>1.0002730425188577</v>
      </c>
      <c r="CB25" s="93" t="n">
        <f>SUM($L$57:CB57)/Project_Cost_Total</f>
        <v>1.0002730425188577</v>
      </c>
      <c r="CC25" s="93" t="n">
        <f>SUM($L$57:CC57)/Project_Cost_Total</f>
        <v>1.0002730425188577</v>
      </c>
      <c r="CD25" s="93" t="n">
        <f>SUM($L$57:CD57)/Project_Cost_Total</f>
        <v>1.0002730425188577</v>
      </c>
      <c r="CE25" s="93" t="n">
        <f>SUM($L$57:CE57)/Project_Cost_Total</f>
        <v>1.0002730425188577</v>
      </c>
      <c r="CF25" s="93" t="n">
        <f>SUM($L$57:CF57)/Project_Cost_Total</f>
        <v>1.0002730425188577</v>
      </c>
      <c r="CG25" s="93" t="n">
        <f>SUM($L$57:CG57)/Project_Cost_Total</f>
        <v>1.0002730425188577</v>
      </c>
      <c r="CH25" s="93" t="n">
        <f>SUM($L$57:CH57)/Project_Cost_Total</f>
        <v>1.0002730425188577</v>
      </c>
      <c r="CI25" s="93" t="n">
        <f>SUM($L$57:CI57)/Project_Cost_Total</f>
        <v>1.0002730425188577</v>
      </c>
      <c r="CJ25" s="93" t="n">
        <f>SUM($L$57:CJ57)/Project_Cost_Total</f>
        <v>1.0002730425188577</v>
      </c>
      <c r="CK25" s="93" t="n">
        <f>SUM($L$57:CK57)/Project_Cost_Total</f>
        <v>1.0002730425188577</v>
      </c>
      <c r="CL25" s="93" t="n">
        <f>SUM($L$57:CL57)/Project_Cost_Total</f>
        <v>1.0002730425188577</v>
      </c>
      <c r="CM25" s="93" t="n">
        <f>SUM($L$57:CM57)/Project_Cost_Total</f>
        <v>1.0002730425188577</v>
      </c>
      <c r="CN25" s="93" t="n">
        <f>SUM($L$57:CN57)/Project_Cost_Total</f>
        <v>1.0002730425188577</v>
      </c>
      <c r="CO25" s="93" t="n">
        <f>SUM($L$57:CO57)/Project_Cost_Total</f>
        <v>1.0002730425188577</v>
      </c>
      <c r="CP25" s="93" t="n">
        <f>SUM($L$57:CP57)/Project_Cost_Total</f>
        <v>1.0002730425188577</v>
      </c>
      <c r="CQ25" s="93" t="n">
        <f>SUM($L$57:CQ57)/Project_Cost_Total</f>
        <v>1.0002730425188577</v>
      </c>
      <c r="CR25" s="93" t="n">
        <f>SUM($L$57:CR57)/Project_Cost_Total</f>
        <v>1.0002730425188577</v>
      </c>
      <c r="CS25" s="93" t="n">
        <f>SUM($L$57:CS57)/Project_Cost_Total</f>
        <v>1.0002730425188577</v>
      </c>
      <c r="CT25" s="93" t="n">
        <f>SUM($L$57:CT57)/Project_Cost_Total</f>
        <v>1.0002730425188577</v>
      </c>
      <c r="CU25" s="93" t="n">
        <f>SUM($L$57:CU57)/Project_Cost_Total</f>
        <v>1.0002730425188577</v>
      </c>
      <c r="CV25" s="93" t="n">
        <f>SUM($L$57:CV57)/Project_Cost_Total</f>
        <v>1.0002730425188577</v>
      </c>
      <c r="CW25" s="93" t="n">
        <f>SUM($L$57:CW57)/Project_Cost_Total</f>
        <v>1.0002730425188577</v>
      </c>
      <c r="CX25" s="93" t="n">
        <f>SUM($L$57:CX57)/Project_Cost_Total</f>
        <v>1.0002730425188577</v>
      </c>
      <c r="CY25" s="93" t="n">
        <f>SUM($L$57:CY57)/Project_Cost_Total</f>
        <v>1.0002730425188577</v>
      </c>
      <c r="CZ25" s="93" t="n">
        <f>SUM($L$57:CZ57)/Project_Cost_Total</f>
        <v>1.0002730425188577</v>
      </c>
      <c r="DA25" s="93" t="n">
        <f>SUM($L$57:DA57)/Project_Cost_Total</f>
        <v>1.0002730425188577</v>
      </c>
      <c r="DB25" s="93" t="n">
        <f>SUM($L$57:DB57)/Project_Cost_Total</f>
        <v>1.0002730425188577</v>
      </c>
      <c r="DC25" s="93" t="n">
        <f>SUM($L$57:DC57)/Project_Cost_Total</f>
        <v>1.0002730425188577</v>
      </c>
      <c r="DD25" s="93" t="n">
        <f>SUM($L$57:DD57)/Project_Cost_Total</f>
        <v>1.0002730425188577</v>
      </c>
      <c r="DE25" s="93" t="n">
        <f>SUM($L$57:DE57)/Project_Cost_Total</f>
        <v>1.0002730425188577</v>
      </c>
      <c r="DF25" s="93" t="n">
        <f>SUM($L$57:DF57)/Project_Cost_Total</f>
        <v>1.0002730425188577</v>
      </c>
      <c r="DG25" s="93" t="n">
        <f>SUM($L$57:DG57)/Project_Cost_Total</f>
        <v>1.0002730425188577</v>
      </c>
      <c r="DH25" s="93" t="n">
        <f>SUM($L$57:DH57)/Project_Cost_Total</f>
        <v>1.0002730425188577</v>
      </c>
      <c r="DI25" s="93" t="n">
        <f>SUM($L$57:DI57)/Project_Cost_Total</f>
        <v>1.0002730425188577</v>
      </c>
      <c r="DJ25" s="93" t="n">
        <f>SUM($L$57:DJ57)/Project_Cost_Total</f>
        <v>1.0002730425188577</v>
      </c>
      <c r="DK25" s="93" t="n">
        <f>SUM($L$57:DK57)/Project_Cost_Total</f>
        <v>1.0002730425188577</v>
      </c>
      <c r="DL25" s="93" t="n">
        <f>SUM($L$57:DL57)/Project_Cost_Total</f>
        <v>1.0002730425188577</v>
      </c>
      <c r="DM25" s="93" t="n">
        <f>SUM($L$57:DM57)/Project_Cost_Total</f>
        <v>1.0002730425188577</v>
      </c>
      <c r="DN25" s="93" t="n">
        <f>SUM($L$57:DN57)/Project_Cost_Total</f>
        <v>1.0002730425188577</v>
      </c>
      <c r="DO25" s="93" t="n">
        <f>SUM($L$57:DO57)/Project_Cost_Total</f>
        <v>1.0002730425188577</v>
      </c>
      <c r="DP25" s="93" t="n">
        <f>SUM($L$57:DP57)/Project_Cost_Total</f>
        <v>1.0002730425188577</v>
      </c>
      <c r="DQ25" s="93" t="n">
        <f>SUM($L$57:DQ57)/Project_Cost_Total</f>
        <v>1.0002730425188577</v>
      </c>
      <c r="DR25" s="93" t="n">
        <f>SUM($L$57:DR57)/Project_Cost_Total</f>
        <v>1.0002730425188577</v>
      </c>
      <c r="DS25" s="93" t="n">
        <f>SUM($L$57:DS57)/Project_Cost_Total</f>
        <v>1.0002730425188577</v>
      </c>
      <c r="DT25" s="93" t="n">
        <f>SUM($L$57:DT57)/Project_Cost_Total</f>
        <v>1.0002730425188577</v>
      </c>
      <c r="DU25" s="93" t="n">
        <f>SUM($L$57:DU57)/Project_Cost_Total</f>
        <v>1.0002730425188577</v>
      </c>
      <c r="DV25" s="93" t="n">
        <f>SUM($L$57:DV57)/Project_Cost_Total</f>
        <v>1.0002730425188577</v>
      </c>
      <c r="DW25" s="93" t="n">
        <f>SUM($L$57:DW57)/Project_Cost_Total</f>
        <v>1.0002730425188577</v>
      </c>
      <c r="DX25" s="93" t="n">
        <f>SUM($L$57:DX57)/Project_Cost_Total</f>
        <v>1.0002730425188577</v>
      </c>
      <c r="DY25" s="93" t="n">
        <f>SUM($L$57:DY57)/Project_Cost_Total</f>
        <v>1.0002730425188577</v>
      </c>
      <c r="DZ25" s="93" t="n">
        <f>SUM($L$57:DZ57)/Project_Cost_Total</f>
        <v>1.0002730425188577</v>
      </c>
      <c r="EA25" s="93" t="n">
        <f>SUM($L$57:EA57)/Project_Cost_Total</f>
        <v>1.0002730425188577</v>
      </c>
      <c r="EB25" s="93" t="n">
        <f>SUM($L$57:EB57)/Project_Cost_Total</f>
        <v>1.0002730425188577</v>
      </c>
      <c r="EC25" s="93" t="n">
        <f>SUM($L$57:EC57)/Project_Cost_Total</f>
        <v>1.0002730425188577</v>
      </c>
      <c r="ED25" s="93" t="n">
        <f>SUM($L$57:ED57)/Project_Cost_Total</f>
        <v>1.0002730425188577</v>
      </c>
      <c r="EE25" s="93" t="n">
        <f>SUM($L$57:EE57)/Project_Cost_Total</f>
        <v>1.0002730425188577</v>
      </c>
      <c r="EF25" s="93" t="n">
        <f>SUM($L$57:EF57)/Project_Cost_Total</f>
        <v>1.0002730425188577</v>
      </c>
      <c r="EG25" s="93" t="n">
        <f>SUM($L$57:EG57)/Project_Cost_Total</f>
        <v>1.0002730425188577</v>
      </c>
      <c r="EH25" s="93" t="n">
        <f>SUM($L$57:EH57)/Project_Cost_Total</f>
        <v>1.0002730425188577</v>
      </c>
      <c r="EI25" s="93" t="n">
        <f>SUM($L$57:EI57)/Project_Cost_Total</f>
        <v>1.0002730425188577</v>
      </c>
      <c r="EJ25" s="93" t="n">
        <f>SUM($L$57:EJ57)/Project_Cost_Total</f>
        <v>1.0002730425188577</v>
      </c>
      <c r="EK25" s="93" t="n">
        <f>SUM($L$57:EK57)/Project_Cost_Total</f>
        <v>1.0002730425188577</v>
      </c>
      <c r="EL25" s="93" t="n">
        <f>SUM($L$57:EL57)/Project_Cost_Total</f>
        <v>1.0002730425188577</v>
      </c>
      <c r="EM25" s="93" t="n">
        <f>SUM($L$57:EM57)/Project_Cost_Total</f>
        <v>1.0002730425188577</v>
      </c>
      <c r="EN25" s="93" t="n">
        <f>SUM($L$57:EN57)/Project_Cost_Total</f>
        <v>1.0002730425188577</v>
      </c>
      <c r="EP25" s="220"/>
      <c r="EQ25" s="18"/>
      <c r="ER25" s="18"/>
      <c r="ES25" s="18"/>
      <c r="ET25" s="18"/>
      <c r="EU25" s="18"/>
      <c r="EV25" s="18"/>
      <c r="EW25" s="18"/>
      <c r="EX25" s="18"/>
      <c r="EY25" s="18"/>
      <c r="EZ25" s="18"/>
      <c r="FA25" s="18"/>
      <c r="FB25" s="18"/>
      <c r="FC25" s="18"/>
      <c r="FD25" s="18"/>
      <c r="FE25" s="18"/>
      <c r="FF25" s="18"/>
      <c r="FG25" s="18"/>
      <c r="FH25" s="18"/>
      <c r="FI25" s="18"/>
      <c r="FJ25" s="18"/>
      <c r="FK25" s="18"/>
      <c r="FL25" s="18"/>
      <c r="FM25" s="18"/>
      <c r="FN25" s="18"/>
      <c r="FO25" s="18"/>
      <c r="FP25" s="18"/>
      <c r="FQ25" s="18"/>
      <c r="FR25" s="18"/>
      <c r="FS25" s="18"/>
      <c r="FT25" s="18"/>
      <c r="FU25" s="18"/>
      <c r="FV25" s="18"/>
      <c r="FW25" s="18"/>
      <c r="FX25" s="18"/>
      <c r="FY25" s="18"/>
      <c r="FZ25" s="18"/>
      <c r="GA25" s="18"/>
      <c r="GB25" s="18"/>
      <c r="GC25" s="18"/>
      <c r="GD25" s="18"/>
      <c r="GE25" s="18"/>
      <c r="GF25" s="18"/>
      <c r="GG25" s="18"/>
      <c r="GH25" s="18"/>
      <c r="GI25" s="18"/>
      <c r="GJ25" s="18"/>
      <c r="GK25" s="18"/>
      <c r="GL25" s="18"/>
      <c r="GM25" s="18"/>
      <c r="GN25" s="18"/>
      <c r="GO25" s="18"/>
      <c r="GP25" s="18"/>
      <c r="GQ25" s="18"/>
      <c r="GR25" s="18"/>
      <c r="GS25" s="18"/>
      <c r="GT25" s="18"/>
      <c r="GU25" s="18"/>
      <c r="GV25" s="18"/>
      <c r="GW25" s="18"/>
      <c r="GX25" s="18"/>
      <c r="GY25" s="18"/>
      <c r="GZ25" s="18"/>
      <c r="HA25" s="18"/>
      <c r="HB25" s="18"/>
      <c r="HC25" s="18"/>
      <c r="HD25" s="18"/>
      <c r="HE25" s="18"/>
      <c r="HF25" s="18"/>
      <c r="HG25" s="18"/>
      <c r="HH25" s="18"/>
      <c r="HI25" s="18"/>
      <c r="HJ25" s="18"/>
      <c r="HK25" s="18"/>
      <c r="HL25" s="18"/>
      <c r="HM25" s="18"/>
      <c r="HN25" s="18"/>
      <c r="HO25" s="18"/>
      <c r="HP25" s="18"/>
      <c r="HQ25" s="18"/>
      <c r="HR25" s="18"/>
      <c r="HS25" s="18"/>
      <c r="HT25" s="18"/>
      <c r="HU25" s="18"/>
      <c r="HV25" s="18"/>
      <c r="HW25" s="18"/>
      <c r="HX25" s="18"/>
      <c r="HY25" s="18"/>
      <c r="HZ25" s="18"/>
      <c r="IA25" s="18"/>
      <c r="IB25" s="18"/>
      <c r="IC25" s="18"/>
      <c r="ID25" s="18"/>
      <c r="IE25" s="18"/>
      <c r="IF25" s="18"/>
      <c r="IG25" s="18"/>
      <c r="IH25" s="18"/>
      <c r="II25" s="18"/>
      <c r="IJ25" s="18"/>
      <c r="IK25" s="18"/>
      <c r="IL25" s="18"/>
      <c r="IM25" s="18"/>
      <c r="IN25" s="18"/>
      <c r="IO25" s="18"/>
      <c r="IP25" s="18"/>
      <c r="IQ25" s="18"/>
      <c r="IR25" s="18"/>
      <c r="IS25" s="18"/>
      <c r="IT25" s="18"/>
      <c r="IU25" s="18"/>
      <c r="IV25" s="18"/>
      <c r="IW25" s="18"/>
      <c r="IX25" s="18"/>
      <c r="IY25" s="18"/>
      <c r="IZ25" s="18"/>
      <c r="JA25" s="18"/>
      <c r="JB25" s="18"/>
      <c r="JC25" s="18"/>
      <c r="JD25" s="18"/>
      <c r="JE25" s="18"/>
      <c r="JF25" s="18"/>
      <c r="JG25" s="18"/>
      <c r="JH25" s="18"/>
      <c r="JI25" s="18"/>
      <c r="JJ25" s="18"/>
      <c r="JK25" s="18"/>
      <c r="JL25" s="18"/>
      <c r="JM25" s="18"/>
      <c r="JN25" s="18"/>
      <c r="JO25" s="18"/>
      <c r="JP25" s="18"/>
      <c r="JQ25" s="18"/>
      <c r="JR25" s="18"/>
      <c r="JS25" s="18"/>
      <c r="JT25" s="18"/>
      <c r="JU25" s="18"/>
      <c r="JV25" s="18"/>
      <c r="JW25" s="18"/>
      <c r="JX25" s="18"/>
      <c r="JZ25" s="220" t="str">
        <f>B25</f>
        <v>USES</v>
      </c>
      <c r="KA25" s="18"/>
      <c r="KB25" s="414" t="s">
        <v>132</v>
      </c>
      <c r="KC25" s="414" t="s">
        <v>133</v>
      </c>
      <c r="KD25" s="414" t="s">
        <v>134</v>
      </c>
      <c r="KE25" s="414" t="s">
        <v>80</v>
      </c>
      <c r="KF25" s="18"/>
      <c r="KG25" s="18"/>
      <c r="KH25" s="18"/>
      <c r="KI25" s="18"/>
      <c r="KJ25" s="18"/>
      <c r="KK25" s="18"/>
      <c r="KL25" s="18"/>
      <c r="KM25" s="18"/>
      <c r="KN25" s="18"/>
      <c r="KO25" s="18"/>
      <c r="KP25" s="18"/>
      <c r="KQ25" s="18"/>
      <c r="KR25" s="18"/>
      <c r="KS25" s="18"/>
      <c r="KT25" s="18"/>
      <c r="KU25" s="18"/>
      <c r="KV25" s="18"/>
      <c r="KW25" s="18"/>
      <c r="KX25" s="18"/>
      <c r="KY25" s="18"/>
      <c r="KZ25" s="18"/>
      <c r="LA25" s="18"/>
      <c r="LB25" s="18"/>
      <c r="LC25" s="18"/>
      <c r="LD25" s="18"/>
      <c r="LE25" s="18"/>
      <c r="LF25" s="18"/>
      <c r="LG25" s="18"/>
      <c r="LH25" s="18"/>
      <c r="LI25" s="18"/>
      <c r="LJ25" s="18"/>
      <c r="LK25" s="18"/>
      <c r="LL25" s="18"/>
      <c r="LM25" s="18"/>
      <c r="LN25" s="18"/>
      <c r="LO25" s="18"/>
      <c r="LP25" s="18"/>
      <c r="LQ25" s="18"/>
      <c r="LR25" s="18"/>
      <c r="LS25" s="18"/>
      <c r="LT25" s="18"/>
      <c r="LU25" s="18"/>
      <c r="LV25" s="18"/>
      <c r="LW25" s="18"/>
      <c r="LX25" s="18"/>
      <c r="LY25" s="18"/>
      <c r="LZ25" s="18"/>
      <c r="MA25" s="18"/>
      <c r="MB25" s="18"/>
      <c r="MC25" s="18"/>
      <c r="MD25" s="18"/>
      <c r="ME25" s="18"/>
      <c r="MF25" s="18"/>
      <c r="MG25" s="18"/>
      <c r="MH25" s="18"/>
      <c r="MI25" s="18"/>
      <c r="MJ25" s="18"/>
      <c r="MK25" s="18"/>
      <c r="ML25" s="18"/>
      <c r="MM25" s="18"/>
      <c r="MN25" s="18"/>
      <c r="MO25" s="18"/>
      <c r="MP25" s="18"/>
      <c r="MQ25" s="18"/>
      <c r="MR25" s="18"/>
      <c r="MS25" s="18"/>
      <c r="MT25" s="18"/>
      <c r="MU25" s="18"/>
      <c r="MV25" s="18"/>
      <c r="MW25" s="18"/>
      <c r="MX25" s="18"/>
      <c r="MY25" s="18"/>
      <c r="MZ25" s="18"/>
      <c r="NA25" s="18"/>
      <c r="NB25" s="18"/>
      <c r="NC25" s="18"/>
      <c r="ND25" s="18"/>
      <c r="NE25" s="18"/>
      <c r="NF25" s="18"/>
      <c r="NG25" s="18"/>
      <c r="NH25" s="18"/>
      <c r="NI25" s="18"/>
      <c r="NJ25" s="18"/>
      <c r="NK25" s="18"/>
      <c r="NL25" s="18"/>
      <c r="NM25" s="18"/>
      <c r="NN25" s="18"/>
      <c r="NO25" s="18"/>
      <c r="NP25" s="18"/>
      <c r="NQ25" s="18"/>
      <c r="NR25" s="18"/>
      <c r="NS25" s="18"/>
      <c r="NT25" s="18"/>
      <c r="NU25" s="18"/>
      <c r="NV25" s="18"/>
      <c r="NW25" s="18"/>
      <c r="NX25" s="18"/>
      <c r="NY25" s="18"/>
      <c r="NZ25" s="18"/>
      <c r="OA25" s="18"/>
      <c r="OB25" s="18"/>
      <c r="OC25" s="18"/>
      <c r="OD25" s="18"/>
      <c r="OE25" s="18"/>
      <c r="OF25" s="18"/>
      <c r="OG25" s="18"/>
      <c r="OH25" s="18"/>
      <c r="OI25" s="18"/>
      <c r="OJ25" s="18"/>
      <c r="OK25" s="18"/>
      <c r="OL25" s="18"/>
      <c r="OM25" s="18"/>
      <c r="ON25" s="18"/>
      <c r="OO25" s="18"/>
      <c r="OP25" s="18"/>
      <c r="OQ25" s="18"/>
      <c r="OR25" s="18"/>
      <c r="OS25" s="18"/>
      <c r="OT25" s="18"/>
      <c r="OU25" s="18"/>
      <c r="OV25" s="18"/>
      <c r="OW25" s="18"/>
      <c r="OX25" s="18"/>
      <c r="OY25" s="18"/>
      <c r="OZ25" s="18"/>
      <c r="PA25" s="18"/>
      <c r="PB25" s="18"/>
      <c r="PC25" s="18"/>
      <c r="PD25" s="18"/>
      <c r="PE25" s="18"/>
      <c r="PF25" s="18"/>
      <c r="PG25" s="18"/>
      <c r="PH25" s="18"/>
    </row>
    <row r="26">
      <c r="B26" s="34" t="s">
        <v>135</v>
      </c>
      <c r="C26" s="404"/>
      <c r="D26" s="404"/>
      <c r="E26" s="404"/>
      <c r="F26" s="404"/>
      <c r="G26" s="404"/>
      <c r="H26" s="404"/>
      <c r="I26" s="404"/>
      <c r="J26" s="22"/>
      <c r="K26" s="22" t="s">
        <v>136</v>
      </c>
      <c r="L26" s="93" t="n">
        <f>L25</f>
        <v>0.2078400372677355</v>
      </c>
      <c r="M26" s="93" t="n">
        <f>M25-L25</f>
        <v>0.000506646923791515</v>
      </c>
      <c r="N26" s="93" t="n">
        <f t="shared" ref="N26:BY26" si="283">N25-M25</f>
        <v>0.0011543003179873002</v>
      </c>
      <c r="O26" s="93">
        <f t="shared" si="283"/>
        <v>2.0792559507966102E-3</v>
      </c>
      <c r="P26" s="93">
        <f t="shared" si="283"/>
        <v>3.3607505701818141E-3</v>
      </c>
      <c r="Q26" s="93">
        <f t="shared" si="283"/>
        <v>5.3551513395048711E-3</v>
      </c>
      <c r="R26" s="93">
        <f t="shared" si="283"/>
        <v>7.3221984749418378E-3</v>
      </c>
      <c r="S26" s="93">
        <f t="shared" si="283"/>
        <v>1.014383026926749E-2</v>
      </c>
      <c r="T26" s="93">
        <f t="shared" si="283"/>
        <v>1.3579949103502104E-2</v>
      </c>
      <c r="U26" s="93">
        <f t="shared" si="283"/>
        <v>1.7619268154657752E-2</v>
      </c>
      <c r="V26" s="93">
        <f t="shared" si="283"/>
        <v>2.2193713991934538E-2</v>
      </c>
      <c r="W26" s="93">
        <f t="shared" si="283"/>
        <v>2.7170456880563298E-2</v>
      </c>
      <c r="X26" s="93">
        <f t="shared" si="283"/>
        <v>3.2351188177513091E-2</v>
      </c>
      <c r="Y26" s="93">
        <f t="shared" si="283"/>
        <v>3.7480552982459725E-2</v>
      </c>
      <c r="Z26" s="93">
        <f t="shared" si="283"/>
        <v>4.2264276116443122E-2</v>
      </c>
      <c r="AA26" s="93">
        <f t="shared" si="283"/>
        <v>4.6395737003981585E-2</v>
      </c>
      <c r="AB26" s="93">
        <f t="shared" si="283"/>
        <v>4.9587915422685147E-2</v>
      </c>
      <c r="AC26" s="93">
        <f t="shared" si="283"/>
        <v>5.1606186205502613E-2</v>
      </c>
      <c r="AD26" s="93">
        <f t="shared" si="283"/>
        <v>5.2296789569778124E-2</v>
      </c>
      <c r="AE26" s="93">
        <f t="shared" si="283"/>
        <v>5.1606186205502724E-2</v>
      </c>
      <c r="AF26" s="93">
        <f t="shared" si="283"/>
        <v>4.9587915422684925E-2</v>
      </c>
      <c r="AG26" s="93">
        <f t="shared" si="283"/>
        <v>4.6395737003981696E-2</v>
      </c>
      <c r="AH26" s="93">
        <f t="shared" si="283"/>
        <v>4.2264276116443122E-2</v>
      </c>
      <c r="AI26" s="93">
        <f t="shared" si="283"/>
        <v>3.7480552982459669E-2</v>
      </c>
      <c r="AJ26" s="93">
        <f t="shared" si="283"/>
        <v>3.2351188177513146E-2</v>
      </c>
      <c r="AK26" s="93">
        <f t="shared" si="283"/>
        <v>2.7170456880563298E-2</v>
      </c>
      <c r="AL26" s="93">
        <f t="shared" si="283"/>
        <v>2.2193713991934483E-2</v>
      </c>
      <c r="AM26" s="93">
        <f t="shared" si="283"/>
        <v>1.7619268154657752E-2</v>
      </c>
      <c r="AN26" s="93">
        <f t="shared" si="283"/>
        <v>1.357994910350202E-2</v>
      </c>
      <c r="AO26" s="93">
        <f t="shared" si="283"/>
        <v>1.0143830269267573E-2</v>
      </c>
      <c r="AP26" s="93">
        <f t="shared" si="283"/>
        <v>7.3221984749418656E-3</v>
      </c>
      <c r="AQ26" s="93">
        <f t="shared" si="283"/>
        <v>5.082108820647302E-3</v>
      </c>
      <c r="AR26" s="93">
        <f t="shared" si="283"/>
        <v>3.3607505701818141E-3</v>
      </c>
      <c r="AS26" s="93">
        <f t="shared" si="283"/>
        <v>2.0792559507966102E-3</v>
      </c>
      <c r="AT26" s="93">
        <f t="shared" si="283"/>
        <v>1.1543003179873557E-3</v>
      </c>
      <c r="AU26" s="93">
        <f t="shared" si="283"/>
        <v>5.0664692379143172E-4</v>
      </c>
      <c r="AV26" s="93">
        <f t="shared" si="283"/>
        <v>6.6502428772929889E-5</v>
      </c>
      <c r="AW26" s="93">
        <f t="shared" si="283"/>
        <v>0</v>
      </c>
      <c r="AX26" s="93">
        <f t="shared" si="283"/>
        <v>0</v>
      </c>
      <c r="AY26" s="93">
        <f t="shared" si="283"/>
        <v>0</v>
      </c>
      <c r="AZ26" s="93">
        <f t="shared" si="283"/>
        <v>0</v>
      </c>
      <c r="BA26" s="93">
        <f t="shared" si="283"/>
        <v>0</v>
      </c>
      <c r="BB26" s="93">
        <f t="shared" si="283"/>
        <v>0</v>
      </c>
      <c r="BC26" s="93">
        <f t="shared" si="283"/>
        <v>0</v>
      </c>
      <c r="BD26" s="93">
        <f t="shared" si="283"/>
        <v>0</v>
      </c>
      <c r="BE26" s="93">
        <f t="shared" si="283"/>
        <v>0</v>
      </c>
      <c r="BF26" s="93">
        <f t="shared" si="283"/>
        <v>0</v>
      </c>
      <c r="BG26" s="93">
        <f t="shared" si="283"/>
        <v>0</v>
      </c>
      <c r="BH26" s="93">
        <f t="shared" si="283"/>
        <v>0</v>
      </c>
      <c r="BI26" s="93">
        <f t="shared" si="283"/>
        <v>0</v>
      </c>
      <c r="BJ26" s="93">
        <f t="shared" si="283"/>
        <v>0</v>
      </c>
      <c r="BK26" s="93">
        <f t="shared" si="283"/>
        <v>0</v>
      </c>
      <c r="BL26" s="93">
        <f t="shared" si="283"/>
        <v>0</v>
      </c>
      <c r="BM26" s="93">
        <f t="shared" si="283"/>
        <v>0</v>
      </c>
      <c r="BN26" s="93">
        <f t="shared" si="283"/>
        <v>0</v>
      </c>
      <c r="BO26" s="93">
        <f t="shared" si="283"/>
        <v>0</v>
      </c>
      <c r="BP26" s="93">
        <f t="shared" si="283"/>
        <v>0</v>
      </c>
      <c r="BQ26" s="93">
        <f t="shared" si="283"/>
        <v>0</v>
      </c>
      <c r="BR26" s="93">
        <f t="shared" si="283"/>
        <v>0</v>
      </c>
      <c r="BS26" s="93">
        <f t="shared" si="283"/>
        <v>0</v>
      </c>
      <c r="BT26" s="93">
        <f t="shared" si="283"/>
        <v>0</v>
      </c>
      <c r="BU26" s="93">
        <f t="shared" si="283"/>
        <v>0</v>
      </c>
      <c r="BV26" s="93">
        <f t="shared" si="283"/>
        <v>0</v>
      </c>
      <c r="BW26" s="93">
        <f t="shared" si="283"/>
        <v>0</v>
      </c>
      <c r="BX26" s="93">
        <f t="shared" si="283"/>
        <v>0</v>
      </c>
      <c r="BY26" s="93">
        <f t="shared" si="283"/>
        <v>0</v>
      </c>
      <c r="BZ26" s="93" t="n">
        <f t="shared" ref="BZ26:EK26" si="284">BZ25-BY25</f>
        <v>0</v>
      </c>
      <c r="CA26" s="93">
        <f t="shared" si="284"/>
        <v>0</v>
      </c>
      <c r="CB26" s="93">
        <f t="shared" si="284"/>
        <v>0</v>
      </c>
      <c r="CC26" s="93">
        <f t="shared" si="284"/>
        <v>0</v>
      </c>
      <c r="CD26" s="93">
        <f t="shared" si="284"/>
        <v>0</v>
      </c>
      <c r="CE26" s="93">
        <f t="shared" si="284"/>
        <v>0</v>
      </c>
      <c r="CF26" s="93">
        <f t="shared" si="284"/>
        <v>0</v>
      </c>
      <c r="CG26" s="93">
        <f t="shared" si="284"/>
        <v>0</v>
      </c>
      <c r="CH26" s="93">
        <f t="shared" si="284"/>
        <v>0</v>
      </c>
      <c r="CI26" s="93">
        <f t="shared" si="284"/>
        <v>0</v>
      </c>
      <c r="CJ26" s="93">
        <f t="shared" si="284"/>
        <v>0</v>
      </c>
      <c r="CK26" s="93">
        <f t="shared" si="284"/>
        <v>0</v>
      </c>
      <c r="CL26" s="93">
        <f t="shared" si="284"/>
        <v>0</v>
      </c>
      <c r="CM26" s="93">
        <f t="shared" si="284"/>
        <v>0</v>
      </c>
      <c r="CN26" s="93">
        <f t="shared" si="284"/>
        <v>0</v>
      </c>
      <c r="CO26" s="93">
        <f t="shared" si="284"/>
        <v>0</v>
      </c>
      <c r="CP26" s="93">
        <f t="shared" si="284"/>
        <v>0</v>
      </c>
      <c r="CQ26" s="93">
        <f t="shared" si="284"/>
        <v>0</v>
      </c>
      <c r="CR26" s="93">
        <f t="shared" si="284"/>
        <v>0</v>
      </c>
      <c r="CS26" s="93">
        <f t="shared" si="284"/>
        <v>0</v>
      </c>
      <c r="CT26" s="93">
        <f t="shared" si="284"/>
        <v>0</v>
      </c>
      <c r="CU26" s="93">
        <f t="shared" si="284"/>
        <v>0</v>
      </c>
      <c r="CV26" s="93">
        <f t="shared" si="284"/>
        <v>0</v>
      </c>
      <c r="CW26" s="93">
        <f t="shared" si="284"/>
        <v>0</v>
      </c>
      <c r="CX26" s="93">
        <f t="shared" si="284"/>
        <v>0</v>
      </c>
      <c r="CY26" s="93">
        <f t="shared" si="284"/>
        <v>0</v>
      </c>
      <c r="CZ26" s="93">
        <f t="shared" si="284"/>
        <v>0</v>
      </c>
      <c r="DA26" s="93">
        <f t="shared" si="284"/>
        <v>0</v>
      </c>
      <c r="DB26" s="93">
        <f t="shared" si="284"/>
        <v>0</v>
      </c>
      <c r="DC26" s="93">
        <f t="shared" si="284"/>
        <v>0</v>
      </c>
      <c r="DD26" s="93">
        <f t="shared" si="284"/>
        <v>0</v>
      </c>
      <c r="DE26" s="93">
        <f t="shared" si="284"/>
        <v>0</v>
      </c>
      <c r="DF26" s="93">
        <f t="shared" si="284"/>
        <v>0</v>
      </c>
      <c r="DG26" s="93">
        <f t="shared" si="284"/>
        <v>0</v>
      </c>
      <c r="DH26" s="93">
        <f t="shared" si="284"/>
        <v>0</v>
      </c>
      <c r="DI26" s="93">
        <f t="shared" si="284"/>
        <v>0</v>
      </c>
      <c r="DJ26" s="93">
        <f t="shared" si="284"/>
        <v>0</v>
      </c>
      <c r="DK26" s="93">
        <f t="shared" si="284"/>
        <v>0</v>
      </c>
      <c r="DL26" s="93">
        <f t="shared" si="284"/>
        <v>0</v>
      </c>
      <c r="DM26" s="93">
        <f t="shared" si="284"/>
        <v>0</v>
      </c>
      <c r="DN26" s="93">
        <f t="shared" si="284"/>
        <v>0</v>
      </c>
      <c r="DO26" s="93">
        <f t="shared" si="284"/>
        <v>0</v>
      </c>
      <c r="DP26" s="93">
        <f t="shared" si="284"/>
        <v>0</v>
      </c>
      <c r="DQ26" s="93">
        <f t="shared" si="284"/>
        <v>0</v>
      </c>
      <c r="DR26" s="93">
        <f t="shared" si="284"/>
        <v>0</v>
      </c>
      <c r="DS26" s="93">
        <f t="shared" si="284"/>
        <v>0</v>
      </c>
      <c r="DT26" s="93">
        <f t="shared" si="284"/>
        <v>0</v>
      </c>
      <c r="DU26" s="93">
        <f t="shared" si="284"/>
        <v>0</v>
      </c>
      <c r="DV26" s="93">
        <f t="shared" si="284"/>
        <v>0</v>
      </c>
      <c r="DW26" s="93">
        <f t="shared" si="284"/>
        <v>0</v>
      </c>
      <c r="DX26" s="93">
        <f t="shared" si="284"/>
        <v>0</v>
      </c>
      <c r="DY26" s="93">
        <f t="shared" si="284"/>
        <v>0</v>
      </c>
      <c r="DZ26" s="93">
        <f t="shared" si="284"/>
        <v>0</v>
      </c>
      <c r="EA26" s="93">
        <f t="shared" si="284"/>
        <v>0</v>
      </c>
      <c r="EB26" s="93">
        <f t="shared" si="284"/>
        <v>0</v>
      </c>
      <c r="EC26" s="93">
        <f t="shared" si="284"/>
        <v>0</v>
      </c>
      <c r="ED26" s="93">
        <f t="shared" si="284"/>
        <v>0</v>
      </c>
      <c r="EE26" s="93">
        <f t="shared" si="284"/>
        <v>0</v>
      </c>
      <c r="EF26" s="93">
        <f t="shared" si="284"/>
        <v>0</v>
      </c>
      <c r="EG26" s="93">
        <f t="shared" si="284"/>
        <v>0</v>
      </c>
      <c r="EH26" s="93">
        <f t="shared" si="284"/>
        <v>0</v>
      </c>
      <c r="EI26" s="93">
        <f t="shared" si="284"/>
        <v>0</v>
      </c>
      <c r="EJ26" s="93">
        <f t="shared" si="284"/>
        <v>0</v>
      </c>
      <c r="EK26" s="93">
        <f t="shared" si="284"/>
        <v>0</v>
      </c>
      <c r="EL26" s="93" t="n">
        <f>EL25-EK25</f>
        <v>0</v>
      </c>
      <c r="EM26" s="93" t="n">
        <f>EM25-EL25</f>
        <v>0</v>
      </c>
      <c r="EN26" s="93" t="n">
        <f>EN25-EM25</f>
        <v>0</v>
      </c>
      <c r="EP26" s="220"/>
      <c r="EQ26" s="18"/>
      <c r="ER26" s="18"/>
      <c r="ES26" s="18"/>
      <c r="ET26" s="18"/>
      <c r="EU26" s="18"/>
      <c r="EV26" s="18"/>
      <c r="EW26" s="18"/>
      <c r="EX26" s="18"/>
      <c r="EY26" s="18"/>
      <c r="EZ26" s="18"/>
      <c r="FA26" s="18"/>
      <c r="FB26" s="18"/>
      <c r="FC26" s="18"/>
      <c r="FD26" s="18"/>
      <c r="FE26" s="18"/>
      <c r="FF26" s="18"/>
      <c r="FG26" s="18"/>
      <c r="FH26" s="18"/>
      <c r="FI26" s="18"/>
      <c r="FJ26" s="18"/>
      <c r="FK26" s="18"/>
      <c r="FL26" s="18"/>
      <c r="FM26" s="18"/>
      <c r="FN26" s="18"/>
      <c r="FO26" s="18"/>
      <c r="FP26" s="18"/>
      <c r="FQ26" s="18"/>
      <c r="FR26" s="18"/>
      <c r="FS26" s="18"/>
      <c r="FT26" s="18"/>
      <c r="FU26" s="18"/>
      <c r="FV26" s="18"/>
      <c r="FW26" s="18"/>
      <c r="FX26" s="18"/>
      <c r="FY26" s="18"/>
      <c r="FZ26" s="18"/>
      <c r="GA26" s="18"/>
      <c r="GB26" s="18"/>
      <c r="GC26" s="18"/>
      <c r="GD26" s="18"/>
      <c r="GE26" s="18"/>
      <c r="GF26" s="18"/>
      <c r="GG26" s="18"/>
      <c r="GH26" s="18"/>
      <c r="GI26" s="18"/>
      <c r="GJ26" s="18"/>
      <c r="GK26" s="18"/>
      <c r="GL26" s="18"/>
      <c r="GM26" s="18"/>
      <c r="GN26" s="18"/>
      <c r="GO26" s="18"/>
      <c r="GP26" s="18"/>
      <c r="GQ26" s="18"/>
      <c r="GR26" s="18"/>
      <c r="GS26" s="18"/>
      <c r="GT26" s="18"/>
      <c r="GU26" s="18"/>
      <c r="GV26" s="18"/>
      <c r="GW26" s="18"/>
      <c r="GX26" s="18"/>
      <c r="GY26" s="18"/>
      <c r="GZ26" s="18"/>
      <c r="HA26" s="18"/>
      <c r="HB26" s="18"/>
      <c r="HC26" s="18"/>
      <c r="HD26" s="18"/>
      <c r="HE26" s="18"/>
      <c r="HF26" s="18"/>
      <c r="HG26" s="18"/>
      <c r="HH26" s="18"/>
      <c r="HI26" s="18"/>
      <c r="HJ26" s="18"/>
      <c r="HK26" s="18"/>
      <c r="HL26" s="18"/>
      <c r="HM26" s="18"/>
      <c r="HN26" s="18"/>
      <c r="HO26" s="18"/>
      <c r="HP26" s="18"/>
      <c r="HQ26" s="18"/>
      <c r="HR26" s="18"/>
      <c r="HS26" s="18"/>
      <c r="HT26" s="18"/>
      <c r="HU26" s="18"/>
      <c r="HV26" s="18"/>
      <c r="HW26" s="18"/>
      <c r="HX26" s="18"/>
      <c r="HY26" s="18"/>
      <c r="HZ26" s="18"/>
      <c r="IA26" s="18"/>
      <c r="IB26" s="18"/>
      <c r="IC26" s="18"/>
      <c r="ID26" s="18"/>
      <c r="IE26" s="18"/>
      <c r="IF26" s="18"/>
      <c r="IG26" s="18"/>
      <c r="IH26" s="18"/>
      <c r="II26" s="18"/>
      <c r="IJ26" s="18"/>
      <c r="IK26" s="18"/>
      <c r="IL26" s="18"/>
      <c r="IM26" s="18"/>
      <c r="IN26" s="18"/>
      <c r="IO26" s="18"/>
      <c r="IP26" s="18"/>
      <c r="IQ26" s="18"/>
      <c r="IR26" s="18"/>
      <c r="IS26" s="18"/>
      <c r="IT26" s="18"/>
      <c r="IU26" s="18"/>
      <c r="IV26" s="18"/>
      <c r="IW26" s="18"/>
      <c r="IX26" s="18"/>
      <c r="IY26" s="18"/>
      <c r="IZ26" s="18"/>
      <c r="JA26" s="18"/>
      <c r="JB26" s="18"/>
      <c r="JC26" s="18"/>
      <c r="JD26" s="18"/>
      <c r="JE26" s="18"/>
      <c r="JF26" s="18"/>
      <c r="JG26" s="18"/>
      <c r="JH26" s="18"/>
      <c r="JI26" s="18"/>
      <c r="JJ26" s="18"/>
      <c r="JK26" s="18"/>
      <c r="JL26" s="18"/>
      <c r="JM26" s="18"/>
      <c r="JN26" s="18"/>
      <c r="JO26" s="18"/>
      <c r="JP26" s="18"/>
      <c r="JQ26" s="18"/>
      <c r="JR26" s="18"/>
      <c r="JS26" s="18"/>
      <c r="JT26" s="18"/>
      <c r="JU26" s="18"/>
      <c r="JV26" s="18"/>
      <c r="JW26" s="18"/>
      <c r="JX26" s="18"/>
      <c r="JZ26" s="220" t="str">
        <f t="shared" ref="JZ26:JZ46" si="285">B26</f>
        <v>Land Costs</v>
      </c>
      <c r="KA26" s="18"/>
      <c r="KB26" s="18"/>
      <c r="KC26" s="18"/>
      <c r="KD26" s="18"/>
      <c r="KE26" s="18"/>
      <c r="KF26" s="18"/>
      <c r="KG26" s="18"/>
      <c r="KH26" s="18"/>
      <c r="KI26" s="18"/>
      <c r="KJ26" s="18"/>
      <c r="KK26" s="18"/>
      <c r="KL26" s="18"/>
      <c r="KM26" s="18"/>
      <c r="KN26" s="18"/>
      <c r="KO26" s="18"/>
      <c r="KP26" s="18"/>
      <c r="KQ26" s="18"/>
      <c r="KR26" s="18"/>
      <c r="KS26" s="18"/>
      <c r="KT26" s="18"/>
      <c r="KU26" s="18"/>
      <c r="KV26" s="18"/>
      <c r="KW26" s="18"/>
      <c r="KX26" s="18"/>
      <c r="KY26" s="18"/>
      <c r="KZ26" s="18"/>
      <c r="LA26" s="18"/>
      <c r="LB26" s="18"/>
      <c r="LC26" s="18"/>
      <c r="LD26" s="18"/>
      <c r="LE26" s="18"/>
      <c r="LF26" s="18"/>
      <c r="LG26" s="18"/>
      <c r="LH26" s="18"/>
      <c r="LI26" s="18"/>
      <c r="LJ26" s="18"/>
      <c r="LK26" s="18"/>
      <c r="LL26" s="18"/>
      <c r="LM26" s="18"/>
      <c r="LN26" s="18"/>
      <c r="LO26" s="18"/>
      <c r="LP26" s="18"/>
      <c r="LQ26" s="18"/>
      <c r="LR26" s="18"/>
      <c r="LS26" s="18"/>
      <c r="LT26" s="18"/>
      <c r="LU26" s="18"/>
      <c r="LV26" s="18"/>
      <c r="LW26" s="18"/>
      <c r="LX26" s="18"/>
      <c r="LY26" s="18"/>
      <c r="LZ26" s="18"/>
      <c r="MA26" s="18"/>
      <c r="MB26" s="18"/>
      <c r="MC26" s="18"/>
      <c r="MD26" s="18"/>
      <c r="ME26" s="18"/>
      <c r="MF26" s="18"/>
      <c r="MG26" s="18"/>
      <c r="MH26" s="18"/>
      <c r="MI26" s="18"/>
      <c r="MJ26" s="18"/>
      <c r="MK26" s="18"/>
      <c r="ML26" s="18"/>
      <c r="MM26" s="18"/>
      <c r="MN26" s="18"/>
      <c r="MO26" s="18"/>
      <c r="MP26" s="18"/>
      <c r="MQ26" s="18"/>
      <c r="MR26" s="18"/>
      <c r="MS26" s="18"/>
      <c r="MT26" s="18"/>
      <c r="MU26" s="18"/>
      <c r="MV26" s="18"/>
      <c r="MW26" s="18"/>
      <c r="MX26" s="18"/>
      <c r="MY26" s="18"/>
      <c r="MZ26" s="18"/>
      <c r="NA26" s="18"/>
      <c r="NB26" s="18"/>
      <c r="NC26" s="18"/>
      <c r="ND26" s="18"/>
      <c r="NE26" s="18"/>
      <c r="NF26" s="18"/>
      <c r="NG26" s="18"/>
      <c r="NH26" s="18"/>
      <c r="NI26" s="18"/>
      <c r="NJ26" s="18"/>
      <c r="NK26" s="18"/>
      <c r="NL26" s="18"/>
      <c r="NM26" s="18"/>
      <c r="NN26" s="18"/>
      <c r="NO26" s="18"/>
      <c r="NP26" s="18"/>
      <c r="NQ26" s="18"/>
      <c r="NR26" s="18"/>
      <c r="NS26" s="18"/>
      <c r="NT26" s="18"/>
      <c r="NU26" s="18"/>
      <c r="NV26" s="18"/>
      <c r="NW26" s="18"/>
      <c r="NX26" s="18"/>
      <c r="NY26" s="18"/>
      <c r="NZ26" s="18"/>
      <c r="OA26" s="18"/>
      <c r="OB26" s="18"/>
      <c r="OC26" s="18"/>
      <c r="OD26" s="18"/>
      <c r="OE26" s="18"/>
      <c r="OF26" s="18"/>
      <c r="OG26" s="18"/>
      <c r="OH26" s="18"/>
      <c r="OI26" s="18"/>
      <c r="OJ26" s="18"/>
      <c r="OK26" s="18"/>
      <c r="OL26" s="18"/>
      <c r="OM26" s="18"/>
      <c r="ON26" s="18"/>
      <c r="OO26" s="18"/>
      <c r="OP26" s="18"/>
      <c r="OQ26" s="18"/>
      <c r="OR26" s="18"/>
      <c r="OS26" s="18"/>
      <c r="OT26" s="18"/>
      <c r="OU26" s="18"/>
      <c r="OV26" s="18"/>
      <c r="OW26" s="18"/>
      <c r="OX26" s="18"/>
      <c r="OY26" s="18"/>
      <c r="OZ26" s="18"/>
      <c r="PA26" s="18"/>
      <c r="PB26" s="18"/>
      <c r="PC26" s="18"/>
      <c r="PD26" s="18"/>
      <c r="PE26" s="18"/>
      <c r="PF26" s="18"/>
      <c r="PG26" s="18"/>
      <c r="PH26" s="18"/>
    </row>
    <row r="27">
      <c r="B27" s="417"/>
      <c r="C27" s="404">
        <v>0</v>
      </c>
      <c r="D27" s="46"/>
      <c r="E27" s="46" t="n">
        <f>D27</f>
        <v>0</v>
      </c>
      <c r="F27" s="418" t="s">
        <v>137</v>
      </c>
      <c r="G27" s="135" t="n">
        <f>I27/Units_SF_M2</f>
        <v>1169.291496440282</v>
      </c>
      <c r="H27" s="419"/>
      <c r="I27" s="420" t="n">
        <f>PROJECTS!$AP$171*1000000</f>
        <v>91570000</v>
      </c>
      <c r="K27" s="22" t="str">
        <f>IF(ROUND(SUM(L27:EN27),0)=ROUND(I27,0),"","Incomplete")</f>
      </c>
      <c r="L27" s="421" t="n">
        <f t="shared" ref="L27:U30" si="286">AND(L$23&gt;=$D27,L$23&lt;=$E27)*(OR($F27="Straight-Line",$F27="Detail")*($I27/$ES27)+($F27="S-Curve")*EV27+OR($F27="Steady Growth",$F27="Steady Decline")*KF27)</f>
        <v>91570000</v>
      </c>
      <c r="M27" s="421">
        <f t="shared" si="286"/>
        <v>0</v>
      </c>
      <c r="N27" s="421">
        <f t="shared" si="286"/>
        <v>0</v>
      </c>
      <c r="O27" s="421">
        <f t="shared" si="286"/>
        <v>0</v>
      </c>
      <c r="P27" s="421">
        <f t="shared" si="286"/>
        <v>0</v>
      </c>
      <c r="Q27" s="421">
        <f t="shared" si="286"/>
        <v>0</v>
      </c>
      <c r="R27" s="421">
        <f t="shared" si="286"/>
        <v>0</v>
      </c>
      <c r="S27" s="421">
        <f t="shared" si="286"/>
        <v>0</v>
      </c>
      <c r="T27" s="421">
        <f t="shared" si="286"/>
        <v>0</v>
      </c>
      <c r="U27" s="421">
        <f t="shared" si="286"/>
        <v>0</v>
      </c>
      <c r="V27" s="421" t="n">
        <f t="shared" ref="V27:AE30" si="287">AND(V$23&gt;=$D27,V$23&lt;=$E27)*(OR($F27="Straight-Line",$F27="Detail")*($I27/$ES27)+($F27="S-Curve")*FF27+OR($F27="Steady Growth",$F27="Steady Decline")*KP27)</f>
        <v>0</v>
      </c>
      <c r="W27" s="421">
        <f t="shared" si="287"/>
        <v>0</v>
      </c>
      <c r="X27" s="421">
        <f t="shared" si="287"/>
        <v>0</v>
      </c>
      <c r="Y27" s="421">
        <f t="shared" si="287"/>
        <v>0</v>
      </c>
      <c r="Z27" s="421">
        <f t="shared" si="287"/>
        <v>0</v>
      </c>
      <c r="AA27" s="421">
        <f t="shared" si="287"/>
        <v>0</v>
      </c>
      <c r="AB27" s="421">
        <f t="shared" si="287"/>
        <v>0</v>
      </c>
      <c r="AC27" s="421">
        <f t="shared" si="287"/>
        <v>0</v>
      </c>
      <c r="AD27" s="421">
        <f t="shared" si="287"/>
        <v>0</v>
      </c>
      <c r="AE27" s="421">
        <f t="shared" si="287"/>
        <v>0</v>
      </c>
      <c r="AF27" s="421" t="n">
        <f t="shared" ref="AF27:AO30" si="288">AND(AF$23&gt;=$D27,AF$23&lt;=$E27)*(OR($F27="Straight-Line",$F27="Detail")*($I27/$ES27)+($F27="S-Curve")*FP27+OR($F27="Steady Growth",$F27="Steady Decline")*KZ27)</f>
        <v>0</v>
      </c>
      <c r="AG27" s="421">
        <f t="shared" si="288"/>
        <v>0</v>
      </c>
      <c r="AH27" s="421">
        <f t="shared" si="288"/>
        <v>0</v>
      </c>
      <c r="AI27" s="421">
        <f t="shared" si="288"/>
        <v>0</v>
      </c>
      <c r="AJ27" s="421">
        <f t="shared" si="288"/>
        <v>0</v>
      </c>
      <c r="AK27" s="421">
        <f t="shared" si="288"/>
        <v>0</v>
      </c>
      <c r="AL27" s="421">
        <f t="shared" si="288"/>
        <v>0</v>
      </c>
      <c r="AM27" s="421">
        <f t="shared" si="288"/>
        <v>0</v>
      </c>
      <c r="AN27" s="421">
        <f t="shared" si="288"/>
        <v>0</v>
      </c>
      <c r="AO27" s="421">
        <f t="shared" si="288"/>
        <v>0</v>
      </c>
      <c r="AP27" s="421" t="n">
        <f t="shared" ref="AP27:AY30" si="289">AND(AP$23&gt;=$D27,AP$23&lt;=$E27)*(OR($F27="Straight-Line",$F27="Detail")*($I27/$ES27)+($F27="S-Curve")*FZ27+OR($F27="Steady Growth",$F27="Steady Decline")*LJ27)</f>
        <v>0</v>
      </c>
      <c r="AQ27" s="421">
        <f t="shared" si="289"/>
        <v>0</v>
      </c>
      <c r="AR27" s="421">
        <f t="shared" si="289"/>
        <v>0</v>
      </c>
      <c r="AS27" s="421">
        <f t="shared" si="289"/>
        <v>0</v>
      </c>
      <c r="AT27" s="421">
        <f t="shared" si="289"/>
        <v>0</v>
      </c>
      <c r="AU27" s="421">
        <f t="shared" si="289"/>
        <v>0</v>
      </c>
      <c r="AV27" s="421">
        <f t="shared" si="289"/>
        <v>0</v>
      </c>
      <c r="AW27" s="421">
        <f t="shared" si="289"/>
        <v>0</v>
      </c>
      <c r="AX27" s="421">
        <f t="shared" si="289"/>
        <v>0</v>
      </c>
      <c r="AY27" s="421">
        <f t="shared" si="289"/>
        <v>0</v>
      </c>
      <c r="AZ27" s="421" t="n">
        <f t="shared" ref="AZ27:BI30" si="290">AND(AZ$23&gt;=$D27,AZ$23&lt;=$E27)*(OR($F27="Straight-Line",$F27="Detail")*($I27/$ES27)+($F27="S-Curve")*GJ27+OR($F27="Steady Growth",$F27="Steady Decline")*LT27)</f>
        <v>0</v>
      </c>
      <c r="BA27" s="421">
        <f t="shared" si="290"/>
        <v>0</v>
      </c>
      <c r="BB27" s="421">
        <f t="shared" si="290"/>
        <v>0</v>
      </c>
      <c r="BC27" s="421">
        <f t="shared" si="290"/>
        <v>0</v>
      </c>
      <c r="BD27" s="421">
        <f t="shared" si="290"/>
        <v>0</v>
      </c>
      <c r="BE27" s="421">
        <f t="shared" si="290"/>
        <v>0</v>
      </c>
      <c r="BF27" s="421">
        <f t="shared" si="290"/>
        <v>0</v>
      </c>
      <c r="BG27" s="421">
        <f t="shared" si="290"/>
        <v>0</v>
      </c>
      <c r="BH27" s="421">
        <f t="shared" si="290"/>
        <v>0</v>
      </c>
      <c r="BI27" s="421">
        <f t="shared" si="290"/>
        <v>0</v>
      </c>
      <c r="BJ27" s="421" t="n">
        <f t="shared" ref="BJ27:BS30" si="291">AND(BJ$23&gt;=$D27,BJ$23&lt;=$E27)*(OR($F27="Straight-Line",$F27="Detail")*($I27/$ES27)+($F27="S-Curve")*GT27+OR($F27="Steady Growth",$F27="Steady Decline")*MD27)</f>
        <v>0</v>
      </c>
      <c r="BK27" s="421">
        <f t="shared" si="291"/>
        <v>0</v>
      </c>
      <c r="BL27" s="421">
        <f t="shared" si="291"/>
        <v>0</v>
      </c>
      <c r="BM27" s="421">
        <f t="shared" si="291"/>
        <v>0</v>
      </c>
      <c r="BN27" s="421">
        <f t="shared" si="291"/>
        <v>0</v>
      </c>
      <c r="BO27" s="421">
        <f t="shared" si="291"/>
        <v>0</v>
      </c>
      <c r="BP27" s="421">
        <f t="shared" si="291"/>
        <v>0</v>
      </c>
      <c r="BQ27" s="421">
        <f t="shared" si="291"/>
        <v>0</v>
      </c>
      <c r="BR27" s="421">
        <f t="shared" si="291"/>
        <v>0</v>
      </c>
      <c r="BS27" s="421">
        <f t="shared" si="291"/>
        <v>0</v>
      </c>
      <c r="BT27" s="421" t="n">
        <f t="shared" ref="BT27:CC30" si="292">AND(BT$23&gt;=$D27,BT$23&lt;=$E27)*(OR($F27="Straight-Line",$F27="Detail")*($I27/$ES27)+($F27="S-Curve")*HD27+OR($F27="Steady Growth",$F27="Steady Decline")*MN27)</f>
        <v>0</v>
      </c>
      <c r="BU27" s="421">
        <f t="shared" si="292"/>
        <v>0</v>
      </c>
      <c r="BV27" s="421">
        <f t="shared" si="292"/>
        <v>0</v>
      </c>
      <c r="BW27" s="421">
        <f t="shared" si="292"/>
        <v>0</v>
      </c>
      <c r="BX27" s="421">
        <f t="shared" si="292"/>
        <v>0</v>
      </c>
      <c r="BY27" s="421">
        <f t="shared" si="292"/>
        <v>0</v>
      </c>
      <c r="BZ27" s="421">
        <f t="shared" si="292"/>
        <v>0</v>
      </c>
      <c r="CA27" s="421">
        <f t="shared" si="292"/>
        <v>0</v>
      </c>
      <c r="CB27" s="421">
        <f t="shared" si="292"/>
        <v>0</v>
      </c>
      <c r="CC27" s="421">
        <f t="shared" si="292"/>
        <v>0</v>
      </c>
      <c r="CD27" s="421" t="n">
        <f t="shared" ref="CD27:CM30" si="293">AND(CD$23&gt;=$D27,CD$23&lt;=$E27)*(OR($F27="Straight-Line",$F27="Detail")*($I27/$ES27)+($F27="S-Curve")*HN27+OR($F27="Steady Growth",$F27="Steady Decline")*MX27)</f>
        <v>0</v>
      </c>
      <c r="CE27" s="421">
        <f t="shared" si="293"/>
        <v>0</v>
      </c>
      <c r="CF27" s="421">
        <f t="shared" si="293"/>
        <v>0</v>
      </c>
      <c r="CG27" s="421">
        <f t="shared" si="293"/>
        <v>0</v>
      </c>
      <c r="CH27" s="421">
        <f t="shared" si="293"/>
        <v>0</v>
      </c>
      <c r="CI27" s="421">
        <f t="shared" si="293"/>
        <v>0</v>
      </c>
      <c r="CJ27" s="421">
        <f t="shared" si="293"/>
        <v>0</v>
      </c>
      <c r="CK27" s="421">
        <f t="shared" si="293"/>
        <v>0</v>
      </c>
      <c r="CL27" s="421">
        <f t="shared" si="293"/>
        <v>0</v>
      </c>
      <c r="CM27" s="421">
        <f t="shared" si="293"/>
        <v>0</v>
      </c>
      <c r="CN27" s="421" t="n">
        <f t="shared" ref="CN27:CW30" si="294">AND(CN$23&gt;=$D27,CN$23&lt;=$E27)*(OR($F27="Straight-Line",$F27="Detail")*($I27/$ES27)+($F27="S-Curve")*HX27+OR($F27="Steady Growth",$F27="Steady Decline")*NH27)</f>
        <v>0</v>
      </c>
      <c r="CO27" s="421">
        <f t="shared" si="294"/>
        <v>0</v>
      </c>
      <c r="CP27" s="421">
        <f t="shared" si="294"/>
        <v>0</v>
      </c>
      <c r="CQ27" s="421">
        <f t="shared" si="294"/>
        <v>0</v>
      </c>
      <c r="CR27" s="421">
        <f t="shared" si="294"/>
        <v>0</v>
      </c>
      <c r="CS27" s="421">
        <f t="shared" si="294"/>
        <v>0</v>
      </c>
      <c r="CT27" s="421">
        <f t="shared" si="294"/>
        <v>0</v>
      </c>
      <c r="CU27" s="421">
        <f t="shared" si="294"/>
        <v>0</v>
      </c>
      <c r="CV27" s="421">
        <f t="shared" si="294"/>
        <v>0</v>
      </c>
      <c r="CW27" s="421">
        <f t="shared" si="294"/>
        <v>0</v>
      </c>
      <c r="CX27" s="421" t="n">
        <f t="shared" ref="CX27:DG30" si="295">AND(CX$23&gt;=$D27,CX$23&lt;=$E27)*(OR($F27="Straight-Line",$F27="Detail")*($I27/$ES27)+($F27="S-Curve")*IH27+OR($F27="Steady Growth",$F27="Steady Decline")*NR27)</f>
        <v>0</v>
      </c>
      <c r="CY27" s="421">
        <f t="shared" si="295"/>
        <v>0</v>
      </c>
      <c r="CZ27" s="421">
        <f t="shared" si="295"/>
        <v>0</v>
      </c>
      <c r="DA27" s="421">
        <f t="shared" si="295"/>
        <v>0</v>
      </c>
      <c r="DB27" s="421">
        <f t="shared" si="295"/>
        <v>0</v>
      </c>
      <c r="DC27" s="421">
        <f t="shared" si="295"/>
        <v>0</v>
      </c>
      <c r="DD27" s="421">
        <f t="shared" si="295"/>
        <v>0</v>
      </c>
      <c r="DE27" s="421">
        <f t="shared" si="295"/>
        <v>0</v>
      </c>
      <c r="DF27" s="421">
        <f t="shared" si="295"/>
        <v>0</v>
      </c>
      <c r="DG27" s="421">
        <f t="shared" si="295"/>
        <v>0</v>
      </c>
      <c r="DH27" s="421" t="n">
        <f t="shared" ref="DH27:DQ30" si="296">AND(DH$23&gt;=$D27,DH$23&lt;=$E27)*(OR($F27="Straight-Line",$F27="Detail")*($I27/$ES27)+($F27="S-Curve")*IR27+OR($F27="Steady Growth",$F27="Steady Decline")*OB27)</f>
        <v>0</v>
      </c>
      <c r="DI27" s="421">
        <f t="shared" si="296"/>
        <v>0</v>
      </c>
      <c r="DJ27" s="421">
        <f t="shared" si="296"/>
        <v>0</v>
      </c>
      <c r="DK27" s="421">
        <f t="shared" si="296"/>
        <v>0</v>
      </c>
      <c r="DL27" s="421">
        <f t="shared" si="296"/>
        <v>0</v>
      </c>
      <c r="DM27" s="421">
        <f t="shared" si="296"/>
        <v>0</v>
      </c>
      <c r="DN27" s="421">
        <f t="shared" si="296"/>
        <v>0</v>
      </c>
      <c r="DO27" s="421">
        <f t="shared" si="296"/>
        <v>0</v>
      </c>
      <c r="DP27" s="421">
        <f t="shared" si="296"/>
        <v>0</v>
      </c>
      <c r="DQ27" s="421">
        <f t="shared" si="296"/>
        <v>0</v>
      </c>
      <c r="DR27" s="421" t="n">
        <f t="shared" ref="DR27:EA30" si="297">AND(DR$23&gt;=$D27,DR$23&lt;=$E27)*(OR($F27="Straight-Line",$F27="Detail")*($I27/$ES27)+($F27="S-Curve")*JB27+OR($F27="Steady Growth",$F27="Steady Decline")*OL27)</f>
        <v>0</v>
      </c>
      <c r="DS27" s="421">
        <f t="shared" si="297"/>
        <v>0</v>
      </c>
      <c r="DT27" s="421">
        <f t="shared" si="297"/>
        <v>0</v>
      </c>
      <c r="DU27" s="421">
        <f t="shared" si="297"/>
        <v>0</v>
      </c>
      <c r="DV27" s="421">
        <f t="shared" si="297"/>
        <v>0</v>
      </c>
      <c r="DW27" s="421">
        <f t="shared" si="297"/>
        <v>0</v>
      </c>
      <c r="DX27" s="421">
        <f t="shared" si="297"/>
        <v>0</v>
      </c>
      <c r="DY27" s="421">
        <f t="shared" si="297"/>
        <v>0</v>
      </c>
      <c r="DZ27" s="421">
        <f t="shared" si="297"/>
        <v>0</v>
      </c>
      <c r="EA27" s="421">
        <f t="shared" si="297"/>
        <v>0</v>
      </c>
      <c r="EB27" s="421" t="n">
        <f t="shared" ref="EB27:EK30" si="298">AND(EB$23&gt;=$D27,EB$23&lt;=$E27)*(OR($F27="Straight-Line",$F27="Detail")*($I27/$ES27)+($F27="S-Curve")*JL27+OR($F27="Steady Growth",$F27="Steady Decline")*OV27)</f>
        <v>0</v>
      </c>
      <c r="EC27" s="421">
        <f t="shared" si="298"/>
        <v>0</v>
      </c>
      <c r="ED27" s="421">
        <f t="shared" si="298"/>
        <v>0</v>
      </c>
      <c r="EE27" s="421">
        <f t="shared" si="298"/>
        <v>0</v>
      </c>
      <c r="EF27" s="421">
        <f t="shared" si="298"/>
        <v>0</v>
      </c>
      <c r="EG27" s="421">
        <f t="shared" si="298"/>
        <v>0</v>
      </c>
      <c r="EH27" s="421">
        <f t="shared" si="298"/>
        <v>0</v>
      </c>
      <c r="EI27" s="421">
        <f t="shared" si="298"/>
        <v>0</v>
      </c>
      <c r="EJ27" s="421">
        <f t="shared" si="298"/>
        <v>0</v>
      </c>
      <c r="EK27" s="421">
        <f t="shared" si="298"/>
        <v>0</v>
      </c>
      <c r="EL27" s="421" t="n">
        <f t="shared" ref="EL27:EN30" si="299">AND(EL$23&gt;=$D27,EL$23&lt;=$E27)*(OR($F27="Straight-Line",$F27="Detail")*($I27/$ES27)+($F27="S-Curve")*JV27+OR($F27="Steady Growth",$F27="Steady Decline")*PF27)</f>
        <v>0</v>
      </c>
      <c r="EM27" s="421">
        <f t="shared" si="299"/>
        <v>0</v>
      </c>
      <c r="EN27" s="421">
        <f t="shared" si="299"/>
        <v>0</v>
      </c>
      <c r="EP27" s="221" t="n">
        <f>I27</f>
        <v>91570000</v>
      </c>
      <c r="EQ27" s="202" t="n">
        <f>INDEX($L$24:$EN$24,1,$D27+1)</f>
        <v>46203</v>
      </c>
      <c r="ER27" s="202" t="n">
        <f>INDEX($L$24:$EN$24,1,$E27+1)</f>
        <v>46203</v>
      </c>
      <c r="ES27" s="20" t="n">
        <f>+E27-D27+1</f>
        <v>1</v>
      </c>
      <c r="ET27" s="18" t="str">
        <f>F27</f>
        <v>Straight-Line</v>
      </c>
      <c r="EU27" s="80" t="n">
        <f>ES27/Scurve_Dist</f>
        <v>0.16666666666666666</v>
      </c>
      <c r="EV27" s="20" t="n">
        <f>AND($ET27="S-Curve",EV$24&gt;=$EQ27,EV$24&lt;=$ER27)*(_xlfn.NORM.DIST((YEAR(EV$24)-YEAR($EQ27))*12+MONTH(EV$24)-MONTH($EQ27)+1,$ES27/2,$EU27,TRUE)-_xlfn.NORM.DIST((YEAR(EV$24)-YEAR($EQ27))*12+MONTH(EV$24)-MONTH($EQ27),$ES27/2,$EU27,TRUE))/(1-2*_xlfn.NORM.DIST(0,$ES27/2,$EU27,TRUE))*$EP27</f>
        <v>0</v>
      </c>
      <c r="EW27" s="20" t="n">
        <f t="shared" ref="EW27:HH27" si="300">AND($ET27="S-Curve",EW$24&gt;=$EQ27,EW$24&lt;=$ER27)*(_xlfn.NORM.DIST((YEAR(EW$24)-YEAR($EQ27))*12+MONTH(EW$24)-MONTH($EQ27)+1,$ES27/2,$EU27,TRUE)-_xlfn.NORM.DIST((YEAR(EW$24)-YEAR($EQ27))*12+MONTH(EW$24)-MONTH($EQ27),$ES27/2,$EU27,TRUE))/(1-2*_xlfn.NORM.DIST(0,$ES27/2,$EU27,TRUE))*$EP27</f>
        <v>0</v>
      </c>
      <c r="EX27" s="20">
        <f t="shared" si="300"/>
        <v>0</v>
      </c>
      <c r="EY27" s="20">
        <f t="shared" si="300"/>
        <v>0</v>
      </c>
      <c r="EZ27" s="20">
        <f t="shared" si="300"/>
        <v>0</v>
      </c>
      <c r="FA27" s="20">
        <f t="shared" si="300"/>
        <v>0</v>
      </c>
      <c r="FB27" s="20">
        <f t="shared" si="300"/>
        <v>0</v>
      </c>
      <c r="FC27" s="20">
        <f t="shared" si="300"/>
        <v>0</v>
      </c>
      <c r="FD27" s="20">
        <f t="shared" si="300"/>
        <v>0</v>
      </c>
      <c r="FE27" s="20">
        <f t="shared" si="300"/>
        <v>0</v>
      </c>
      <c r="FF27" s="20">
        <f t="shared" si="300"/>
        <v>0</v>
      </c>
      <c r="FG27" s="20">
        <f t="shared" si="300"/>
        <v>0</v>
      </c>
      <c r="FH27" s="20">
        <f t="shared" si="300"/>
        <v>0</v>
      </c>
      <c r="FI27" s="20">
        <f t="shared" si="300"/>
        <v>0</v>
      </c>
      <c r="FJ27" s="20">
        <f t="shared" si="300"/>
        <v>0</v>
      </c>
      <c r="FK27" s="20">
        <f t="shared" si="300"/>
        <v>0</v>
      </c>
      <c r="FL27" s="20">
        <f t="shared" si="300"/>
        <v>0</v>
      </c>
      <c r="FM27" s="20">
        <f t="shared" si="300"/>
        <v>0</v>
      </c>
      <c r="FN27" s="20">
        <f t="shared" si="300"/>
        <v>0</v>
      </c>
      <c r="FO27" s="20">
        <f t="shared" si="300"/>
        <v>0</v>
      </c>
      <c r="FP27" s="20">
        <f t="shared" si="300"/>
        <v>0</v>
      </c>
      <c r="FQ27" s="20">
        <f t="shared" si="300"/>
        <v>0</v>
      </c>
      <c r="FR27" s="20">
        <f t="shared" si="300"/>
        <v>0</v>
      </c>
      <c r="FS27" s="20">
        <f t="shared" si="300"/>
        <v>0</v>
      </c>
      <c r="FT27" s="20">
        <f t="shared" si="300"/>
        <v>0</v>
      </c>
      <c r="FU27" s="20">
        <f t="shared" si="300"/>
        <v>0</v>
      </c>
      <c r="FV27" s="20">
        <f t="shared" si="300"/>
        <v>0</v>
      </c>
      <c r="FW27" s="20">
        <f t="shared" si="300"/>
        <v>0</v>
      </c>
      <c r="FX27" s="20">
        <f t="shared" si="300"/>
        <v>0</v>
      </c>
      <c r="FY27" s="20">
        <f t="shared" si="300"/>
        <v>0</v>
      </c>
      <c r="FZ27" s="20">
        <f t="shared" si="300"/>
        <v>0</v>
      </c>
      <c r="GA27" s="20">
        <f t="shared" si="300"/>
        <v>0</v>
      </c>
      <c r="GB27" s="20">
        <f t="shared" si="300"/>
        <v>0</v>
      </c>
      <c r="GC27" s="20">
        <f t="shared" si="300"/>
        <v>0</v>
      </c>
      <c r="GD27" s="20">
        <f t="shared" si="300"/>
        <v>0</v>
      </c>
      <c r="GE27" s="20">
        <f t="shared" si="300"/>
        <v>0</v>
      </c>
      <c r="GF27" s="20">
        <f t="shared" si="300"/>
        <v>0</v>
      </c>
      <c r="GG27" s="20">
        <f t="shared" si="300"/>
        <v>0</v>
      </c>
      <c r="GH27" s="20">
        <f t="shared" si="300"/>
        <v>0</v>
      </c>
      <c r="GI27" s="20">
        <f t="shared" si="300"/>
        <v>0</v>
      </c>
      <c r="GJ27" s="20">
        <f t="shared" si="300"/>
        <v>0</v>
      </c>
      <c r="GK27" s="20">
        <f t="shared" si="300"/>
        <v>0</v>
      </c>
      <c r="GL27" s="20">
        <f t="shared" si="300"/>
        <v>0</v>
      </c>
      <c r="GM27" s="20">
        <f t="shared" si="300"/>
        <v>0</v>
      </c>
      <c r="GN27" s="20">
        <f t="shared" si="300"/>
        <v>0</v>
      </c>
      <c r="GO27" s="20">
        <f t="shared" si="300"/>
        <v>0</v>
      </c>
      <c r="GP27" s="20">
        <f t="shared" si="300"/>
        <v>0</v>
      </c>
      <c r="GQ27" s="20">
        <f t="shared" si="300"/>
        <v>0</v>
      </c>
      <c r="GR27" s="20">
        <f t="shared" si="300"/>
        <v>0</v>
      </c>
      <c r="GS27" s="20">
        <f t="shared" si="300"/>
        <v>0</v>
      </c>
      <c r="GT27" s="20">
        <f t="shared" si="300"/>
        <v>0</v>
      </c>
      <c r="GU27" s="20">
        <f t="shared" si="300"/>
        <v>0</v>
      </c>
      <c r="GV27" s="20">
        <f t="shared" si="300"/>
        <v>0</v>
      </c>
      <c r="GW27" s="20">
        <f t="shared" si="300"/>
        <v>0</v>
      </c>
      <c r="GX27" s="20">
        <f t="shared" si="300"/>
        <v>0</v>
      </c>
      <c r="GY27" s="20">
        <f t="shared" si="300"/>
        <v>0</v>
      </c>
      <c r="GZ27" s="20">
        <f t="shared" si="300"/>
        <v>0</v>
      </c>
      <c r="HA27" s="20">
        <f t="shared" si="300"/>
        <v>0</v>
      </c>
      <c r="HB27" s="20">
        <f t="shared" si="300"/>
        <v>0</v>
      </c>
      <c r="HC27" s="20">
        <f t="shared" si="300"/>
        <v>0</v>
      </c>
      <c r="HD27" s="20">
        <f t="shared" si="300"/>
        <v>0</v>
      </c>
      <c r="HE27" s="20">
        <f t="shared" si="300"/>
        <v>0</v>
      </c>
      <c r="HF27" s="20">
        <f t="shared" si="300"/>
        <v>0</v>
      </c>
      <c r="HG27" s="20">
        <f t="shared" si="300"/>
        <v>0</v>
      </c>
      <c r="HH27" s="20">
        <f t="shared" si="300"/>
        <v>0</v>
      </c>
      <c r="HI27" s="20" t="n">
        <f t="shared" ref="HI27:JT27" si="301">AND($ET27="S-Curve",HI$24&gt;=$EQ27,HI$24&lt;=$ER27)*(_xlfn.NORM.DIST((YEAR(HI$24)-YEAR($EQ27))*12+MONTH(HI$24)-MONTH($EQ27)+1,$ES27/2,$EU27,TRUE)-_xlfn.NORM.DIST((YEAR(HI$24)-YEAR($EQ27))*12+MONTH(HI$24)-MONTH($EQ27),$ES27/2,$EU27,TRUE))/(1-2*_xlfn.NORM.DIST(0,$ES27/2,$EU27,TRUE))*$EP27</f>
        <v>0</v>
      </c>
      <c r="HJ27" s="20">
        <f t="shared" si="301"/>
        <v>0</v>
      </c>
      <c r="HK27" s="20">
        <f t="shared" si="301"/>
        <v>0</v>
      </c>
      <c r="HL27" s="20">
        <f t="shared" si="301"/>
        <v>0</v>
      </c>
      <c r="HM27" s="20">
        <f t="shared" si="301"/>
        <v>0</v>
      </c>
      <c r="HN27" s="20">
        <f t="shared" si="301"/>
        <v>0</v>
      </c>
      <c r="HO27" s="20">
        <f t="shared" si="301"/>
        <v>0</v>
      </c>
      <c r="HP27" s="20">
        <f t="shared" si="301"/>
        <v>0</v>
      </c>
      <c r="HQ27" s="20">
        <f t="shared" si="301"/>
        <v>0</v>
      </c>
      <c r="HR27" s="20">
        <f t="shared" si="301"/>
        <v>0</v>
      </c>
      <c r="HS27" s="20">
        <f t="shared" si="301"/>
        <v>0</v>
      </c>
      <c r="HT27" s="20">
        <f t="shared" si="301"/>
        <v>0</v>
      </c>
      <c r="HU27" s="20">
        <f t="shared" si="301"/>
        <v>0</v>
      </c>
      <c r="HV27" s="20">
        <f t="shared" si="301"/>
        <v>0</v>
      </c>
      <c r="HW27" s="20">
        <f t="shared" si="301"/>
        <v>0</v>
      </c>
      <c r="HX27" s="20">
        <f t="shared" si="301"/>
        <v>0</v>
      </c>
      <c r="HY27" s="20">
        <f t="shared" si="301"/>
        <v>0</v>
      </c>
      <c r="HZ27" s="20">
        <f t="shared" si="301"/>
        <v>0</v>
      </c>
      <c r="IA27" s="20">
        <f t="shared" si="301"/>
        <v>0</v>
      </c>
      <c r="IB27" s="20">
        <f t="shared" si="301"/>
        <v>0</v>
      </c>
      <c r="IC27" s="20">
        <f t="shared" si="301"/>
        <v>0</v>
      </c>
      <c r="ID27" s="20">
        <f t="shared" si="301"/>
        <v>0</v>
      </c>
      <c r="IE27" s="20">
        <f t="shared" si="301"/>
        <v>0</v>
      </c>
      <c r="IF27" s="20">
        <f t="shared" si="301"/>
        <v>0</v>
      </c>
      <c r="IG27" s="20">
        <f t="shared" si="301"/>
        <v>0</v>
      </c>
      <c r="IH27" s="20">
        <f t="shared" si="301"/>
        <v>0</v>
      </c>
      <c r="II27" s="20">
        <f t="shared" si="301"/>
        <v>0</v>
      </c>
      <c r="IJ27" s="20">
        <f t="shared" si="301"/>
        <v>0</v>
      </c>
      <c r="IK27" s="20">
        <f t="shared" si="301"/>
        <v>0</v>
      </c>
      <c r="IL27" s="20">
        <f t="shared" si="301"/>
        <v>0</v>
      </c>
      <c r="IM27" s="20">
        <f t="shared" si="301"/>
        <v>0</v>
      </c>
      <c r="IN27" s="20">
        <f t="shared" si="301"/>
        <v>0</v>
      </c>
      <c r="IO27" s="20">
        <f t="shared" si="301"/>
        <v>0</v>
      </c>
      <c r="IP27" s="20">
        <f t="shared" si="301"/>
        <v>0</v>
      </c>
      <c r="IQ27" s="20">
        <f t="shared" si="301"/>
        <v>0</v>
      </c>
      <c r="IR27" s="20">
        <f t="shared" si="301"/>
        <v>0</v>
      </c>
      <c r="IS27" s="20">
        <f t="shared" si="301"/>
        <v>0</v>
      </c>
      <c r="IT27" s="20">
        <f t="shared" si="301"/>
        <v>0</v>
      </c>
      <c r="IU27" s="20">
        <f t="shared" si="301"/>
        <v>0</v>
      </c>
      <c r="IV27" s="20">
        <f t="shared" si="301"/>
        <v>0</v>
      </c>
      <c r="IW27" s="20">
        <f t="shared" si="301"/>
        <v>0</v>
      </c>
      <c r="IX27" s="20">
        <f t="shared" si="301"/>
        <v>0</v>
      </c>
      <c r="IY27" s="20">
        <f t="shared" si="301"/>
        <v>0</v>
      </c>
      <c r="IZ27" s="20">
        <f t="shared" si="301"/>
        <v>0</v>
      </c>
      <c r="JA27" s="20">
        <f t="shared" si="301"/>
        <v>0</v>
      </c>
      <c r="JB27" s="20">
        <f t="shared" si="301"/>
        <v>0</v>
      </c>
      <c r="JC27" s="20">
        <f t="shared" si="301"/>
        <v>0</v>
      </c>
      <c r="JD27" s="20">
        <f t="shared" si="301"/>
        <v>0</v>
      </c>
      <c r="JE27" s="20">
        <f t="shared" si="301"/>
        <v>0</v>
      </c>
      <c r="JF27" s="20">
        <f t="shared" si="301"/>
        <v>0</v>
      </c>
      <c r="JG27" s="20">
        <f t="shared" si="301"/>
        <v>0</v>
      </c>
      <c r="JH27" s="20">
        <f t="shared" si="301"/>
        <v>0</v>
      </c>
      <c r="JI27" s="20">
        <f t="shared" si="301"/>
        <v>0</v>
      </c>
      <c r="JJ27" s="20">
        <f t="shared" si="301"/>
        <v>0</v>
      </c>
      <c r="JK27" s="20">
        <f t="shared" si="301"/>
        <v>0</v>
      </c>
      <c r="JL27" s="20">
        <f t="shared" si="301"/>
        <v>0</v>
      </c>
      <c r="JM27" s="20">
        <f t="shared" si="301"/>
        <v>0</v>
      </c>
      <c r="JN27" s="20">
        <f t="shared" si="301"/>
        <v>0</v>
      </c>
      <c r="JO27" s="20">
        <f t="shared" si="301"/>
        <v>0</v>
      </c>
      <c r="JP27" s="20">
        <f t="shared" si="301"/>
        <v>0</v>
      </c>
      <c r="JQ27" s="20">
        <f t="shared" si="301"/>
        <v>0</v>
      </c>
      <c r="JR27" s="20">
        <f t="shared" si="301"/>
        <v>0</v>
      </c>
      <c r="JS27" s="20">
        <f t="shared" si="301"/>
        <v>0</v>
      </c>
      <c r="JT27" s="20">
        <f t="shared" si="301"/>
        <v>0</v>
      </c>
      <c r="JU27" s="20" t="n">
        <f t="shared" ref="JU27:JX30" si="302">AND($ET27="S-Curve",JU$24&gt;=$EQ27,JU$24&lt;=$ER27)*(_xlfn.NORM.DIST((YEAR(JU$24)-YEAR($EQ27))*12+MONTH(JU$24)-MONTH($EQ27)+1,$ES27/2,$EU27,TRUE)-_xlfn.NORM.DIST((YEAR(JU$24)-YEAR($EQ27))*12+MONTH(JU$24)-MONTH($EQ27),$ES27/2,$EU27,TRUE))/(1-2*_xlfn.NORM.DIST(0,$ES27/2,$EU27,TRUE))*$EP27</f>
        <v>0</v>
      </c>
      <c r="JV27" s="20">
        <f t="shared" si="302"/>
        <v>0</v>
      </c>
      <c r="JW27" s="20">
        <f t="shared" si="302"/>
        <v>0</v>
      </c>
      <c r="JX27" s="20">
        <f t="shared" si="302"/>
        <v>0</v>
      </c>
      <c r="JZ27" s="221">
        <f t="shared" si="285"/>
        <v>0</v>
      </c>
      <c r="KA27" s="202"/>
      <c r="KB27" s="20" t="n">
        <f>D27</f>
        <v>0</v>
      </c>
      <c r="KC27" s="20" t="n">
        <f>E27</f>
        <v>0</v>
      </c>
      <c r="KD27" s="20" t="n">
        <f>KC27-KB27+1</f>
        <v>1</v>
      </c>
      <c r="KE27" s="422" t="n">
        <f>I27</f>
        <v>91570000</v>
      </c>
      <c r="KF27" s="422" t="n">
        <f>AND(KF$23&gt;=$KB27,KF$23&lt;=$KC27)*(IF($F27="Steady Growth",KF$23-$KB27,$KC27-KF$23)+1)/($KD27*($KD27+1)/2)*$KE27</f>
        <v>91570000</v>
      </c>
      <c r="KG27" s="422" t="n">
        <f t="shared" ref="KG27:KV30" si="303">AND(KG$23&gt;=$KB27,KG$23&lt;=$KC27)*(IF($F27="Steady Growth",KG$23-$KB27,$KC27-KG$23)+1)/($KD27*($KD27+1)/2)*$KE27</f>
        <v>0</v>
      </c>
      <c r="KH27" s="422">
        <f t="shared" si="303"/>
        <v>0</v>
      </c>
      <c r="KI27" s="422">
        <f t="shared" si="303"/>
        <v>0</v>
      </c>
      <c r="KJ27" s="422">
        <f t="shared" si="303"/>
        <v>0</v>
      </c>
      <c r="KK27" s="422">
        <f t="shared" si="303"/>
        <v>0</v>
      </c>
      <c r="KL27" s="422">
        <f t="shared" si="303"/>
        <v>0</v>
      </c>
      <c r="KM27" s="422">
        <f t="shared" si="303"/>
        <v>0</v>
      </c>
      <c r="KN27" s="422">
        <f t="shared" si="303"/>
        <v>0</v>
      </c>
      <c r="KO27" s="422">
        <f t="shared" si="303"/>
        <v>0</v>
      </c>
      <c r="KP27" s="422">
        <f t="shared" si="303"/>
        <v>0</v>
      </c>
      <c r="KQ27" s="422">
        <f t="shared" si="303"/>
        <v>0</v>
      </c>
      <c r="KR27" s="422">
        <f t="shared" si="303"/>
        <v>0</v>
      </c>
      <c r="KS27" s="422">
        <f t="shared" si="303"/>
        <v>0</v>
      </c>
      <c r="KT27" s="422">
        <f t="shared" si="303"/>
        <v>0</v>
      </c>
      <c r="KU27" s="422">
        <f t="shared" si="303"/>
        <v>0</v>
      </c>
      <c r="KV27" s="422">
        <f t="shared" si="303"/>
        <v>0</v>
      </c>
      <c r="KW27" s="422" t="n">
        <f t="shared" ref="KW27:LL30" si="304">AND(KW$23&gt;=$KB27,KW$23&lt;=$KC27)*(IF($F27="Steady Growth",KW$23-$KB27,$KC27-KW$23)+1)/($KD27*($KD27+1)/2)*$KE27</f>
        <v>0</v>
      </c>
      <c r="KX27" s="422">
        <f t="shared" si="304"/>
        <v>0</v>
      </c>
      <c r="KY27" s="422">
        <f t="shared" si="304"/>
        <v>0</v>
      </c>
      <c r="KZ27" s="422">
        <f t="shared" si="304"/>
        <v>0</v>
      </c>
      <c r="LA27" s="422">
        <f t="shared" si="304"/>
        <v>0</v>
      </c>
      <c r="LB27" s="422">
        <f t="shared" si="304"/>
        <v>0</v>
      </c>
      <c r="LC27" s="422">
        <f t="shared" si="304"/>
        <v>0</v>
      </c>
      <c r="LD27" s="422">
        <f t="shared" si="304"/>
        <v>0</v>
      </c>
      <c r="LE27" s="422">
        <f t="shared" si="304"/>
        <v>0</v>
      </c>
      <c r="LF27" s="422">
        <f t="shared" si="304"/>
        <v>0</v>
      </c>
      <c r="LG27" s="422">
        <f t="shared" si="304"/>
        <v>0</v>
      </c>
      <c r="LH27" s="422">
        <f t="shared" si="304"/>
        <v>0</v>
      </c>
      <c r="LI27" s="422">
        <f t="shared" si="304"/>
        <v>0</v>
      </c>
      <c r="LJ27" s="422">
        <f t="shared" si="304"/>
        <v>0</v>
      </c>
      <c r="LK27" s="422">
        <f t="shared" si="304"/>
        <v>0</v>
      </c>
      <c r="LL27" s="422">
        <f t="shared" si="304"/>
        <v>0</v>
      </c>
      <c r="LM27" s="422" t="n">
        <f t="shared" ref="LM27:MB30" si="305">AND(LM$23&gt;=$KB27,LM$23&lt;=$KC27)*(IF($F27="Steady Growth",LM$23-$KB27,$KC27-LM$23)+1)/($KD27*($KD27+1)/2)*$KE27</f>
        <v>0</v>
      </c>
      <c r="LN27" s="422">
        <f t="shared" si="305"/>
        <v>0</v>
      </c>
      <c r="LO27" s="422">
        <f t="shared" si="305"/>
        <v>0</v>
      </c>
      <c r="LP27" s="422">
        <f t="shared" si="305"/>
        <v>0</v>
      </c>
      <c r="LQ27" s="422">
        <f t="shared" si="305"/>
        <v>0</v>
      </c>
      <c r="LR27" s="422">
        <f t="shared" si="305"/>
        <v>0</v>
      </c>
      <c r="LS27" s="422">
        <f t="shared" si="305"/>
        <v>0</v>
      </c>
      <c r="LT27" s="422">
        <f t="shared" si="305"/>
        <v>0</v>
      </c>
      <c r="LU27" s="422">
        <f t="shared" si="305"/>
        <v>0</v>
      </c>
      <c r="LV27" s="422">
        <f t="shared" si="305"/>
        <v>0</v>
      </c>
      <c r="LW27" s="422">
        <f t="shared" si="305"/>
        <v>0</v>
      </c>
      <c r="LX27" s="422">
        <f t="shared" si="305"/>
        <v>0</v>
      </c>
      <c r="LY27" s="422">
        <f t="shared" si="305"/>
        <v>0</v>
      </c>
      <c r="LZ27" s="422">
        <f t="shared" si="305"/>
        <v>0</v>
      </c>
      <c r="MA27" s="422">
        <f t="shared" si="305"/>
        <v>0</v>
      </c>
      <c r="MB27" s="422">
        <f t="shared" si="305"/>
        <v>0</v>
      </c>
      <c r="MC27" s="422" t="n">
        <f t="shared" ref="MC27:MR30" si="306">AND(MC$23&gt;=$KB27,MC$23&lt;=$KC27)*(IF($F27="Steady Growth",MC$23-$KB27,$KC27-MC$23)+1)/($KD27*($KD27+1)/2)*$KE27</f>
        <v>0</v>
      </c>
      <c r="MD27" s="422">
        <f t="shared" si="306"/>
        <v>0</v>
      </c>
      <c r="ME27" s="422">
        <f t="shared" si="306"/>
        <v>0</v>
      </c>
      <c r="MF27" s="422">
        <f t="shared" si="306"/>
        <v>0</v>
      </c>
      <c r="MG27" s="422">
        <f t="shared" si="306"/>
        <v>0</v>
      </c>
      <c r="MH27" s="422">
        <f t="shared" si="306"/>
        <v>0</v>
      </c>
      <c r="MI27" s="422">
        <f t="shared" si="306"/>
        <v>0</v>
      </c>
      <c r="MJ27" s="422">
        <f t="shared" si="306"/>
        <v>0</v>
      </c>
      <c r="MK27" s="422">
        <f t="shared" si="306"/>
        <v>0</v>
      </c>
      <c r="ML27" s="422">
        <f t="shared" si="306"/>
        <v>0</v>
      </c>
      <c r="MM27" s="422">
        <f t="shared" si="306"/>
        <v>0</v>
      </c>
      <c r="MN27" s="422">
        <f t="shared" si="306"/>
        <v>0</v>
      </c>
      <c r="MO27" s="422">
        <f t="shared" si="306"/>
        <v>0</v>
      </c>
      <c r="MP27" s="422">
        <f t="shared" si="306"/>
        <v>0</v>
      </c>
      <c r="MQ27" s="422">
        <f t="shared" si="306"/>
        <v>0</v>
      </c>
      <c r="MR27" s="422">
        <f t="shared" si="306"/>
        <v>0</v>
      </c>
      <c r="MS27" s="422" t="n">
        <f t="shared" ref="MS27:NH30" si="307">AND(MS$23&gt;=$KB27,MS$23&lt;=$KC27)*(IF($F27="Steady Growth",MS$23-$KB27,$KC27-MS$23)+1)/($KD27*($KD27+1)/2)*$KE27</f>
        <v>0</v>
      </c>
      <c r="MT27" s="422">
        <f t="shared" si="307"/>
        <v>0</v>
      </c>
      <c r="MU27" s="422">
        <f t="shared" si="307"/>
        <v>0</v>
      </c>
      <c r="MV27" s="422">
        <f t="shared" si="307"/>
        <v>0</v>
      </c>
      <c r="MW27" s="422">
        <f t="shared" si="307"/>
        <v>0</v>
      </c>
      <c r="MX27" s="422">
        <f t="shared" si="307"/>
        <v>0</v>
      </c>
      <c r="MY27" s="422">
        <f t="shared" si="307"/>
        <v>0</v>
      </c>
      <c r="MZ27" s="422">
        <f t="shared" si="307"/>
        <v>0</v>
      </c>
      <c r="NA27" s="422">
        <f t="shared" si="307"/>
        <v>0</v>
      </c>
      <c r="NB27" s="422">
        <f t="shared" si="307"/>
        <v>0</v>
      </c>
      <c r="NC27" s="422">
        <f t="shared" si="307"/>
        <v>0</v>
      </c>
      <c r="ND27" s="422">
        <f t="shared" si="307"/>
        <v>0</v>
      </c>
      <c r="NE27" s="422">
        <f t="shared" si="307"/>
        <v>0</v>
      </c>
      <c r="NF27" s="422">
        <f t="shared" si="307"/>
        <v>0</v>
      </c>
      <c r="NG27" s="422">
        <f t="shared" si="307"/>
        <v>0</v>
      </c>
      <c r="NH27" s="422">
        <f t="shared" si="307"/>
        <v>0</v>
      </c>
      <c r="NI27" s="422" t="n">
        <f t="shared" ref="NI27:NX30" si="308">AND(NI$23&gt;=$KB27,NI$23&lt;=$KC27)*(IF($F27="Steady Growth",NI$23-$KB27,$KC27-NI$23)+1)/($KD27*($KD27+1)/2)*$KE27</f>
        <v>0</v>
      </c>
      <c r="NJ27" s="422">
        <f t="shared" si="308"/>
        <v>0</v>
      </c>
      <c r="NK27" s="422">
        <f t="shared" si="308"/>
        <v>0</v>
      </c>
      <c r="NL27" s="422">
        <f t="shared" si="308"/>
        <v>0</v>
      </c>
      <c r="NM27" s="422">
        <f t="shared" si="308"/>
        <v>0</v>
      </c>
      <c r="NN27" s="422">
        <f t="shared" si="308"/>
        <v>0</v>
      </c>
      <c r="NO27" s="422">
        <f t="shared" si="308"/>
        <v>0</v>
      </c>
      <c r="NP27" s="422">
        <f t="shared" si="308"/>
        <v>0</v>
      </c>
      <c r="NQ27" s="422">
        <f t="shared" si="308"/>
        <v>0</v>
      </c>
      <c r="NR27" s="422">
        <f t="shared" si="308"/>
        <v>0</v>
      </c>
      <c r="NS27" s="422">
        <f t="shared" si="308"/>
        <v>0</v>
      </c>
      <c r="NT27" s="422">
        <f t="shared" si="308"/>
        <v>0</v>
      </c>
      <c r="NU27" s="422">
        <f t="shared" si="308"/>
        <v>0</v>
      </c>
      <c r="NV27" s="422">
        <f t="shared" si="308"/>
        <v>0</v>
      </c>
      <c r="NW27" s="422">
        <f t="shared" si="308"/>
        <v>0</v>
      </c>
      <c r="NX27" s="422">
        <f t="shared" si="308"/>
        <v>0</v>
      </c>
      <c r="NY27" s="422" t="n">
        <f t="shared" ref="NY27:ON30" si="309">AND(NY$23&gt;=$KB27,NY$23&lt;=$KC27)*(IF($F27="Steady Growth",NY$23-$KB27,$KC27-NY$23)+1)/($KD27*($KD27+1)/2)*$KE27</f>
        <v>0</v>
      </c>
      <c r="NZ27" s="422">
        <f t="shared" si="309"/>
        <v>0</v>
      </c>
      <c r="OA27" s="422">
        <f t="shared" si="309"/>
        <v>0</v>
      </c>
      <c r="OB27" s="422">
        <f t="shared" si="309"/>
        <v>0</v>
      </c>
      <c r="OC27" s="422">
        <f t="shared" si="309"/>
        <v>0</v>
      </c>
      <c r="OD27" s="422">
        <f t="shared" si="309"/>
        <v>0</v>
      </c>
      <c r="OE27" s="422">
        <f t="shared" si="309"/>
        <v>0</v>
      </c>
      <c r="OF27" s="422">
        <f t="shared" si="309"/>
        <v>0</v>
      </c>
      <c r="OG27" s="422">
        <f t="shared" si="309"/>
        <v>0</v>
      </c>
      <c r="OH27" s="422">
        <f t="shared" si="309"/>
        <v>0</v>
      </c>
      <c r="OI27" s="422">
        <f t="shared" si="309"/>
        <v>0</v>
      </c>
      <c r="OJ27" s="422">
        <f t="shared" si="309"/>
        <v>0</v>
      </c>
      <c r="OK27" s="422">
        <f t="shared" si="309"/>
        <v>0</v>
      </c>
      <c r="OL27" s="422">
        <f t="shared" si="309"/>
        <v>0</v>
      </c>
      <c r="OM27" s="422">
        <f t="shared" si="309"/>
        <v>0</v>
      </c>
      <c r="ON27" s="422">
        <f t="shared" si="309"/>
        <v>0</v>
      </c>
      <c r="OO27" s="422" t="n">
        <f t="shared" ref="OO27:PD30" si="310">AND(OO$23&gt;=$KB27,OO$23&lt;=$KC27)*(IF($F27="Steady Growth",OO$23-$KB27,$KC27-OO$23)+1)/($KD27*($KD27+1)/2)*$KE27</f>
        <v>0</v>
      </c>
      <c r="OP27" s="422">
        <f t="shared" si="310"/>
        <v>0</v>
      </c>
      <c r="OQ27" s="422">
        <f t="shared" si="310"/>
        <v>0</v>
      </c>
      <c r="OR27" s="422">
        <f t="shared" si="310"/>
        <v>0</v>
      </c>
      <c r="OS27" s="422">
        <f t="shared" si="310"/>
        <v>0</v>
      </c>
      <c r="OT27" s="422">
        <f t="shared" si="310"/>
        <v>0</v>
      </c>
      <c r="OU27" s="422">
        <f t="shared" si="310"/>
        <v>0</v>
      </c>
      <c r="OV27" s="422">
        <f t="shared" si="310"/>
        <v>0</v>
      </c>
      <c r="OW27" s="422">
        <f t="shared" si="310"/>
        <v>0</v>
      </c>
      <c r="OX27" s="422">
        <f t="shared" si="310"/>
        <v>0</v>
      </c>
      <c r="OY27" s="422">
        <f t="shared" si="310"/>
        <v>0</v>
      </c>
      <c r="OZ27" s="422">
        <f t="shared" si="310"/>
        <v>0</v>
      </c>
      <c r="PA27" s="422">
        <f t="shared" si="310"/>
        <v>0</v>
      </c>
      <c r="PB27" s="422">
        <f t="shared" si="310"/>
        <v>0</v>
      </c>
      <c r="PC27" s="422">
        <f t="shared" si="310"/>
        <v>0</v>
      </c>
      <c r="PD27" s="422">
        <f t="shared" si="310"/>
        <v>0</v>
      </c>
      <c r="PE27" s="422" t="n">
        <f t="shared" ref="PE27:PH30" si="311">AND(PE$23&gt;=$KB27,PE$23&lt;=$KC27)*(IF($F27="Steady Growth",PE$23-$KB27,$KC27-PE$23)+1)/($KD27*($KD27+1)/2)*$KE27</f>
        <v>0</v>
      </c>
      <c r="PF27" s="422">
        <f t="shared" si="311"/>
        <v>0</v>
      </c>
      <c r="PG27" s="422">
        <f t="shared" si="311"/>
        <v>0</v>
      </c>
      <c r="PH27" s="422">
        <f t="shared" si="311"/>
        <v>0</v>
      </c>
    </row>
    <row r="28">
      <c r="B28" s="423" t="s">
        <v>138</v>
      </c>
      <c r="C28" s="404">
        <v>0</v>
      </c>
      <c r="D28" s="46"/>
      <c r="E28" s="46">
        <v>0</v>
      </c>
      <c r="F28" s="418" t="s">
        <v>137</v>
      </c>
      <c r="G28" s="135" t="n">
        <f>I28/Units_SF_M2</f>
        <v>9.57702983870494</v>
      </c>
      <c r="H28" s="419"/>
      <c r="I28" s="420" t="n">
        <f>PROJECTS!$AP$172*1000000</f>
        <v>750000</v>
      </c>
      <c r="K28" s="22" t="str">
        <f>IF(ROUND(SUM(L28:EN28),0)=ROUND(I28,0),"","Incomplete")</f>
      </c>
      <c r="L28" s="421">
        <f t="shared" si="286"/>
        <v>750000</v>
      </c>
      <c r="M28" s="421">
        <f t="shared" si="286"/>
        <v>0</v>
      </c>
      <c r="N28" s="421">
        <f t="shared" si="286"/>
        <v>0</v>
      </c>
      <c r="O28" s="421">
        <f t="shared" si="286"/>
        <v>0</v>
      </c>
      <c r="P28" s="421">
        <f t="shared" si="286"/>
        <v>0</v>
      </c>
      <c r="Q28" s="421">
        <f t="shared" si="286"/>
        <v>0</v>
      </c>
      <c r="R28" s="421">
        <f t="shared" si="286"/>
        <v>0</v>
      </c>
      <c r="S28" s="421">
        <f t="shared" si="286"/>
        <v>0</v>
      </c>
      <c r="T28" s="421">
        <f t="shared" si="286"/>
        <v>0</v>
      </c>
      <c r="U28" s="421">
        <f t="shared" si="286"/>
        <v>0</v>
      </c>
      <c r="V28" s="421">
        <f t="shared" si="287"/>
        <v>0</v>
      </c>
      <c r="W28" s="421">
        <f t="shared" si="287"/>
        <v>0</v>
      </c>
      <c r="X28" s="421">
        <f t="shared" si="287"/>
        <v>0</v>
      </c>
      <c r="Y28" s="421">
        <f t="shared" si="287"/>
        <v>0</v>
      </c>
      <c r="Z28" s="421">
        <f t="shared" si="287"/>
        <v>0</v>
      </c>
      <c r="AA28" s="421">
        <f t="shared" si="287"/>
        <v>0</v>
      </c>
      <c r="AB28" s="421">
        <f t="shared" si="287"/>
        <v>0</v>
      </c>
      <c r="AC28" s="421">
        <f t="shared" si="287"/>
        <v>0</v>
      </c>
      <c r="AD28" s="421">
        <f t="shared" si="287"/>
        <v>0</v>
      </c>
      <c r="AE28" s="421">
        <f t="shared" si="287"/>
        <v>0</v>
      </c>
      <c r="AF28" s="421">
        <f t="shared" si="288"/>
        <v>0</v>
      </c>
      <c r="AG28" s="421">
        <f t="shared" si="288"/>
        <v>0</v>
      </c>
      <c r="AH28" s="421">
        <f t="shared" si="288"/>
        <v>0</v>
      </c>
      <c r="AI28" s="421">
        <f t="shared" si="288"/>
        <v>0</v>
      </c>
      <c r="AJ28" s="421">
        <f t="shared" si="288"/>
        <v>0</v>
      </c>
      <c r="AK28" s="421">
        <f t="shared" si="288"/>
        <v>0</v>
      </c>
      <c r="AL28" s="421">
        <f t="shared" si="288"/>
        <v>0</v>
      </c>
      <c r="AM28" s="421">
        <f t="shared" si="288"/>
        <v>0</v>
      </c>
      <c r="AN28" s="421">
        <f t="shared" si="288"/>
        <v>0</v>
      </c>
      <c r="AO28" s="421">
        <f t="shared" si="288"/>
        <v>0</v>
      </c>
      <c r="AP28" s="421">
        <f t="shared" si="289"/>
        <v>0</v>
      </c>
      <c r="AQ28" s="421">
        <f t="shared" si="289"/>
        <v>0</v>
      </c>
      <c r="AR28" s="421">
        <f t="shared" si="289"/>
        <v>0</v>
      </c>
      <c r="AS28" s="421">
        <f t="shared" si="289"/>
        <v>0</v>
      </c>
      <c r="AT28" s="421">
        <f t="shared" si="289"/>
        <v>0</v>
      </c>
      <c r="AU28" s="421">
        <f t="shared" si="289"/>
        <v>0</v>
      </c>
      <c r="AV28" s="421">
        <f t="shared" si="289"/>
        <v>0</v>
      </c>
      <c r="AW28" s="421">
        <f t="shared" si="289"/>
        <v>0</v>
      </c>
      <c r="AX28" s="421">
        <f t="shared" si="289"/>
        <v>0</v>
      </c>
      <c r="AY28" s="421">
        <f t="shared" si="289"/>
        <v>0</v>
      </c>
      <c r="AZ28" s="421">
        <f t="shared" si="290"/>
        <v>0</v>
      </c>
      <c r="BA28" s="421">
        <f t="shared" si="290"/>
        <v>0</v>
      </c>
      <c r="BB28" s="421">
        <f t="shared" si="290"/>
        <v>0</v>
      </c>
      <c r="BC28" s="421">
        <f t="shared" si="290"/>
        <v>0</v>
      </c>
      <c r="BD28" s="421">
        <f t="shared" si="290"/>
        <v>0</v>
      </c>
      <c r="BE28" s="421">
        <f t="shared" si="290"/>
        <v>0</v>
      </c>
      <c r="BF28" s="421">
        <f t="shared" si="290"/>
        <v>0</v>
      </c>
      <c r="BG28" s="421">
        <f t="shared" si="290"/>
        <v>0</v>
      </c>
      <c r="BH28" s="421">
        <f t="shared" si="290"/>
        <v>0</v>
      </c>
      <c r="BI28" s="421">
        <f t="shared" si="290"/>
        <v>0</v>
      </c>
      <c r="BJ28" s="421">
        <f t="shared" si="291"/>
        <v>0</v>
      </c>
      <c r="BK28" s="421">
        <f t="shared" si="291"/>
        <v>0</v>
      </c>
      <c r="BL28" s="421">
        <f t="shared" si="291"/>
        <v>0</v>
      </c>
      <c r="BM28" s="421">
        <f t="shared" si="291"/>
        <v>0</v>
      </c>
      <c r="BN28" s="421">
        <f t="shared" si="291"/>
        <v>0</v>
      </c>
      <c r="BO28" s="421">
        <f t="shared" si="291"/>
        <v>0</v>
      </c>
      <c r="BP28" s="421">
        <f t="shared" si="291"/>
        <v>0</v>
      </c>
      <c r="BQ28" s="421">
        <f t="shared" si="291"/>
        <v>0</v>
      </c>
      <c r="BR28" s="421">
        <f t="shared" si="291"/>
        <v>0</v>
      </c>
      <c r="BS28" s="421">
        <f t="shared" si="291"/>
        <v>0</v>
      </c>
      <c r="BT28" s="421">
        <f t="shared" si="292"/>
        <v>0</v>
      </c>
      <c r="BU28" s="421">
        <f t="shared" si="292"/>
        <v>0</v>
      </c>
      <c r="BV28" s="421">
        <f t="shared" si="292"/>
        <v>0</v>
      </c>
      <c r="BW28" s="421">
        <f t="shared" si="292"/>
        <v>0</v>
      </c>
      <c r="BX28" s="421">
        <f t="shared" si="292"/>
        <v>0</v>
      </c>
      <c r="BY28" s="421">
        <f t="shared" si="292"/>
        <v>0</v>
      </c>
      <c r="BZ28" s="421">
        <f t="shared" si="292"/>
        <v>0</v>
      </c>
      <c r="CA28" s="421">
        <f t="shared" si="292"/>
        <v>0</v>
      </c>
      <c r="CB28" s="421">
        <f t="shared" si="292"/>
        <v>0</v>
      </c>
      <c r="CC28" s="421">
        <f t="shared" si="292"/>
        <v>0</v>
      </c>
      <c r="CD28" s="421">
        <f t="shared" si="293"/>
        <v>0</v>
      </c>
      <c r="CE28" s="421">
        <f t="shared" si="293"/>
        <v>0</v>
      </c>
      <c r="CF28" s="421">
        <f t="shared" si="293"/>
        <v>0</v>
      </c>
      <c r="CG28" s="421">
        <f t="shared" si="293"/>
        <v>0</v>
      </c>
      <c r="CH28" s="421">
        <f t="shared" si="293"/>
        <v>0</v>
      </c>
      <c r="CI28" s="421">
        <f t="shared" si="293"/>
        <v>0</v>
      </c>
      <c r="CJ28" s="421">
        <f t="shared" si="293"/>
        <v>0</v>
      </c>
      <c r="CK28" s="421">
        <f t="shared" si="293"/>
        <v>0</v>
      </c>
      <c r="CL28" s="421">
        <f t="shared" si="293"/>
        <v>0</v>
      </c>
      <c r="CM28" s="421">
        <f t="shared" si="293"/>
        <v>0</v>
      </c>
      <c r="CN28" s="421">
        <f t="shared" si="294"/>
        <v>0</v>
      </c>
      <c r="CO28" s="421">
        <f t="shared" si="294"/>
        <v>0</v>
      </c>
      <c r="CP28" s="421">
        <f t="shared" si="294"/>
        <v>0</v>
      </c>
      <c r="CQ28" s="421">
        <f t="shared" si="294"/>
        <v>0</v>
      </c>
      <c r="CR28" s="421">
        <f t="shared" si="294"/>
        <v>0</v>
      </c>
      <c r="CS28" s="421">
        <f t="shared" si="294"/>
        <v>0</v>
      </c>
      <c r="CT28" s="421">
        <f t="shared" si="294"/>
        <v>0</v>
      </c>
      <c r="CU28" s="421">
        <f t="shared" si="294"/>
        <v>0</v>
      </c>
      <c r="CV28" s="421">
        <f t="shared" si="294"/>
        <v>0</v>
      </c>
      <c r="CW28" s="421">
        <f t="shared" si="294"/>
        <v>0</v>
      </c>
      <c r="CX28" s="421">
        <f t="shared" si="295"/>
        <v>0</v>
      </c>
      <c r="CY28" s="421">
        <f t="shared" si="295"/>
        <v>0</v>
      </c>
      <c r="CZ28" s="421">
        <f t="shared" si="295"/>
        <v>0</v>
      </c>
      <c r="DA28" s="421">
        <f t="shared" si="295"/>
        <v>0</v>
      </c>
      <c r="DB28" s="421">
        <f t="shared" si="295"/>
        <v>0</v>
      </c>
      <c r="DC28" s="421">
        <f t="shared" si="295"/>
        <v>0</v>
      </c>
      <c r="DD28" s="421">
        <f t="shared" si="295"/>
        <v>0</v>
      </c>
      <c r="DE28" s="421">
        <f t="shared" si="295"/>
        <v>0</v>
      </c>
      <c r="DF28" s="421">
        <f t="shared" si="295"/>
        <v>0</v>
      </c>
      <c r="DG28" s="421">
        <f t="shared" si="295"/>
        <v>0</v>
      </c>
      <c r="DH28" s="421">
        <f t="shared" si="296"/>
        <v>0</v>
      </c>
      <c r="DI28" s="421">
        <f t="shared" si="296"/>
        <v>0</v>
      </c>
      <c r="DJ28" s="421">
        <f t="shared" si="296"/>
        <v>0</v>
      </c>
      <c r="DK28" s="421">
        <f t="shared" si="296"/>
        <v>0</v>
      </c>
      <c r="DL28" s="421">
        <f t="shared" si="296"/>
        <v>0</v>
      </c>
      <c r="DM28" s="421">
        <f t="shared" si="296"/>
        <v>0</v>
      </c>
      <c r="DN28" s="421">
        <f t="shared" si="296"/>
        <v>0</v>
      </c>
      <c r="DO28" s="421">
        <f t="shared" si="296"/>
        <v>0</v>
      </c>
      <c r="DP28" s="421">
        <f t="shared" si="296"/>
        <v>0</v>
      </c>
      <c r="DQ28" s="421">
        <f t="shared" si="296"/>
        <v>0</v>
      </c>
      <c r="DR28" s="421">
        <f t="shared" si="297"/>
        <v>0</v>
      </c>
      <c r="DS28" s="421">
        <f t="shared" si="297"/>
        <v>0</v>
      </c>
      <c r="DT28" s="421">
        <f t="shared" si="297"/>
        <v>0</v>
      </c>
      <c r="DU28" s="421">
        <f t="shared" si="297"/>
        <v>0</v>
      </c>
      <c r="DV28" s="421">
        <f t="shared" si="297"/>
        <v>0</v>
      </c>
      <c r="DW28" s="421">
        <f t="shared" si="297"/>
        <v>0</v>
      </c>
      <c r="DX28" s="421">
        <f t="shared" si="297"/>
        <v>0</v>
      </c>
      <c r="DY28" s="421">
        <f t="shared" si="297"/>
        <v>0</v>
      </c>
      <c r="DZ28" s="421">
        <f t="shared" si="297"/>
        <v>0</v>
      </c>
      <c r="EA28" s="421">
        <f t="shared" si="297"/>
        <v>0</v>
      </c>
      <c r="EB28" s="421">
        <f t="shared" si="298"/>
        <v>0</v>
      </c>
      <c r="EC28" s="421">
        <f t="shared" si="298"/>
        <v>0</v>
      </c>
      <c r="ED28" s="421">
        <f t="shared" si="298"/>
        <v>0</v>
      </c>
      <c r="EE28" s="421">
        <f t="shared" si="298"/>
        <v>0</v>
      </c>
      <c r="EF28" s="421">
        <f t="shared" si="298"/>
        <v>0</v>
      </c>
      <c r="EG28" s="421">
        <f t="shared" si="298"/>
        <v>0</v>
      </c>
      <c r="EH28" s="421">
        <f t="shared" si="298"/>
        <v>0</v>
      </c>
      <c r="EI28" s="421">
        <f t="shared" si="298"/>
        <v>0</v>
      </c>
      <c r="EJ28" s="421">
        <f t="shared" si="298"/>
        <v>0</v>
      </c>
      <c r="EK28" s="421">
        <f t="shared" si="298"/>
        <v>0</v>
      </c>
      <c r="EL28" s="421">
        <f t="shared" si="299"/>
        <v>0</v>
      </c>
      <c r="EM28" s="421">
        <f t="shared" si="299"/>
        <v>0</v>
      </c>
      <c r="EN28" s="421">
        <f t="shared" si="299"/>
        <v>0</v>
      </c>
      <c r="EP28" s="221" t="n">
        <f>I28</f>
        <v>750000</v>
      </c>
      <c r="EQ28" s="202" t="n">
        <f>INDEX($L$24:$EN$24,1,$D28+1)</f>
        <v>46203</v>
      </c>
      <c r="ER28" s="202" t="n">
        <f>INDEX($L$24:$EN$24,1,$E28+1)</f>
        <v>46203</v>
      </c>
      <c r="ES28" s="20" t="n">
        <f>+E28-D28+1</f>
        <v>1</v>
      </c>
      <c r="ET28" s="18" t="str">
        <f>F28</f>
        <v>Straight-Line</v>
      </c>
      <c r="EU28" s="80" t="n">
        <f>ES28/Scurve_Dist</f>
        <v>0.16666666666666666</v>
      </c>
      <c r="EV28" s="20" t="n">
        <f>AND($ET28="S-Curve",EV$24&gt;=$EQ28,EV$24&lt;=$ER28)*(_xlfn.NORM.DIST((YEAR(EV$24)-YEAR($EQ28))*12+MONTH(EV$24)-MONTH($EQ28)+1,$ES28/2,$EU28,TRUE)-_xlfn.NORM.DIST((YEAR(EV$24)-YEAR($EQ28))*12+MONTH(EV$24)-MONTH($EQ28),$ES28/2,$EU28,TRUE))/(1-2*_xlfn.NORM.DIST(0,$ES28/2,$EU28,TRUE))*$EP28</f>
        <v>0</v>
      </c>
      <c r="EW28" s="20" t="n">
        <f t="shared" ref="EW28:HH30" si="312">AND($ET28="S-Curve",EW$24&gt;=$EQ28,EW$24&lt;=$ER28)*(_xlfn.NORM.DIST((YEAR(EW$24)-YEAR($EQ28))*12+MONTH(EW$24)-MONTH($EQ28)+1,$ES28/2,$EU28,TRUE)-_xlfn.NORM.DIST((YEAR(EW$24)-YEAR($EQ28))*12+MONTH(EW$24)-MONTH($EQ28),$ES28/2,$EU28,TRUE))/(1-2*_xlfn.NORM.DIST(0,$ES28/2,$EU28,TRUE))*$EP28</f>
        <v>0</v>
      </c>
      <c r="EX28" s="20">
        <f t="shared" si="312"/>
        <v>0</v>
      </c>
      <c r="EY28" s="20">
        <f t="shared" si="312"/>
        <v>0</v>
      </c>
      <c r="EZ28" s="20">
        <f t="shared" si="312"/>
        <v>0</v>
      </c>
      <c r="FA28" s="20">
        <f t="shared" si="312"/>
        <v>0</v>
      </c>
      <c r="FB28" s="20">
        <f t="shared" si="312"/>
        <v>0</v>
      </c>
      <c r="FC28" s="20">
        <f t="shared" si="312"/>
        <v>0</v>
      </c>
      <c r="FD28" s="20">
        <f t="shared" si="312"/>
        <v>0</v>
      </c>
      <c r="FE28" s="20">
        <f t="shared" si="312"/>
        <v>0</v>
      </c>
      <c r="FF28" s="20">
        <f t="shared" si="312"/>
        <v>0</v>
      </c>
      <c r="FG28" s="20">
        <f t="shared" si="312"/>
        <v>0</v>
      </c>
      <c r="FH28" s="20">
        <f t="shared" si="312"/>
        <v>0</v>
      </c>
      <c r="FI28" s="20">
        <f t="shared" si="312"/>
        <v>0</v>
      </c>
      <c r="FJ28" s="20">
        <f t="shared" si="312"/>
        <v>0</v>
      </c>
      <c r="FK28" s="20">
        <f t="shared" si="312"/>
        <v>0</v>
      </c>
      <c r="FL28" s="20">
        <f t="shared" si="312"/>
        <v>0</v>
      </c>
      <c r="FM28" s="20">
        <f t="shared" si="312"/>
        <v>0</v>
      </c>
      <c r="FN28" s="20">
        <f t="shared" si="312"/>
        <v>0</v>
      </c>
      <c r="FO28" s="20">
        <f t="shared" si="312"/>
        <v>0</v>
      </c>
      <c r="FP28" s="20">
        <f t="shared" si="312"/>
        <v>0</v>
      </c>
      <c r="FQ28" s="20">
        <f t="shared" si="312"/>
        <v>0</v>
      </c>
      <c r="FR28" s="20">
        <f t="shared" si="312"/>
        <v>0</v>
      </c>
      <c r="FS28" s="20">
        <f t="shared" si="312"/>
        <v>0</v>
      </c>
      <c r="FT28" s="20">
        <f t="shared" si="312"/>
        <v>0</v>
      </c>
      <c r="FU28" s="20">
        <f t="shared" si="312"/>
        <v>0</v>
      </c>
      <c r="FV28" s="20">
        <f t="shared" si="312"/>
        <v>0</v>
      </c>
      <c r="FW28" s="20">
        <f t="shared" si="312"/>
        <v>0</v>
      </c>
      <c r="FX28" s="20">
        <f t="shared" si="312"/>
        <v>0</v>
      </c>
      <c r="FY28" s="20">
        <f t="shared" si="312"/>
        <v>0</v>
      </c>
      <c r="FZ28" s="20">
        <f t="shared" si="312"/>
        <v>0</v>
      </c>
      <c r="GA28" s="20">
        <f t="shared" si="312"/>
        <v>0</v>
      </c>
      <c r="GB28" s="20">
        <f t="shared" si="312"/>
        <v>0</v>
      </c>
      <c r="GC28" s="20">
        <f t="shared" si="312"/>
        <v>0</v>
      </c>
      <c r="GD28" s="20">
        <f t="shared" si="312"/>
        <v>0</v>
      </c>
      <c r="GE28" s="20">
        <f t="shared" si="312"/>
        <v>0</v>
      </c>
      <c r="GF28" s="20">
        <f t="shared" si="312"/>
        <v>0</v>
      </c>
      <c r="GG28" s="20">
        <f t="shared" si="312"/>
        <v>0</v>
      </c>
      <c r="GH28" s="20">
        <f t="shared" si="312"/>
        <v>0</v>
      </c>
      <c r="GI28" s="20">
        <f t="shared" si="312"/>
        <v>0</v>
      </c>
      <c r="GJ28" s="20">
        <f t="shared" si="312"/>
        <v>0</v>
      </c>
      <c r="GK28" s="20">
        <f t="shared" si="312"/>
        <v>0</v>
      </c>
      <c r="GL28" s="20">
        <f t="shared" si="312"/>
        <v>0</v>
      </c>
      <c r="GM28" s="20">
        <f t="shared" si="312"/>
        <v>0</v>
      </c>
      <c r="GN28" s="20">
        <f t="shared" si="312"/>
        <v>0</v>
      </c>
      <c r="GO28" s="20">
        <f t="shared" si="312"/>
        <v>0</v>
      </c>
      <c r="GP28" s="20">
        <f t="shared" si="312"/>
        <v>0</v>
      </c>
      <c r="GQ28" s="20">
        <f t="shared" si="312"/>
        <v>0</v>
      </c>
      <c r="GR28" s="20">
        <f t="shared" si="312"/>
        <v>0</v>
      </c>
      <c r="GS28" s="20">
        <f t="shared" si="312"/>
        <v>0</v>
      </c>
      <c r="GT28" s="20">
        <f t="shared" si="312"/>
        <v>0</v>
      </c>
      <c r="GU28" s="20">
        <f t="shared" si="312"/>
        <v>0</v>
      </c>
      <c r="GV28" s="20">
        <f t="shared" si="312"/>
        <v>0</v>
      </c>
      <c r="GW28" s="20">
        <f t="shared" si="312"/>
        <v>0</v>
      </c>
      <c r="GX28" s="20">
        <f t="shared" si="312"/>
        <v>0</v>
      </c>
      <c r="GY28" s="20">
        <f t="shared" si="312"/>
        <v>0</v>
      </c>
      <c r="GZ28" s="20">
        <f t="shared" si="312"/>
        <v>0</v>
      </c>
      <c r="HA28" s="20">
        <f t="shared" si="312"/>
        <v>0</v>
      </c>
      <c r="HB28" s="20">
        <f t="shared" si="312"/>
        <v>0</v>
      </c>
      <c r="HC28" s="20">
        <f t="shared" si="312"/>
        <v>0</v>
      </c>
      <c r="HD28" s="20">
        <f t="shared" si="312"/>
        <v>0</v>
      </c>
      <c r="HE28" s="20">
        <f t="shared" si="312"/>
        <v>0</v>
      </c>
      <c r="HF28" s="20">
        <f t="shared" si="312"/>
        <v>0</v>
      </c>
      <c r="HG28" s="20">
        <f t="shared" si="312"/>
        <v>0</v>
      </c>
      <c r="HH28" s="20">
        <f t="shared" si="312"/>
        <v>0</v>
      </c>
      <c r="HI28" s="20" t="n">
        <f t="shared" ref="HI28:JT30" si="313">AND($ET28="S-Curve",HI$24&gt;=$EQ28,HI$24&lt;=$ER28)*(_xlfn.NORM.DIST((YEAR(HI$24)-YEAR($EQ28))*12+MONTH(HI$24)-MONTH($EQ28)+1,$ES28/2,$EU28,TRUE)-_xlfn.NORM.DIST((YEAR(HI$24)-YEAR($EQ28))*12+MONTH(HI$24)-MONTH($EQ28),$ES28/2,$EU28,TRUE))/(1-2*_xlfn.NORM.DIST(0,$ES28/2,$EU28,TRUE))*$EP28</f>
        <v>0</v>
      </c>
      <c r="HJ28" s="20">
        <f t="shared" si="313"/>
        <v>0</v>
      </c>
      <c r="HK28" s="20">
        <f t="shared" si="313"/>
        <v>0</v>
      </c>
      <c r="HL28" s="20">
        <f t="shared" si="313"/>
        <v>0</v>
      </c>
      <c r="HM28" s="20">
        <f t="shared" si="313"/>
        <v>0</v>
      </c>
      <c r="HN28" s="20">
        <f t="shared" si="313"/>
        <v>0</v>
      </c>
      <c r="HO28" s="20">
        <f t="shared" si="313"/>
        <v>0</v>
      </c>
      <c r="HP28" s="20">
        <f t="shared" si="313"/>
        <v>0</v>
      </c>
      <c r="HQ28" s="20">
        <f t="shared" si="313"/>
        <v>0</v>
      </c>
      <c r="HR28" s="20">
        <f t="shared" si="313"/>
        <v>0</v>
      </c>
      <c r="HS28" s="20">
        <f t="shared" si="313"/>
        <v>0</v>
      </c>
      <c r="HT28" s="20">
        <f t="shared" si="313"/>
        <v>0</v>
      </c>
      <c r="HU28" s="20">
        <f t="shared" si="313"/>
        <v>0</v>
      </c>
      <c r="HV28" s="20">
        <f t="shared" si="313"/>
        <v>0</v>
      </c>
      <c r="HW28" s="20">
        <f t="shared" si="313"/>
        <v>0</v>
      </c>
      <c r="HX28" s="20">
        <f t="shared" si="313"/>
        <v>0</v>
      </c>
      <c r="HY28" s="20">
        <f t="shared" si="313"/>
        <v>0</v>
      </c>
      <c r="HZ28" s="20">
        <f t="shared" si="313"/>
        <v>0</v>
      </c>
      <c r="IA28" s="20">
        <f t="shared" si="313"/>
        <v>0</v>
      </c>
      <c r="IB28" s="20">
        <f t="shared" si="313"/>
        <v>0</v>
      </c>
      <c r="IC28" s="20">
        <f t="shared" si="313"/>
        <v>0</v>
      </c>
      <c r="ID28" s="20">
        <f t="shared" si="313"/>
        <v>0</v>
      </c>
      <c r="IE28" s="20">
        <f t="shared" si="313"/>
        <v>0</v>
      </c>
      <c r="IF28" s="20">
        <f t="shared" si="313"/>
        <v>0</v>
      </c>
      <c r="IG28" s="20">
        <f t="shared" si="313"/>
        <v>0</v>
      </c>
      <c r="IH28" s="20">
        <f t="shared" si="313"/>
        <v>0</v>
      </c>
      <c r="II28" s="20">
        <f t="shared" si="313"/>
        <v>0</v>
      </c>
      <c r="IJ28" s="20">
        <f t="shared" si="313"/>
        <v>0</v>
      </c>
      <c r="IK28" s="20">
        <f t="shared" si="313"/>
        <v>0</v>
      </c>
      <c r="IL28" s="20">
        <f t="shared" si="313"/>
        <v>0</v>
      </c>
      <c r="IM28" s="20">
        <f t="shared" si="313"/>
        <v>0</v>
      </c>
      <c r="IN28" s="20">
        <f t="shared" si="313"/>
        <v>0</v>
      </c>
      <c r="IO28" s="20">
        <f t="shared" si="313"/>
        <v>0</v>
      </c>
      <c r="IP28" s="20">
        <f t="shared" si="313"/>
        <v>0</v>
      </c>
      <c r="IQ28" s="20">
        <f t="shared" si="313"/>
        <v>0</v>
      </c>
      <c r="IR28" s="20">
        <f t="shared" si="313"/>
        <v>0</v>
      </c>
      <c r="IS28" s="20">
        <f t="shared" si="313"/>
        <v>0</v>
      </c>
      <c r="IT28" s="20">
        <f t="shared" si="313"/>
        <v>0</v>
      </c>
      <c r="IU28" s="20">
        <f t="shared" si="313"/>
        <v>0</v>
      </c>
      <c r="IV28" s="20">
        <f t="shared" si="313"/>
        <v>0</v>
      </c>
      <c r="IW28" s="20">
        <f t="shared" si="313"/>
        <v>0</v>
      </c>
      <c r="IX28" s="20">
        <f t="shared" si="313"/>
        <v>0</v>
      </c>
      <c r="IY28" s="20">
        <f t="shared" si="313"/>
        <v>0</v>
      </c>
      <c r="IZ28" s="20">
        <f t="shared" si="313"/>
        <v>0</v>
      </c>
      <c r="JA28" s="20">
        <f t="shared" si="313"/>
        <v>0</v>
      </c>
      <c r="JB28" s="20">
        <f t="shared" si="313"/>
        <v>0</v>
      </c>
      <c r="JC28" s="20">
        <f t="shared" si="313"/>
        <v>0</v>
      </c>
      <c r="JD28" s="20">
        <f t="shared" si="313"/>
        <v>0</v>
      </c>
      <c r="JE28" s="20">
        <f t="shared" si="313"/>
        <v>0</v>
      </c>
      <c r="JF28" s="20">
        <f t="shared" si="313"/>
        <v>0</v>
      </c>
      <c r="JG28" s="20">
        <f t="shared" si="313"/>
        <v>0</v>
      </c>
      <c r="JH28" s="20">
        <f t="shared" si="313"/>
        <v>0</v>
      </c>
      <c r="JI28" s="20">
        <f t="shared" si="313"/>
        <v>0</v>
      </c>
      <c r="JJ28" s="20">
        <f t="shared" si="313"/>
        <v>0</v>
      </c>
      <c r="JK28" s="20">
        <f t="shared" si="313"/>
        <v>0</v>
      </c>
      <c r="JL28" s="20">
        <f t="shared" si="313"/>
        <v>0</v>
      </c>
      <c r="JM28" s="20">
        <f t="shared" si="313"/>
        <v>0</v>
      </c>
      <c r="JN28" s="20">
        <f t="shared" si="313"/>
        <v>0</v>
      </c>
      <c r="JO28" s="20">
        <f t="shared" si="313"/>
        <v>0</v>
      </c>
      <c r="JP28" s="20">
        <f t="shared" si="313"/>
        <v>0</v>
      </c>
      <c r="JQ28" s="20">
        <f t="shared" si="313"/>
        <v>0</v>
      </c>
      <c r="JR28" s="20">
        <f t="shared" si="313"/>
        <v>0</v>
      </c>
      <c r="JS28" s="20">
        <f t="shared" si="313"/>
        <v>0</v>
      </c>
      <c r="JT28" s="20">
        <f t="shared" si="313"/>
        <v>0</v>
      </c>
      <c r="JU28" s="20">
        <f t="shared" si="302"/>
        <v>0</v>
      </c>
      <c r="JV28" s="20">
        <f t="shared" si="302"/>
        <v>0</v>
      </c>
      <c r="JW28" s="20">
        <f t="shared" si="302"/>
        <v>0</v>
      </c>
      <c r="JX28" s="20">
        <f t="shared" si="302"/>
        <v>0</v>
      </c>
      <c r="JZ28" s="221" t="str">
        <f t="shared" ref="JZ28:JZ29" si="314">B28</f>
        <v>Interim site acquisition lease deposit</v>
      </c>
      <c r="KA28" s="202"/>
      <c r="KB28" s="20" t="n">
        <f t="shared" ref="KB28:KB29" si="315">D28</f>
        <v>0</v>
      </c>
      <c r="KC28" s="20" t="n">
        <f t="shared" ref="KC28:KC29" si="316">E28</f>
        <v>0</v>
      </c>
      <c r="KD28" s="20" t="n">
        <f t="shared" ref="KD28:KD29" si="317">KC28-KB28+1</f>
        <v>1</v>
      </c>
      <c r="KE28" s="422" t="n">
        <f t="shared" ref="KE28:KE29" si="318">I28</f>
        <v>750000</v>
      </c>
      <c r="KF28" s="422" t="n">
        <f t="shared" ref="KF28:KF30" si="319">AND(KF$23&gt;=$KB28,KF$23&lt;=$KC28)*(IF($F28="Steady Growth",KF$23-$KB28,$KC28-KF$23)+1)/($KD28*($KD28+1)/2)*$KE28</f>
        <v>750000</v>
      </c>
      <c r="KG28" s="422">
        <f t="shared" si="303"/>
        <v>0</v>
      </c>
      <c r="KH28" s="422">
        <f t="shared" si="303"/>
        <v>0</v>
      </c>
      <c r="KI28" s="422">
        <f t="shared" si="303"/>
        <v>0</v>
      </c>
      <c r="KJ28" s="422">
        <f t="shared" si="303"/>
        <v>0</v>
      </c>
      <c r="KK28" s="422">
        <f t="shared" si="303"/>
        <v>0</v>
      </c>
      <c r="KL28" s="422">
        <f t="shared" si="303"/>
        <v>0</v>
      </c>
      <c r="KM28" s="422">
        <f t="shared" si="303"/>
        <v>0</v>
      </c>
      <c r="KN28" s="422">
        <f t="shared" si="303"/>
        <v>0</v>
      </c>
      <c r="KO28" s="422">
        <f t="shared" si="303"/>
        <v>0</v>
      </c>
      <c r="KP28" s="422">
        <f t="shared" si="303"/>
        <v>0</v>
      </c>
      <c r="KQ28" s="422">
        <f t="shared" si="303"/>
        <v>0</v>
      </c>
      <c r="KR28" s="422">
        <f t="shared" si="303"/>
        <v>0</v>
      </c>
      <c r="KS28" s="422">
        <f t="shared" si="303"/>
        <v>0</v>
      </c>
      <c r="KT28" s="422">
        <f t="shared" si="303"/>
        <v>0</v>
      </c>
      <c r="KU28" s="422">
        <f t="shared" si="303"/>
        <v>0</v>
      </c>
      <c r="KV28" s="422">
        <f t="shared" si="303"/>
        <v>0</v>
      </c>
      <c r="KW28" s="422">
        <f t="shared" si="304"/>
        <v>0</v>
      </c>
      <c r="KX28" s="422">
        <f t="shared" si="304"/>
        <v>0</v>
      </c>
      <c r="KY28" s="422">
        <f t="shared" si="304"/>
        <v>0</v>
      </c>
      <c r="KZ28" s="422">
        <f t="shared" si="304"/>
        <v>0</v>
      </c>
      <c r="LA28" s="422">
        <f t="shared" si="304"/>
        <v>0</v>
      </c>
      <c r="LB28" s="422">
        <f t="shared" si="304"/>
        <v>0</v>
      </c>
      <c r="LC28" s="422">
        <f t="shared" si="304"/>
        <v>0</v>
      </c>
      <c r="LD28" s="422">
        <f t="shared" si="304"/>
        <v>0</v>
      </c>
      <c r="LE28" s="422">
        <f t="shared" si="304"/>
        <v>0</v>
      </c>
      <c r="LF28" s="422">
        <f t="shared" si="304"/>
        <v>0</v>
      </c>
      <c r="LG28" s="422">
        <f t="shared" si="304"/>
        <v>0</v>
      </c>
      <c r="LH28" s="422">
        <f t="shared" si="304"/>
        <v>0</v>
      </c>
      <c r="LI28" s="422">
        <f t="shared" si="304"/>
        <v>0</v>
      </c>
      <c r="LJ28" s="422">
        <f t="shared" si="304"/>
        <v>0</v>
      </c>
      <c r="LK28" s="422">
        <f t="shared" si="304"/>
        <v>0</v>
      </c>
      <c r="LL28" s="422">
        <f t="shared" si="304"/>
        <v>0</v>
      </c>
      <c r="LM28" s="422">
        <f t="shared" si="305"/>
        <v>0</v>
      </c>
      <c r="LN28" s="422">
        <f t="shared" si="305"/>
        <v>0</v>
      </c>
      <c r="LO28" s="422">
        <f t="shared" si="305"/>
        <v>0</v>
      </c>
      <c r="LP28" s="422">
        <f t="shared" si="305"/>
        <v>0</v>
      </c>
      <c r="LQ28" s="422">
        <f t="shared" si="305"/>
        <v>0</v>
      </c>
      <c r="LR28" s="422">
        <f t="shared" si="305"/>
        <v>0</v>
      </c>
      <c r="LS28" s="422">
        <f t="shared" si="305"/>
        <v>0</v>
      </c>
      <c r="LT28" s="422">
        <f t="shared" si="305"/>
        <v>0</v>
      </c>
      <c r="LU28" s="422">
        <f t="shared" si="305"/>
        <v>0</v>
      </c>
      <c r="LV28" s="422">
        <f t="shared" si="305"/>
        <v>0</v>
      </c>
      <c r="LW28" s="422">
        <f t="shared" si="305"/>
        <v>0</v>
      </c>
      <c r="LX28" s="422">
        <f t="shared" si="305"/>
        <v>0</v>
      </c>
      <c r="LY28" s="422">
        <f t="shared" si="305"/>
        <v>0</v>
      </c>
      <c r="LZ28" s="422">
        <f t="shared" si="305"/>
        <v>0</v>
      </c>
      <c r="MA28" s="422">
        <f t="shared" si="305"/>
        <v>0</v>
      </c>
      <c r="MB28" s="422">
        <f t="shared" si="305"/>
        <v>0</v>
      </c>
      <c r="MC28" s="422">
        <f t="shared" si="306"/>
        <v>0</v>
      </c>
      <c r="MD28" s="422">
        <f t="shared" si="306"/>
        <v>0</v>
      </c>
      <c r="ME28" s="422">
        <f t="shared" si="306"/>
        <v>0</v>
      </c>
      <c r="MF28" s="422">
        <f t="shared" si="306"/>
        <v>0</v>
      </c>
      <c r="MG28" s="422">
        <f t="shared" si="306"/>
        <v>0</v>
      </c>
      <c r="MH28" s="422">
        <f t="shared" si="306"/>
        <v>0</v>
      </c>
      <c r="MI28" s="422">
        <f t="shared" si="306"/>
        <v>0</v>
      </c>
      <c r="MJ28" s="422">
        <f t="shared" si="306"/>
        <v>0</v>
      </c>
      <c r="MK28" s="422">
        <f t="shared" si="306"/>
        <v>0</v>
      </c>
      <c r="ML28" s="422">
        <f t="shared" si="306"/>
        <v>0</v>
      </c>
      <c r="MM28" s="422">
        <f t="shared" si="306"/>
        <v>0</v>
      </c>
      <c r="MN28" s="422">
        <f t="shared" si="306"/>
        <v>0</v>
      </c>
      <c r="MO28" s="422">
        <f t="shared" si="306"/>
        <v>0</v>
      </c>
      <c r="MP28" s="422">
        <f t="shared" si="306"/>
        <v>0</v>
      </c>
      <c r="MQ28" s="422">
        <f t="shared" si="306"/>
        <v>0</v>
      </c>
      <c r="MR28" s="422">
        <f t="shared" si="306"/>
        <v>0</v>
      </c>
      <c r="MS28" s="422">
        <f t="shared" si="307"/>
        <v>0</v>
      </c>
      <c r="MT28" s="422">
        <f t="shared" si="307"/>
        <v>0</v>
      </c>
      <c r="MU28" s="422">
        <f t="shared" si="307"/>
        <v>0</v>
      </c>
      <c r="MV28" s="422">
        <f t="shared" si="307"/>
        <v>0</v>
      </c>
      <c r="MW28" s="422">
        <f t="shared" si="307"/>
        <v>0</v>
      </c>
      <c r="MX28" s="422">
        <f t="shared" si="307"/>
        <v>0</v>
      </c>
      <c r="MY28" s="422">
        <f t="shared" si="307"/>
        <v>0</v>
      </c>
      <c r="MZ28" s="422">
        <f t="shared" si="307"/>
        <v>0</v>
      </c>
      <c r="NA28" s="422">
        <f t="shared" si="307"/>
        <v>0</v>
      </c>
      <c r="NB28" s="422">
        <f t="shared" si="307"/>
        <v>0</v>
      </c>
      <c r="NC28" s="422">
        <f t="shared" si="307"/>
        <v>0</v>
      </c>
      <c r="ND28" s="422">
        <f t="shared" si="307"/>
        <v>0</v>
      </c>
      <c r="NE28" s="422">
        <f t="shared" si="307"/>
        <v>0</v>
      </c>
      <c r="NF28" s="422">
        <f t="shared" si="307"/>
        <v>0</v>
      </c>
      <c r="NG28" s="422">
        <f t="shared" si="307"/>
        <v>0</v>
      </c>
      <c r="NH28" s="422">
        <f t="shared" si="307"/>
        <v>0</v>
      </c>
      <c r="NI28" s="422">
        <f t="shared" si="308"/>
        <v>0</v>
      </c>
      <c r="NJ28" s="422">
        <f t="shared" si="308"/>
        <v>0</v>
      </c>
      <c r="NK28" s="422">
        <f t="shared" si="308"/>
        <v>0</v>
      </c>
      <c r="NL28" s="422">
        <f t="shared" si="308"/>
        <v>0</v>
      </c>
      <c r="NM28" s="422">
        <f t="shared" si="308"/>
        <v>0</v>
      </c>
      <c r="NN28" s="422">
        <f t="shared" si="308"/>
        <v>0</v>
      </c>
      <c r="NO28" s="422">
        <f t="shared" si="308"/>
        <v>0</v>
      </c>
      <c r="NP28" s="422">
        <f t="shared" si="308"/>
        <v>0</v>
      </c>
      <c r="NQ28" s="422">
        <f t="shared" si="308"/>
        <v>0</v>
      </c>
      <c r="NR28" s="422">
        <f t="shared" si="308"/>
        <v>0</v>
      </c>
      <c r="NS28" s="422">
        <f t="shared" si="308"/>
        <v>0</v>
      </c>
      <c r="NT28" s="422">
        <f t="shared" si="308"/>
        <v>0</v>
      </c>
      <c r="NU28" s="422">
        <f t="shared" si="308"/>
        <v>0</v>
      </c>
      <c r="NV28" s="422">
        <f t="shared" si="308"/>
        <v>0</v>
      </c>
      <c r="NW28" s="422">
        <f t="shared" si="308"/>
        <v>0</v>
      </c>
      <c r="NX28" s="422">
        <f t="shared" si="308"/>
        <v>0</v>
      </c>
      <c r="NY28" s="422">
        <f t="shared" si="309"/>
        <v>0</v>
      </c>
      <c r="NZ28" s="422">
        <f t="shared" si="309"/>
        <v>0</v>
      </c>
      <c r="OA28" s="422">
        <f t="shared" si="309"/>
        <v>0</v>
      </c>
      <c r="OB28" s="422">
        <f t="shared" si="309"/>
        <v>0</v>
      </c>
      <c r="OC28" s="422">
        <f t="shared" si="309"/>
        <v>0</v>
      </c>
      <c r="OD28" s="422">
        <f t="shared" si="309"/>
        <v>0</v>
      </c>
      <c r="OE28" s="422">
        <f t="shared" si="309"/>
        <v>0</v>
      </c>
      <c r="OF28" s="422">
        <f t="shared" si="309"/>
        <v>0</v>
      </c>
      <c r="OG28" s="422">
        <f t="shared" si="309"/>
        <v>0</v>
      </c>
      <c r="OH28" s="422">
        <f t="shared" si="309"/>
        <v>0</v>
      </c>
      <c r="OI28" s="422">
        <f t="shared" si="309"/>
        <v>0</v>
      </c>
      <c r="OJ28" s="422">
        <f t="shared" si="309"/>
        <v>0</v>
      </c>
      <c r="OK28" s="422">
        <f t="shared" si="309"/>
        <v>0</v>
      </c>
      <c r="OL28" s="422">
        <f t="shared" si="309"/>
        <v>0</v>
      </c>
      <c r="OM28" s="422">
        <f t="shared" si="309"/>
        <v>0</v>
      </c>
      <c r="ON28" s="422">
        <f t="shared" si="309"/>
        <v>0</v>
      </c>
      <c r="OO28" s="422">
        <f t="shared" si="310"/>
        <v>0</v>
      </c>
      <c r="OP28" s="422">
        <f t="shared" si="310"/>
        <v>0</v>
      </c>
      <c r="OQ28" s="422">
        <f t="shared" si="310"/>
        <v>0</v>
      </c>
      <c r="OR28" s="422">
        <f t="shared" si="310"/>
        <v>0</v>
      </c>
      <c r="OS28" s="422">
        <f t="shared" si="310"/>
        <v>0</v>
      </c>
      <c r="OT28" s="422">
        <f t="shared" si="310"/>
        <v>0</v>
      </c>
      <c r="OU28" s="422">
        <f t="shared" si="310"/>
        <v>0</v>
      </c>
      <c r="OV28" s="422">
        <f t="shared" si="310"/>
        <v>0</v>
      </c>
      <c r="OW28" s="422">
        <f t="shared" si="310"/>
        <v>0</v>
      </c>
      <c r="OX28" s="422">
        <f t="shared" si="310"/>
        <v>0</v>
      </c>
      <c r="OY28" s="422">
        <f t="shared" si="310"/>
        <v>0</v>
      </c>
      <c r="OZ28" s="422">
        <f t="shared" si="310"/>
        <v>0</v>
      </c>
      <c r="PA28" s="422">
        <f t="shared" si="310"/>
        <v>0</v>
      </c>
      <c r="PB28" s="422">
        <f t="shared" si="310"/>
        <v>0</v>
      </c>
      <c r="PC28" s="422">
        <f t="shared" si="310"/>
        <v>0</v>
      </c>
      <c r="PD28" s="422">
        <f t="shared" si="310"/>
        <v>0</v>
      </c>
      <c r="PE28" s="422">
        <f t="shared" si="311"/>
        <v>0</v>
      </c>
      <c r="PF28" s="422">
        <f t="shared" si="311"/>
        <v>0</v>
      </c>
      <c r="PG28" s="422">
        <f t="shared" si="311"/>
        <v>0</v>
      </c>
      <c r="PH28" s="422">
        <f t="shared" si="311"/>
        <v>0</v>
      </c>
    </row>
    <row r="29">
      <c r="B29" s="423" t="s">
        <v>139</v>
      </c>
      <c r="C29" s="404">
        <v>0</v>
      </c>
      <c r="D29" s="46"/>
      <c r="E29" s="46">
        <v>0</v>
      </c>
      <c r="F29" s="418" t="s">
        <v>137</v>
      </c>
      <c r="G29" s="135" t="n">
        <f>I29/Units_SF_M2</f>
        <v>0</v>
      </c>
      <c r="H29" s="419"/>
      <c r="I29" s="420">
        <v>0</v>
      </c>
      <c r="K29" s="22" t="str">
        <f>IF(ROUND(SUM(L29:EN29),0)=ROUND(I29,0),"","Incomplete")</f>
      </c>
      <c r="L29" s="421">
        <f t="shared" si="286"/>
        <v>0</v>
      </c>
      <c r="M29" s="421">
        <f t="shared" si="286"/>
        <v>0</v>
      </c>
      <c r="N29" s="421">
        <f t="shared" si="286"/>
        <v>0</v>
      </c>
      <c r="O29" s="421">
        <f t="shared" si="286"/>
        <v>0</v>
      </c>
      <c r="P29" s="421">
        <f t="shared" si="286"/>
        <v>0</v>
      </c>
      <c r="Q29" s="421">
        <f t="shared" si="286"/>
        <v>0</v>
      </c>
      <c r="R29" s="421">
        <f t="shared" si="286"/>
        <v>0</v>
      </c>
      <c r="S29" s="421">
        <f t="shared" si="286"/>
        <v>0</v>
      </c>
      <c r="T29" s="421">
        <f t="shared" si="286"/>
        <v>0</v>
      </c>
      <c r="U29" s="421">
        <f t="shared" si="286"/>
        <v>0</v>
      </c>
      <c r="V29" s="421">
        <f t="shared" si="287"/>
        <v>0</v>
      </c>
      <c r="W29" s="421">
        <f t="shared" si="287"/>
        <v>0</v>
      </c>
      <c r="X29" s="421">
        <f t="shared" si="287"/>
        <v>0</v>
      </c>
      <c r="Y29" s="421">
        <f t="shared" si="287"/>
        <v>0</v>
      </c>
      <c r="Z29" s="421">
        <f t="shared" si="287"/>
        <v>0</v>
      </c>
      <c r="AA29" s="421">
        <f t="shared" si="287"/>
        <v>0</v>
      </c>
      <c r="AB29" s="421">
        <f t="shared" si="287"/>
        <v>0</v>
      </c>
      <c r="AC29" s="421">
        <f t="shared" si="287"/>
        <v>0</v>
      </c>
      <c r="AD29" s="421">
        <f t="shared" si="287"/>
        <v>0</v>
      </c>
      <c r="AE29" s="421">
        <f t="shared" si="287"/>
        <v>0</v>
      </c>
      <c r="AF29" s="421">
        <f t="shared" si="288"/>
        <v>0</v>
      </c>
      <c r="AG29" s="421">
        <f t="shared" si="288"/>
        <v>0</v>
      </c>
      <c r="AH29" s="421">
        <f t="shared" si="288"/>
        <v>0</v>
      </c>
      <c r="AI29" s="421">
        <f t="shared" si="288"/>
        <v>0</v>
      </c>
      <c r="AJ29" s="421">
        <f t="shared" si="288"/>
        <v>0</v>
      </c>
      <c r="AK29" s="421">
        <f t="shared" si="288"/>
        <v>0</v>
      </c>
      <c r="AL29" s="421">
        <f t="shared" si="288"/>
        <v>0</v>
      </c>
      <c r="AM29" s="421">
        <f t="shared" si="288"/>
        <v>0</v>
      </c>
      <c r="AN29" s="421">
        <f t="shared" si="288"/>
        <v>0</v>
      </c>
      <c r="AO29" s="421">
        <f t="shared" si="288"/>
        <v>0</v>
      </c>
      <c r="AP29" s="421">
        <f t="shared" si="289"/>
        <v>0</v>
      </c>
      <c r="AQ29" s="421">
        <f t="shared" si="289"/>
        <v>0</v>
      </c>
      <c r="AR29" s="421">
        <f t="shared" si="289"/>
        <v>0</v>
      </c>
      <c r="AS29" s="421">
        <f t="shared" si="289"/>
        <v>0</v>
      </c>
      <c r="AT29" s="421">
        <f t="shared" si="289"/>
        <v>0</v>
      </c>
      <c r="AU29" s="421">
        <f t="shared" si="289"/>
        <v>0</v>
      </c>
      <c r="AV29" s="421">
        <f t="shared" si="289"/>
        <v>0</v>
      </c>
      <c r="AW29" s="421">
        <f t="shared" si="289"/>
        <v>0</v>
      </c>
      <c r="AX29" s="421">
        <f t="shared" si="289"/>
        <v>0</v>
      </c>
      <c r="AY29" s="421">
        <f t="shared" si="289"/>
        <v>0</v>
      </c>
      <c r="AZ29" s="421">
        <f t="shared" si="290"/>
        <v>0</v>
      </c>
      <c r="BA29" s="421">
        <f t="shared" si="290"/>
        <v>0</v>
      </c>
      <c r="BB29" s="421">
        <f t="shared" si="290"/>
        <v>0</v>
      </c>
      <c r="BC29" s="421">
        <f t="shared" si="290"/>
        <v>0</v>
      </c>
      <c r="BD29" s="421">
        <f t="shared" si="290"/>
        <v>0</v>
      </c>
      <c r="BE29" s="421">
        <f t="shared" si="290"/>
        <v>0</v>
      </c>
      <c r="BF29" s="421">
        <f t="shared" si="290"/>
        <v>0</v>
      </c>
      <c r="BG29" s="421">
        <f t="shared" si="290"/>
        <v>0</v>
      </c>
      <c r="BH29" s="421">
        <f t="shared" si="290"/>
        <v>0</v>
      </c>
      <c r="BI29" s="421">
        <f t="shared" si="290"/>
        <v>0</v>
      </c>
      <c r="BJ29" s="421">
        <f t="shared" si="291"/>
        <v>0</v>
      </c>
      <c r="BK29" s="421">
        <f t="shared" si="291"/>
        <v>0</v>
      </c>
      <c r="BL29" s="421">
        <f t="shared" si="291"/>
        <v>0</v>
      </c>
      <c r="BM29" s="421">
        <f t="shared" si="291"/>
        <v>0</v>
      </c>
      <c r="BN29" s="421">
        <f t="shared" si="291"/>
        <v>0</v>
      </c>
      <c r="BO29" s="421">
        <f t="shared" si="291"/>
        <v>0</v>
      </c>
      <c r="BP29" s="421">
        <f t="shared" si="291"/>
        <v>0</v>
      </c>
      <c r="BQ29" s="421">
        <f t="shared" si="291"/>
        <v>0</v>
      </c>
      <c r="BR29" s="421">
        <f t="shared" si="291"/>
        <v>0</v>
      </c>
      <c r="BS29" s="421">
        <f t="shared" si="291"/>
        <v>0</v>
      </c>
      <c r="BT29" s="421">
        <f t="shared" si="292"/>
        <v>0</v>
      </c>
      <c r="BU29" s="421">
        <f t="shared" si="292"/>
        <v>0</v>
      </c>
      <c r="BV29" s="421">
        <f t="shared" si="292"/>
        <v>0</v>
      </c>
      <c r="BW29" s="421">
        <f t="shared" si="292"/>
        <v>0</v>
      </c>
      <c r="BX29" s="421">
        <f t="shared" si="292"/>
        <v>0</v>
      </c>
      <c r="BY29" s="421">
        <f t="shared" si="292"/>
        <v>0</v>
      </c>
      <c r="BZ29" s="421">
        <f t="shared" si="292"/>
        <v>0</v>
      </c>
      <c r="CA29" s="421">
        <f t="shared" si="292"/>
        <v>0</v>
      </c>
      <c r="CB29" s="421">
        <f t="shared" si="292"/>
        <v>0</v>
      </c>
      <c r="CC29" s="421">
        <f t="shared" si="292"/>
        <v>0</v>
      </c>
      <c r="CD29" s="421">
        <f t="shared" si="293"/>
        <v>0</v>
      </c>
      <c r="CE29" s="421">
        <f t="shared" si="293"/>
        <v>0</v>
      </c>
      <c r="CF29" s="421">
        <f t="shared" si="293"/>
        <v>0</v>
      </c>
      <c r="CG29" s="421">
        <f t="shared" si="293"/>
        <v>0</v>
      </c>
      <c r="CH29" s="421">
        <f t="shared" si="293"/>
        <v>0</v>
      </c>
      <c r="CI29" s="421">
        <f t="shared" si="293"/>
        <v>0</v>
      </c>
      <c r="CJ29" s="421">
        <f t="shared" si="293"/>
        <v>0</v>
      </c>
      <c r="CK29" s="421">
        <f t="shared" si="293"/>
        <v>0</v>
      </c>
      <c r="CL29" s="421">
        <f t="shared" si="293"/>
        <v>0</v>
      </c>
      <c r="CM29" s="421">
        <f t="shared" si="293"/>
        <v>0</v>
      </c>
      <c r="CN29" s="421">
        <f t="shared" si="294"/>
        <v>0</v>
      </c>
      <c r="CO29" s="421">
        <f t="shared" si="294"/>
        <v>0</v>
      </c>
      <c r="CP29" s="421">
        <f t="shared" si="294"/>
        <v>0</v>
      </c>
      <c r="CQ29" s="421">
        <f t="shared" si="294"/>
        <v>0</v>
      </c>
      <c r="CR29" s="421">
        <f t="shared" si="294"/>
        <v>0</v>
      </c>
      <c r="CS29" s="421">
        <f t="shared" si="294"/>
        <v>0</v>
      </c>
      <c r="CT29" s="421">
        <f t="shared" si="294"/>
        <v>0</v>
      </c>
      <c r="CU29" s="421">
        <f t="shared" si="294"/>
        <v>0</v>
      </c>
      <c r="CV29" s="421">
        <f t="shared" si="294"/>
        <v>0</v>
      </c>
      <c r="CW29" s="421">
        <f t="shared" si="294"/>
        <v>0</v>
      </c>
      <c r="CX29" s="421">
        <f t="shared" si="295"/>
        <v>0</v>
      </c>
      <c r="CY29" s="421">
        <f t="shared" si="295"/>
        <v>0</v>
      </c>
      <c r="CZ29" s="421">
        <f t="shared" si="295"/>
        <v>0</v>
      </c>
      <c r="DA29" s="421">
        <f t="shared" si="295"/>
        <v>0</v>
      </c>
      <c r="DB29" s="421">
        <f t="shared" si="295"/>
        <v>0</v>
      </c>
      <c r="DC29" s="421">
        <f t="shared" si="295"/>
        <v>0</v>
      </c>
      <c r="DD29" s="421">
        <f t="shared" si="295"/>
        <v>0</v>
      </c>
      <c r="DE29" s="421">
        <f t="shared" si="295"/>
        <v>0</v>
      </c>
      <c r="DF29" s="421">
        <f t="shared" si="295"/>
        <v>0</v>
      </c>
      <c r="DG29" s="421">
        <f t="shared" si="295"/>
        <v>0</v>
      </c>
      <c r="DH29" s="421">
        <f t="shared" si="296"/>
        <v>0</v>
      </c>
      <c r="DI29" s="421">
        <f t="shared" si="296"/>
        <v>0</v>
      </c>
      <c r="DJ29" s="421">
        <f t="shared" si="296"/>
        <v>0</v>
      </c>
      <c r="DK29" s="421">
        <f t="shared" si="296"/>
        <v>0</v>
      </c>
      <c r="DL29" s="421">
        <f t="shared" si="296"/>
        <v>0</v>
      </c>
      <c r="DM29" s="421">
        <f t="shared" si="296"/>
        <v>0</v>
      </c>
      <c r="DN29" s="421">
        <f t="shared" si="296"/>
        <v>0</v>
      </c>
      <c r="DO29" s="421">
        <f t="shared" si="296"/>
        <v>0</v>
      </c>
      <c r="DP29" s="421">
        <f t="shared" si="296"/>
        <v>0</v>
      </c>
      <c r="DQ29" s="421">
        <f t="shared" si="296"/>
        <v>0</v>
      </c>
      <c r="DR29" s="421">
        <f t="shared" si="297"/>
        <v>0</v>
      </c>
      <c r="DS29" s="421">
        <f t="shared" si="297"/>
        <v>0</v>
      </c>
      <c r="DT29" s="421">
        <f t="shared" si="297"/>
        <v>0</v>
      </c>
      <c r="DU29" s="421">
        <f t="shared" si="297"/>
        <v>0</v>
      </c>
      <c r="DV29" s="421">
        <f t="shared" si="297"/>
        <v>0</v>
      </c>
      <c r="DW29" s="421">
        <f t="shared" si="297"/>
        <v>0</v>
      </c>
      <c r="DX29" s="421">
        <f t="shared" si="297"/>
        <v>0</v>
      </c>
      <c r="DY29" s="421">
        <f t="shared" si="297"/>
        <v>0</v>
      </c>
      <c r="DZ29" s="421">
        <f t="shared" si="297"/>
        <v>0</v>
      </c>
      <c r="EA29" s="421">
        <f t="shared" si="297"/>
        <v>0</v>
      </c>
      <c r="EB29" s="421">
        <f t="shared" si="298"/>
        <v>0</v>
      </c>
      <c r="EC29" s="421">
        <f t="shared" si="298"/>
        <v>0</v>
      </c>
      <c r="ED29" s="421">
        <f t="shared" si="298"/>
        <v>0</v>
      </c>
      <c r="EE29" s="421">
        <f t="shared" si="298"/>
        <v>0</v>
      </c>
      <c r="EF29" s="421">
        <f t="shared" si="298"/>
        <v>0</v>
      </c>
      <c r="EG29" s="421">
        <f t="shared" si="298"/>
        <v>0</v>
      </c>
      <c r="EH29" s="421">
        <f t="shared" si="298"/>
        <v>0</v>
      </c>
      <c r="EI29" s="421">
        <f t="shared" si="298"/>
        <v>0</v>
      </c>
      <c r="EJ29" s="421">
        <f t="shared" si="298"/>
        <v>0</v>
      </c>
      <c r="EK29" s="421">
        <f t="shared" si="298"/>
        <v>0</v>
      </c>
      <c r="EL29" s="421">
        <f t="shared" si="299"/>
        <v>0</v>
      </c>
      <c r="EM29" s="421">
        <f t="shared" si="299"/>
        <v>0</v>
      </c>
      <c r="EN29" s="421">
        <f t="shared" si="299"/>
        <v>0</v>
      </c>
      <c r="EP29" s="221" t="n">
        <f>I29</f>
        <v>0</v>
      </c>
      <c r="EQ29" s="202" t="n">
        <f>INDEX($L$24:$EN$24,1,$D29+1)</f>
        <v>46203</v>
      </c>
      <c r="ER29" s="202" t="n">
        <f>INDEX($L$24:$EN$24,1,$E29+1)</f>
        <v>46203</v>
      </c>
      <c r="ES29" s="20" t="n">
        <f>+E29-D29+1</f>
        <v>1</v>
      </c>
      <c r="ET29" s="18" t="str">
        <f>F29</f>
        <v>Straight-Line</v>
      </c>
      <c r="EU29" s="80" t="n">
        <f>ES29/Scurve_Dist</f>
        <v>0.16666666666666666</v>
      </c>
      <c r="EV29" s="20" t="n">
        <f>AND($ET29="S-Curve",EV$24&gt;=$EQ29,EV$24&lt;=$ER29)*(_xlfn.NORM.DIST((YEAR(EV$24)-YEAR($EQ29))*12+MONTH(EV$24)-MONTH($EQ29)+1,$ES29/2,$EU29,TRUE)-_xlfn.NORM.DIST((YEAR(EV$24)-YEAR($EQ29))*12+MONTH(EV$24)-MONTH($EQ29),$ES29/2,$EU29,TRUE))/(1-2*_xlfn.NORM.DIST(0,$ES29/2,$EU29,TRUE))*$EP29</f>
        <v>0</v>
      </c>
      <c r="EW29" s="20">
        <f t="shared" si="312"/>
        <v>0</v>
      </c>
      <c r="EX29" s="20">
        <f t="shared" si="312"/>
        <v>0</v>
      </c>
      <c r="EY29" s="20">
        <f t="shared" si="312"/>
        <v>0</v>
      </c>
      <c r="EZ29" s="20">
        <f t="shared" si="312"/>
        <v>0</v>
      </c>
      <c r="FA29" s="20">
        <f t="shared" si="312"/>
        <v>0</v>
      </c>
      <c r="FB29" s="20">
        <f t="shared" si="312"/>
        <v>0</v>
      </c>
      <c r="FC29" s="20">
        <f t="shared" si="312"/>
        <v>0</v>
      </c>
      <c r="FD29" s="20">
        <f t="shared" si="312"/>
        <v>0</v>
      </c>
      <c r="FE29" s="20">
        <f t="shared" si="312"/>
        <v>0</v>
      </c>
      <c r="FF29" s="20">
        <f t="shared" si="312"/>
        <v>0</v>
      </c>
      <c r="FG29" s="20">
        <f t="shared" si="312"/>
        <v>0</v>
      </c>
      <c r="FH29" s="20">
        <f t="shared" si="312"/>
        <v>0</v>
      </c>
      <c r="FI29" s="20">
        <f t="shared" si="312"/>
        <v>0</v>
      </c>
      <c r="FJ29" s="20">
        <f t="shared" si="312"/>
        <v>0</v>
      </c>
      <c r="FK29" s="20">
        <f t="shared" si="312"/>
        <v>0</v>
      </c>
      <c r="FL29" s="20">
        <f t="shared" si="312"/>
        <v>0</v>
      </c>
      <c r="FM29" s="20">
        <f t="shared" si="312"/>
        <v>0</v>
      </c>
      <c r="FN29" s="20">
        <f t="shared" si="312"/>
        <v>0</v>
      </c>
      <c r="FO29" s="20">
        <f t="shared" si="312"/>
        <v>0</v>
      </c>
      <c r="FP29" s="20">
        <f t="shared" si="312"/>
        <v>0</v>
      </c>
      <c r="FQ29" s="20">
        <f t="shared" si="312"/>
        <v>0</v>
      </c>
      <c r="FR29" s="20">
        <f t="shared" si="312"/>
        <v>0</v>
      </c>
      <c r="FS29" s="20">
        <f t="shared" si="312"/>
        <v>0</v>
      </c>
      <c r="FT29" s="20">
        <f t="shared" si="312"/>
        <v>0</v>
      </c>
      <c r="FU29" s="20">
        <f t="shared" si="312"/>
        <v>0</v>
      </c>
      <c r="FV29" s="20">
        <f t="shared" si="312"/>
        <v>0</v>
      </c>
      <c r="FW29" s="20">
        <f t="shared" si="312"/>
        <v>0</v>
      </c>
      <c r="FX29" s="20">
        <f t="shared" si="312"/>
        <v>0</v>
      </c>
      <c r="FY29" s="20">
        <f t="shared" si="312"/>
        <v>0</v>
      </c>
      <c r="FZ29" s="20">
        <f t="shared" si="312"/>
        <v>0</v>
      </c>
      <c r="GA29" s="20">
        <f t="shared" si="312"/>
        <v>0</v>
      </c>
      <c r="GB29" s="20">
        <f t="shared" si="312"/>
        <v>0</v>
      </c>
      <c r="GC29" s="20">
        <f t="shared" si="312"/>
        <v>0</v>
      </c>
      <c r="GD29" s="20">
        <f t="shared" si="312"/>
        <v>0</v>
      </c>
      <c r="GE29" s="20">
        <f t="shared" si="312"/>
        <v>0</v>
      </c>
      <c r="GF29" s="20">
        <f t="shared" si="312"/>
        <v>0</v>
      </c>
      <c r="GG29" s="20">
        <f t="shared" si="312"/>
        <v>0</v>
      </c>
      <c r="GH29" s="20">
        <f t="shared" si="312"/>
        <v>0</v>
      </c>
      <c r="GI29" s="20">
        <f t="shared" si="312"/>
        <v>0</v>
      </c>
      <c r="GJ29" s="20">
        <f t="shared" si="312"/>
        <v>0</v>
      </c>
      <c r="GK29" s="20">
        <f t="shared" si="312"/>
        <v>0</v>
      </c>
      <c r="GL29" s="20">
        <f t="shared" si="312"/>
        <v>0</v>
      </c>
      <c r="GM29" s="20">
        <f t="shared" si="312"/>
        <v>0</v>
      </c>
      <c r="GN29" s="20">
        <f t="shared" si="312"/>
        <v>0</v>
      </c>
      <c r="GO29" s="20">
        <f t="shared" si="312"/>
        <v>0</v>
      </c>
      <c r="GP29" s="20">
        <f t="shared" si="312"/>
        <v>0</v>
      </c>
      <c r="GQ29" s="20">
        <f t="shared" si="312"/>
        <v>0</v>
      </c>
      <c r="GR29" s="20">
        <f t="shared" si="312"/>
        <v>0</v>
      </c>
      <c r="GS29" s="20">
        <f t="shared" si="312"/>
        <v>0</v>
      </c>
      <c r="GT29" s="20">
        <f t="shared" si="312"/>
        <v>0</v>
      </c>
      <c r="GU29" s="20">
        <f t="shared" si="312"/>
        <v>0</v>
      </c>
      <c r="GV29" s="20">
        <f t="shared" si="312"/>
        <v>0</v>
      </c>
      <c r="GW29" s="20">
        <f t="shared" si="312"/>
        <v>0</v>
      </c>
      <c r="GX29" s="20">
        <f t="shared" si="312"/>
        <v>0</v>
      </c>
      <c r="GY29" s="20">
        <f t="shared" si="312"/>
        <v>0</v>
      </c>
      <c r="GZ29" s="20">
        <f t="shared" si="312"/>
        <v>0</v>
      </c>
      <c r="HA29" s="20">
        <f t="shared" si="312"/>
        <v>0</v>
      </c>
      <c r="HB29" s="20">
        <f t="shared" si="312"/>
        <v>0</v>
      </c>
      <c r="HC29" s="20">
        <f t="shared" si="312"/>
        <v>0</v>
      </c>
      <c r="HD29" s="20">
        <f t="shared" si="312"/>
        <v>0</v>
      </c>
      <c r="HE29" s="20">
        <f t="shared" si="312"/>
        <v>0</v>
      </c>
      <c r="HF29" s="20">
        <f t="shared" si="312"/>
        <v>0</v>
      </c>
      <c r="HG29" s="20">
        <f t="shared" si="312"/>
        <v>0</v>
      </c>
      <c r="HH29" s="20">
        <f t="shared" si="312"/>
        <v>0</v>
      </c>
      <c r="HI29" s="20">
        <f t="shared" si="313"/>
        <v>0</v>
      </c>
      <c r="HJ29" s="20">
        <f t="shared" si="313"/>
        <v>0</v>
      </c>
      <c r="HK29" s="20">
        <f t="shared" si="313"/>
        <v>0</v>
      </c>
      <c r="HL29" s="20">
        <f t="shared" si="313"/>
        <v>0</v>
      </c>
      <c r="HM29" s="20">
        <f t="shared" si="313"/>
        <v>0</v>
      </c>
      <c r="HN29" s="20">
        <f t="shared" si="313"/>
        <v>0</v>
      </c>
      <c r="HO29" s="20">
        <f t="shared" si="313"/>
        <v>0</v>
      </c>
      <c r="HP29" s="20">
        <f t="shared" si="313"/>
        <v>0</v>
      </c>
      <c r="HQ29" s="20">
        <f t="shared" si="313"/>
        <v>0</v>
      </c>
      <c r="HR29" s="20">
        <f t="shared" si="313"/>
        <v>0</v>
      </c>
      <c r="HS29" s="20">
        <f t="shared" si="313"/>
        <v>0</v>
      </c>
      <c r="HT29" s="20">
        <f t="shared" si="313"/>
        <v>0</v>
      </c>
      <c r="HU29" s="20">
        <f t="shared" si="313"/>
        <v>0</v>
      </c>
      <c r="HV29" s="20">
        <f t="shared" si="313"/>
        <v>0</v>
      </c>
      <c r="HW29" s="20">
        <f t="shared" si="313"/>
        <v>0</v>
      </c>
      <c r="HX29" s="20">
        <f t="shared" si="313"/>
        <v>0</v>
      </c>
      <c r="HY29" s="20">
        <f t="shared" si="313"/>
        <v>0</v>
      </c>
      <c r="HZ29" s="20">
        <f t="shared" si="313"/>
        <v>0</v>
      </c>
      <c r="IA29" s="20">
        <f t="shared" si="313"/>
        <v>0</v>
      </c>
      <c r="IB29" s="20">
        <f t="shared" si="313"/>
        <v>0</v>
      </c>
      <c r="IC29" s="20">
        <f t="shared" si="313"/>
        <v>0</v>
      </c>
      <c r="ID29" s="20">
        <f t="shared" si="313"/>
        <v>0</v>
      </c>
      <c r="IE29" s="20">
        <f t="shared" si="313"/>
        <v>0</v>
      </c>
      <c r="IF29" s="20">
        <f t="shared" si="313"/>
        <v>0</v>
      </c>
      <c r="IG29" s="20">
        <f t="shared" si="313"/>
        <v>0</v>
      </c>
      <c r="IH29" s="20">
        <f t="shared" si="313"/>
        <v>0</v>
      </c>
      <c r="II29" s="20">
        <f t="shared" si="313"/>
        <v>0</v>
      </c>
      <c r="IJ29" s="20">
        <f t="shared" si="313"/>
        <v>0</v>
      </c>
      <c r="IK29" s="20">
        <f t="shared" si="313"/>
        <v>0</v>
      </c>
      <c r="IL29" s="20">
        <f t="shared" si="313"/>
        <v>0</v>
      </c>
      <c r="IM29" s="20">
        <f t="shared" si="313"/>
        <v>0</v>
      </c>
      <c r="IN29" s="20">
        <f t="shared" si="313"/>
        <v>0</v>
      </c>
      <c r="IO29" s="20">
        <f t="shared" si="313"/>
        <v>0</v>
      </c>
      <c r="IP29" s="20">
        <f t="shared" si="313"/>
        <v>0</v>
      </c>
      <c r="IQ29" s="20">
        <f t="shared" si="313"/>
        <v>0</v>
      </c>
      <c r="IR29" s="20">
        <f t="shared" si="313"/>
        <v>0</v>
      </c>
      <c r="IS29" s="20">
        <f t="shared" si="313"/>
        <v>0</v>
      </c>
      <c r="IT29" s="20">
        <f t="shared" si="313"/>
        <v>0</v>
      </c>
      <c r="IU29" s="20">
        <f t="shared" si="313"/>
        <v>0</v>
      </c>
      <c r="IV29" s="20">
        <f t="shared" si="313"/>
        <v>0</v>
      </c>
      <c r="IW29" s="20">
        <f t="shared" si="313"/>
        <v>0</v>
      </c>
      <c r="IX29" s="20">
        <f t="shared" si="313"/>
        <v>0</v>
      </c>
      <c r="IY29" s="20">
        <f t="shared" si="313"/>
        <v>0</v>
      </c>
      <c r="IZ29" s="20">
        <f t="shared" si="313"/>
        <v>0</v>
      </c>
      <c r="JA29" s="20">
        <f t="shared" si="313"/>
        <v>0</v>
      </c>
      <c r="JB29" s="20">
        <f t="shared" si="313"/>
        <v>0</v>
      </c>
      <c r="JC29" s="20">
        <f t="shared" si="313"/>
        <v>0</v>
      </c>
      <c r="JD29" s="20">
        <f t="shared" si="313"/>
        <v>0</v>
      </c>
      <c r="JE29" s="20">
        <f t="shared" si="313"/>
        <v>0</v>
      </c>
      <c r="JF29" s="20">
        <f t="shared" si="313"/>
        <v>0</v>
      </c>
      <c r="JG29" s="20">
        <f t="shared" si="313"/>
        <v>0</v>
      </c>
      <c r="JH29" s="20">
        <f t="shared" si="313"/>
        <v>0</v>
      </c>
      <c r="JI29" s="20">
        <f t="shared" si="313"/>
        <v>0</v>
      </c>
      <c r="JJ29" s="20">
        <f t="shared" si="313"/>
        <v>0</v>
      </c>
      <c r="JK29" s="20">
        <f t="shared" si="313"/>
        <v>0</v>
      </c>
      <c r="JL29" s="20">
        <f t="shared" si="313"/>
        <v>0</v>
      </c>
      <c r="JM29" s="20">
        <f t="shared" si="313"/>
        <v>0</v>
      </c>
      <c r="JN29" s="20">
        <f t="shared" si="313"/>
        <v>0</v>
      </c>
      <c r="JO29" s="20">
        <f t="shared" si="313"/>
        <v>0</v>
      </c>
      <c r="JP29" s="20">
        <f t="shared" si="313"/>
        <v>0</v>
      </c>
      <c r="JQ29" s="20">
        <f t="shared" si="313"/>
        <v>0</v>
      </c>
      <c r="JR29" s="20">
        <f t="shared" si="313"/>
        <v>0</v>
      </c>
      <c r="JS29" s="20">
        <f t="shared" si="313"/>
        <v>0</v>
      </c>
      <c r="JT29" s="20">
        <f t="shared" si="313"/>
        <v>0</v>
      </c>
      <c r="JU29" s="20">
        <f t="shared" si="302"/>
        <v>0</v>
      </c>
      <c r="JV29" s="20">
        <f t="shared" si="302"/>
        <v>0</v>
      </c>
      <c r="JW29" s="20">
        <f t="shared" si="302"/>
        <v>0</v>
      </c>
      <c r="JX29" s="20">
        <f t="shared" si="302"/>
        <v>0</v>
      </c>
      <c r="JZ29" s="221" t="str">
        <f t="shared" si="314"/>
        <v>Other acquisition costs</v>
      </c>
      <c r="KA29" s="202"/>
      <c r="KB29" s="20">
        <f t="shared" si="315"/>
        <v>0</v>
      </c>
      <c r="KC29" s="20">
        <f t="shared" si="316"/>
        <v>0</v>
      </c>
      <c r="KD29" s="20">
        <f t="shared" si="317"/>
        <v>1</v>
      </c>
      <c r="KE29" s="422">
        <f t="shared" si="318"/>
        <v>0</v>
      </c>
      <c r="KF29" s="422">
        <f t="shared" si="319"/>
        <v>0</v>
      </c>
      <c r="KG29" s="422">
        <f t="shared" si="303"/>
        <v>0</v>
      </c>
      <c r="KH29" s="422">
        <f t="shared" si="303"/>
        <v>0</v>
      </c>
      <c r="KI29" s="422">
        <f t="shared" si="303"/>
        <v>0</v>
      </c>
      <c r="KJ29" s="422">
        <f t="shared" si="303"/>
        <v>0</v>
      </c>
      <c r="KK29" s="422">
        <f t="shared" si="303"/>
        <v>0</v>
      </c>
      <c r="KL29" s="422">
        <f t="shared" si="303"/>
        <v>0</v>
      </c>
      <c r="KM29" s="422">
        <f t="shared" si="303"/>
        <v>0</v>
      </c>
      <c r="KN29" s="422">
        <f t="shared" si="303"/>
        <v>0</v>
      </c>
      <c r="KO29" s="422">
        <f t="shared" si="303"/>
        <v>0</v>
      </c>
      <c r="KP29" s="422">
        <f t="shared" si="303"/>
        <v>0</v>
      </c>
      <c r="KQ29" s="422">
        <f t="shared" si="303"/>
        <v>0</v>
      </c>
      <c r="KR29" s="422">
        <f t="shared" si="303"/>
        <v>0</v>
      </c>
      <c r="KS29" s="422">
        <f t="shared" si="303"/>
        <v>0</v>
      </c>
      <c r="KT29" s="422">
        <f t="shared" si="303"/>
        <v>0</v>
      </c>
      <c r="KU29" s="422">
        <f t="shared" si="303"/>
        <v>0</v>
      </c>
      <c r="KV29" s="422">
        <f t="shared" si="303"/>
        <v>0</v>
      </c>
      <c r="KW29" s="422">
        <f t="shared" si="304"/>
        <v>0</v>
      </c>
      <c r="KX29" s="422">
        <f t="shared" si="304"/>
        <v>0</v>
      </c>
      <c r="KY29" s="422">
        <f t="shared" si="304"/>
        <v>0</v>
      </c>
      <c r="KZ29" s="422">
        <f t="shared" si="304"/>
        <v>0</v>
      </c>
      <c r="LA29" s="422">
        <f t="shared" si="304"/>
        <v>0</v>
      </c>
      <c r="LB29" s="422">
        <f t="shared" si="304"/>
        <v>0</v>
      </c>
      <c r="LC29" s="422">
        <f t="shared" si="304"/>
        <v>0</v>
      </c>
      <c r="LD29" s="422">
        <f t="shared" si="304"/>
        <v>0</v>
      </c>
      <c r="LE29" s="422">
        <f t="shared" si="304"/>
        <v>0</v>
      </c>
      <c r="LF29" s="422">
        <f t="shared" si="304"/>
        <v>0</v>
      </c>
      <c r="LG29" s="422">
        <f t="shared" si="304"/>
        <v>0</v>
      </c>
      <c r="LH29" s="422">
        <f t="shared" si="304"/>
        <v>0</v>
      </c>
      <c r="LI29" s="422">
        <f t="shared" si="304"/>
        <v>0</v>
      </c>
      <c r="LJ29" s="422">
        <f t="shared" si="304"/>
        <v>0</v>
      </c>
      <c r="LK29" s="422">
        <f t="shared" si="304"/>
        <v>0</v>
      </c>
      <c r="LL29" s="422">
        <f t="shared" si="304"/>
        <v>0</v>
      </c>
      <c r="LM29" s="422">
        <f t="shared" si="305"/>
        <v>0</v>
      </c>
      <c r="LN29" s="422">
        <f t="shared" si="305"/>
        <v>0</v>
      </c>
      <c r="LO29" s="422">
        <f t="shared" si="305"/>
        <v>0</v>
      </c>
      <c r="LP29" s="422">
        <f t="shared" si="305"/>
        <v>0</v>
      </c>
      <c r="LQ29" s="422">
        <f t="shared" si="305"/>
        <v>0</v>
      </c>
      <c r="LR29" s="422">
        <f t="shared" si="305"/>
        <v>0</v>
      </c>
      <c r="LS29" s="422">
        <f t="shared" si="305"/>
        <v>0</v>
      </c>
      <c r="LT29" s="422">
        <f t="shared" si="305"/>
        <v>0</v>
      </c>
      <c r="LU29" s="422">
        <f t="shared" si="305"/>
        <v>0</v>
      </c>
      <c r="LV29" s="422">
        <f t="shared" si="305"/>
        <v>0</v>
      </c>
      <c r="LW29" s="422">
        <f t="shared" si="305"/>
        <v>0</v>
      </c>
      <c r="LX29" s="422">
        <f t="shared" si="305"/>
        <v>0</v>
      </c>
      <c r="LY29" s="422">
        <f t="shared" si="305"/>
        <v>0</v>
      </c>
      <c r="LZ29" s="422">
        <f t="shared" si="305"/>
        <v>0</v>
      </c>
      <c r="MA29" s="422">
        <f t="shared" si="305"/>
        <v>0</v>
      </c>
      <c r="MB29" s="422">
        <f t="shared" si="305"/>
        <v>0</v>
      </c>
      <c r="MC29" s="422">
        <f t="shared" si="306"/>
        <v>0</v>
      </c>
      <c r="MD29" s="422">
        <f t="shared" si="306"/>
        <v>0</v>
      </c>
      <c r="ME29" s="422">
        <f t="shared" si="306"/>
        <v>0</v>
      </c>
      <c r="MF29" s="422">
        <f t="shared" si="306"/>
        <v>0</v>
      </c>
      <c r="MG29" s="422">
        <f t="shared" si="306"/>
        <v>0</v>
      </c>
      <c r="MH29" s="422">
        <f t="shared" si="306"/>
        <v>0</v>
      </c>
      <c r="MI29" s="422">
        <f t="shared" si="306"/>
        <v>0</v>
      </c>
      <c r="MJ29" s="422">
        <f t="shared" si="306"/>
        <v>0</v>
      </c>
      <c r="MK29" s="422">
        <f t="shared" si="306"/>
        <v>0</v>
      </c>
      <c r="ML29" s="422">
        <f t="shared" si="306"/>
        <v>0</v>
      </c>
      <c r="MM29" s="422">
        <f t="shared" si="306"/>
        <v>0</v>
      </c>
      <c r="MN29" s="422">
        <f t="shared" si="306"/>
        <v>0</v>
      </c>
      <c r="MO29" s="422">
        <f t="shared" si="306"/>
        <v>0</v>
      </c>
      <c r="MP29" s="422">
        <f t="shared" si="306"/>
        <v>0</v>
      </c>
      <c r="MQ29" s="422">
        <f t="shared" si="306"/>
        <v>0</v>
      </c>
      <c r="MR29" s="422">
        <f t="shared" si="306"/>
        <v>0</v>
      </c>
      <c r="MS29" s="422">
        <f t="shared" si="307"/>
        <v>0</v>
      </c>
      <c r="MT29" s="422">
        <f t="shared" si="307"/>
        <v>0</v>
      </c>
      <c r="MU29" s="422">
        <f t="shared" si="307"/>
        <v>0</v>
      </c>
      <c r="MV29" s="422">
        <f t="shared" si="307"/>
        <v>0</v>
      </c>
      <c r="MW29" s="422">
        <f t="shared" si="307"/>
        <v>0</v>
      </c>
      <c r="MX29" s="422">
        <f t="shared" si="307"/>
        <v>0</v>
      </c>
      <c r="MY29" s="422">
        <f t="shared" si="307"/>
        <v>0</v>
      </c>
      <c r="MZ29" s="422">
        <f t="shared" si="307"/>
        <v>0</v>
      </c>
      <c r="NA29" s="422">
        <f t="shared" si="307"/>
        <v>0</v>
      </c>
      <c r="NB29" s="422">
        <f t="shared" si="307"/>
        <v>0</v>
      </c>
      <c r="NC29" s="422">
        <f t="shared" si="307"/>
        <v>0</v>
      </c>
      <c r="ND29" s="422">
        <f t="shared" si="307"/>
        <v>0</v>
      </c>
      <c r="NE29" s="422">
        <f t="shared" si="307"/>
        <v>0</v>
      </c>
      <c r="NF29" s="422">
        <f t="shared" si="307"/>
        <v>0</v>
      </c>
      <c r="NG29" s="422">
        <f t="shared" si="307"/>
        <v>0</v>
      </c>
      <c r="NH29" s="422">
        <f t="shared" si="307"/>
        <v>0</v>
      </c>
      <c r="NI29" s="422">
        <f t="shared" si="308"/>
        <v>0</v>
      </c>
      <c r="NJ29" s="422">
        <f t="shared" si="308"/>
        <v>0</v>
      </c>
      <c r="NK29" s="422">
        <f t="shared" si="308"/>
        <v>0</v>
      </c>
      <c r="NL29" s="422">
        <f t="shared" si="308"/>
        <v>0</v>
      </c>
      <c r="NM29" s="422">
        <f t="shared" si="308"/>
        <v>0</v>
      </c>
      <c r="NN29" s="422">
        <f t="shared" si="308"/>
        <v>0</v>
      </c>
      <c r="NO29" s="422">
        <f t="shared" si="308"/>
        <v>0</v>
      </c>
      <c r="NP29" s="422">
        <f t="shared" si="308"/>
        <v>0</v>
      </c>
      <c r="NQ29" s="422">
        <f t="shared" si="308"/>
        <v>0</v>
      </c>
      <c r="NR29" s="422">
        <f t="shared" si="308"/>
        <v>0</v>
      </c>
      <c r="NS29" s="422">
        <f t="shared" si="308"/>
        <v>0</v>
      </c>
      <c r="NT29" s="422">
        <f t="shared" si="308"/>
        <v>0</v>
      </c>
      <c r="NU29" s="422">
        <f t="shared" si="308"/>
        <v>0</v>
      </c>
      <c r="NV29" s="422">
        <f t="shared" si="308"/>
        <v>0</v>
      </c>
      <c r="NW29" s="422">
        <f t="shared" si="308"/>
        <v>0</v>
      </c>
      <c r="NX29" s="422">
        <f t="shared" si="308"/>
        <v>0</v>
      </c>
      <c r="NY29" s="422">
        <f t="shared" si="309"/>
        <v>0</v>
      </c>
      <c r="NZ29" s="422">
        <f t="shared" si="309"/>
        <v>0</v>
      </c>
      <c r="OA29" s="422">
        <f t="shared" si="309"/>
        <v>0</v>
      </c>
      <c r="OB29" s="422">
        <f t="shared" si="309"/>
        <v>0</v>
      </c>
      <c r="OC29" s="422">
        <f t="shared" si="309"/>
        <v>0</v>
      </c>
      <c r="OD29" s="422">
        <f t="shared" si="309"/>
        <v>0</v>
      </c>
      <c r="OE29" s="422">
        <f t="shared" si="309"/>
        <v>0</v>
      </c>
      <c r="OF29" s="422">
        <f t="shared" si="309"/>
        <v>0</v>
      </c>
      <c r="OG29" s="422">
        <f t="shared" si="309"/>
        <v>0</v>
      </c>
      <c r="OH29" s="422">
        <f t="shared" si="309"/>
        <v>0</v>
      </c>
      <c r="OI29" s="422">
        <f t="shared" si="309"/>
        <v>0</v>
      </c>
      <c r="OJ29" s="422">
        <f t="shared" si="309"/>
        <v>0</v>
      </c>
      <c r="OK29" s="422">
        <f t="shared" si="309"/>
        <v>0</v>
      </c>
      <c r="OL29" s="422">
        <f t="shared" si="309"/>
        <v>0</v>
      </c>
      <c r="OM29" s="422">
        <f t="shared" si="309"/>
        <v>0</v>
      </c>
      <c r="ON29" s="422">
        <f t="shared" si="309"/>
        <v>0</v>
      </c>
      <c r="OO29" s="422">
        <f t="shared" si="310"/>
        <v>0</v>
      </c>
      <c r="OP29" s="422">
        <f t="shared" si="310"/>
        <v>0</v>
      </c>
      <c r="OQ29" s="422">
        <f t="shared" si="310"/>
        <v>0</v>
      </c>
      <c r="OR29" s="422">
        <f t="shared" si="310"/>
        <v>0</v>
      </c>
      <c r="OS29" s="422">
        <f t="shared" si="310"/>
        <v>0</v>
      </c>
      <c r="OT29" s="422">
        <f t="shared" si="310"/>
        <v>0</v>
      </c>
      <c r="OU29" s="422">
        <f t="shared" si="310"/>
        <v>0</v>
      </c>
      <c r="OV29" s="422">
        <f t="shared" si="310"/>
        <v>0</v>
      </c>
      <c r="OW29" s="422">
        <f t="shared" si="310"/>
        <v>0</v>
      </c>
      <c r="OX29" s="422">
        <f t="shared" si="310"/>
        <v>0</v>
      </c>
      <c r="OY29" s="422">
        <f t="shared" si="310"/>
        <v>0</v>
      </c>
      <c r="OZ29" s="422">
        <f t="shared" si="310"/>
        <v>0</v>
      </c>
      <c r="PA29" s="422">
        <f t="shared" si="310"/>
        <v>0</v>
      </c>
      <c r="PB29" s="422">
        <f t="shared" si="310"/>
        <v>0</v>
      </c>
      <c r="PC29" s="422">
        <f t="shared" si="310"/>
        <v>0</v>
      </c>
      <c r="PD29" s="422">
        <f t="shared" si="310"/>
        <v>0</v>
      </c>
      <c r="PE29" s="422">
        <f t="shared" si="311"/>
        <v>0</v>
      </c>
      <c r="PF29" s="422">
        <f t="shared" si="311"/>
        <v>0</v>
      </c>
      <c r="PG29" s="422">
        <f t="shared" si="311"/>
        <v>0</v>
      </c>
      <c r="PH29" s="422">
        <f t="shared" si="311"/>
        <v>0</v>
      </c>
    </row>
    <row r="30">
      <c r="B30" s="423" t="s">
        <v>140</v>
      </c>
      <c r="C30" s="404">
        <v>0</v>
      </c>
      <c r="D30" s="46"/>
      <c r="E30" s="46">
        <v>0</v>
      </c>
      <c r="F30" s="418" t="s">
        <v>137</v>
      </c>
      <c r="G30" s="43" t="n">
        <f>I30/Units_SF_M2</f>
        <v>-63.84686559136627</v>
      </c>
      <c r="H30" s="424"/>
      <c r="I30" s="425" t="n">
        <f>PROJECTS!$AP$174*1000000</f>
        <v>-5000000</v>
      </c>
      <c r="K30" s="22" t="str">
        <f>IF(ROUND(SUM(L30:EN30),0)=ROUND(I30,0),"","Incomplete")</f>
      </c>
      <c r="L30" s="426">
        <f t="shared" si="286"/>
        <v>-5000000</v>
      </c>
      <c r="M30" s="426">
        <f t="shared" si="286"/>
        <v>0</v>
      </c>
      <c r="N30" s="426">
        <f t="shared" si="286"/>
        <v>0</v>
      </c>
      <c r="O30" s="426">
        <f t="shared" si="286"/>
        <v>0</v>
      </c>
      <c r="P30" s="426">
        <f t="shared" si="286"/>
        <v>0</v>
      </c>
      <c r="Q30" s="426">
        <f t="shared" si="286"/>
        <v>0</v>
      </c>
      <c r="R30" s="426">
        <f t="shared" si="286"/>
        <v>0</v>
      </c>
      <c r="S30" s="426">
        <f t="shared" si="286"/>
        <v>0</v>
      </c>
      <c r="T30" s="426">
        <f t="shared" si="286"/>
        <v>0</v>
      </c>
      <c r="U30" s="426">
        <f t="shared" si="286"/>
        <v>0</v>
      </c>
      <c r="V30" s="426">
        <f t="shared" si="287"/>
        <v>0</v>
      </c>
      <c r="W30" s="426">
        <f t="shared" si="287"/>
        <v>0</v>
      </c>
      <c r="X30" s="426">
        <f t="shared" si="287"/>
        <v>0</v>
      </c>
      <c r="Y30" s="426">
        <f t="shared" si="287"/>
        <v>0</v>
      </c>
      <c r="Z30" s="426">
        <f t="shared" si="287"/>
        <v>0</v>
      </c>
      <c r="AA30" s="426">
        <f t="shared" si="287"/>
        <v>0</v>
      </c>
      <c r="AB30" s="426">
        <f t="shared" si="287"/>
        <v>0</v>
      </c>
      <c r="AC30" s="426">
        <f t="shared" si="287"/>
        <v>0</v>
      </c>
      <c r="AD30" s="426">
        <f t="shared" si="287"/>
        <v>0</v>
      </c>
      <c r="AE30" s="426">
        <f t="shared" si="287"/>
        <v>0</v>
      </c>
      <c r="AF30" s="426">
        <f t="shared" si="288"/>
        <v>0</v>
      </c>
      <c r="AG30" s="426">
        <f t="shared" si="288"/>
        <v>0</v>
      </c>
      <c r="AH30" s="426">
        <f t="shared" si="288"/>
        <v>0</v>
      </c>
      <c r="AI30" s="426">
        <f t="shared" si="288"/>
        <v>0</v>
      </c>
      <c r="AJ30" s="426">
        <f t="shared" si="288"/>
        <v>0</v>
      </c>
      <c r="AK30" s="426">
        <f t="shared" si="288"/>
        <v>0</v>
      </c>
      <c r="AL30" s="426">
        <f t="shared" si="288"/>
        <v>0</v>
      </c>
      <c r="AM30" s="426">
        <f t="shared" si="288"/>
        <v>0</v>
      </c>
      <c r="AN30" s="426">
        <f t="shared" si="288"/>
        <v>0</v>
      </c>
      <c r="AO30" s="426">
        <f t="shared" si="288"/>
        <v>0</v>
      </c>
      <c r="AP30" s="426">
        <f t="shared" si="289"/>
        <v>0</v>
      </c>
      <c r="AQ30" s="426">
        <f t="shared" si="289"/>
        <v>0</v>
      </c>
      <c r="AR30" s="426">
        <f t="shared" si="289"/>
        <v>0</v>
      </c>
      <c r="AS30" s="426">
        <f t="shared" si="289"/>
        <v>0</v>
      </c>
      <c r="AT30" s="426">
        <f t="shared" si="289"/>
        <v>0</v>
      </c>
      <c r="AU30" s="426">
        <f t="shared" si="289"/>
        <v>0</v>
      </c>
      <c r="AV30" s="426">
        <f t="shared" si="289"/>
        <v>0</v>
      </c>
      <c r="AW30" s="426">
        <f t="shared" si="289"/>
        <v>0</v>
      </c>
      <c r="AX30" s="426">
        <f t="shared" si="289"/>
        <v>0</v>
      </c>
      <c r="AY30" s="426">
        <f t="shared" si="289"/>
        <v>0</v>
      </c>
      <c r="AZ30" s="426">
        <f t="shared" si="290"/>
        <v>0</v>
      </c>
      <c r="BA30" s="426">
        <f t="shared" si="290"/>
        <v>0</v>
      </c>
      <c r="BB30" s="426">
        <f t="shared" si="290"/>
        <v>0</v>
      </c>
      <c r="BC30" s="426">
        <f t="shared" si="290"/>
        <v>0</v>
      </c>
      <c r="BD30" s="426">
        <f t="shared" si="290"/>
        <v>0</v>
      </c>
      <c r="BE30" s="426">
        <f t="shared" si="290"/>
        <v>0</v>
      </c>
      <c r="BF30" s="426">
        <f t="shared" si="290"/>
        <v>0</v>
      </c>
      <c r="BG30" s="426">
        <f t="shared" si="290"/>
        <v>0</v>
      </c>
      <c r="BH30" s="426">
        <f t="shared" si="290"/>
        <v>0</v>
      </c>
      <c r="BI30" s="426">
        <f t="shared" si="290"/>
        <v>0</v>
      </c>
      <c r="BJ30" s="426">
        <f t="shared" si="291"/>
        <v>0</v>
      </c>
      <c r="BK30" s="426">
        <f t="shared" si="291"/>
        <v>0</v>
      </c>
      <c r="BL30" s="426">
        <f t="shared" si="291"/>
        <v>0</v>
      </c>
      <c r="BM30" s="426">
        <f t="shared" si="291"/>
        <v>0</v>
      </c>
      <c r="BN30" s="426">
        <f t="shared" si="291"/>
        <v>0</v>
      </c>
      <c r="BO30" s="426">
        <f t="shared" si="291"/>
        <v>0</v>
      </c>
      <c r="BP30" s="426">
        <f t="shared" si="291"/>
        <v>0</v>
      </c>
      <c r="BQ30" s="426">
        <f t="shared" si="291"/>
        <v>0</v>
      </c>
      <c r="BR30" s="426">
        <f t="shared" si="291"/>
        <v>0</v>
      </c>
      <c r="BS30" s="426">
        <f t="shared" si="291"/>
        <v>0</v>
      </c>
      <c r="BT30" s="426">
        <f t="shared" si="292"/>
        <v>0</v>
      </c>
      <c r="BU30" s="426">
        <f t="shared" si="292"/>
        <v>0</v>
      </c>
      <c r="BV30" s="426">
        <f t="shared" si="292"/>
        <v>0</v>
      </c>
      <c r="BW30" s="426">
        <f t="shared" si="292"/>
        <v>0</v>
      </c>
      <c r="BX30" s="426">
        <f t="shared" si="292"/>
        <v>0</v>
      </c>
      <c r="BY30" s="426">
        <f t="shared" si="292"/>
        <v>0</v>
      </c>
      <c r="BZ30" s="426">
        <f t="shared" si="292"/>
        <v>0</v>
      </c>
      <c r="CA30" s="426">
        <f t="shared" si="292"/>
        <v>0</v>
      </c>
      <c r="CB30" s="426">
        <f t="shared" si="292"/>
        <v>0</v>
      </c>
      <c r="CC30" s="426">
        <f t="shared" si="292"/>
        <v>0</v>
      </c>
      <c r="CD30" s="426">
        <f t="shared" si="293"/>
        <v>0</v>
      </c>
      <c r="CE30" s="426">
        <f t="shared" si="293"/>
        <v>0</v>
      </c>
      <c r="CF30" s="426">
        <f t="shared" si="293"/>
        <v>0</v>
      </c>
      <c r="CG30" s="426">
        <f t="shared" si="293"/>
        <v>0</v>
      </c>
      <c r="CH30" s="426">
        <f t="shared" si="293"/>
        <v>0</v>
      </c>
      <c r="CI30" s="426">
        <f t="shared" si="293"/>
        <v>0</v>
      </c>
      <c r="CJ30" s="426">
        <f t="shared" si="293"/>
        <v>0</v>
      </c>
      <c r="CK30" s="426">
        <f t="shared" si="293"/>
        <v>0</v>
      </c>
      <c r="CL30" s="426">
        <f t="shared" si="293"/>
        <v>0</v>
      </c>
      <c r="CM30" s="426">
        <f t="shared" si="293"/>
        <v>0</v>
      </c>
      <c r="CN30" s="426">
        <f t="shared" si="294"/>
        <v>0</v>
      </c>
      <c r="CO30" s="426">
        <f t="shared" si="294"/>
        <v>0</v>
      </c>
      <c r="CP30" s="426">
        <f t="shared" si="294"/>
        <v>0</v>
      </c>
      <c r="CQ30" s="426">
        <f t="shared" si="294"/>
        <v>0</v>
      </c>
      <c r="CR30" s="426">
        <f t="shared" si="294"/>
        <v>0</v>
      </c>
      <c r="CS30" s="426">
        <f t="shared" si="294"/>
        <v>0</v>
      </c>
      <c r="CT30" s="426">
        <f t="shared" si="294"/>
        <v>0</v>
      </c>
      <c r="CU30" s="426">
        <f t="shared" si="294"/>
        <v>0</v>
      </c>
      <c r="CV30" s="426">
        <f t="shared" si="294"/>
        <v>0</v>
      </c>
      <c r="CW30" s="426">
        <f t="shared" si="294"/>
        <v>0</v>
      </c>
      <c r="CX30" s="426">
        <f t="shared" si="295"/>
        <v>0</v>
      </c>
      <c r="CY30" s="426">
        <f t="shared" si="295"/>
        <v>0</v>
      </c>
      <c r="CZ30" s="426">
        <f t="shared" si="295"/>
        <v>0</v>
      </c>
      <c r="DA30" s="426">
        <f t="shared" si="295"/>
        <v>0</v>
      </c>
      <c r="DB30" s="426">
        <f t="shared" si="295"/>
        <v>0</v>
      </c>
      <c r="DC30" s="426">
        <f t="shared" si="295"/>
        <v>0</v>
      </c>
      <c r="DD30" s="426">
        <f t="shared" si="295"/>
        <v>0</v>
      </c>
      <c r="DE30" s="426">
        <f t="shared" si="295"/>
        <v>0</v>
      </c>
      <c r="DF30" s="426">
        <f t="shared" si="295"/>
        <v>0</v>
      </c>
      <c r="DG30" s="426">
        <f t="shared" si="295"/>
        <v>0</v>
      </c>
      <c r="DH30" s="426">
        <f t="shared" si="296"/>
        <v>0</v>
      </c>
      <c r="DI30" s="426">
        <f t="shared" si="296"/>
        <v>0</v>
      </c>
      <c r="DJ30" s="426">
        <f t="shared" si="296"/>
        <v>0</v>
      </c>
      <c r="DK30" s="426">
        <f t="shared" si="296"/>
        <v>0</v>
      </c>
      <c r="DL30" s="426">
        <f t="shared" si="296"/>
        <v>0</v>
      </c>
      <c r="DM30" s="426">
        <f t="shared" si="296"/>
        <v>0</v>
      </c>
      <c r="DN30" s="426">
        <f t="shared" si="296"/>
        <v>0</v>
      </c>
      <c r="DO30" s="426">
        <f t="shared" si="296"/>
        <v>0</v>
      </c>
      <c r="DP30" s="426">
        <f t="shared" si="296"/>
        <v>0</v>
      </c>
      <c r="DQ30" s="426">
        <f t="shared" si="296"/>
        <v>0</v>
      </c>
      <c r="DR30" s="426">
        <f t="shared" si="297"/>
        <v>0</v>
      </c>
      <c r="DS30" s="426">
        <f t="shared" si="297"/>
        <v>0</v>
      </c>
      <c r="DT30" s="426">
        <f t="shared" si="297"/>
        <v>0</v>
      </c>
      <c r="DU30" s="426">
        <f t="shared" si="297"/>
        <v>0</v>
      </c>
      <c r="DV30" s="426">
        <f t="shared" si="297"/>
        <v>0</v>
      </c>
      <c r="DW30" s="426">
        <f t="shared" si="297"/>
        <v>0</v>
      </c>
      <c r="DX30" s="426">
        <f t="shared" si="297"/>
        <v>0</v>
      </c>
      <c r="DY30" s="426">
        <f t="shared" si="297"/>
        <v>0</v>
      </c>
      <c r="DZ30" s="426">
        <f t="shared" si="297"/>
        <v>0</v>
      </c>
      <c r="EA30" s="426">
        <f t="shared" si="297"/>
        <v>0</v>
      </c>
      <c r="EB30" s="426">
        <f t="shared" si="298"/>
        <v>0</v>
      </c>
      <c r="EC30" s="426">
        <f t="shared" si="298"/>
        <v>0</v>
      </c>
      <c r="ED30" s="426">
        <f t="shared" si="298"/>
        <v>0</v>
      </c>
      <c r="EE30" s="426">
        <f t="shared" si="298"/>
        <v>0</v>
      </c>
      <c r="EF30" s="426">
        <f t="shared" si="298"/>
        <v>0</v>
      </c>
      <c r="EG30" s="426">
        <f t="shared" si="298"/>
        <v>0</v>
      </c>
      <c r="EH30" s="426">
        <f t="shared" si="298"/>
        <v>0</v>
      </c>
      <c r="EI30" s="426">
        <f t="shared" si="298"/>
        <v>0</v>
      </c>
      <c r="EJ30" s="426">
        <f t="shared" si="298"/>
        <v>0</v>
      </c>
      <c r="EK30" s="426">
        <f t="shared" si="298"/>
        <v>0</v>
      </c>
      <c r="EL30" s="426">
        <f t="shared" si="299"/>
        <v>0</v>
      </c>
      <c r="EM30" s="426">
        <f t="shared" si="299"/>
        <v>0</v>
      </c>
      <c r="EN30" s="426">
        <f t="shared" si="299"/>
        <v>0</v>
      </c>
      <c r="EP30" s="221" t="n">
        <f>I30</f>
        <v>-5000000</v>
      </c>
      <c r="EQ30" s="202" t="n">
        <f>INDEX($L$24:$EN$24,1,$D30+1)</f>
        <v>46203</v>
      </c>
      <c r="ER30" s="202" t="n">
        <f>INDEX($L$24:$EN$24,1,$E30+1)</f>
        <v>46203</v>
      </c>
      <c r="ES30" s="20" t="n">
        <f>+E30-D30+1</f>
        <v>1</v>
      </c>
      <c r="ET30" s="18" t="str">
        <f>F30</f>
        <v>Straight-Line</v>
      </c>
      <c r="EU30" s="80" t="n">
        <f>ES30/Scurve_Dist</f>
        <v>0.16666666666666666</v>
      </c>
      <c r="EV30" s="20" t="n">
        <f>AND($ET30="S-Curve",EV$24&gt;=$EQ30,EV$24&lt;=$ER30)*(_xlfn.NORM.DIST((YEAR(EV$24)-YEAR($EQ30))*12+MONTH(EV$24)-MONTH($EQ30)+1,$ES30/2,$EU30,TRUE)-_xlfn.NORM.DIST((YEAR(EV$24)-YEAR($EQ30))*12+MONTH(EV$24)-MONTH($EQ30),$ES30/2,$EU30,TRUE))/(1-2*_xlfn.NORM.DIST(0,$ES30/2,$EU30,TRUE))*$EP30</f>
        <v>0</v>
      </c>
      <c r="EW30" s="20">
        <f t="shared" si="312"/>
        <v>0</v>
      </c>
      <c r="EX30" s="20">
        <f t="shared" si="312"/>
        <v>0</v>
      </c>
      <c r="EY30" s="20">
        <f t="shared" si="312"/>
        <v>0</v>
      </c>
      <c r="EZ30" s="20">
        <f t="shared" si="312"/>
        <v>0</v>
      </c>
      <c r="FA30" s="20">
        <f t="shared" si="312"/>
        <v>0</v>
      </c>
      <c r="FB30" s="20">
        <f t="shared" si="312"/>
        <v>0</v>
      </c>
      <c r="FC30" s="20">
        <f t="shared" si="312"/>
        <v>0</v>
      </c>
      <c r="FD30" s="20">
        <f t="shared" si="312"/>
        <v>0</v>
      </c>
      <c r="FE30" s="20">
        <f t="shared" si="312"/>
        <v>0</v>
      </c>
      <c r="FF30" s="20">
        <f t="shared" si="312"/>
        <v>0</v>
      </c>
      <c r="FG30" s="20">
        <f t="shared" si="312"/>
        <v>0</v>
      </c>
      <c r="FH30" s="20">
        <f t="shared" si="312"/>
        <v>0</v>
      </c>
      <c r="FI30" s="20">
        <f t="shared" si="312"/>
        <v>0</v>
      </c>
      <c r="FJ30" s="20">
        <f t="shared" si="312"/>
        <v>0</v>
      </c>
      <c r="FK30" s="20">
        <f t="shared" si="312"/>
        <v>0</v>
      </c>
      <c r="FL30" s="20">
        <f t="shared" si="312"/>
        <v>0</v>
      </c>
      <c r="FM30" s="20">
        <f t="shared" si="312"/>
        <v>0</v>
      </c>
      <c r="FN30" s="20">
        <f t="shared" si="312"/>
        <v>0</v>
      </c>
      <c r="FO30" s="20">
        <f t="shared" si="312"/>
        <v>0</v>
      </c>
      <c r="FP30" s="20">
        <f t="shared" si="312"/>
        <v>0</v>
      </c>
      <c r="FQ30" s="20">
        <f t="shared" si="312"/>
        <v>0</v>
      </c>
      <c r="FR30" s="20">
        <f t="shared" si="312"/>
        <v>0</v>
      </c>
      <c r="FS30" s="20">
        <f t="shared" si="312"/>
        <v>0</v>
      </c>
      <c r="FT30" s="20">
        <f t="shared" si="312"/>
        <v>0</v>
      </c>
      <c r="FU30" s="20">
        <f t="shared" si="312"/>
        <v>0</v>
      </c>
      <c r="FV30" s="20">
        <f t="shared" si="312"/>
        <v>0</v>
      </c>
      <c r="FW30" s="20">
        <f t="shared" si="312"/>
        <v>0</v>
      </c>
      <c r="FX30" s="20">
        <f t="shared" si="312"/>
        <v>0</v>
      </c>
      <c r="FY30" s="20">
        <f t="shared" si="312"/>
        <v>0</v>
      </c>
      <c r="FZ30" s="20">
        <f t="shared" si="312"/>
        <v>0</v>
      </c>
      <c r="GA30" s="20">
        <f t="shared" si="312"/>
        <v>0</v>
      </c>
      <c r="GB30" s="20">
        <f t="shared" si="312"/>
        <v>0</v>
      </c>
      <c r="GC30" s="20">
        <f t="shared" si="312"/>
        <v>0</v>
      </c>
      <c r="GD30" s="20">
        <f t="shared" si="312"/>
        <v>0</v>
      </c>
      <c r="GE30" s="20">
        <f t="shared" si="312"/>
        <v>0</v>
      </c>
      <c r="GF30" s="20">
        <f t="shared" si="312"/>
        <v>0</v>
      </c>
      <c r="GG30" s="20">
        <f t="shared" si="312"/>
        <v>0</v>
      </c>
      <c r="GH30" s="20">
        <f t="shared" si="312"/>
        <v>0</v>
      </c>
      <c r="GI30" s="20">
        <f t="shared" si="312"/>
        <v>0</v>
      </c>
      <c r="GJ30" s="20">
        <f t="shared" si="312"/>
        <v>0</v>
      </c>
      <c r="GK30" s="20">
        <f t="shared" si="312"/>
        <v>0</v>
      </c>
      <c r="GL30" s="20">
        <f t="shared" si="312"/>
        <v>0</v>
      </c>
      <c r="GM30" s="20">
        <f t="shared" si="312"/>
        <v>0</v>
      </c>
      <c r="GN30" s="20">
        <f t="shared" si="312"/>
        <v>0</v>
      </c>
      <c r="GO30" s="20">
        <f t="shared" si="312"/>
        <v>0</v>
      </c>
      <c r="GP30" s="20">
        <f t="shared" si="312"/>
        <v>0</v>
      </c>
      <c r="GQ30" s="20">
        <f t="shared" si="312"/>
        <v>0</v>
      </c>
      <c r="GR30" s="20">
        <f t="shared" si="312"/>
        <v>0</v>
      </c>
      <c r="GS30" s="20">
        <f t="shared" si="312"/>
        <v>0</v>
      </c>
      <c r="GT30" s="20">
        <f t="shared" si="312"/>
        <v>0</v>
      </c>
      <c r="GU30" s="20">
        <f t="shared" si="312"/>
        <v>0</v>
      </c>
      <c r="GV30" s="20">
        <f t="shared" si="312"/>
        <v>0</v>
      </c>
      <c r="GW30" s="20">
        <f t="shared" si="312"/>
        <v>0</v>
      </c>
      <c r="GX30" s="20">
        <f t="shared" si="312"/>
        <v>0</v>
      </c>
      <c r="GY30" s="20">
        <f t="shared" si="312"/>
        <v>0</v>
      </c>
      <c r="GZ30" s="20">
        <f t="shared" si="312"/>
        <v>0</v>
      </c>
      <c r="HA30" s="20">
        <f t="shared" si="312"/>
        <v>0</v>
      </c>
      <c r="HB30" s="20">
        <f t="shared" si="312"/>
        <v>0</v>
      </c>
      <c r="HC30" s="20">
        <f t="shared" si="312"/>
        <v>0</v>
      </c>
      <c r="HD30" s="20">
        <f t="shared" si="312"/>
        <v>0</v>
      </c>
      <c r="HE30" s="20">
        <f t="shared" si="312"/>
        <v>0</v>
      </c>
      <c r="HF30" s="20">
        <f t="shared" si="312"/>
        <v>0</v>
      </c>
      <c r="HG30" s="20">
        <f t="shared" si="312"/>
        <v>0</v>
      </c>
      <c r="HH30" s="20">
        <f t="shared" si="312"/>
        <v>0</v>
      </c>
      <c r="HI30" s="20">
        <f t="shared" si="313"/>
        <v>0</v>
      </c>
      <c r="HJ30" s="20">
        <f t="shared" si="313"/>
        <v>0</v>
      </c>
      <c r="HK30" s="20">
        <f t="shared" si="313"/>
        <v>0</v>
      </c>
      <c r="HL30" s="20">
        <f t="shared" si="313"/>
        <v>0</v>
      </c>
      <c r="HM30" s="20">
        <f t="shared" si="313"/>
        <v>0</v>
      </c>
      <c r="HN30" s="20">
        <f t="shared" si="313"/>
        <v>0</v>
      </c>
      <c r="HO30" s="20">
        <f t="shared" si="313"/>
        <v>0</v>
      </c>
      <c r="HP30" s="20">
        <f t="shared" si="313"/>
        <v>0</v>
      </c>
      <c r="HQ30" s="20">
        <f t="shared" si="313"/>
        <v>0</v>
      </c>
      <c r="HR30" s="20">
        <f t="shared" si="313"/>
        <v>0</v>
      </c>
      <c r="HS30" s="20">
        <f t="shared" si="313"/>
        <v>0</v>
      </c>
      <c r="HT30" s="20">
        <f t="shared" si="313"/>
        <v>0</v>
      </c>
      <c r="HU30" s="20">
        <f t="shared" si="313"/>
        <v>0</v>
      </c>
      <c r="HV30" s="20">
        <f t="shared" si="313"/>
        <v>0</v>
      </c>
      <c r="HW30" s="20">
        <f t="shared" si="313"/>
        <v>0</v>
      </c>
      <c r="HX30" s="20">
        <f t="shared" si="313"/>
        <v>0</v>
      </c>
      <c r="HY30" s="20">
        <f t="shared" si="313"/>
        <v>0</v>
      </c>
      <c r="HZ30" s="20">
        <f t="shared" si="313"/>
        <v>0</v>
      </c>
      <c r="IA30" s="20">
        <f t="shared" si="313"/>
        <v>0</v>
      </c>
      <c r="IB30" s="20">
        <f t="shared" si="313"/>
        <v>0</v>
      </c>
      <c r="IC30" s="20">
        <f t="shared" si="313"/>
        <v>0</v>
      </c>
      <c r="ID30" s="20">
        <f t="shared" si="313"/>
        <v>0</v>
      </c>
      <c r="IE30" s="20">
        <f t="shared" si="313"/>
        <v>0</v>
      </c>
      <c r="IF30" s="20">
        <f t="shared" si="313"/>
        <v>0</v>
      </c>
      <c r="IG30" s="20">
        <f t="shared" si="313"/>
        <v>0</v>
      </c>
      <c r="IH30" s="20">
        <f t="shared" si="313"/>
        <v>0</v>
      </c>
      <c r="II30" s="20">
        <f t="shared" si="313"/>
        <v>0</v>
      </c>
      <c r="IJ30" s="20">
        <f t="shared" si="313"/>
        <v>0</v>
      </c>
      <c r="IK30" s="20">
        <f t="shared" si="313"/>
        <v>0</v>
      </c>
      <c r="IL30" s="20">
        <f t="shared" si="313"/>
        <v>0</v>
      </c>
      <c r="IM30" s="20">
        <f t="shared" si="313"/>
        <v>0</v>
      </c>
      <c r="IN30" s="20">
        <f t="shared" si="313"/>
        <v>0</v>
      </c>
      <c r="IO30" s="20">
        <f t="shared" si="313"/>
        <v>0</v>
      </c>
      <c r="IP30" s="20">
        <f t="shared" si="313"/>
        <v>0</v>
      </c>
      <c r="IQ30" s="20">
        <f t="shared" si="313"/>
        <v>0</v>
      </c>
      <c r="IR30" s="20">
        <f t="shared" si="313"/>
        <v>0</v>
      </c>
      <c r="IS30" s="20">
        <f t="shared" si="313"/>
        <v>0</v>
      </c>
      <c r="IT30" s="20">
        <f t="shared" si="313"/>
        <v>0</v>
      </c>
      <c r="IU30" s="20">
        <f t="shared" si="313"/>
        <v>0</v>
      </c>
      <c r="IV30" s="20">
        <f t="shared" si="313"/>
        <v>0</v>
      </c>
      <c r="IW30" s="20">
        <f t="shared" si="313"/>
        <v>0</v>
      </c>
      <c r="IX30" s="20">
        <f t="shared" si="313"/>
        <v>0</v>
      </c>
      <c r="IY30" s="20">
        <f t="shared" si="313"/>
        <v>0</v>
      </c>
      <c r="IZ30" s="20">
        <f t="shared" si="313"/>
        <v>0</v>
      </c>
      <c r="JA30" s="20">
        <f t="shared" si="313"/>
        <v>0</v>
      </c>
      <c r="JB30" s="20">
        <f t="shared" si="313"/>
        <v>0</v>
      </c>
      <c r="JC30" s="20">
        <f t="shared" si="313"/>
        <v>0</v>
      </c>
      <c r="JD30" s="20">
        <f t="shared" si="313"/>
        <v>0</v>
      </c>
      <c r="JE30" s="20">
        <f t="shared" si="313"/>
        <v>0</v>
      </c>
      <c r="JF30" s="20">
        <f t="shared" si="313"/>
        <v>0</v>
      </c>
      <c r="JG30" s="20">
        <f t="shared" si="313"/>
        <v>0</v>
      </c>
      <c r="JH30" s="20">
        <f t="shared" si="313"/>
        <v>0</v>
      </c>
      <c r="JI30" s="20">
        <f t="shared" si="313"/>
        <v>0</v>
      </c>
      <c r="JJ30" s="20">
        <f t="shared" si="313"/>
        <v>0</v>
      </c>
      <c r="JK30" s="20">
        <f t="shared" si="313"/>
        <v>0</v>
      </c>
      <c r="JL30" s="20">
        <f t="shared" si="313"/>
        <v>0</v>
      </c>
      <c r="JM30" s="20">
        <f t="shared" si="313"/>
        <v>0</v>
      </c>
      <c r="JN30" s="20">
        <f t="shared" si="313"/>
        <v>0</v>
      </c>
      <c r="JO30" s="20">
        <f t="shared" si="313"/>
        <v>0</v>
      </c>
      <c r="JP30" s="20">
        <f t="shared" si="313"/>
        <v>0</v>
      </c>
      <c r="JQ30" s="20">
        <f t="shared" si="313"/>
        <v>0</v>
      </c>
      <c r="JR30" s="20">
        <f t="shared" si="313"/>
        <v>0</v>
      </c>
      <c r="JS30" s="20">
        <f t="shared" si="313"/>
        <v>0</v>
      </c>
      <c r="JT30" s="20">
        <f t="shared" si="313"/>
        <v>0</v>
      </c>
      <c r="JU30" s="20">
        <f t="shared" si="302"/>
        <v>0</v>
      </c>
      <c r="JV30" s="20">
        <f t="shared" si="302"/>
        <v>0</v>
      </c>
      <c r="JW30" s="20">
        <f t="shared" si="302"/>
        <v>0</v>
      </c>
      <c r="JX30" s="20">
        <f t="shared" si="302"/>
        <v>0</v>
      </c>
      <c r="JZ30" s="221" t="str">
        <f t="shared" si="285"/>
        <v>ARENA grant / development incentive</v>
      </c>
      <c r="KA30" s="202"/>
      <c r="KB30" s="20" t="n">
        <f t="shared" ref="KB30" si="320">D30</f>
        <v>0</v>
      </c>
      <c r="KC30" s="20" t="n">
        <f t="shared" ref="KC30" si="321">E30</f>
        <v>0</v>
      </c>
      <c r="KD30" s="20" t="n">
        <f t="shared" ref="KD30" si="322">KC30-KB30+1</f>
        <v>1</v>
      </c>
      <c r="KE30" s="422" t="n">
        <f t="shared" ref="KE30" si="323">I30</f>
        <v>-5000000</v>
      </c>
      <c r="KF30" s="422">
        <f t="shared" si="319"/>
        <v>-5000000</v>
      </c>
      <c r="KG30" s="422">
        <f t="shared" si="303"/>
        <v>0</v>
      </c>
      <c r="KH30" s="422">
        <f t="shared" si="303"/>
        <v>0</v>
      </c>
      <c r="KI30" s="422">
        <f t="shared" si="303"/>
        <v>0</v>
      </c>
      <c r="KJ30" s="422">
        <f t="shared" si="303"/>
        <v>0</v>
      </c>
      <c r="KK30" s="422">
        <f t="shared" si="303"/>
        <v>0</v>
      </c>
      <c r="KL30" s="422">
        <f t="shared" si="303"/>
        <v>0</v>
      </c>
      <c r="KM30" s="422">
        <f t="shared" si="303"/>
        <v>0</v>
      </c>
      <c r="KN30" s="422">
        <f t="shared" si="303"/>
        <v>0</v>
      </c>
      <c r="KO30" s="422">
        <f t="shared" si="303"/>
        <v>0</v>
      </c>
      <c r="KP30" s="422">
        <f t="shared" si="303"/>
        <v>0</v>
      </c>
      <c r="KQ30" s="422">
        <f t="shared" si="303"/>
        <v>0</v>
      </c>
      <c r="KR30" s="422">
        <f t="shared" si="303"/>
        <v>0</v>
      </c>
      <c r="KS30" s="422">
        <f t="shared" si="303"/>
        <v>0</v>
      </c>
      <c r="KT30" s="422">
        <f t="shared" si="303"/>
        <v>0</v>
      </c>
      <c r="KU30" s="422">
        <f t="shared" si="303"/>
        <v>0</v>
      </c>
      <c r="KV30" s="422">
        <f t="shared" si="303"/>
        <v>0</v>
      </c>
      <c r="KW30" s="422">
        <f t="shared" si="304"/>
        <v>0</v>
      </c>
      <c r="KX30" s="422">
        <f t="shared" si="304"/>
        <v>0</v>
      </c>
      <c r="KY30" s="422">
        <f t="shared" si="304"/>
        <v>0</v>
      </c>
      <c r="KZ30" s="422">
        <f t="shared" si="304"/>
        <v>0</v>
      </c>
      <c r="LA30" s="422">
        <f t="shared" si="304"/>
        <v>0</v>
      </c>
      <c r="LB30" s="422">
        <f t="shared" si="304"/>
        <v>0</v>
      </c>
      <c r="LC30" s="422">
        <f t="shared" si="304"/>
        <v>0</v>
      </c>
      <c r="LD30" s="422">
        <f t="shared" si="304"/>
        <v>0</v>
      </c>
      <c r="LE30" s="422">
        <f t="shared" si="304"/>
        <v>0</v>
      </c>
      <c r="LF30" s="422">
        <f t="shared" si="304"/>
        <v>0</v>
      </c>
      <c r="LG30" s="422">
        <f t="shared" si="304"/>
        <v>0</v>
      </c>
      <c r="LH30" s="422">
        <f t="shared" si="304"/>
        <v>0</v>
      </c>
      <c r="LI30" s="422">
        <f t="shared" si="304"/>
        <v>0</v>
      </c>
      <c r="LJ30" s="422">
        <f t="shared" si="304"/>
        <v>0</v>
      </c>
      <c r="LK30" s="422">
        <f t="shared" si="304"/>
        <v>0</v>
      </c>
      <c r="LL30" s="422">
        <f t="shared" si="304"/>
        <v>0</v>
      </c>
      <c r="LM30" s="422">
        <f t="shared" si="305"/>
        <v>0</v>
      </c>
      <c r="LN30" s="422">
        <f t="shared" si="305"/>
        <v>0</v>
      </c>
      <c r="LO30" s="422">
        <f t="shared" si="305"/>
        <v>0</v>
      </c>
      <c r="LP30" s="422">
        <f t="shared" si="305"/>
        <v>0</v>
      </c>
      <c r="LQ30" s="422">
        <f t="shared" si="305"/>
        <v>0</v>
      </c>
      <c r="LR30" s="422">
        <f t="shared" si="305"/>
        <v>0</v>
      </c>
      <c r="LS30" s="422">
        <f t="shared" si="305"/>
        <v>0</v>
      </c>
      <c r="LT30" s="422">
        <f t="shared" si="305"/>
        <v>0</v>
      </c>
      <c r="LU30" s="422">
        <f t="shared" si="305"/>
        <v>0</v>
      </c>
      <c r="LV30" s="422">
        <f t="shared" si="305"/>
        <v>0</v>
      </c>
      <c r="LW30" s="422">
        <f t="shared" si="305"/>
        <v>0</v>
      </c>
      <c r="LX30" s="422">
        <f t="shared" si="305"/>
        <v>0</v>
      </c>
      <c r="LY30" s="422">
        <f t="shared" si="305"/>
        <v>0</v>
      </c>
      <c r="LZ30" s="422">
        <f t="shared" si="305"/>
        <v>0</v>
      </c>
      <c r="MA30" s="422">
        <f t="shared" si="305"/>
        <v>0</v>
      </c>
      <c r="MB30" s="422">
        <f t="shared" si="305"/>
        <v>0</v>
      </c>
      <c r="MC30" s="422">
        <f t="shared" si="306"/>
        <v>0</v>
      </c>
      <c r="MD30" s="422">
        <f t="shared" si="306"/>
        <v>0</v>
      </c>
      <c r="ME30" s="422">
        <f t="shared" si="306"/>
        <v>0</v>
      </c>
      <c r="MF30" s="422">
        <f t="shared" si="306"/>
        <v>0</v>
      </c>
      <c r="MG30" s="422">
        <f t="shared" si="306"/>
        <v>0</v>
      </c>
      <c r="MH30" s="422">
        <f t="shared" si="306"/>
        <v>0</v>
      </c>
      <c r="MI30" s="422">
        <f t="shared" si="306"/>
        <v>0</v>
      </c>
      <c r="MJ30" s="422">
        <f t="shared" si="306"/>
        <v>0</v>
      </c>
      <c r="MK30" s="422">
        <f t="shared" si="306"/>
        <v>0</v>
      </c>
      <c r="ML30" s="422">
        <f t="shared" si="306"/>
        <v>0</v>
      </c>
      <c r="MM30" s="422">
        <f t="shared" si="306"/>
        <v>0</v>
      </c>
      <c r="MN30" s="422">
        <f t="shared" si="306"/>
        <v>0</v>
      </c>
      <c r="MO30" s="422">
        <f t="shared" si="306"/>
        <v>0</v>
      </c>
      <c r="MP30" s="422">
        <f t="shared" si="306"/>
        <v>0</v>
      </c>
      <c r="MQ30" s="422">
        <f t="shared" si="306"/>
        <v>0</v>
      </c>
      <c r="MR30" s="422">
        <f t="shared" si="306"/>
        <v>0</v>
      </c>
      <c r="MS30" s="422">
        <f t="shared" si="307"/>
        <v>0</v>
      </c>
      <c r="MT30" s="422">
        <f t="shared" si="307"/>
        <v>0</v>
      </c>
      <c r="MU30" s="422">
        <f t="shared" si="307"/>
        <v>0</v>
      </c>
      <c r="MV30" s="422">
        <f t="shared" si="307"/>
        <v>0</v>
      </c>
      <c r="MW30" s="422">
        <f t="shared" si="307"/>
        <v>0</v>
      </c>
      <c r="MX30" s="422">
        <f t="shared" si="307"/>
        <v>0</v>
      </c>
      <c r="MY30" s="422">
        <f t="shared" si="307"/>
        <v>0</v>
      </c>
      <c r="MZ30" s="422">
        <f t="shared" si="307"/>
        <v>0</v>
      </c>
      <c r="NA30" s="422">
        <f t="shared" si="307"/>
        <v>0</v>
      </c>
      <c r="NB30" s="422">
        <f t="shared" si="307"/>
        <v>0</v>
      </c>
      <c r="NC30" s="422">
        <f t="shared" si="307"/>
        <v>0</v>
      </c>
      <c r="ND30" s="422">
        <f t="shared" si="307"/>
        <v>0</v>
      </c>
      <c r="NE30" s="422">
        <f t="shared" si="307"/>
        <v>0</v>
      </c>
      <c r="NF30" s="422">
        <f t="shared" si="307"/>
        <v>0</v>
      </c>
      <c r="NG30" s="422">
        <f t="shared" si="307"/>
        <v>0</v>
      </c>
      <c r="NH30" s="422">
        <f t="shared" si="307"/>
        <v>0</v>
      </c>
      <c r="NI30" s="422">
        <f t="shared" si="308"/>
        <v>0</v>
      </c>
      <c r="NJ30" s="422">
        <f t="shared" si="308"/>
        <v>0</v>
      </c>
      <c r="NK30" s="422">
        <f t="shared" si="308"/>
        <v>0</v>
      </c>
      <c r="NL30" s="422">
        <f t="shared" si="308"/>
        <v>0</v>
      </c>
      <c r="NM30" s="422">
        <f t="shared" si="308"/>
        <v>0</v>
      </c>
      <c r="NN30" s="422">
        <f t="shared" si="308"/>
        <v>0</v>
      </c>
      <c r="NO30" s="422">
        <f t="shared" si="308"/>
        <v>0</v>
      </c>
      <c r="NP30" s="422">
        <f t="shared" si="308"/>
        <v>0</v>
      </c>
      <c r="NQ30" s="422">
        <f t="shared" si="308"/>
        <v>0</v>
      </c>
      <c r="NR30" s="422">
        <f t="shared" si="308"/>
        <v>0</v>
      </c>
      <c r="NS30" s="422">
        <f t="shared" si="308"/>
        <v>0</v>
      </c>
      <c r="NT30" s="422">
        <f t="shared" si="308"/>
        <v>0</v>
      </c>
      <c r="NU30" s="422">
        <f t="shared" si="308"/>
        <v>0</v>
      </c>
      <c r="NV30" s="422">
        <f t="shared" si="308"/>
        <v>0</v>
      </c>
      <c r="NW30" s="422">
        <f t="shared" si="308"/>
        <v>0</v>
      </c>
      <c r="NX30" s="422">
        <f t="shared" si="308"/>
        <v>0</v>
      </c>
      <c r="NY30" s="422">
        <f t="shared" si="309"/>
        <v>0</v>
      </c>
      <c r="NZ30" s="422">
        <f t="shared" si="309"/>
        <v>0</v>
      </c>
      <c r="OA30" s="422">
        <f t="shared" si="309"/>
        <v>0</v>
      </c>
      <c r="OB30" s="422">
        <f t="shared" si="309"/>
        <v>0</v>
      </c>
      <c r="OC30" s="422">
        <f t="shared" si="309"/>
        <v>0</v>
      </c>
      <c r="OD30" s="422">
        <f t="shared" si="309"/>
        <v>0</v>
      </c>
      <c r="OE30" s="422">
        <f t="shared" si="309"/>
        <v>0</v>
      </c>
      <c r="OF30" s="422">
        <f t="shared" si="309"/>
        <v>0</v>
      </c>
      <c r="OG30" s="422">
        <f t="shared" si="309"/>
        <v>0</v>
      </c>
      <c r="OH30" s="422">
        <f t="shared" si="309"/>
        <v>0</v>
      </c>
      <c r="OI30" s="422">
        <f t="shared" si="309"/>
        <v>0</v>
      </c>
      <c r="OJ30" s="422">
        <f t="shared" si="309"/>
        <v>0</v>
      </c>
      <c r="OK30" s="422">
        <f t="shared" si="309"/>
        <v>0</v>
      </c>
      <c r="OL30" s="422">
        <f t="shared" si="309"/>
        <v>0</v>
      </c>
      <c r="OM30" s="422">
        <f t="shared" si="309"/>
        <v>0</v>
      </c>
      <c r="ON30" s="422">
        <f t="shared" si="309"/>
        <v>0</v>
      </c>
      <c r="OO30" s="422">
        <f t="shared" si="310"/>
        <v>0</v>
      </c>
      <c r="OP30" s="422">
        <f t="shared" si="310"/>
        <v>0</v>
      </c>
      <c r="OQ30" s="422">
        <f t="shared" si="310"/>
        <v>0</v>
      </c>
      <c r="OR30" s="422">
        <f t="shared" si="310"/>
        <v>0</v>
      </c>
      <c r="OS30" s="422">
        <f t="shared" si="310"/>
        <v>0</v>
      </c>
      <c r="OT30" s="422">
        <f t="shared" si="310"/>
        <v>0</v>
      </c>
      <c r="OU30" s="422">
        <f t="shared" si="310"/>
        <v>0</v>
      </c>
      <c r="OV30" s="422">
        <f t="shared" si="310"/>
        <v>0</v>
      </c>
      <c r="OW30" s="422">
        <f t="shared" si="310"/>
        <v>0</v>
      </c>
      <c r="OX30" s="422">
        <f t="shared" si="310"/>
        <v>0</v>
      </c>
      <c r="OY30" s="422">
        <f t="shared" si="310"/>
        <v>0</v>
      </c>
      <c r="OZ30" s="422">
        <f t="shared" si="310"/>
        <v>0</v>
      </c>
      <c r="PA30" s="422">
        <f t="shared" si="310"/>
        <v>0</v>
      </c>
      <c r="PB30" s="422">
        <f t="shared" si="310"/>
        <v>0</v>
      </c>
      <c r="PC30" s="422">
        <f t="shared" si="310"/>
        <v>0</v>
      </c>
      <c r="PD30" s="422">
        <f t="shared" si="310"/>
        <v>0</v>
      </c>
      <c r="PE30" s="422">
        <f t="shared" si="311"/>
        <v>0</v>
      </c>
      <c r="PF30" s="422">
        <f t="shared" si="311"/>
        <v>0</v>
      </c>
      <c r="PG30" s="422">
        <f t="shared" si="311"/>
        <v>0</v>
      </c>
      <c r="PH30" s="422">
        <f t="shared" si="311"/>
        <v>0</v>
      </c>
    </row>
    <row r="31">
      <c r="B31" s="427" t="s">
        <v>141</v>
      </c>
      <c r="C31" s="640" t="n">
        <f>MIN(D27:D30)</f>
        <v>0</v>
      </c>
      <c r="D31" s="47"/>
      <c r="E31" s="47" t="n">
        <f>MAX(E27:E30)</f>
        <v>0</v>
      </c>
      <c r="F31" s="641" t="n">
        <f>SUM(H27:H30)</f>
        <v>0</v>
      </c>
      <c r="G31" s="135"/>
      <c r="H31" s="419"/>
      <c r="I31" s="428" t="n">
        <f>SUM(I27:I30)</f>
        <v>87320000</v>
      </c>
      <c r="K31" s="22" t="str">
        <f>IF(ROUND(SUM(L31:EN31),0)=ROUND(I31,0),"","Incomplete")</f>
      </c>
      <c r="L31" s="421" t="n">
        <f t="shared" ref="L31:AQ31" si="324">SUM(L27:L30)</f>
        <v>87320000</v>
      </c>
      <c r="M31" s="421">
        <f t="shared" si="324"/>
        <v>0</v>
      </c>
      <c r="N31" s="421">
        <f t="shared" si="324"/>
        <v>0</v>
      </c>
      <c r="O31" s="421">
        <f t="shared" si="324"/>
        <v>0</v>
      </c>
      <c r="P31" s="421">
        <f t="shared" si="324"/>
        <v>0</v>
      </c>
      <c r="Q31" s="421">
        <f t="shared" si="324"/>
        <v>0</v>
      </c>
      <c r="R31" s="421">
        <f t="shared" si="324"/>
        <v>0</v>
      </c>
      <c r="S31" s="421">
        <f t="shared" si="324"/>
        <v>0</v>
      </c>
      <c r="T31" s="421">
        <f t="shared" si="324"/>
        <v>0</v>
      </c>
      <c r="U31" s="421">
        <f t="shared" si="324"/>
        <v>0</v>
      </c>
      <c r="V31" s="421">
        <f t="shared" si="324"/>
        <v>0</v>
      </c>
      <c r="W31" s="421">
        <f t="shared" si="324"/>
        <v>0</v>
      </c>
      <c r="X31" s="421">
        <f t="shared" si="324"/>
        <v>0</v>
      </c>
      <c r="Y31" s="421">
        <f t="shared" si="324"/>
        <v>0</v>
      </c>
      <c r="Z31" s="421">
        <f t="shared" si="324"/>
        <v>0</v>
      </c>
      <c r="AA31" s="421">
        <f t="shared" si="324"/>
        <v>0</v>
      </c>
      <c r="AB31" s="421">
        <f t="shared" si="324"/>
        <v>0</v>
      </c>
      <c r="AC31" s="421">
        <f t="shared" si="324"/>
        <v>0</v>
      </c>
      <c r="AD31" s="421">
        <f t="shared" si="324"/>
        <v>0</v>
      </c>
      <c r="AE31" s="421">
        <f t="shared" si="324"/>
        <v>0</v>
      </c>
      <c r="AF31" s="421">
        <f t="shared" si="324"/>
        <v>0</v>
      </c>
      <c r="AG31" s="421">
        <f t="shared" si="324"/>
        <v>0</v>
      </c>
      <c r="AH31" s="421">
        <f t="shared" si="324"/>
        <v>0</v>
      </c>
      <c r="AI31" s="421">
        <f t="shared" si="324"/>
        <v>0</v>
      </c>
      <c r="AJ31" s="421">
        <f t="shared" si="324"/>
        <v>0</v>
      </c>
      <c r="AK31" s="421">
        <f t="shared" si="324"/>
        <v>0</v>
      </c>
      <c r="AL31" s="421">
        <f t="shared" si="324"/>
        <v>0</v>
      </c>
      <c r="AM31" s="421">
        <f t="shared" si="324"/>
        <v>0</v>
      </c>
      <c r="AN31" s="421">
        <f t="shared" si="324"/>
        <v>0</v>
      </c>
      <c r="AO31" s="421">
        <f t="shared" si="324"/>
        <v>0</v>
      </c>
      <c r="AP31" s="421">
        <f t="shared" si="324"/>
        <v>0</v>
      </c>
      <c r="AQ31" s="421">
        <f t="shared" si="324"/>
        <v>0</v>
      </c>
      <c r="AR31" s="421" t="n">
        <f t="shared" ref="AR31:BW31" si="325">SUM(AR27:AR30)</f>
        <v>0</v>
      </c>
      <c r="AS31" s="421">
        <f t="shared" si="325"/>
        <v>0</v>
      </c>
      <c r="AT31" s="421">
        <f t="shared" si="325"/>
        <v>0</v>
      </c>
      <c r="AU31" s="421">
        <f t="shared" si="325"/>
        <v>0</v>
      </c>
      <c r="AV31" s="421">
        <f t="shared" si="325"/>
        <v>0</v>
      </c>
      <c r="AW31" s="421">
        <f t="shared" si="325"/>
        <v>0</v>
      </c>
      <c r="AX31" s="421">
        <f t="shared" si="325"/>
        <v>0</v>
      </c>
      <c r="AY31" s="421">
        <f t="shared" si="325"/>
        <v>0</v>
      </c>
      <c r="AZ31" s="421">
        <f t="shared" si="325"/>
        <v>0</v>
      </c>
      <c r="BA31" s="421">
        <f t="shared" si="325"/>
        <v>0</v>
      </c>
      <c r="BB31" s="421">
        <f t="shared" si="325"/>
        <v>0</v>
      </c>
      <c r="BC31" s="421">
        <f t="shared" si="325"/>
        <v>0</v>
      </c>
      <c r="BD31" s="421">
        <f t="shared" si="325"/>
        <v>0</v>
      </c>
      <c r="BE31" s="421">
        <f t="shared" si="325"/>
        <v>0</v>
      </c>
      <c r="BF31" s="421">
        <f t="shared" si="325"/>
        <v>0</v>
      </c>
      <c r="BG31" s="421">
        <f t="shared" si="325"/>
        <v>0</v>
      </c>
      <c r="BH31" s="421">
        <f t="shared" si="325"/>
        <v>0</v>
      </c>
      <c r="BI31" s="421">
        <f t="shared" si="325"/>
        <v>0</v>
      </c>
      <c r="BJ31" s="421">
        <f t="shared" si="325"/>
        <v>0</v>
      </c>
      <c r="BK31" s="421">
        <f t="shared" si="325"/>
        <v>0</v>
      </c>
      <c r="BL31" s="421">
        <f t="shared" si="325"/>
        <v>0</v>
      </c>
      <c r="BM31" s="421">
        <f t="shared" si="325"/>
        <v>0</v>
      </c>
      <c r="BN31" s="421">
        <f t="shared" si="325"/>
        <v>0</v>
      </c>
      <c r="BO31" s="421">
        <f t="shared" si="325"/>
        <v>0</v>
      </c>
      <c r="BP31" s="421">
        <f t="shared" si="325"/>
        <v>0</v>
      </c>
      <c r="BQ31" s="421">
        <f t="shared" si="325"/>
        <v>0</v>
      </c>
      <c r="BR31" s="421">
        <f t="shared" si="325"/>
        <v>0</v>
      </c>
      <c r="BS31" s="421">
        <f t="shared" si="325"/>
        <v>0</v>
      </c>
      <c r="BT31" s="421">
        <f t="shared" si="325"/>
        <v>0</v>
      </c>
      <c r="BU31" s="421">
        <f t="shared" si="325"/>
        <v>0</v>
      </c>
      <c r="BV31" s="421">
        <f t="shared" si="325"/>
        <v>0</v>
      </c>
      <c r="BW31" s="421">
        <f t="shared" si="325"/>
        <v>0</v>
      </c>
      <c r="BX31" s="421" t="n">
        <f t="shared" ref="BX31:DC31" si="326">SUM(BX27:BX30)</f>
        <v>0</v>
      </c>
      <c r="BY31" s="421">
        <f t="shared" si="326"/>
        <v>0</v>
      </c>
      <c r="BZ31" s="421">
        <f t="shared" si="326"/>
        <v>0</v>
      </c>
      <c r="CA31" s="421">
        <f t="shared" si="326"/>
        <v>0</v>
      </c>
      <c r="CB31" s="421">
        <f t="shared" si="326"/>
        <v>0</v>
      </c>
      <c r="CC31" s="421">
        <f t="shared" si="326"/>
        <v>0</v>
      </c>
      <c r="CD31" s="421">
        <f t="shared" si="326"/>
        <v>0</v>
      </c>
      <c r="CE31" s="421">
        <f t="shared" si="326"/>
        <v>0</v>
      </c>
      <c r="CF31" s="421">
        <f t="shared" si="326"/>
        <v>0</v>
      </c>
      <c r="CG31" s="421">
        <f t="shared" si="326"/>
        <v>0</v>
      </c>
      <c r="CH31" s="421">
        <f t="shared" si="326"/>
        <v>0</v>
      </c>
      <c r="CI31" s="421">
        <f t="shared" si="326"/>
        <v>0</v>
      </c>
      <c r="CJ31" s="421">
        <f t="shared" si="326"/>
        <v>0</v>
      </c>
      <c r="CK31" s="421">
        <f t="shared" si="326"/>
        <v>0</v>
      </c>
      <c r="CL31" s="421">
        <f t="shared" si="326"/>
        <v>0</v>
      </c>
      <c r="CM31" s="421">
        <f t="shared" si="326"/>
        <v>0</v>
      </c>
      <c r="CN31" s="421">
        <f t="shared" si="326"/>
        <v>0</v>
      </c>
      <c r="CO31" s="421">
        <f t="shared" si="326"/>
        <v>0</v>
      </c>
      <c r="CP31" s="421">
        <f t="shared" si="326"/>
        <v>0</v>
      </c>
      <c r="CQ31" s="421">
        <f t="shared" si="326"/>
        <v>0</v>
      </c>
      <c r="CR31" s="421">
        <f t="shared" si="326"/>
        <v>0</v>
      </c>
      <c r="CS31" s="421">
        <f t="shared" si="326"/>
        <v>0</v>
      </c>
      <c r="CT31" s="421">
        <f t="shared" si="326"/>
        <v>0</v>
      </c>
      <c r="CU31" s="421">
        <f t="shared" si="326"/>
        <v>0</v>
      </c>
      <c r="CV31" s="421">
        <f t="shared" si="326"/>
        <v>0</v>
      </c>
      <c r="CW31" s="421">
        <f t="shared" si="326"/>
        <v>0</v>
      </c>
      <c r="CX31" s="421">
        <f t="shared" si="326"/>
        <v>0</v>
      </c>
      <c r="CY31" s="421">
        <f t="shared" si="326"/>
        <v>0</v>
      </c>
      <c r="CZ31" s="421">
        <f t="shared" si="326"/>
        <v>0</v>
      </c>
      <c r="DA31" s="421">
        <f t="shared" si="326"/>
        <v>0</v>
      </c>
      <c r="DB31" s="421">
        <f t="shared" si="326"/>
        <v>0</v>
      </c>
      <c r="DC31" s="421">
        <f t="shared" si="326"/>
        <v>0</v>
      </c>
      <c r="DD31" s="421" t="n">
        <f t="shared" ref="DD31:EI31" si="327">SUM(DD27:DD30)</f>
        <v>0</v>
      </c>
      <c r="DE31" s="421">
        <f t="shared" si="327"/>
        <v>0</v>
      </c>
      <c r="DF31" s="421">
        <f t="shared" si="327"/>
        <v>0</v>
      </c>
      <c r="DG31" s="421">
        <f t="shared" si="327"/>
        <v>0</v>
      </c>
      <c r="DH31" s="421">
        <f t="shared" si="327"/>
        <v>0</v>
      </c>
      <c r="DI31" s="421">
        <f t="shared" si="327"/>
        <v>0</v>
      </c>
      <c r="DJ31" s="421">
        <f t="shared" si="327"/>
        <v>0</v>
      </c>
      <c r="DK31" s="421">
        <f t="shared" si="327"/>
        <v>0</v>
      </c>
      <c r="DL31" s="421">
        <f t="shared" si="327"/>
        <v>0</v>
      </c>
      <c r="DM31" s="421">
        <f t="shared" si="327"/>
        <v>0</v>
      </c>
      <c r="DN31" s="421">
        <f t="shared" si="327"/>
        <v>0</v>
      </c>
      <c r="DO31" s="421">
        <f t="shared" si="327"/>
        <v>0</v>
      </c>
      <c r="DP31" s="421">
        <f t="shared" si="327"/>
        <v>0</v>
      </c>
      <c r="DQ31" s="421">
        <f t="shared" si="327"/>
        <v>0</v>
      </c>
      <c r="DR31" s="421">
        <f t="shared" si="327"/>
        <v>0</v>
      </c>
      <c r="DS31" s="421">
        <f t="shared" si="327"/>
        <v>0</v>
      </c>
      <c r="DT31" s="421">
        <f t="shared" si="327"/>
        <v>0</v>
      </c>
      <c r="DU31" s="421">
        <f t="shared" si="327"/>
        <v>0</v>
      </c>
      <c r="DV31" s="421">
        <f t="shared" si="327"/>
        <v>0</v>
      </c>
      <c r="DW31" s="421">
        <f t="shared" si="327"/>
        <v>0</v>
      </c>
      <c r="DX31" s="421">
        <f t="shared" si="327"/>
        <v>0</v>
      </c>
      <c r="DY31" s="421">
        <f t="shared" si="327"/>
        <v>0</v>
      </c>
      <c r="DZ31" s="421">
        <f t="shared" si="327"/>
        <v>0</v>
      </c>
      <c r="EA31" s="421">
        <f t="shared" si="327"/>
        <v>0</v>
      </c>
      <c r="EB31" s="421">
        <f t="shared" si="327"/>
        <v>0</v>
      </c>
      <c r="EC31" s="421">
        <f t="shared" si="327"/>
        <v>0</v>
      </c>
      <c r="ED31" s="421">
        <f t="shared" si="327"/>
        <v>0</v>
      </c>
      <c r="EE31" s="421">
        <f t="shared" si="327"/>
        <v>0</v>
      </c>
      <c r="EF31" s="421">
        <f t="shared" si="327"/>
        <v>0</v>
      </c>
      <c r="EG31" s="421">
        <f t="shared" si="327"/>
        <v>0</v>
      </c>
      <c r="EH31" s="421">
        <f t="shared" si="327"/>
        <v>0</v>
      </c>
      <c r="EI31" s="421">
        <f t="shared" si="327"/>
        <v>0</v>
      </c>
      <c r="EJ31" s="421" t="n">
        <f t="shared" ref="EJ31:EN31" si="328">SUM(EJ27:EJ30)</f>
        <v>0</v>
      </c>
      <c r="EK31" s="421">
        <f t="shared" si="328"/>
        <v>0</v>
      </c>
      <c r="EL31" s="421">
        <f t="shared" si="328"/>
        <v>0</v>
      </c>
      <c r="EM31" s="421">
        <f t="shared" si="328"/>
        <v>0</v>
      </c>
      <c r="EN31" s="421">
        <f t="shared" si="328"/>
        <v>0</v>
      </c>
      <c r="EP31" s="220"/>
      <c r="EQ31" s="18" t="s">
        <v>142</v>
      </c>
      <c r="ER31" s="20" t="n">
        <f>COUNTA($B$27:$B$30)</f>
        <v>3</v>
      </c>
      <c r="ES31" s="18"/>
      <c r="ET31" s="18"/>
      <c r="EU31" s="80"/>
      <c r="EV31" s="18"/>
      <c r="EW31" s="18"/>
      <c r="EX31" s="18"/>
      <c r="EY31" s="18"/>
      <c r="EZ31" s="18"/>
      <c r="FA31" s="18"/>
      <c r="FB31" s="18"/>
      <c r="FC31" s="18"/>
      <c r="FD31" s="18"/>
      <c r="FE31" s="18"/>
      <c r="FF31" s="18"/>
      <c r="FG31" s="18"/>
      <c r="FH31" s="18"/>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8"/>
      <c r="GN31" s="18"/>
      <c r="GO31" s="18"/>
      <c r="GP31" s="18"/>
      <c r="GQ31" s="18"/>
      <c r="GR31" s="18"/>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8"/>
      <c r="HX31" s="18"/>
      <c r="HY31" s="18"/>
      <c r="HZ31" s="18"/>
      <c r="IA31" s="18"/>
      <c r="IB31" s="18"/>
      <c r="IC31" s="18"/>
      <c r="ID31" s="18"/>
      <c r="IE31" s="18"/>
      <c r="IF31" s="18"/>
      <c r="IG31" s="18"/>
      <c r="IH31" s="18"/>
      <c r="II31" s="18"/>
      <c r="IJ31" s="18"/>
      <c r="IK31" s="18"/>
      <c r="IL31" s="18"/>
      <c r="IM31" s="18"/>
      <c r="IN31" s="18"/>
      <c r="IO31" s="18"/>
      <c r="IP31" s="18"/>
      <c r="IQ31" s="18"/>
      <c r="IR31" s="18"/>
      <c r="IS31" s="18"/>
      <c r="IT31" s="18"/>
      <c r="IU31" s="18"/>
      <c r="IV31" s="18"/>
      <c r="IW31" s="18"/>
      <c r="IX31" s="18"/>
      <c r="IY31" s="18"/>
      <c r="IZ31" s="18"/>
      <c r="JA31" s="18"/>
      <c r="JB31" s="18"/>
      <c r="JC31" s="18"/>
      <c r="JD31" s="18"/>
      <c r="JE31" s="18"/>
      <c r="JF31" s="18"/>
      <c r="JG31" s="18"/>
      <c r="JH31" s="18"/>
      <c r="JI31" s="18"/>
      <c r="JJ31" s="18"/>
      <c r="JK31" s="18"/>
      <c r="JL31" s="18"/>
      <c r="JM31" s="18"/>
      <c r="JN31" s="18"/>
      <c r="JO31" s="18"/>
      <c r="JP31" s="18"/>
      <c r="JQ31" s="18"/>
      <c r="JR31" s="18"/>
      <c r="JS31" s="18"/>
      <c r="JT31" s="18"/>
      <c r="JU31" s="18"/>
      <c r="JV31" s="18"/>
      <c r="JW31" s="18"/>
      <c r="JX31" s="18"/>
      <c r="JZ31" s="220" t="str">
        <f t="shared" si="285"/>
        <v>Total Land Costs</v>
      </c>
      <c r="KA31" s="18"/>
      <c r="KB31" s="20"/>
      <c r="KC31" s="20"/>
      <c r="KD31" s="20"/>
      <c r="KE31" s="82"/>
      <c r="KF31" s="82"/>
      <c r="KG31" s="82"/>
      <c r="KH31" s="82"/>
      <c r="KI31" s="82"/>
      <c r="KJ31" s="82"/>
      <c r="KK31" s="82"/>
      <c r="KL31" s="82"/>
      <c r="KM31" s="82"/>
      <c r="KN31" s="82"/>
      <c r="KO31" s="82"/>
      <c r="KP31" s="82"/>
      <c r="KQ31" s="82"/>
      <c r="KR31" s="82"/>
      <c r="KS31" s="82"/>
      <c r="KT31" s="82"/>
      <c r="KU31" s="82"/>
      <c r="KV31" s="82"/>
      <c r="KW31" s="82"/>
      <c r="KX31" s="82"/>
      <c r="KY31" s="82"/>
      <c r="KZ31" s="82"/>
      <c r="LA31" s="82"/>
      <c r="LB31" s="82"/>
      <c r="LC31" s="82"/>
      <c r="LD31" s="82"/>
      <c r="LE31" s="82"/>
      <c r="LF31" s="82"/>
      <c r="LG31" s="82"/>
      <c r="LH31" s="82"/>
      <c r="LI31" s="82"/>
      <c r="LJ31" s="82"/>
      <c r="LK31" s="82"/>
      <c r="LL31" s="82"/>
      <c r="LM31" s="82"/>
      <c r="LN31" s="82"/>
      <c r="LO31" s="82"/>
      <c r="LP31" s="82"/>
      <c r="LQ31" s="82"/>
      <c r="LR31" s="82"/>
      <c r="LS31" s="82"/>
      <c r="LT31" s="82"/>
      <c r="LU31" s="82"/>
      <c r="LV31" s="82"/>
      <c r="LW31" s="82"/>
      <c r="LX31" s="82"/>
      <c r="LY31" s="82"/>
      <c r="LZ31" s="82"/>
      <c r="MA31" s="82"/>
      <c r="MB31" s="82"/>
      <c r="MC31" s="82"/>
      <c r="MD31" s="82"/>
      <c r="ME31" s="82"/>
      <c r="MF31" s="82"/>
      <c r="MG31" s="82"/>
      <c r="MH31" s="82"/>
      <c r="MI31" s="82"/>
      <c r="MJ31" s="82"/>
      <c r="MK31" s="82"/>
      <c r="ML31" s="82"/>
      <c r="MM31" s="82"/>
      <c r="MN31" s="82"/>
      <c r="MO31" s="82"/>
      <c r="MP31" s="82"/>
      <c r="MQ31" s="82"/>
      <c r="MR31" s="82"/>
      <c r="MS31" s="82"/>
      <c r="MT31" s="82"/>
      <c r="MU31" s="82"/>
      <c r="MV31" s="82"/>
      <c r="MW31" s="82"/>
      <c r="MX31" s="82"/>
      <c r="MY31" s="82"/>
      <c r="MZ31" s="82"/>
      <c r="NA31" s="82"/>
      <c r="NB31" s="82"/>
      <c r="NC31" s="82"/>
      <c r="ND31" s="82"/>
      <c r="NE31" s="82"/>
      <c r="NF31" s="82"/>
      <c r="NG31" s="82"/>
      <c r="NH31" s="82"/>
      <c r="NI31" s="82"/>
      <c r="NJ31" s="82"/>
      <c r="NK31" s="82"/>
      <c r="NL31" s="82"/>
      <c r="NM31" s="82"/>
      <c r="NN31" s="82"/>
      <c r="NO31" s="82"/>
      <c r="NP31" s="82"/>
      <c r="NQ31" s="82"/>
      <c r="NR31" s="82"/>
      <c r="NS31" s="82"/>
      <c r="NT31" s="82"/>
      <c r="NU31" s="82"/>
      <c r="NV31" s="82"/>
      <c r="NW31" s="82"/>
      <c r="NX31" s="82"/>
      <c r="NY31" s="82"/>
      <c r="NZ31" s="82"/>
      <c r="OA31" s="82"/>
      <c r="OB31" s="82"/>
      <c r="OC31" s="82"/>
      <c r="OD31" s="82"/>
      <c r="OE31" s="82"/>
      <c r="OF31" s="82"/>
      <c r="OG31" s="82"/>
      <c r="OH31" s="82"/>
      <c r="OI31" s="82"/>
      <c r="OJ31" s="82"/>
      <c r="OK31" s="82"/>
      <c r="OL31" s="82"/>
      <c r="OM31" s="82"/>
      <c r="ON31" s="82"/>
      <c r="OO31" s="82"/>
      <c r="OP31" s="82"/>
      <c r="OQ31" s="82"/>
      <c r="OR31" s="82"/>
      <c r="OS31" s="82"/>
      <c r="OT31" s="82"/>
      <c r="OU31" s="82"/>
      <c r="OV31" s="82"/>
      <c r="OW31" s="82"/>
      <c r="OX31" s="82"/>
      <c r="OY31" s="82"/>
      <c r="OZ31" s="82"/>
      <c r="PA31" s="82"/>
      <c r="PB31" s="82"/>
      <c r="PC31" s="82"/>
      <c r="PD31" s="82"/>
      <c r="PE31" s="82"/>
      <c r="PF31" s="82"/>
      <c r="PG31" s="82"/>
      <c r="PH31" s="82"/>
    </row>
    <row r="32">
      <c r="B32" s="429"/>
      <c r="C32" s="404"/>
      <c r="D32" s="46"/>
      <c r="E32" s="46"/>
      <c r="F32" s="418"/>
      <c r="G32" s="135"/>
      <c r="H32" s="135"/>
      <c r="I32" s="48"/>
      <c r="EP32" s="220"/>
      <c r="EQ32" s="18"/>
      <c r="ER32" s="18"/>
      <c r="ES32" s="18"/>
      <c r="ET32" s="18"/>
      <c r="EU32" s="80"/>
      <c r="EV32" s="18"/>
      <c r="EW32" s="18"/>
      <c r="EX32" s="18"/>
      <c r="EY32" s="18"/>
      <c r="EZ32" s="18"/>
      <c r="FA32" s="18"/>
      <c r="FB32" s="18"/>
      <c r="FC32" s="18"/>
      <c r="FD32" s="18"/>
      <c r="FE32" s="18"/>
      <c r="FF32" s="18"/>
      <c r="FG32" s="18"/>
      <c r="FH32" s="18"/>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8"/>
      <c r="GN32" s="18"/>
      <c r="GO32" s="18"/>
      <c r="GP32" s="18"/>
      <c r="GQ32" s="18"/>
      <c r="GR32" s="18"/>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8"/>
      <c r="HX32" s="18"/>
      <c r="HY32" s="18"/>
      <c r="HZ32" s="18"/>
      <c r="IA32" s="18"/>
      <c r="IB32" s="18"/>
      <c r="IC32" s="18"/>
      <c r="ID32" s="18"/>
      <c r="IE32" s="18"/>
      <c r="IF32" s="18"/>
      <c r="IG32" s="18"/>
      <c r="IH32" s="18"/>
      <c r="II32" s="18"/>
      <c r="IJ32" s="18"/>
      <c r="IK32" s="18"/>
      <c r="IL32" s="18"/>
      <c r="IM32" s="18"/>
      <c r="IN32" s="18"/>
      <c r="IO32" s="18"/>
      <c r="IP32" s="18"/>
      <c r="IQ32" s="18"/>
      <c r="IR32" s="18"/>
      <c r="IS32" s="18"/>
      <c r="IT32" s="18"/>
      <c r="IU32" s="18"/>
      <c r="IV32" s="18"/>
      <c r="IW32" s="18"/>
      <c r="IX32" s="18"/>
      <c r="IY32" s="18"/>
      <c r="IZ32" s="18"/>
      <c r="JA32" s="18"/>
      <c r="JB32" s="18"/>
      <c r="JC32" s="18"/>
      <c r="JD32" s="18"/>
      <c r="JE32" s="18"/>
      <c r="JF32" s="18"/>
      <c r="JG32" s="18"/>
      <c r="JH32" s="18"/>
      <c r="JI32" s="18"/>
      <c r="JJ32" s="18"/>
      <c r="JK32" s="18"/>
      <c r="JL32" s="18"/>
      <c r="JM32" s="18"/>
      <c r="JN32" s="18"/>
      <c r="JO32" s="18"/>
      <c r="JP32" s="18"/>
      <c r="JQ32" s="18"/>
      <c r="JR32" s="18"/>
      <c r="JS32" s="18"/>
      <c r="JT32" s="18"/>
      <c r="JU32" s="18"/>
      <c r="JV32" s="18"/>
      <c r="JW32" s="18"/>
      <c r="JX32" s="18"/>
      <c r="JZ32" s="220"/>
      <c r="KA32" s="18"/>
      <c r="KB32" s="20"/>
      <c r="KC32" s="20"/>
      <c r="KD32" s="20"/>
      <c r="KE32" s="82"/>
      <c r="KF32" s="82"/>
      <c r="KG32" s="82"/>
      <c r="KH32" s="82"/>
      <c r="KI32" s="82"/>
      <c r="KJ32" s="82"/>
      <c r="KK32" s="82"/>
      <c r="KL32" s="82"/>
      <c r="KM32" s="82"/>
      <c r="KN32" s="82"/>
      <c r="KO32" s="82"/>
      <c r="KP32" s="82"/>
      <c r="KQ32" s="82"/>
      <c r="KR32" s="82"/>
      <c r="KS32" s="82"/>
      <c r="KT32" s="82"/>
      <c r="KU32" s="82"/>
      <c r="KV32" s="82"/>
      <c r="KW32" s="82"/>
      <c r="KX32" s="82"/>
      <c r="KY32" s="82"/>
      <c r="KZ32" s="82"/>
      <c r="LA32" s="82"/>
      <c r="LB32" s="82"/>
      <c r="LC32" s="82"/>
      <c r="LD32" s="82"/>
      <c r="LE32" s="82"/>
      <c r="LF32" s="82"/>
      <c r="LG32" s="82"/>
      <c r="LH32" s="82"/>
      <c r="LI32" s="82"/>
      <c r="LJ32" s="82"/>
      <c r="LK32" s="82"/>
      <c r="LL32" s="82"/>
      <c r="LM32" s="82"/>
      <c r="LN32" s="82"/>
      <c r="LO32" s="82"/>
      <c r="LP32" s="82"/>
      <c r="LQ32" s="82"/>
      <c r="LR32" s="82"/>
      <c r="LS32" s="82"/>
      <c r="LT32" s="82"/>
      <c r="LU32" s="82"/>
      <c r="LV32" s="82"/>
      <c r="LW32" s="82"/>
      <c r="LX32" s="82"/>
      <c r="LY32" s="82"/>
      <c r="LZ32" s="82"/>
      <c r="MA32" s="82"/>
      <c r="MB32" s="82"/>
      <c r="MC32" s="82"/>
      <c r="MD32" s="82"/>
      <c r="ME32" s="82"/>
      <c r="MF32" s="82"/>
      <c r="MG32" s="82"/>
      <c r="MH32" s="82"/>
      <c r="MI32" s="82"/>
      <c r="MJ32" s="82"/>
      <c r="MK32" s="82"/>
      <c r="ML32" s="82"/>
      <c r="MM32" s="82"/>
      <c r="MN32" s="82"/>
      <c r="MO32" s="82"/>
      <c r="MP32" s="82"/>
      <c r="MQ32" s="82"/>
      <c r="MR32" s="82"/>
      <c r="MS32" s="82"/>
      <c r="MT32" s="82"/>
      <c r="MU32" s="82"/>
      <c r="MV32" s="82"/>
      <c r="MW32" s="82"/>
      <c r="MX32" s="82"/>
      <c r="MY32" s="82"/>
      <c r="MZ32" s="82"/>
      <c r="NA32" s="82"/>
      <c r="NB32" s="82"/>
      <c r="NC32" s="82"/>
      <c r="ND32" s="82"/>
      <c r="NE32" s="82"/>
      <c r="NF32" s="82"/>
      <c r="NG32" s="82"/>
      <c r="NH32" s="82"/>
      <c r="NI32" s="82"/>
      <c r="NJ32" s="82"/>
      <c r="NK32" s="82"/>
      <c r="NL32" s="82"/>
      <c r="NM32" s="82"/>
      <c r="NN32" s="82"/>
      <c r="NO32" s="82"/>
      <c r="NP32" s="82"/>
      <c r="NQ32" s="82"/>
      <c r="NR32" s="82"/>
      <c r="NS32" s="82"/>
      <c r="NT32" s="82"/>
      <c r="NU32" s="82"/>
      <c r="NV32" s="82"/>
      <c r="NW32" s="82"/>
      <c r="NX32" s="82"/>
      <c r="NY32" s="82"/>
      <c r="NZ32" s="82"/>
      <c r="OA32" s="82"/>
      <c r="OB32" s="82"/>
      <c r="OC32" s="82"/>
      <c r="OD32" s="82"/>
      <c r="OE32" s="82"/>
      <c r="OF32" s="82"/>
      <c r="OG32" s="82"/>
      <c r="OH32" s="82"/>
      <c r="OI32" s="82"/>
      <c r="OJ32" s="82"/>
      <c r="OK32" s="82"/>
      <c r="OL32" s="82"/>
      <c r="OM32" s="82"/>
      <c r="ON32" s="82"/>
      <c r="OO32" s="82"/>
      <c r="OP32" s="82"/>
      <c r="OQ32" s="82"/>
      <c r="OR32" s="82"/>
      <c r="OS32" s="82"/>
      <c r="OT32" s="82"/>
      <c r="OU32" s="82"/>
      <c r="OV32" s="82"/>
      <c r="OW32" s="82"/>
      <c r="OX32" s="82"/>
      <c r="OY32" s="82"/>
      <c r="OZ32" s="82"/>
      <c r="PA32" s="82"/>
      <c r="PB32" s="82"/>
      <c r="PC32" s="82"/>
      <c r="PD32" s="82"/>
      <c r="PE32" s="82"/>
      <c r="PF32" s="82"/>
      <c r="PG32" s="82"/>
      <c r="PH32" s="82"/>
    </row>
    <row r="33">
      <c r="B33" s="427"/>
      <c r="C33" s="404"/>
      <c r="D33" s="46"/>
      <c r="E33" s="46"/>
      <c r="F33" s="418"/>
      <c r="G33" s="135"/>
      <c r="H33" s="135"/>
      <c r="I33" s="48"/>
      <c r="EP33" s="220"/>
      <c r="EQ33" s="18"/>
      <c r="ER33" s="18"/>
      <c r="ES33" s="18"/>
      <c r="ET33" s="18"/>
      <c r="EU33" s="80"/>
      <c r="EV33" s="18"/>
      <c r="EW33" s="18"/>
      <c r="EX33" s="18"/>
      <c r="EY33" s="18"/>
      <c r="EZ33" s="18"/>
      <c r="FA33" s="18"/>
      <c r="FB33" s="18"/>
      <c r="FC33" s="18"/>
      <c r="FD33" s="18"/>
      <c r="FE33" s="18"/>
      <c r="FF33" s="18"/>
      <c r="FG33" s="18"/>
      <c r="FH33" s="18"/>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8"/>
      <c r="GN33" s="18"/>
      <c r="GO33" s="18"/>
      <c r="GP33" s="18"/>
      <c r="GQ33" s="18"/>
      <c r="GR33" s="18"/>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8"/>
      <c r="HX33" s="18"/>
      <c r="HY33" s="18"/>
      <c r="HZ33" s="18"/>
      <c r="IA33" s="18"/>
      <c r="IB33" s="18"/>
      <c r="IC33" s="18"/>
      <c r="ID33" s="18"/>
      <c r="IE33" s="18"/>
      <c r="IF33" s="18"/>
      <c r="IG33" s="18"/>
      <c r="IH33" s="18"/>
      <c r="II33" s="18"/>
      <c r="IJ33" s="18"/>
      <c r="IK33" s="18"/>
      <c r="IL33" s="18"/>
      <c r="IM33" s="18"/>
      <c r="IN33" s="18"/>
      <c r="IO33" s="18"/>
      <c r="IP33" s="18"/>
      <c r="IQ33" s="18"/>
      <c r="IR33" s="18"/>
      <c r="IS33" s="18"/>
      <c r="IT33" s="18"/>
      <c r="IU33" s="18"/>
      <c r="IV33" s="18"/>
      <c r="IW33" s="18"/>
      <c r="IX33" s="18"/>
      <c r="IY33" s="18"/>
      <c r="IZ33" s="18"/>
      <c r="JA33" s="18"/>
      <c r="JB33" s="18"/>
      <c r="JC33" s="18"/>
      <c r="JD33" s="18"/>
      <c r="JE33" s="18"/>
      <c r="JF33" s="18"/>
      <c r="JG33" s="18"/>
      <c r="JH33" s="18"/>
      <c r="JI33" s="18"/>
      <c r="JJ33" s="18"/>
      <c r="JK33" s="18"/>
      <c r="JL33" s="18"/>
      <c r="JM33" s="18"/>
      <c r="JN33" s="18"/>
      <c r="JO33" s="18"/>
      <c r="JP33" s="18"/>
      <c r="JQ33" s="18"/>
      <c r="JR33" s="18"/>
      <c r="JS33" s="18"/>
      <c r="JT33" s="18"/>
      <c r="JU33" s="18"/>
      <c r="JV33" s="18"/>
      <c r="JW33" s="18"/>
      <c r="JX33" s="18"/>
      <c r="JZ33" s="220">
        <f t="shared" si="285"/>
        <v>0</v>
      </c>
      <c r="KA33" s="18"/>
      <c r="KB33" s="20"/>
      <c r="KC33" s="20"/>
      <c r="KD33" s="20"/>
      <c r="KE33" s="82"/>
      <c r="KF33" s="82"/>
      <c r="KG33" s="82"/>
      <c r="KH33" s="82"/>
      <c r="KI33" s="82"/>
      <c r="KJ33" s="82"/>
      <c r="KK33" s="82"/>
      <c r="KL33" s="82"/>
      <c r="KM33" s="82"/>
      <c r="KN33" s="82"/>
      <c r="KO33" s="82"/>
      <c r="KP33" s="82"/>
      <c r="KQ33" s="82"/>
      <c r="KR33" s="82"/>
      <c r="KS33" s="82"/>
      <c r="KT33" s="82"/>
      <c r="KU33" s="82"/>
      <c r="KV33" s="82"/>
      <c r="KW33" s="82"/>
      <c r="KX33" s="82"/>
      <c r="KY33" s="82"/>
      <c r="KZ33" s="82"/>
      <c r="LA33" s="82"/>
      <c r="LB33" s="82"/>
      <c r="LC33" s="82"/>
      <c r="LD33" s="82"/>
      <c r="LE33" s="82"/>
      <c r="LF33" s="82"/>
      <c r="LG33" s="82"/>
      <c r="LH33" s="82"/>
      <c r="LI33" s="82"/>
      <c r="LJ33" s="82"/>
      <c r="LK33" s="82"/>
      <c r="LL33" s="82"/>
      <c r="LM33" s="82"/>
      <c r="LN33" s="82"/>
      <c r="LO33" s="82"/>
      <c r="LP33" s="82"/>
      <c r="LQ33" s="82"/>
      <c r="LR33" s="82"/>
      <c r="LS33" s="82"/>
      <c r="LT33" s="82"/>
      <c r="LU33" s="82"/>
      <c r="LV33" s="82"/>
      <c r="LW33" s="82"/>
      <c r="LX33" s="82"/>
      <c r="LY33" s="82"/>
      <c r="LZ33" s="82"/>
      <c r="MA33" s="82"/>
      <c r="MB33" s="82"/>
      <c r="MC33" s="82"/>
      <c r="MD33" s="82"/>
      <c r="ME33" s="82"/>
      <c r="MF33" s="82"/>
      <c r="MG33" s="82"/>
      <c r="MH33" s="82"/>
      <c r="MI33" s="82"/>
      <c r="MJ33" s="82"/>
      <c r="MK33" s="82"/>
      <c r="ML33" s="82"/>
      <c r="MM33" s="82"/>
      <c r="MN33" s="82"/>
      <c r="MO33" s="82"/>
      <c r="MP33" s="82"/>
      <c r="MQ33" s="82"/>
      <c r="MR33" s="82"/>
      <c r="MS33" s="82"/>
      <c r="MT33" s="82"/>
      <c r="MU33" s="82"/>
      <c r="MV33" s="82"/>
      <c r="MW33" s="82"/>
      <c r="MX33" s="82"/>
      <c r="MY33" s="82"/>
      <c r="MZ33" s="82"/>
      <c r="NA33" s="82"/>
      <c r="NB33" s="82"/>
      <c r="NC33" s="82"/>
      <c r="ND33" s="82"/>
      <c r="NE33" s="82"/>
      <c r="NF33" s="82"/>
      <c r="NG33" s="82"/>
      <c r="NH33" s="82"/>
      <c r="NI33" s="82"/>
      <c r="NJ33" s="82"/>
      <c r="NK33" s="82"/>
      <c r="NL33" s="82"/>
      <c r="NM33" s="82"/>
      <c r="NN33" s="82"/>
      <c r="NO33" s="82"/>
      <c r="NP33" s="82"/>
      <c r="NQ33" s="82"/>
      <c r="NR33" s="82"/>
      <c r="NS33" s="82"/>
      <c r="NT33" s="82"/>
      <c r="NU33" s="82"/>
      <c r="NV33" s="82"/>
      <c r="NW33" s="82"/>
      <c r="NX33" s="82"/>
      <c r="NY33" s="82"/>
      <c r="NZ33" s="82"/>
      <c r="OA33" s="82"/>
      <c r="OB33" s="82"/>
      <c r="OC33" s="82"/>
      <c r="OD33" s="82"/>
      <c r="OE33" s="82"/>
      <c r="OF33" s="82"/>
      <c r="OG33" s="82"/>
      <c r="OH33" s="82"/>
      <c r="OI33" s="82"/>
      <c r="OJ33" s="82"/>
      <c r="OK33" s="82"/>
      <c r="OL33" s="82"/>
      <c r="OM33" s="82"/>
      <c r="ON33" s="82"/>
      <c r="OO33" s="82"/>
      <c r="OP33" s="82"/>
      <c r="OQ33" s="82"/>
      <c r="OR33" s="82"/>
      <c r="OS33" s="82"/>
      <c r="OT33" s="82"/>
      <c r="OU33" s="82"/>
      <c r="OV33" s="82"/>
      <c r="OW33" s="82"/>
      <c r="OX33" s="82"/>
      <c r="OY33" s="82"/>
      <c r="OZ33" s="82"/>
      <c r="PA33" s="82"/>
      <c r="PB33" s="82"/>
      <c r="PC33" s="82"/>
      <c r="PD33" s="82"/>
      <c r="PE33" s="82"/>
      <c r="PF33" s="82"/>
      <c r="PG33" s="82"/>
      <c r="PH33" s="82"/>
    </row>
    <row r="34">
      <c r="B34" s="430"/>
      <c r="C34" s="404">
        <v>1</v>
      </c>
      <c r="D34" s="46"/>
      <c r="E34" s="46">
        <v>36</v>
      </c>
      <c r="F34" s="418" t="s">
        <v>143</v>
      </c>
      <c r="G34" s="135" t="n">
        <f>I34/Units_SF_M2</f>
        <v>4372.527134042938</v>
      </c>
      <c r="H34" s="419"/>
      <c r="I34" s="420" t="n">
        <f>PROJECTS!$AP$177*1000000</f>
        <v>342423006.4814815</v>
      </c>
      <c r="K34" s="22" t="str">
        <f>IF(ROUND(SUM(L34:EN34),0)=ROUND(I34,0),"","Incomplete")</f>
      </c>
      <c r="L34" s="421" t="n">
        <f t="shared" ref="L34:U37" si="329">AND(L$23&gt;=$D34,L$23&lt;=$E34)*(OR($F34="Straight-Line",$F34="Detail")*($I34/$ES34)+($F34="S-Curve")*EV34+OR($F34="Steady Growth",$F34="Steady Decline")*KF34)</f>
        <v>316264.6672520946</v>
      </c>
      <c r="M34" s="421">
        <f t="shared" si="329"/>
        <v>500578.93834205926</v>
      </c>
      <c r="N34" s="421">
        <f t="shared" si="329"/>
        <v>771789.33543003432</v>
      </c>
      <c r="O34" s="421">
        <f t="shared" si="329"/>
        <v>1159122.4162277963</v>
      </c>
      <c r="P34" s="421">
        <f t="shared" si="329"/>
        <v>1695759.2465205514</v>
      </c>
      <c r="Q34" s="421">
        <f t="shared" si="329"/>
        <v>2416592.7337272735</v>
      </c>
      <c r="R34" s="421">
        <f t="shared" si="329"/>
        <v>3354649.4321072679</v>
      </c>
      <c r="S34" s="421">
        <f t="shared" si="329"/>
        <v>4536231.8745576469</v>
      </c>
      <c r="T34" s="421">
        <f t="shared" si="329"/>
        <v>5975136.0196234602</v>
      </c>
      <c r="U34" s="421">
        <f t="shared" si="329"/>
        <v>7666635.4136616895</v>
      </c>
      <c r="V34" s="421" t="n">
        <f t="shared" ref="V34:AE37" si="330">AND(V$23&gt;=$D34,V$23&lt;=$E34)*(OR($F34="Straight-Line",$F34="Detail")*($I34/$ES34)+($F34="S-Curve")*FF34+OR($F34="Steady Growth",$F34="Steady Decline")*KP34)</f>
        <v>9582223.725409582</v>
      </c>
      <c r="W34" s="421">
        <f t="shared" si="330"/>
        <v>11666277.367567711</v>
      </c>
      <c r="X34" s="421">
        <f t="shared" si="330"/>
        <v>13835752.900073176</v>
      </c>
      <c r="Y34" s="421">
        <f t="shared" si="330"/>
        <v>15983718.27480286</v>
      </c>
      <c r="Z34" s="421">
        <f t="shared" si="330"/>
        <v>17986943.244136378</v>
      </c>
      <c r="AA34" s="421">
        <f t="shared" si="330"/>
        <v>19717027.820090942</v>
      </c>
      <c r="AB34" s="421">
        <f t="shared" si="330"/>
        <v>21053779.830149196</v>
      </c>
      <c r="AC34" s="421">
        <f t="shared" si="330"/>
        <v>21898947.979261931</v>
      </c>
      <c r="AD34" s="421">
        <f t="shared" si="330"/>
        <v>22188144.043598212</v>
      </c>
      <c r="AE34" s="421">
        <f t="shared" si="330"/>
        <v>21898947.97926195</v>
      </c>
      <c r="AF34" s="421" t="n">
        <f t="shared" ref="AF34:AO37" si="331">AND(AF$23&gt;=$D34,AF$23&lt;=$E34)*(OR($F34="Straight-Line",$F34="Detail")*($I34/$ES34)+($F34="S-Curve")*FP34+OR($F34="Steady Growth",$F34="Steady Decline")*KZ34)</f>
        <v>21053779.83014916</v>
      </c>
      <c r="AG34" s="421">
        <f t="shared" si="331"/>
        <v>19717027.820090979</v>
      </c>
      <c r="AH34" s="421">
        <f t="shared" si="331"/>
        <v>17986943.244136352</v>
      </c>
      <c r="AI34" s="421">
        <f t="shared" si="331"/>
        <v>15983718.27480286</v>
      </c>
      <c r="AJ34" s="421">
        <f t="shared" si="331"/>
        <v>13835752.900073204</v>
      </c>
      <c r="AK34" s="421">
        <f t="shared" si="331"/>
        <v>11666277.367567681</v>
      </c>
      <c r="AL34" s="421">
        <f t="shared" si="331"/>
        <v>9582223.7254095823</v>
      </c>
      <c r="AM34" s="421">
        <f t="shared" si="331"/>
        <v>7666635.4136617137</v>
      </c>
      <c r="AN34" s="421">
        <f t="shared" si="331"/>
        <v>5975136.0196234435</v>
      </c>
      <c r="AO34" s="421">
        <f t="shared" si="331"/>
        <v>4536231.8745576479</v>
      </c>
      <c r="AP34" s="421" t="n">
        <f t="shared" ref="AP34:AY37" si="332">AND(AP$23&gt;=$D34,AP$23&lt;=$E34)*(OR($F34="Straight-Line",$F34="Detail")*($I34/$ES34)+($F34="S-Curve")*FZ34+OR($F34="Steady Growth",$F34="Steady Decline")*LJ34)</f>
        <v>3354649.432107282</v>
      </c>
      <c r="AQ34" s="421">
        <f t="shared" si="332"/>
        <v>2416592.7337272582</v>
      </c>
      <c r="AR34" s="421">
        <f t="shared" si="332"/>
        <v>1695759.2465205572</v>
      </c>
      <c r="AS34" s="421">
        <f t="shared" si="332"/>
        <v>1159122.4162277773</v>
      </c>
      <c r="AT34" s="421">
        <f t="shared" si="332"/>
        <v>771789.33543005667</v>
      </c>
      <c r="AU34" s="421">
        <f t="shared" si="332"/>
        <v>500578.93834204343</v>
      </c>
      <c r="AV34" s="421">
        <f t="shared" si="332"/>
        <v>316264.6672520946</v>
      </c>
      <c r="AW34" s="421">
        <f t="shared" si="332"/>
        <v>0</v>
      </c>
      <c r="AX34" s="421">
        <f t="shared" si="332"/>
        <v>0</v>
      </c>
      <c r="AY34" s="421">
        <f t="shared" si="332"/>
        <v>0</v>
      </c>
      <c r="AZ34" s="421" t="n">
        <f t="shared" ref="AZ34:BI37" si="333">AND(AZ$23&gt;=$D34,AZ$23&lt;=$E34)*(OR($F34="Straight-Line",$F34="Detail")*($I34/$ES34)+($F34="S-Curve")*GJ34+OR($F34="Steady Growth",$F34="Steady Decline")*LT34)</f>
        <v>0</v>
      </c>
      <c r="BA34" s="421">
        <f t="shared" si="333"/>
        <v>0</v>
      </c>
      <c r="BB34" s="421">
        <f t="shared" si="333"/>
        <v>0</v>
      </c>
      <c r="BC34" s="421">
        <f t="shared" si="333"/>
        <v>0</v>
      </c>
      <c r="BD34" s="421">
        <f t="shared" si="333"/>
        <v>0</v>
      </c>
      <c r="BE34" s="421">
        <f t="shared" si="333"/>
        <v>0</v>
      </c>
      <c r="BF34" s="421">
        <f t="shared" si="333"/>
        <v>0</v>
      </c>
      <c r="BG34" s="421">
        <f t="shared" si="333"/>
        <v>0</v>
      </c>
      <c r="BH34" s="421">
        <f t="shared" si="333"/>
        <v>0</v>
      </c>
      <c r="BI34" s="421">
        <f t="shared" si="333"/>
        <v>0</v>
      </c>
      <c r="BJ34" s="421" t="n">
        <f t="shared" ref="BJ34:BS37" si="334">AND(BJ$23&gt;=$D34,BJ$23&lt;=$E34)*(OR($F34="Straight-Line",$F34="Detail")*($I34/$ES34)+($F34="S-Curve")*GT34+OR($F34="Steady Growth",$F34="Steady Decline")*MD34)</f>
        <v>0</v>
      </c>
      <c r="BK34" s="421">
        <f t="shared" si="334"/>
        <v>0</v>
      </c>
      <c r="BL34" s="421">
        <f t="shared" si="334"/>
        <v>0</v>
      </c>
      <c r="BM34" s="421">
        <f t="shared" si="334"/>
        <v>0</v>
      </c>
      <c r="BN34" s="421">
        <f t="shared" si="334"/>
        <v>0</v>
      </c>
      <c r="BO34" s="421">
        <f t="shared" si="334"/>
        <v>0</v>
      </c>
      <c r="BP34" s="421">
        <f t="shared" si="334"/>
        <v>0</v>
      </c>
      <c r="BQ34" s="421">
        <f t="shared" si="334"/>
        <v>0</v>
      </c>
      <c r="BR34" s="421">
        <f t="shared" si="334"/>
        <v>0</v>
      </c>
      <c r="BS34" s="421">
        <f t="shared" si="334"/>
        <v>0</v>
      </c>
      <c r="BT34" s="421" t="n">
        <f t="shared" ref="BT34:CC37" si="335">AND(BT$23&gt;=$D34,BT$23&lt;=$E34)*(OR($F34="Straight-Line",$F34="Detail")*($I34/$ES34)+($F34="S-Curve")*HD34+OR($F34="Steady Growth",$F34="Steady Decline")*MN34)</f>
        <v>0</v>
      </c>
      <c r="BU34" s="421">
        <f t="shared" si="335"/>
        <v>0</v>
      </c>
      <c r="BV34" s="421">
        <f t="shared" si="335"/>
        <v>0</v>
      </c>
      <c r="BW34" s="421">
        <f t="shared" si="335"/>
        <v>0</v>
      </c>
      <c r="BX34" s="421">
        <f t="shared" si="335"/>
        <v>0</v>
      </c>
      <c r="BY34" s="421">
        <f t="shared" si="335"/>
        <v>0</v>
      </c>
      <c r="BZ34" s="421">
        <f t="shared" si="335"/>
        <v>0</v>
      </c>
      <c r="CA34" s="421">
        <f t="shared" si="335"/>
        <v>0</v>
      </c>
      <c r="CB34" s="421">
        <f t="shared" si="335"/>
        <v>0</v>
      </c>
      <c r="CC34" s="421">
        <f t="shared" si="335"/>
        <v>0</v>
      </c>
      <c r="CD34" s="421" t="n">
        <f t="shared" ref="CD34:CM37" si="336">AND(CD$23&gt;=$D34,CD$23&lt;=$E34)*(OR($F34="Straight-Line",$F34="Detail")*($I34/$ES34)+($F34="S-Curve")*HN34+OR($F34="Steady Growth",$F34="Steady Decline")*MX34)</f>
        <v>0</v>
      </c>
      <c r="CE34" s="421">
        <f t="shared" si="336"/>
        <v>0</v>
      </c>
      <c r="CF34" s="421">
        <f t="shared" si="336"/>
        <v>0</v>
      </c>
      <c r="CG34" s="421">
        <f t="shared" si="336"/>
        <v>0</v>
      </c>
      <c r="CH34" s="421">
        <f t="shared" si="336"/>
        <v>0</v>
      </c>
      <c r="CI34" s="421">
        <f t="shared" si="336"/>
        <v>0</v>
      </c>
      <c r="CJ34" s="421">
        <f t="shared" si="336"/>
        <v>0</v>
      </c>
      <c r="CK34" s="421">
        <f t="shared" si="336"/>
        <v>0</v>
      </c>
      <c r="CL34" s="421">
        <f t="shared" si="336"/>
        <v>0</v>
      </c>
      <c r="CM34" s="421">
        <f t="shared" si="336"/>
        <v>0</v>
      </c>
      <c r="CN34" s="421" t="n">
        <f t="shared" ref="CN34:CW37" si="337">AND(CN$23&gt;=$D34,CN$23&lt;=$E34)*(OR($F34="Straight-Line",$F34="Detail")*($I34/$ES34)+($F34="S-Curve")*HX34+OR($F34="Steady Growth",$F34="Steady Decline")*NH34)</f>
        <v>0</v>
      </c>
      <c r="CO34" s="421">
        <f t="shared" si="337"/>
        <v>0</v>
      </c>
      <c r="CP34" s="421">
        <f t="shared" si="337"/>
        <v>0</v>
      </c>
      <c r="CQ34" s="421">
        <f t="shared" si="337"/>
        <v>0</v>
      </c>
      <c r="CR34" s="421">
        <f t="shared" si="337"/>
        <v>0</v>
      </c>
      <c r="CS34" s="421">
        <f t="shared" si="337"/>
        <v>0</v>
      </c>
      <c r="CT34" s="421">
        <f t="shared" si="337"/>
        <v>0</v>
      </c>
      <c r="CU34" s="421">
        <f t="shared" si="337"/>
        <v>0</v>
      </c>
      <c r="CV34" s="421">
        <f t="shared" si="337"/>
        <v>0</v>
      </c>
      <c r="CW34" s="421">
        <f t="shared" si="337"/>
        <v>0</v>
      </c>
      <c r="CX34" s="421" t="n">
        <f t="shared" ref="CX34:DG37" si="338">AND(CX$23&gt;=$D34,CX$23&lt;=$E34)*(OR($F34="Straight-Line",$F34="Detail")*($I34/$ES34)+($F34="S-Curve")*IH34+OR($F34="Steady Growth",$F34="Steady Decline")*NR34)</f>
        <v>0</v>
      </c>
      <c r="CY34" s="421">
        <f t="shared" si="338"/>
        <v>0</v>
      </c>
      <c r="CZ34" s="421">
        <f t="shared" si="338"/>
        <v>0</v>
      </c>
      <c r="DA34" s="421">
        <f t="shared" si="338"/>
        <v>0</v>
      </c>
      <c r="DB34" s="421">
        <f t="shared" si="338"/>
        <v>0</v>
      </c>
      <c r="DC34" s="421">
        <f t="shared" si="338"/>
        <v>0</v>
      </c>
      <c r="DD34" s="421">
        <f t="shared" si="338"/>
        <v>0</v>
      </c>
      <c r="DE34" s="421">
        <f t="shared" si="338"/>
        <v>0</v>
      </c>
      <c r="DF34" s="421">
        <f t="shared" si="338"/>
        <v>0</v>
      </c>
      <c r="DG34" s="421">
        <f t="shared" si="338"/>
        <v>0</v>
      </c>
      <c r="DH34" s="421" t="n">
        <f t="shared" ref="DH34:DQ37" si="339">AND(DH$23&gt;=$D34,DH$23&lt;=$E34)*(OR($F34="Straight-Line",$F34="Detail")*($I34/$ES34)+($F34="S-Curve")*IR34+OR($F34="Steady Growth",$F34="Steady Decline")*OB34)</f>
        <v>0</v>
      </c>
      <c r="DI34" s="421">
        <f t="shared" si="339"/>
        <v>0</v>
      </c>
      <c r="DJ34" s="421">
        <f t="shared" si="339"/>
        <v>0</v>
      </c>
      <c r="DK34" s="421">
        <f t="shared" si="339"/>
        <v>0</v>
      </c>
      <c r="DL34" s="421">
        <f t="shared" si="339"/>
        <v>0</v>
      </c>
      <c r="DM34" s="421">
        <f t="shared" si="339"/>
        <v>0</v>
      </c>
      <c r="DN34" s="421">
        <f t="shared" si="339"/>
        <v>0</v>
      </c>
      <c r="DO34" s="421">
        <f t="shared" si="339"/>
        <v>0</v>
      </c>
      <c r="DP34" s="421">
        <f t="shared" si="339"/>
        <v>0</v>
      </c>
      <c r="DQ34" s="421">
        <f t="shared" si="339"/>
        <v>0</v>
      </c>
      <c r="DR34" s="421" t="n">
        <f t="shared" ref="DR34:EA37" si="340">AND(DR$23&gt;=$D34,DR$23&lt;=$E34)*(OR($F34="Straight-Line",$F34="Detail")*($I34/$ES34)+($F34="S-Curve")*JB34+OR($F34="Steady Growth",$F34="Steady Decline")*OL34)</f>
        <v>0</v>
      </c>
      <c r="DS34" s="421">
        <f t="shared" si="340"/>
        <v>0</v>
      </c>
      <c r="DT34" s="421">
        <f t="shared" si="340"/>
        <v>0</v>
      </c>
      <c r="DU34" s="421">
        <f t="shared" si="340"/>
        <v>0</v>
      </c>
      <c r="DV34" s="421">
        <f t="shared" si="340"/>
        <v>0</v>
      </c>
      <c r="DW34" s="421">
        <f t="shared" si="340"/>
        <v>0</v>
      </c>
      <c r="DX34" s="421">
        <f t="shared" si="340"/>
        <v>0</v>
      </c>
      <c r="DY34" s="421">
        <f t="shared" si="340"/>
        <v>0</v>
      </c>
      <c r="DZ34" s="421">
        <f t="shared" si="340"/>
        <v>0</v>
      </c>
      <c r="EA34" s="421">
        <f t="shared" si="340"/>
        <v>0</v>
      </c>
      <c r="EB34" s="421" t="n">
        <f t="shared" ref="EB34:EK37" si="341">AND(EB$23&gt;=$D34,EB$23&lt;=$E34)*(OR($F34="Straight-Line",$F34="Detail")*($I34/$ES34)+($F34="S-Curve")*JL34+OR($F34="Steady Growth",$F34="Steady Decline")*OV34)</f>
        <v>0</v>
      </c>
      <c r="EC34" s="421">
        <f t="shared" si="341"/>
        <v>0</v>
      </c>
      <c r="ED34" s="421">
        <f t="shared" si="341"/>
        <v>0</v>
      </c>
      <c r="EE34" s="421">
        <f t="shared" si="341"/>
        <v>0</v>
      </c>
      <c r="EF34" s="421">
        <f t="shared" si="341"/>
        <v>0</v>
      </c>
      <c r="EG34" s="421">
        <f t="shared" si="341"/>
        <v>0</v>
      </c>
      <c r="EH34" s="421">
        <f t="shared" si="341"/>
        <v>0</v>
      </c>
      <c r="EI34" s="421">
        <f t="shared" si="341"/>
        <v>0</v>
      </c>
      <c r="EJ34" s="421">
        <f t="shared" si="341"/>
        <v>0</v>
      </c>
      <c r="EK34" s="421">
        <f t="shared" si="341"/>
        <v>0</v>
      </c>
      <c r="EL34" s="421" t="n">
        <f t="shared" ref="EL34:EN37" si="342">AND(EL$23&gt;=$D34,EL$23&lt;=$E34)*(OR($F34="Straight-Line",$F34="Detail")*($I34/$ES34)+($F34="S-Curve")*JV34+OR($F34="Steady Growth",$F34="Steady Decline")*PF34)</f>
        <v>0</v>
      </c>
      <c r="EM34" s="421">
        <f t="shared" si="342"/>
        <v>0</v>
      </c>
      <c r="EN34" s="421">
        <f t="shared" si="342"/>
        <v>0</v>
      </c>
      <c r="EP34" s="221" t="n">
        <f>I34</f>
        <v>342423006.4814815</v>
      </c>
      <c r="EQ34" s="202" t="n">
        <f>INDEX($L$24:$EN$24,1,$D34+1)</f>
        <v>46203</v>
      </c>
      <c r="ER34" s="202" t="n">
        <f>INDEX($L$24:$EN$24,1,$E34+1)</f>
        <v>47299</v>
      </c>
      <c r="ES34" s="20" t="n">
        <f>+E34-D34+1</f>
        <v>37</v>
      </c>
      <c r="ET34" s="18" t="str">
        <f>F34</f>
        <v>S-Curve</v>
      </c>
      <c r="EU34" s="80" t="n">
        <f>ES34/Scurve_Dist</f>
        <v>6.166666666666667</v>
      </c>
      <c r="EV34" s="20" t="n">
        <f t="shared" ref="EV34:FK37" si="343">AND($ET34="S-Curve",EV$24&gt;=$EQ34,EV$24&lt;=$ER34)*(_xlfn.NORM.DIST((YEAR(EV$24)-YEAR($EQ34))*12+MONTH(EV$24)-MONTH($EQ34)+1,$ES34/2,$EU34,TRUE)-_xlfn.NORM.DIST((YEAR(EV$24)-YEAR($EQ34))*12+MONTH(EV$24)-MONTH($EQ34),$ES34/2,$EU34,TRUE))/(1-2*_xlfn.NORM.DIST(0,$ES34/2,$EU34,TRUE))*$EP34</f>
        <v>316264.6672520946</v>
      </c>
      <c r="EW34" s="20">
        <f t="shared" si="343"/>
        <v>500578.93834205926</v>
      </c>
      <c r="EX34" s="20">
        <f t="shared" si="343"/>
        <v>771789.33543003432</v>
      </c>
      <c r="EY34" s="20">
        <f t="shared" si="343"/>
        <v>1159122.4162277963</v>
      </c>
      <c r="EZ34" s="20">
        <f t="shared" si="343"/>
        <v>1695759.2465205514</v>
      </c>
      <c r="FA34" s="20">
        <f t="shared" si="343"/>
        <v>2416592.7337272735</v>
      </c>
      <c r="FB34" s="20">
        <f t="shared" si="343"/>
        <v>3354649.4321072679</v>
      </c>
      <c r="FC34" s="20">
        <f t="shared" si="343"/>
        <v>4536231.8745576469</v>
      </c>
      <c r="FD34" s="20">
        <f t="shared" si="343"/>
        <v>5975136.0196234602</v>
      </c>
      <c r="FE34" s="20">
        <f t="shared" si="343"/>
        <v>7666635.4136616895</v>
      </c>
      <c r="FF34" s="20">
        <f t="shared" si="343"/>
        <v>9582223.7254095823</v>
      </c>
      <c r="FG34" s="20">
        <f t="shared" si="343"/>
        <v>11666277.367567711</v>
      </c>
      <c r="FH34" s="20">
        <f t="shared" si="343"/>
        <v>13835752.900073176</v>
      </c>
      <c r="FI34" s="20">
        <f t="shared" si="343"/>
        <v>15983718.27480286</v>
      </c>
      <c r="FJ34" s="20">
        <f t="shared" si="343"/>
        <v>17986943.244136378</v>
      </c>
      <c r="FK34" s="20">
        <f t="shared" si="343"/>
        <v>19717027.820090942</v>
      </c>
      <c r="FL34" s="20" t="n">
        <f t="shared" ref="FL34:GA37" si="344">AND($ET34="S-Curve",FL$24&gt;=$EQ34,FL$24&lt;=$ER34)*(_xlfn.NORM.DIST((YEAR(FL$24)-YEAR($EQ34))*12+MONTH(FL$24)-MONTH($EQ34)+1,$ES34/2,$EU34,TRUE)-_xlfn.NORM.DIST((YEAR(FL$24)-YEAR($EQ34))*12+MONTH(FL$24)-MONTH($EQ34),$ES34/2,$EU34,TRUE))/(1-2*_xlfn.NORM.DIST(0,$ES34/2,$EU34,TRUE))*$EP34</f>
        <v>21053779.830149177</v>
      </c>
      <c r="FM34" s="20">
        <f t="shared" si="344"/>
        <v>21898947.979261931</v>
      </c>
      <c r="FN34" s="20">
        <f t="shared" si="344"/>
        <v>22188144.043598212</v>
      </c>
      <c r="FO34" s="20">
        <f t="shared" si="344"/>
        <v>21898947.97926195</v>
      </c>
      <c r="FP34" s="20">
        <f t="shared" si="344"/>
        <v>21053779.830149159</v>
      </c>
      <c r="FQ34" s="20">
        <f t="shared" si="344"/>
        <v>19717027.820090979</v>
      </c>
      <c r="FR34" s="20">
        <f t="shared" si="344"/>
        <v>17986943.244136352</v>
      </c>
      <c r="FS34" s="20">
        <f t="shared" si="344"/>
        <v>15983718.27480286</v>
      </c>
      <c r="FT34" s="20">
        <f t="shared" si="344"/>
        <v>13835752.900073204</v>
      </c>
      <c r="FU34" s="20">
        <f t="shared" si="344"/>
        <v>11666277.367567681</v>
      </c>
      <c r="FV34" s="20">
        <f t="shared" si="344"/>
        <v>9582223.7254095823</v>
      </c>
      <c r="FW34" s="20">
        <f t="shared" si="344"/>
        <v>7666635.4136617137</v>
      </c>
      <c r="FX34" s="20">
        <f t="shared" si="344"/>
        <v>5975136.0196234435</v>
      </c>
      <c r="FY34" s="20">
        <f t="shared" si="344"/>
        <v>4536231.8745576479</v>
      </c>
      <c r="FZ34" s="20">
        <f t="shared" si="344"/>
        <v>3354649.4321072819</v>
      </c>
      <c r="GA34" s="20">
        <f t="shared" si="344"/>
        <v>2416592.7337272582</v>
      </c>
      <c r="GB34" s="20" t="n">
        <f t="shared" ref="GB34:GQ37" si="345">AND($ET34="S-Curve",GB$24&gt;=$EQ34,GB$24&lt;=$ER34)*(_xlfn.NORM.DIST((YEAR(GB$24)-YEAR($EQ34))*12+MONTH(GB$24)-MONTH($EQ34)+1,$ES34/2,$EU34,TRUE)-_xlfn.NORM.DIST((YEAR(GB$24)-YEAR($EQ34))*12+MONTH(GB$24)-MONTH($EQ34),$ES34/2,$EU34,TRUE))/(1-2*_xlfn.NORM.DIST(0,$ES34/2,$EU34,TRUE))*$EP34</f>
        <v>1695759.2465205572</v>
      </c>
      <c r="GC34" s="20">
        <f t="shared" si="345"/>
        <v>1159122.4162277773</v>
      </c>
      <c r="GD34" s="20">
        <f t="shared" si="345"/>
        <v>771789.33543005667</v>
      </c>
      <c r="GE34" s="20">
        <f t="shared" si="345"/>
        <v>500578.93834204343</v>
      </c>
      <c r="GF34" s="20">
        <f t="shared" si="345"/>
        <v>316264.6672520946</v>
      </c>
      <c r="GG34" s="20">
        <f t="shared" si="345"/>
        <v>0</v>
      </c>
      <c r="GH34" s="20">
        <f t="shared" si="345"/>
        <v>0</v>
      </c>
      <c r="GI34" s="20">
        <f t="shared" si="345"/>
        <v>0</v>
      </c>
      <c r="GJ34" s="20">
        <f t="shared" si="345"/>
        <v>0</v>
      </c>
      <c r="GK34" s="20">
        <f t="shared" si="345"/>
        <v>0</v>
      </c>
      <c r="GL34" s="20">
        <f t="shared" si="345"/>
        <v>0</v>
      </c>
      <c r="GM34" s="20">
        <f t="shared" si="345"/>
        <v>0</v>
      </c>
      <c r="GN34" s="20">
        <f t="shared" si="345"/>
        <v>0</v>
      </c>
      <c r="GO34" s="20">
        <f t="shared" si="345"/>
        <v>0</v>
      </c>
      <c r="GP34" s="20">
        <f t="shared" si="345"/>
        <v>0</v>
      </c>
      <c r="GQ34" s="20">
        <f t="shared" si="345"/>
        <v>0</v>
      </c>
      <c r="GR34" s="20" t="n">
        <f t="shared" ref="GR34:HG37" si="346">AND($ET34="S-Curve",GR$24&gt;=$EQ34,GR$24&lt;=$ER34)*(_xlfn.NORM.DIST((YEAR(GR$24)-YEAR($EQ34))*12+MONTH(GR$24)-MONTH($EQ34)+1,$ES34/2,$EU34,TRUE)-_xlfn.NORM.DIST((YEAR(GR$24)-YEAR($EQ34))*12+MONTH(GR$24)-MONTH($EQ34),$ES34/2,$EU34,TRUE))/(1-2*_xlfn.NORM.DIST(0,$ES34/2,$EU34,TRUE))*$EP34</f>
        <v>0</v>
      </c>
      <c r="GS34" s="20">
        <f t="shared" si="346"/>
        <v>0</v>
      </c>
      <c r="GT34" s="20">
        <f t="shared" si="346"/>
        <v>0</v>
      </c>
      <c r="GU34" s="20">
        <f t="shared" si="346"/>
        <v>0</v>
      </c>
      <c r="GV34" s="20">
        <f t="shared" si="346"/>
        <v>0</v>
      </c>
      <c r="GW34" s="20">
        <f t="shared" si="346"/>
        <v>0</v>
      </c>
      <c r="GX34" s="20">
        <f t="shared" si="346"/>
        <v>0</v>
      </c>
      <c r="GY34" s="20">
        <f t="shared" si="346"/>
        <v>0</v>
      </c>
      <c r="GZ34" s="20">
        <f t="shared" si="346"/>
        <v>0</v>
      </c>
      <c r="HA34" s="20">
        <f t="shared" si="346"/>
        <v>0</v>
      </c>
      <c r="HB34" s="20">
        <f t="shared" si="346"/>
        <v>0</v>
      </c>
      <c r="HC34" s="20">
        <f t="shared" si="346"/>
        <v>0</v>
      </c>
      <c r="HD34" s="20">
        <f t="shared" si="346"/>
        <v>0</v>
      </c>
      <c r="HE34" s="20">
        <f t="shared" si="346"/>
        <v>0</v>
      </c>
      <c r="HF34" s="20">
        <f t="shared" si="346"/>
        <v>0</v>
      </c>
      <c r="HG34" s="20">
        <f t="shared" si="346"/>
        <v>0</v>
      </c>
      <c r="HH34" s="20" t="n">
        <f t="shared" ref="HH34:HW37" si="347">AND($ET34="S-Curve",HH$24&gt;=$EQ34,HH$24&lt;=$ER34)*(_xlfn.NORM.DIST((YEAR(HH$24)-YEAR($EQ34))*12+MONTH(HH$24)-MONTH($EQ34)+1,$ES34/2,$EU34,TRUE)-_xlfn.NORM.DIST((YEAR(HH$24)-YEAR($EQ34))*12+MONTH(HH$24)-MONTH($EQ34),$ES34/2,$EU34,TRUE))/(1-2*_xlfn.NORM.DIST(0,$ES34/2,$EU34,TRUE))*$EP34</f>
        <v>0</v>
      </c>
      <c r="HI34" s="20">
        <f t="shared" si="347"/>
        <v>0</v>
      </c>
      <c r="HJ34" s="20">
        <f t="shared" si="347"/>
        <v>0</v>
      </c>
      <c r="HK34" s="20">
        <f t="shared" si="347"/>
        <v>0</v>
      </c>
      <c r="HL34" s="20">
        <f t="shared" si="347"/>
        <v>0</v>
      </c>
      <c r="HM34" s="20">
        <f t="shared" si="347"/>
        <v>0</v>
      </c>
      <c r="HN34" s="20">
        <f t="shared" si="347"/>
        <v>0</v>
      </c>
      <c r="HO34" s="20">
        <f t="shared" si="347"/>
        <v>0</v>
      </c>
      <c r="HP34" s="20">
        <f t="shared" si="347"/>
        <v>0</v>
      </c>
      <c r="HQ34" s="20">
        <f t="shared" si="347"/>
        <v>0</v>
      </c>
      <c r="HR34" s="20">
        <f t="shared" si="347"/>
        <v>0</v>
      </c>
      <c r="HS34" s="20">
        <f t="shared" si="347"/>
        <v>0</v>
      </c>
      <c r="HT34" s="20">
        <f t="shared" si="347"/>
        <v>0</v>
      </c>
      <c r="HU34" s="20">
        <f t="shared" si="347"/>
        <v>0</v>
      </c>
      <c r="HV34" s="20">
        <f t="shared" si="347"/>
        <v>0</v>
      </c>
      <c r="HW34" s="20">
        <f t="shared" si="347"/>
        <v>0</v>
      </c>
      <c r="HX34" s="20" t="n">
        <f t="shared" ref="HX34:IM37" si="348">AND($ET34="S-Curve",HX$24&gt;=$EQ34,HX$24&lt;=$ER34)*(_xlfn.NORM.DIST((YEAR(HX$24)-YEAR($EQ34))*12+MONTH(HX$24)-MONTH($EQ34)+1,$ES34/2,$EU34,TRUE)-_xlfn.NORM.DIST((YEAR(HX$24)-YEAR($EQ34))*12+MONTH(HX$24)-MONTH($EQ34),$ES34/2,$EU34,TRUE))/(1-2*_xlfn.NORM.DIST(0,$ES34/2,$EU34,TRUE))*$EP34</f>
        <v>0</v>
      </c>
      <c r="HY34" s="20">
        <f t="shared" si="348"/>
        <v>0</v>
      </c>
      <c r="HZ34" s="20">
        <f t="shared" si="348"/>
        <v>0</v>
      </c>
      <c r="IA34" s="20">
        <f t="shared" si="348"/>
        <v>0</v>
      </c>
      <c r="IB34" s="20">
        <f t="shared" si="348"/>
        <v>0</v>
      </c>
      <c r="IC34" s="20">
        <f t="shared" si="348"/>
        <v>0</v>
      </c>
      <c r="ID34" s="20">
        <f t="shared" si="348"/>
        <v>0</v>
      </c>
      <c r="IE34" s="20">
        <f t="shared" si="348"/>
        <v>0</v>
      </c>
      <c r="IF34" s="20">
        <f t="shared" si="348"/>
        <v>0</v>
      </c>
      <c r="IG34" s="20">
        <f t="shared" si="348"/>
        <v>0</v>
      </c>
      <c r="IH34" s="20">
        <f t="shared" si="348"/>
        <v>0</v>
      </c>
      <c r="II34" s="20">
        <f t="shared" si="348"/>
        <v>0</v>
      </c>
      <c r="IJ34" s="20">
        <f t="shared" si="348"/>
        <v>0</v>
      </c>
      <c r="IK34" s="20">
        <f t="shared" si="348"/>
        <v>0</v>
      </c>
      <c r="IL34" s="20">
        <f t="shared" si="348"/>
        <v>0</v>
      </c>
      <c r="IM34" s="20">
        <f t="shared" si="348"/>
        <v>0</v>
      </c>
      <c r="IN34" s="20" t="n">
        <f t="shared" ref="IN34:JC37" si="349">AND($ET34="S-Curve",IN$24&gt;=$EQ34,IN$24&lt;=$ER34)*(_xlfn.NORM.DIST((YEAR(IN$24)-YEAR($EQ34))*12+MONTH(IN$24)-MONTH($EQ34)+1,$ES34/2,$EU34,TRUE)-_xlfn.NORM.DIST((YEAR(IN$24)-YEAR($EQ34))*12+MONTH(IN$24)-MONTH($EQ34),$ES34/2,$EU34,TRUE))/(1-2*_xlfn.NORM.DIST(0,$ES34/2,$EU34,TRUE))*$EP34</f>
        <v>0</v>
      </c>
      <c r="IO34" s="20">
        <f t="shared" si="349"/>
        <v>0</v>
      </c>
      <c r="IP34" s="20">
        <f t="shared" si="349"/>
        <v>0</v>
      </c>
      <c r="IQ34" s="20">
        <f t="shared" si="349"/>
        <v>0</v>
      </c>
      <c r="IR34" s="20">
        <f t="shared" si="349"/>
        <v>0</v>
      </c>
      <c r="IS34" s="20">
        <f t="shared" si="349"/>
        <v>0</v>
      </c>
      <c r="IT34" s="20">
        <f t="shared" si="349"/>
        <v>0</v>
      </c>
      <c r="IU34" s="20">
        <f t="shared" si="349"/>
        <v>0</v>
      </c>
      <c r="IV34" s="20">
        <f t="shared" si="349"/>
        <v>0</v>
      </c>
      <c r="IW34" s="20">
        <f t="shared" si="349"/>
        <v>0</v>
      </c>
      <c r="IX34" s="20">
        <f t="shared" si="349"/>
        <v>0</v>
      </c>
      <c r="IY34" s="20">
        <f t="shared" si="349"/>
        <v>0</v>
      </c>
      <c r="IZ34" s="20">
        <f t="shared" si="349"/>
        <v>0</v>
      </c>
      <c r="JA34" s="20">
        <f t="shared" si="349"/>
        <v>0</v>
      </c>
      <c r="JB34" s="20">
        <f t="shared" si="349"/>
        <v>0</v>
      </c>
      <c r="JC34" s="20">
        <f t="shared" si="349"/>
        <v>0</v>
      </c>
      <c r="JD34" s="20" t="n">
        <f t="shared" ref="JD34:JS37" si="350">AND($ET34="S-Curve",JD$24&gt;=$EQ34,JD$24&lt;=$ER34)*(_xlfn.NORM.DIST((YEAR(JD$24)-YEAR($EQ34))*12+MONTH(JD$24)-MONTH($EQ34)+1,$ES34/2,$EU34,TRUE)-_xlfn.NORM.DIST((YEAR(JD$24)-YEAR($EQ34))*12+MONTH(JD$24)-MONTH($EQ34),$ES34/2,$EU34,TRUE))/(1-2*_xlfn.NORM.DIST(0,$ES34/2,$EU34,TRUE))*$EP34</f>
        <v>0</v>
      </c>
      <c r="JE34" s="20">
        <f t="shared" si="350"/>
        <v>0</v>
      </c>
      <c r="JF34" s="20">
        <f t="shared" si="350"/>
        <v>0</v>
      </c>
      <c r="JG34" s="20">
        <f t="shared" si="350"/>
        <v>0</v>
      </c>
      <c r="JH34" s="20">
        <f t="shared" si="350"/>
        <v>0</v>
      </c>
      <c r="JI34" s="20">
        <f t="shared" si="350"/>
        <v>0</v>
      </c>
      <c r="JJ34" s="20">
        <f t="shared" si="350"/>
        <v>0</v>
      </c>
      <c r="JK34" s="20">
        <f t="shared" si="350"/>
        <v>0</v>
      </c>
      <c r="JL34" s="20">
        <f t="shared" si="350"/>
        <v>0</v>
      </c>
      <c r="JM34" s="20">
        <f t="shared" si="350"/>
        <v>0</v>
      </c>
      <c r="JN34" s="20">
        <f t="shared" si="350"/>
        <v>0</v>
      </c>
      <c r="JO34" s="20">
        <f t="shared" si="350"/>
        <v>0</v>
      </c>
      <c r="JP34" s="20">
        <f t="shared" si="350"/>
        <v>0</v>
      </c>
      <c r="JQ34" s="20">
        <f t="shared" si="350"/>
        <v>0</v>
      </c>
      <c r="JR34" s="20">
        <f t="shared" si="350"/>
        <v>0</v>
      </c>
      <c r="JS34" s="20">
        <f t="shared" si="350"/>
        <v>0</v>
      </c>
      <c r="JT34" s="20" t="n">
        <f t="shared" ref="JT34:JX37" si="351">AND($ET34="S-Curve",JT$24&gt;=$EQ34,JT$24&lt;=$ER34)*(_xlfn.NORM.DIST((YEAR(JT$24)-YEAR($EQ34))*12+MONTH(JT$24)-MONTH($EQ34)+1,$ES34/2,$EU34,TRUE)-_xlfn.NORM.DIST((YEAR(JT$24)-YEAR($EQ34))*12+MONTH(JT$24)-MONTH($EQ34),$ES34/2,$EU34,TRUE))/(1-2*_xlfn.NORM.DIST(0,$ES34/2,$EU34,TRUE))*$EP34</f>
        <v>0</v>
      </c>
      <c r="JU34" s="20">
        <f t="shared" si="351"/>
        <v>0</v>
      </c>
      <c r="JV34" s="20">
        <f t="shared" si="351"/>
        <v>0</v>
      </c>
      <c r="JW34" s="20">
        <f t="shared" si="351"/>
        <v>0</v>
      </c>
      <c r="JX34" s="20">
        <f t="shared" si="351"/>
        <v>0</v>
      </c>
      <c r="JZ34" s="221">
        <f t="shared" si="285"/>
        <v>0</v>
      </c>
      <c r="KA34" s="202"/>
      <c r="KB34" s="20" t="n">
        <f t="shared" ref="KB34:KB37" si="352">D34</f>
        <v>0</v>
      </c>
      <c r="KC34" s="20" t="n">
        <f t="shared" ref="KC34:KC37" si="353">E34</f>
        <v>36</v>
      </c>
      <c r="KD34" s="20" t="n">
        <f t="shared" ref="KD34:KD37" si="354">KC34-KB34+1</f>
        <v>37</v>
      </c>
      <c r="KE34" s="422" t="n">
        <f t="shared" ref="KE34:KE37" si="355">I34</f>
        <v>342423006.4814815</v>
      </c>
      <c r="KF34" s="422" t="n">
        <f>AND(KF$23&gt;=$KB34,KF$23&lt;=$KC34)*(IF($F34="Steady Growth",KF$23-$KB34,$KC34-KF$23)+1)/($KD34*($KD34+1)/2)*$KE34</f>
        <v>18022263.49902534</v>
      </c>
      <c r="KG34" s="422" t="n">
        <f t="shared" ref="KG34:MR37" si="356">AND(KG$23&gt;=$KB34,KG$23&lt;=$KC34)*(IF($F34="Steady Growth",KG$23-$KB34,$KC34-KG$23)+1)/($KD34*($KD34+1)/2)*$KE34</f>
        <v>17535175.29634898</v>
      </c>
      <c r="KH34" s="422">
        <f t="shared" si="356"/>
        <v>17048087.093672622</v>
      </c>
      <c r="KI34" s="422">
        <f t="shared" si="356"/>
        <v>16560998.890996261</v>
      </c>
      <c r="KJ34" s="422">
        <f t="shared" si="356"/>
        <v>16073910.688319899</v>
      </c>
      <c r="KK34" s="422">
        <f t="shared" si="356"/>
        <v>15586822.48564354</v>
      </c>
      <c r="KL34" s="422">
        <f t="shared" si="356"/>
        <v>15099734.28296718</v>
      </c>
      <c r="KM34" s="422">
        <f t="shared" si="356"/>
        <v>14612646.080290817</v>
      </c>
      <c r="KN34" s="422">
        <f t="shared" si="356"/>
        <v>14125557.877614457</v>
      </c>
      <c r="KO34" s="422">
        <f t="shared" si="356"/>
        <v>13638469.674938096</v>
      </c>
      <c r="KP34" s="422">
        <f t="shared" si="356"/>
        <v>13151381.472261736</v>
      </c>
      <c r="KQ34" s="422">
        <f t="shared" si="356"/>
        <v>12664293.269585377</v>
      </c>
      <c r="KR34" s="422">
        <f t="shared" si="356"/>
        <v>12177205.066909015</v>
      </c>
      <c r="KS34" s="422">
        <f t="shared" si="356"/>
        <v>11690116.864232656</v>
      </c>
      <c r="KT34" s="422">
        <f t="shared" si="356"/>
        <v>11203028.661556292</v>
      </c>
      <c r="KU34" s="422">
        <f t="shared" si="356"/>
        <v>10715940.458879933</v>
      </c>
      <c r="KV34" s="422">
        <f t="shared" si="356"/>
        <v>10228852.256203571</v>
      </c>
      <c r="KW34" s="422">
        <f t="shared" si="356"/>
        <v>9741764.0535272118</v>
      </c>
      <c r="KX34" s="422">
        <f t="shared" si="356"/>
        <v>9254675.8508508522</v>
      </c>
      <c r="KY34" s="422">
        <f t="shared" si="356"/>
        <v>8767587.6481744908</v>
      </c>
      <c r="KZ34" s="422">
        <f t="shared" si="356"/>
        <v>8280499.4454981303</v>
      </c>
      <c r="LA34" s="422">
        <f t="shared" si="356"/>
        <v>7793411.2428217698</v>
      </c>
      <c r="LB34" s="422">
        <f t="shared" si="356"/>
        <v>7306323.0401454084</v>
      </c>
      <c r="LC34" s="422">
        <f t="shared" si="356"/>
        <v>6819234.8374690479</v>
      </c>
      <c r="LD34" s="422">
        <f t="shared" si="356"/>
        <v>6332146.6347926883</v>
      </c>
      <c r="LE34" s="422">
        <f t="shared" si="356"/>
        <v>5845058.4321163278</v>
      </c>
      <c r="LF34" s="422">
        <f t="shared" si="356"/>
        <v>5357970.2294399664</v>
      </c>
      <c r="LG34" s="422">
        <f t="shared" si="356"/>
        <v>4870882.0267636059</v>
      </c>
      <c r="LH34" s="422">
        <f t="shared" si="356"/>
        <v>4383793.8240872454</v>
      </c>
      <c r="LI34" s="422">
        <f t="shared" si="356"/>
        <v>3896705.6214108849</v>
      </c>
      <c r="LJ34" s="422">
        <f t="shared" si="356"/>
        <v>3409617.4187345239</v>
      </c>
      <c r="LK34" s="422">
        <f t="shared" si="356"/>
        <v>2922529.2160581639</v>
      </c>
      <c r="LL34" s="422">
        <f t="shared" si="356"/>
        <v>2435441.0133818029</v>
      </c>
      <c r="LM34" s="422">
        <f t="shared" si="356"/>
        <v>1948352.8107054424</v>
      </c>
      <c r="LN34" s="422">
        <f t="shared" si="356"/>
        <v>1461264.608029082</v>
      </c>
      <c r="LO34" s="422">
        <f t="shared" si="356"/>
        <v>974176.40535272122</v>
      </c>
      <c r="LP34" s="422">
        <f t="shared" si="356"/>
        <v>487088.20267636061</v>
      </c>
      <c r="LQ34" s="422">
        <f t="shared" si="356"/>
        <v>0</v>
      </c>
      <c r="LR34" s="422">
        <f t="shared" si="356"/>
        <v>0</v>
      </c>
      <c r="LS34" s="422">
        <f t="shared" si="356"/>
        <v>0</v>
      </c>
      <c r="LT34" s="422">
        <f t="shared" si="356"/>
        <v>0</v>
      </c>
      <c r="LU34" s="422">
        <f t="shared" si="356"/>
        <v>0</v>
      </c>
      <c r="LV34" s="422">
        <f t="shared" si="356"/>
        <v>0</v>
      </c>
      <c r="LW34" s="422">
        <f t="shared" si="356"/>
        <v>0</v>
      </c>
      <c r="LX34" s="422">
        <f t="shared" si="356"/>
        <v>0</v>
      </c>
      <c r="LY34" s="422">
        <f t="shared" si="356"/>
        <v>0</v>
      </c>
      <c r="LZ34" s="422">
        <f t="shared" si="356"/>
        <v>0</v>
      </c>
      <c r="MA34" s="422">
        <f t="shared" si="356"/>
        <v>0</v>
      </c>
      <c r="MB34" s="422">
        <f t="shared" si="356"/>
        <v>0</v>
      </c>
      <c r="MC34" s="422">
        <f t="shared" si="356"/>
        <v>0</v>
      </c>
      <c r="MD34" s="422">
        <f t="shared" si="356"/>
        <v>0</v>
      </c>
      <c r="ME34" s="422">
        <f t="shared" si="356"/>
        <v>0</v>
      </c>
      <c r="MF34" s="422">
        <f t="shared" si="356"/>
        <v>0</v>
      </c>
      <c r="MG34" s="422">
        <f t="shared" si="356"/>
        <v>0</v>
      </c>
      <c r="MH34" s="422">
        <f t="shared" si="356"/>
        <v>0</v>
      </c>
      <c r="MI34" s="422">
        <f t="shared" si="356"/>
        <v>0</v>
      </c>
      <c r="MJ34" s="422">
        <f t="shared" si="356"/>
        <v>0</v>
      </c>
      <c r="MK34" s="422">
        <f t="shared" si="356"/>
        <v>0</v>
      </c>
      <c r="ML34" s="422">
        <f t="shared" si="356"/>
        <v>0</v>
      </c>
      <c r="MM34" s="422">
        <f t="shared" si="356"/>
        <v>0</v>
      </c>
      <c r="MN34" s="422">
        <f t="shared" si="356"/>
        <v>0</v>
      </c>
      <c r="MO34" s="422">
        <f t="shared" si="356"/>
        <v>0</v>
      </c>
      <c r="MP34" s="422">
        <f t="shared" si="356"/>
        <v>0</v>
      </c>
      <c r="MQ34" s="422">
        <f t="shared" si="356"/>
        <v>0</v>
      </c>
      <c r="MR34" s="422">
        <f t="shared" si="356"/>
        <v>0</v>
      </c>
      <c r="MS34" s="422" t="n">
        <f t="shared" ref="MS34:PD37" si="357">AND(MS$23&gt;=$KB34,MS$23&lt;=$KC34)*(IF($F34="Steady Growth",MS$23-$KB34,$KC34-MS$23)+1)/($KD34*($KD34+1)/2)*$KE34</f>
        <v>0</v>
      </c>
      <c r="MT34" s="422">
        <f t="shared" si="357"/>
        <v>0</v>
      </c>
      <c r="MU34" s="422">
        <f t="shared" si="357"/>
        <v>0</v>
      </c>
      <c r="MV34" s="422">
        <f t="shared" si="357"/>
        <v>0</v>
      </c>
      <c r="MW34" s="422">
        <f t="shared" si="357"/>
        <v>0</v>
      </c>
      <c r="MX34" s="422">
        <f t="shared" si="357"/>
        <v>0</v>
      </c>
      <c r="MY34" s="422">
        <f t="shared" si="357"/>
        <v>0</v>
      </c>
      <c r="MZ34" s="422">
        <f t="shared" si="357"/>
        <v>0</v>
      </c>
      <c r="NA34" s="422">
        <f t="shared" si="357"/>
        <v>0</v>
      </c>
      <c r="NB34" s="422">
        <f t="shared" si="357"/>
        <v>0</v>
      </c>
      <c r="NC34" s="422">
        <f t="shared" si="357"/>
        <v>0</v>
      </c>
      <c r="ND34" s="422">
        <f t="shared" si="357"/>
        <v>0</v>
      </c>
      <c r="NE34" s="422">
        <f t="shared" si="357"/>
        <v>0</v>
      </c>
      <c r="NF34" s="422">
        <f t="shared" si="357"/>
        <v>0</v>
      </c>
      <c r="NG34" s="422">
        <f t="shared" si="357"/>
        <v>0</v>
      </c>
      <c r="NH34" s="422">
        <f t="shared" si="357"/>
        <v>0</v>
      </c>
      <c r="NI34" s="422">
        <f t="shared" si="357"/>
        <v>0</v>
      </c>
      <c r="NJ34" s="422">
        <f t="shared" si="357"/>
        <v>0</v>
      </c>
      <c r="NK34" s="422">
        <f t="shared" si="357"/>
        <v>0</v>
      </c>
      <c r="NL34" s="422">
        <f t="shared" si="357"/>
        <v>0</v>
      </c>
      <c r="NM34" s="422">
        <f t="shared" si="357"/>
        <v>0</v>
      </c>
      <c r="NN34" s="422">
        <f t="shared" si="357"/>
        <v>0</v>
      </c>
      <c r="NO34" s="422">
        <f t="shared" si="357"/>
        <v>0</v>
      </c>
      <c r="NP34" s="422">
        <f t="shared" si="357"/>
        <v>0</v>
      </c>
      <c r="NQ34" s="422">
        <f t="shared" si="357"/>
        <v>0</v>
      </c>
      <c r="NR34" s="422">
        <f t="shared" si="357"/>
        <v>0</v>
      </c>
      <c r="NS34" s="422">
        <f t="shared" si="357"/>
        <v>0</v>
      </c>
      <c r="NT34" s="422">
        <f t="shared" si="357"/>
        <v>0</v>
      </c>
      <c r="NU34" s="422">
        <f t="shared" si="357"/>
        <v>0</v>
      </c>
      <c r="NV34" s="422">
        <f t="shared" si="357"/>
        <v>0</v>
      </c>
      <c r="NW34" s="422">
        <f t="shared" si="357"/>
        <v>0</v>
      </c>
      <c r="NX34" s="422">
        <f t="shared" si="357"/>
        <v>0</v>
      </c>
      <c r="NY34" s="422">
        <f t="shared" si="357"/>
        <v>0</v>
      </c>
      <c r="NZ34" s="422">
        <f t="shared" si="357"/>
        <v>0</v>
      </c>
      <c r="OA34" s="422">
        <f t="shared" si="357"/>
        <v>0</v>
      </c>
      <c r="OB34" s="422">
        <f t="shared" si="357"/>
        <v>0</v>
      </c>
      <c r="OC34" s="422">
        <f t="shared" si="357"/>
        <v>0</v>
      </c>
      <c r="OD34" s="422">
        <f t="shared" si="357"/>
        <v>0</v>
      </c>
      <c r="OE34" s="422">
        <f t="shared" si="357"/>
        <v>0</v>
      </c>
      <c r="OF34" s="422">
        <f t="shared" si="357"/>
        <v>0</v>
      </c>
      <c r="OG34" s="422">
        <f t="shared" si="357"/>
        <v>0</v>
      </c>
      <c r="OH34" s="422">
        <f t="shared" si="357"/>
        <v>0</v>
      </c>
      <c r="OI34" s="422">
        <f t="shared" si="357"/>
        <v>0</v>
      </c>
      <c r="OJ34" s="422">
        <f t="shared" si="357"/>
        <v>0</v>
      </c>
      <c r="OK34" s="422">
        <f t="shared" si="357"/>
        <v>0</v>
      </c>
      <c r="OL34" s="422">
        <f t="shared" si="357"/>
        <v>0</v>
      </c>
      <c r="OM34" s="422">
        <f t="shared" si="357"/>
        <v>0</v>
      </c>
      <c r="ON34" s="422">
        <f t="shared" si="357"/>
        <v>0</v>
      </c>
      <c r="OO34" s="422">
        <f t="shared" si="357"/>
        <v>0</v>
      </c>
      <c r="OP34" s="422">
        <f t="shared" si="357"/>
        <v>0</v>
      </c>
      <c r="OQ34" s="422">
        <f t="shared" si="357"/>
        <v>0</v>
      </c>
      <c r="OR34" s="422">
        <f t="shared" si="357"/>
        <v>0</v>
      </c>
      <c r="OS34" s="422">
        <f t="shared" si="357"/>
        <v>0</v>
      </c>
      <c r="OT34" s="422">
        <f t="shared" si="357"/>
        <v>0</v>
      </c>
      <c r="OU34" s="422">
        <f t="shared" si="357"/>
        <v>0</v>
      </c>
      <c r="OV34" s="422">
        <f t="shared" si="357"/>
        <v>0</v>
      </c>
      <c r="OW34" s="422">
        <f t="shared" si="357"/>
        <v>0</v>
      </c>
      <c r="OX34" s="422">
        <f t="shared" si="357"/>
        <v>0</v>
      </c>
      <c r="OY34" s="422">
        <f t="shared" si="357"/>
        <v>0</v>
      </c>
      <c r="OZ34" s="422">
        <f t="shared" si="357"/>
        <v>0</v>
      </c>
      <c r="PA34" s="422">
        <f t="shared" si="357"/>
        <v>0</v>
      </c>
      <c r="PB34" s="422">
        <f t="shared" si="357"/>
        <v>0</v>
      </c>
      <c r="PC34" s="422">
        <f t="shared" si="357"/>
        <v>0</v>
      </c>
      <c r="PD34" s="422">
        <f t="shared" si="357"/>
        <v>0</v>
      </c>
      <c r="PE34" s="422" t="n">
        <f t="shared" ref="PE34:PH37" si="358">AND(PE$23&gt;=$KB34,PE$23&lt;=$KC34)*(IF($F34="Steady Growth",PE$23-$KB34,$KC34-PE$23)+1)/($KD34*($KD34+1)/2)*$KE34</f>
        <v>0</v>
      </c>
      <c r="PF34" s="422">
        <f t="shared" si="358"/>
        <v>0</v>
      </c>
      <c r="PG34" s="422">
        <f t="shared" si="358"/>
        <v>0</v>
      </c>
      <c r="PH34" s="422">
        <f t="shared" si="358"/>
        <v>0</v>
      </c>
    </row>
    <row r="35">
      <c r="B35" s="430" t="s">
        <v>144</v>
      </c>
      <c r="C35" s="404">
        <v>1</v>
      </c>
      <c r="D35" s="46"/>
      <c r="E35" s="46">
        <v>36</v>
      </c>
      <c r="F35" s="418" t="s">
        <v>137</v>
      </c>
      <c r="G35" s="135" t="n">
        <f>I35/Units_SF_M2</f>
        <v>180.2221906676824</v>
      </c>
      <c r="H35" s="419"/>
      <c r="I35" s="420" t="n">
        <f>PROJECTS!$AP$173*1000000</f>
        <v>14113628.68</v>
      </c>
      <c r="K35" s="22" t="str">
        <f>IF(ROUND(SUM(L35:EN35),0)=ROUND(I35,0),"","Incomplete")</f>
      </c>
      <c r="L35" s="421">
        <f t="shared" si="329"/>
        <v>381449.4237837838</v>
      </c>
      <c r="M35" s="421">
        <f t="shared" si="329"/>
        <v>381449.4237837838</v>
      </c>
      <c r="N35" s="421">
        <f t="shared" si="329"/>
        <v>381449.4237837838</v>
      </c>
      <c r="O35" s="421">
        <f t="shared" si="329"/>
        <v>381449.4237837838</v>
      </c>
      <c r="P35" s="421">
        <f t="shared" si="329"/>
        <v>381449.4237837838</v>
      </c>
      <c r="Q35" s="421">
        <f t="shared" si="329"/>
        <v>381449.4237837838</v>
      </c>
      <c r="R35" s="421">
        <f t="shared" si="329"/>
        <v>381449.4237837838</v>
      </c>
      <c r="S35" s="421">
        <f t="shared" si="329"/>
        <v>381449.4237837838</v>
      </c>
      <c r="T35" s="421">
        <f t="shared" si="329"/>
        <v>381449.4237837838</v>
      </c>
      <c r="U35" s="421">
        <f t="shared" si="329"/>
        <v>381449.4237837838</v>
      </c>
      <c r="V35" s="421">
        <f t="shared" si="330"/>
        <v>381449.4237837838</v>
      </c>
      <c r="W35" s="421">
        <f t="shared" si="330"/>
        <v>381449.4237837838</v>
      </c>
      <c r="X35" s="421">
        <f t="shared" si="330"/>
        <v>381449.4237837838</v>
      </c>
      <c r="Y35" s="421">
        <f t="shared" si="330"/>
        <v>381449.4237837838</v>
      </c>
      <c r="Z35" s="421">
        <f t="shared" si="330"/>
        <v>381449.4237837838</v>
      </c>
      <c r="AA35" s="421">
        <f t="shared" si="330"/>
        <v>381449.4237837838</v>
      </c>
      <c r="AB35" s="421">
        <f t="shared" si="330"/>
        <v>381449.4237837838</v>
      </c>
      <c r="AC35" s="421">
        <f t="shared" si="330"/>
        <v>381449.4237837838</v>
      </c>
      <c r="AD35" s="421">
        <f t="shared" si="330"/>
        <v>381449.4237837838</v>
      </c>
      <c r="AE35" s="421">
        <f t="shared" si="330"/>
        <v>381449.4237837838</v>
      </c>
      <c r="AF35" s="421">
        <f t="shared" si="331"/>
        <v>381449.4237837838</v>
      </c>
      <c r="AG35" s="421">
        <f t="shared" si="331"/>
        <v>381449.4237837838</v>
      </c>
      <c r="AH35" s="421">
        <f t="shared" si="331"/>
        <v>381449.4237837838</v>
      </c>
      <c r="AI35" s="421">
        <f t="shared" si="331"/>
        <v>381449.4237837838</v>
      </c>
      <c r="AJ35" s="421">
        <f t="shared" si="331"/>
        <v>381449.4237837838</v>
      </c>
      <c r="AK35" s="421">
        <f t="shared" si="331"/>
        <v>381449.4237837838</v>
      </c>
      <c r="AL35" s="421">
        <f t="shared" si="331"/>
        <v>381449.4237837838</v>
      </c>
      <c r="AM35" s="421">
        <f t="shared" si="331"/>
        <v>381449.4237837838</v>
      </c>
      <c r="AN35" s="421">
        <f t="shared" si="331"/>
        <v>381449.4237837838</v>
      </c>
      <c r="AO35" s="421">
        <f t="shared" si="331"/>
        <v>381449.4237837838</v>
      </c>
      <c r="AP35" s="421">
        <f t="shared" si="332"/>
        <v>381449.4237837838</v>
      </c>
      <c r="AQ35" s="421">
        <f t="shared" si="332"/>
        <v>381449.4237837838</v>
      </c>
      <c r="AR35" s="421">
        <f t="shared" si="332"/>
        <v>381449.4237837838</v>
      </c>
      <c r="AS35" s="421">
        <f t="shared" si="332"/>
        <v>381449.4237837838</v>
      </c>
      <c r="AT35" s="421">
        <f t="shared" si="332"/>
        <v>381449.4237837838</v>
      </c>
      <c r="AU35" s="421">
        <f t="shared" si="332"/>
        <v>381449.4237837838</v>
      </c>
      <c r="AV35" s="421">
        <f t="shared" si="332"/>
        <v>381449.4237837838</v>
      </c>
      <c r="AW35" s="421">
        <f t="shared" si="332"/>
        <v>0</v>
      </c>
      <c r="AX35" s="421">
        <f t="shared" si="332"/>
        <v>0</v>
      </c>
      <c r="AY35" s="421">
        <f t="shared" si="332"/>
        <v>0</v>
      </c>
      <c r="AZ35" s="421">
        <f t="shared" si="333"/>
        <v>0</v>
      </c>
      <c r="BA35" s="421">
        <f t="shared" si="333"/>
        <v>0</v>
      </c>
      <c r="BB35" s="421">
        <f t="shared" si="333"/>
        <v>0</v>
      </c>
      <c r="BC35" s="421">
        <f t="shared" si="333"/>
        <v>0</v>
      </c>
      <c r="BD35" s="421">
        <f t="shared" si="333"/>
        <v>0</v>
      </c>
      <c r="BE35" s="421">
        <f t="shared" si="333"/>
        <v>0</v>
      </c>
      <c r="BF35" s="421">
        <f t="shared" si="333"/>
        <v>0</v>
      </c>
      <c r="BG35" s="421">
        <f t="shared" si="333"/>
        <v>0</v>
      </c>
      <c r="BH35" s="421">
        <f t="shared" si="333"/>
        <v>0</v>
      </c>
      <c r="BI35" s="421">
        <f t="shared" si="333"/>
        <v>0</v>
      </c>
      <c r="BJ35" s="421">
        <f t="shared" si="334"/>
        <v>0</v>
      </c>
      <c r="BK35" s="421">
        <f t="shared" si="334"/>
        <v>0</v>
      </c>
      <c r="BL35" s="421">
        <f t="shared" si="334"/>
        <v>0</v>
      </c>
      <c r="BM35" s="421">
        <f t="shared" si="334"/>
        <v>0</v>
      </c>
      <c r="BN35" s="421">
        <f t="shared" si="334"/>
        <v>0</v>
      </c>
      <c r="BO35" s="421">
        <f t="shared" si="334"/>
        <v>0</v>
      </c>
      <c r="BP35" s="421">
        <f t="shared" si="334"/>
        <v>0</v>
      </c>
      <c r="BQ35" s="421">
        <f t="shared" si="334"/>
        <v>0</v>
      </c>
      <c r="BR35" s="421">
        <f t="shared" si="334"/>
        <v>0</v>
      </c>
      <c r="BS35" s="421">
        <f t="shared" si="334"/>
        <v>0</v>
      </c>
      <c r="BT35" s="421">
        <f t="shared" si="335"/>
        <v>0</v>
      </c>
      <c r="BU35" s="421">
        <f t="shared" si="335"/>
        <v>0</v>
      </c>
      <c r="BV35" s="421">
        <f t="shared" si="335"/>
        <v>0</v>
      </c>
      <c r="BW35" s="421">
        <f t="shared" si="335"/>
        <v>0</v>
      </c>
      <c r="BX35" s="421">
        <f t="shared" si="335"/>
        <v>0</v>
      </c>
      <c r="BY35" s="421">
        <f t="shared" si="335"/>
        <v>0</v>
      </c>
      <c r="BZ35" s="421">
        <f t="shared" si="335"/>
        <v>0</v>
      </c>
      <c r="CA35" s="421">
        <f t="shared" si="335"/>
        <v>0</v>
      </c>
      <c r="CB35" s="421">
        <f t="shared" si="335"/>
        <v>0</v>
      </c>
      <c r="CC35" s="421">
        <f t="shared" si="335"/>
        <v>0</v>
      </c>
      <c r="CD35" s="421">
        <f t="shared" si="336"/>
        <v>0</v>
      </c>
      <c r="CE35" s="421">
        <f t="shared" si="336"/>
        <v>0</v>
      </c>
      <c r="CF35" s="421">
        <f t="shared" si="336"/>
        <v>0</v>
      </c>
      <c r="CG35" s="421">
        <f t="shared" si="336"/>
        <v>0</v>
      </c>
      <c r="CH35" s="421">
        <f t="shared" si="336"/>
        <v>0</v>
      </c>
      <c r="CI35" s="421">
        <f t="shared" si="336"/>
        <v>0</v>
      </c>
      <c r="CJ35" s="421">
        <f t="shared" si="336"/>
        <v>0</v>
      </c>
      <c r="CK35" s="421">
        <f t="shared" si="336"/>
        <v>0</v>
      </c>
      <c r="CL35" s="421">
        <f t="shared" si="336"/>
        <v>0</v>
      </c>
      <c r="CM35" s="421">
        <f t="shared" si="336"/>
        <v>0</v>
      </c>
      <c r="CN35" s="421">
        <f t="shared" si="337"/>
        <v>0</v>
      </c>
      <c r="CO35" s="421">
        <f t="shared" si="337"/>
        <v>0</v>
      </c>
      <c r="CP35" s="421">
        <f t="shared" si="337"/>
        <v>0</v>
      </c>
      <c r="CQ35" s="421">
        <f t="shared" si="337"/>
        <v>0</v>
      </c>
      <c r="CR35" s="421">
        <f t="shared" si="337"/>
        <v>0</v>
      </c>
      <c r="CS35" s="421">
        <f t="shared" si="337"/>
        <v>0</v>
      </c>
      <c r="CT35" s="421">
        <f t="shared" si="337"/>
        <v>0</v>
      </c>
      <c r="CU35" s="421">
        <f t="shared" si="337"/>
        <v>0</v>
      </c>
      <c r="CV35" s="421">
        <f t="shared" si="337"/>
        <v>0</v>
      </c>
      <c r="CW35" s="421">
        <f t="shared" si="337"/>
        <v>0</v>
      </c>
      <c r="CX35" s="421">
        <f t="shared" si="338"/>
        <v>0</v>
      </c>
      <c r="CY35" s="421">
        <f t="shared" si="338"/>
        <v>0</v>
      </c>
      <c r="CZ35" s="421">
        <f t="shared" si="338"/>
        <v>0</v>
      </c>
      <c r="DA35" s="421">
        <f t="shared" si="338"/>
        <v>0</v>
      </c>
      <c r="DB35" s="421">
        <f t="shared" si="338"/>
        <v>0</v>
      </c>
      <c r="DC35" s="421">
        <f t="shared" si="338"/>
        <v>0</v>
      </c>
      <c r="DD35" s="421">
        <f t="shared" si="338"/>
        <v>0</v>
      </c>
      <c r="DE35" s="421">
        <f t="shared" si="338"/>
        <v>0</v>
      </c>
      <c r="DF35" s="421">
        <f t="shared" si="338"/>
        <v>0</v>
      </c>
      <c r="DG35" s="421">
        <f t="shared" si="338"/>
        <v>0</v>
      </c>
      <c r="DH35" s="421">
        <f t="shared" si="339"/>
        <v>0</v>
      </c>
      <c r="DI35" s="421">
        <f t="shared" si="339"/>
        <v>0</v>
      </c>
      <c r="DJ35" s="421">
        <f t="shared" si="339"/>
        <v>0</v>
      </c>
      <c r="DK35" s="421">
        <f t="shared" si="339"/>
        <v>0</v>
      </c>
      <c r="DL35" s="421">
        <f t="shared" si="339"/>
        <v>0</v>
      </c>
      <c r="DM35" s="421">
        <f t="shared" si="339"/>
        <v>0</v>
      </c>
      <c r="DN35" s="421">
        <f t="shared" si="339"/>
        <v>0</v>
      </c>
      <c r="DO35" s="421">
        <f t="shared" si="339"/>
        <v>0</v>
      </c>
      <c r="DP35" s="421">
        <f t="shared" si="339"/>
        <v>0</v>
      </c>
      <c r="DQ35" s="421">
        <f t="shared" si="339"/>
        <v>0</v>
      </c>
      <c r="DR35" s="421">
        <f t="shared" si="340"/>
        <v>0</v>
      </c>
      <c r="DS35" s="421">
        <f t="shared" si="340"/>
        <v>0</v>
      </c>
      <c r="DT35" s="421">
        <f t="shared" si="340"/>
        <v>0</v>
      </c>
      <c r="DU35" s="421">
        <f t="shared" si="340"/>
        <v>0</v>
      </c>
      <c r="DV35" s="421">
        <f t="shared" si="340"/>
        <v>0</v>
      </c>
      <c r="DW35" s="421">
        <f t="shared" si="340"/>
        <v>0</v>
      </c>
      <c r="DX35" s="421">
        <f t="shared" si="340"/>
        <v>0</v>
      </c>
      <c r="DY35" s="421">
        <f t="shared" si="340"/>
        <v>0</v>
      </c>
      <c r="DZ35" s="421">
        <f t="shared" si="340"/>
        <v>0</v>
      </c>
      <c r="EA35" s="421">
        <f t="shared" si="340"/>
        <v>0</v>
      </c>
      <c r="EB35" s="421">
        <f t="shared" si="341"/>
        <v>0</v>
      </c>
      <c r="EC35" s="421">
        <f t="shared" si="341"/>
        <v>0</v>
      </c>
      <c r="ED35" s="421">
        <f t="shared" si="341"/>
        <v>0</v>
      </c>
      <c r="EE35" s="421">
        <f t="shared" si="341"/>
        <v>0</v>
      </c>
      <c r="EF35" s="421">
        <f t="shared" si="341"/>
        <v>0</v>
      </c>
      <c r="EG35" s="421">
        <f t="shared" si="341"/>
        <v>0</v>
      </c>
      <c r="EH35" s="421">
        <f t="shared" si="341"/>
        <v>0</v>
      </c>
      <c r="EI35" s="421">
        <f t="shared" si="341"/>
        <v>0</v>
      </c>
      <c r="EJ35" s="421">
        <f t="shared" si="341"/>
        <v>0</v>
      </c>
      <c r="EK35" s="421">
        <f t="shared" si="341"/>
        <v>0</v>
      </c>
      <c r="EL35" s="421">
        <f t="shared" si="342"/>
        <v>0</v>
      </c>
      <c r="EM35" s="421">
        <f t="shared" si="342"/>
        <v>0</v>
      </c>
      <c r="EN35" s="421">
        <f t="shared" si="342"/>
        <v>0</v>
      </c>
      <c r="EP35" s="221" t="n">
        <f>I35</f>
        <v>14113628.68</v>
      </c>
      <c r="EQ35" s="202" t="n">
        <f>INDEX($L$24:$EN$24,1,$D35+1)</f>
        <v>46203</v>
      </c>
      <c r="ER35" s="202" t="n">
        <f>INDEX($L$24:$EN$24,1,$E35+1)</f>
        <v>47299</v>
      </c>
      <c r="ES35" s="20" t="n">
        <f>+E35-D35+1</f>
        <v>37</v>
      </c>
      <c r="ET35" s="18" t="str">
        <f>F35</f>
        <v>Straight-Line</v>
      </c>
      <c r="EU35" s="80" t="n">
        <f>ES35/Scurve_Dist</f>
        <v>6.166666666666667</v>
      </c>
      <c r="EV35" s="20">
        <f t="shared" si="343"/>
        <v>0</v>
      </c>
      <c r="EW35" s="20">
        <f t="shared" si="343"/>
        <v>0</v>
      </c>
      <c r="EX35" s="20">
        <f t="shared" si="343"/>
        <v>0</v>
      </c>
      <c r="EY35" s="20">
        <f t="shared" si="343"/>
        <v>0</v>
      </c>
      <c r="EZ35" s="20">
        <f t="shared" si="343"/>
        <v>0</v>
      </c>
      <c r="FA35" s="20">
        <f t="shared" si="343"/>
        <v>0</v>
      </c>
      <c r="FB35" s="20">
        <f t="shared" si="343"/>
        <v>0</v>
      </c>
      <c r="FC35" s="20">
        <f t="shared" si="343"/>
        <v>0</v>
      </c>
      <c r="FD35" s="20">
        <f t="shared" si="343"/>
        <v>0</v>
      </c>
      <c r="FE35" s="20">
        <f t="shared" si="343"/>
        <v>0</v>
      </c>
      <c r="FF35" s="20">
        <f t="shared" si="343"/>
        <v>0</v>
      </c>
      <c r="FG35" s="20">
        <f t="shared" si="343"/>
        <v>0</v>
      </c>
      <c r="FH35" s="20">
        <f t="shared" si="343"/>
        <v>0</v>
      </c>
      <c r="FI35" s="20">
        <f t="shared" si="343"/>
        <v>0</v>
      </c>
      <c r="FJ35" s="20">
        <f t="shared" si="343"/>
        <v>0</v>
      </c>
      <c r="FK35" s="20">
        <f t="shared" si="343"/>
        <v>0</v>
      </c>
      <c r="FL35" s="20">
        <f t="shared" si="344"/>
        <v>0</v>
      </c>
      <c r="FM35" s="20">
        <f t="shared" si="344"/>
        <v>0</v>
      </c>
      <c r="FN35" s="20">
        <f t="shared" si="344"/>
        <v>0</v>
      </c>
      <c r="FO35" s="20">
        <f t="shared" si="344"/>
        <v>0</v>
      </c>
      <c r="FP35" s="20">
        <f t="shared" si="344"/>
        <v>0</v>
      </c>
      <c r="FQ35" s="20">
        <f t="shared" si="344"/>
        <v>0</v>
      </c>
      <c r="FR35" s="20">
        <f t="shared" si="344"/>
        <v>0</v>
      </c>
      <c r="FS35" s="20">
        <f t="shared" si="344"/>
        <v>0</v>
      </c>
      <c r="FT35" s="20">
        <f t="shared" si="344"/>
        <v>0</v>
      </c>
      <c r="FU35" s="20">
        <f t="shared" si="344"/>
        <v>0</v>
      </c>
      <c r="FV35" s="20">
        <f t="shared" si="344"/>
        <v>0</v>
      </c>
      <c r="FW35" s="20">
        <f t="shared" si="344"/>
        <v>0</v>
      </c>
      <c r="FX35" s="20">
        <f t="shared" si="344"/>
        <v>0</v>
      </c>
      <c r="FY35" s="20">
        <f t="shared" si="344"/>
        <v>0</v>
      </c>
      <c r="FZ35" s="20">
        <f t="shared" si="344"/>
        <v>0</v>
      </c>
      <c r="GA35" s="20">
        <f t="shared" si="344"/>
        <v>0</v>
      </c>
      <c r="GB35" s="20">
        <f t="shared" si="345"/>
        <v>0</v>
      </c>
      <c r="GC35" s="20">
        <f t="shared" si="345"/>
        <v>0</v>
      </c>
      <c r="GD35" s="20">
        <f t="shared" si="345"/>
        <v>0</v>
      </c>
      <c r="GE35" s="20">
        <f t="shared" si="345"/>
        <v>0</v>
      </c>
      <c r="GF35" s="20">
        <f t="shared" si="345"/>
        <v>0</v>
      </c>
      <c r="GG35" s="20">
        <f t="shared" si="345"/>
        <v>0</v>
      </c>
      <c r="GH35" s="20">
        <f t="shared" si="345"/>
        <v>0</v>
      </c>
      <c r="GI35" s="20">
        <f t="shared" si="345"/>
        <v>0</v>
      </c>
      <c r="GJ35" s="20">
        <f t="shared" si="345"/>
        <v>0</v>
      </c>
      <c r="GK35" s="20">
        <f t="shared" si="345"/>
        <v>0</v>
      </c>
      <c r="GL35" s="20">
        <f t="shared" si="345"/>
        <v>0</v>
      </c>
      <c r="GM35" s="20">
        <f t="shared" si="345"/>
        <v>0</v>
      </c>
      <c r="GN35" s="20">
        <f t="shared" si="345"/>
        <v>0</v>
      </c>
      <c r="GO35" s="20">
        <f t="shared" si="345"/>
        <v>0</v>
      </c>
      <c r="GP35" s="20">
        <f t="shared" si="345"/>
        <v>0</v>
      </c>
      <c r="GQ35" s="20">
        <f t="shared" si="345"/>
        <v>0</v>
      </c>
      <c r="GR35" s="20">
        <f t="shared" si="346"/>
        <v>0</v>
      </c>
      <c r="GS35" s="20">
        <f t="shared" si="346"/>
        <v>0</v>
      </c>
      <c r="GT35" s="20">
        <f t="shared" si="346"/>
        <v>0</v>
      </c>
      <c r="GU35" s="20">
        <f t="shared" si="346"/>
        <v>0</v>
      </c>
      <c r="GV35" s="20">
        <f t="shared" si="346"/>
        <v>0</v>
      </c>
      <c r="GW35" s="20">
        <f t="shared" si="346"/>
        <v>0</v>
      </c>
      <c r="GX35" s="20">
        <f t="shared" si="346"/>
        <v>0</v>
      </c>
      <c r="GY35" s="20">
        <f t="shared" si="346"/>
        <v>0</v>
      </c>
      <c r="GZ35" s="20">
        <f t="shared" si="346"/>
        <v>0</v>
      </c>
      <c r="HA35" s="20">
        <f t="shared" si="346"/>
        <v>0</v>
      </c>
      <c r="HB35" s="20">
        <f t="shared" si="346"/>
        <v>0</v>
      </c>
      <c r="HC35" s="20">
        <f t="shared" si="346"/>
        <v>0</v>
      </c>
      <c r="HD35" s="20">
        <f t="shared" si="346"/>
        <v>0</v>
      </c>
      <c r="HE35" s="20">
        <f t="shared" si="346"/>
        <v>0</v>
      </c>
      <c r="HF35" s="20">
        <f t="shared" si="346"/>
        <v>0</v>
      </c>
      <c r="HG35" s="20">
        <f t="shared" si="346"/>
        <v>0</v>
      </c>
      <c r="HH35" s="20">
        <f t="shared" si="347"/>
        <v>0</v>
      </c>
      <c r="HI35" s="20">
        <f t="shared" si="347"/>
        <v>0</v>
      </c>
      <c r="HJ35" s="20">
        <f t="shared" si="347"/>
        <v>0</v>
      </c>
      <c r="HK35" s="20">
        <f t="shared" si="347"/>
        <v>0</v>
      </c>
      <c r="HL35" s="20">
        <f t="shared" si="347"/>
        <v>0</v>
      </c>
      <c r="HM35" s="20">
        <f t="shared" si="347"/>
        <v>0</v>
      </c>
      <c r="HN35" s="20">
        <f t="shared" si="347"/>
        <v>0</v>
      </c>
      <c r="HO35" s="20">
        <f t="shared" si="347"/>
        <v>0</v>
      </c>
      <c r="HP35" s="20">
        <f t="shared" si="347"/>
        <v>0</v>
      </c>
      <c r="HQ35" s="20">
        <f t="shared" si="347"/>
        <v>0</v>
      </c>
      <c r="HR35" s="20">
        <f t="shared" si="347"/>
        <v>0</v>
      </c>
      <c r="HS35" s="20">
        <f t="shared" si="347"/>
        <v>0</v>
      </c>
      <c r="HT35" s="20">
        <f t="shared" si="347"/>
        <v>0</v>
      </c>
      <c r="HU35" s="20">
        <f t="shared" si="347"/>
        <v>0</v>
      </c>
      <c r="HV35" s="20">
        <f t="shared" si="347"/>
        <v>0</v>
      </c>
      <c r="HW35" s="20">
        <f t="shared" si="347"/>
        <v>0</v>
      </c>
      <c r="HX35" s="20">
        <f t="shared" si="348"/>
        <v>0</v>
      </c>
      <c r="HY35" s="20">
        <f t="shared" si="348"/>
        <v>0</v>
      </c>
      <c r="HZ35" s="20">
        <f t="shared" si="348"/>
        <v>0</v>
      </c>
      <c r="IA35" s="20">
        <f t="shared" si="348"/>
        <v>0</v>
      </c>
      <c r="IB35" s="20">
        <f t="shared" si="348"/>
        <v>0</v>
      </c>
      <c r="IC35" s="20">
        <f t="shared" si="348"/>
        <v>0</v>
      </c>
      <c r="ID35" s="20">
        <f t="shared" si="348"/>
        <v>0</v>
      </c>
      <c r="IE35" s="20">
        <f t="shared" si="348"/>
        <v>0</v>
      </c>
      <c r="IF35" s="20">
        <f t="shared" si="348"/>
        <v>0</v>
      </c>
      <c r="IG35" s="20">
        <f t="shared" si="348"/>
        <v>0</v>
      </c>
      <c r="IH35" s="20">
        <f t="shared" si="348"/>
        <v>0</v>
      </c>
      <c r="II35" s="20">
        <f t="shared" si="348"/>
        <v>0</v>
      </c>
      <c r="IJ35" s="20">
        <f t="shared" si="348"/>
        <v>0</v>
      </c>
      <c r="IK35" s="20">
        <f t="shared" si="348"/>
        <v>0</v>
      </c>
      <c r="IL35" s="20">
        <f t="shared" si="348"/>
        <v>0</v>
      </c>
      <c r="IM35" s="20">
        <f t="shared" si="348"/>
        <v>0</v>
      </c>
      <c r="IN35" s="20">
        <f t="shared" si="349"/>
        <v>0</v>
      </c>
      <c r="IO35" s="20">
        <f t="shared" si="349"/>
        <v>0</v>
      </c>
      <c r="IP35" s="20">
        <f t="shared" si="349"/>
        <v>0</v>
      </c>
      <c r="IQ35" s="20">
        <f t="shared" si="349"/>
        <v>0</v>
      </c>
      <c r="IR35" s="20">
        <f t="shared" si="349"/>
        <v>0</v>
      </c>
      <c r="IS35" s="20">
        <f t="shared" si="349"/>
        <v>0</v>
      </c>
      <c r="IT35" s="20">
        <f t="shared" si="349"/>
        <v>0</v>
      </c>
      <c r="IU35" s="20">
        <f t="shared" si="349"/>
        <v>0</v>
      </c>
      <c r="IV35" s="20">
        <f t="shared" si="349"/>
        <v>0</v>
      </c>
      <c r="IW35" s="20">
        <f t="shared" si="349"/>
        <v>0</v>
      </c>
      <c r="IX35" s="20">
        <f t="shared" si="349"/>
        <v>0</v>
      </c>
      <c r="IY35" s="20">
        <f t="shared" si="349"/>
        <v>0</v>
      </c>
      <c r="IZ35" s="20">
        <f t="shared" si="349"/>
        <v>0</v>
      </c>
      <c r="JA35" s="20">
        <f t="shared" si="349"/>
        <v>0</v>
      </c>
      <c r="JB35" s="20">
        <f t="shared" si="349"/>
        <v>0</v>
      </c>
      <c r="JC35" s="20">
        <f t="shared" si="349"/>
        <v>0</v>
      </c>
      <c r="JD35" s="20">
        <f t="shared" si="350"/>
        <v>0</v>
      </c>
      <c r="JE35" s="20">
        <f t="shared" si="350"/>
        <v>0</v>
      </c>
      <c r="JF35" s="20">
        <f t="shared" si="350"/>
        <v>0</v>
      </c>
      <c r="JG35" s="20">
        <f t="shared" si="350"/>
        <v>0</v>
      </c>
      <c r="JH35" s="20">
        <f t="shared" si="350"/>
        <v>0</v>
      </c>
      <c r="JI35" s="20">
        <f t="shared" si="350"/>
        <v>0</v>
      </c>
      <c r="JJ35" s="20">
        <f t="shared" si="350"/>
        <v>0</v>
      </c>
      <c r="JK35" s="20">
        <f t="shared" si="350"/>
        <v>0</v>
      </c>
      <c r="JL35" s="20">
        <f t="shared" si="350"/>
        <v>0</v>
      </c>
      <c r="JM35" s="20">
        <f t="shared" si="350"/>
        <v>0</v>
      </c>
      <c r="JN35" s="20">
        <f t="shared" si="350"/>
        <v>0</v>
      </c>
      <c r="JO35" s="20">
        <f t="shared" si="350"/>
        <v>0</v>
      </c>
      <c r="JP35" s="20">
        <f t="shared" si="350"/>
        <v>0</v>
      </c>
      <c r="JQ35" s="20">
        <f t="shared" si="350"/>
        <v>0</v>
      </c>
      <c r="JR35" s="20">
        <f t="shared" si="350"/>
        <v>0</v>
      </c>
      <c r="JS35" s="20">
        <f t="shared" si="350"/>
        <v>0</v>
      </c>
      <c r="JT35" s="20">
        <f t="shared" si="351"/>
        <v>0</v>
      </c>
      <c r="JU35" s="20">
        <f t="shared" si="351"/>
        <v>0</v>
      </c>
      <c r="JV35" s="20">
        <f t="shared" si="351"/>
        <v>0</v>
      </c>
      <c r="JW35" s="20">
        <f t="shared" si="351"/>
        <v>0</v>
      </c>
      <c r="JX35" s="20">
        <f t="shared" si="351"/>
        <v>0</v>
      </c>
      <c r="JZ35" s="221" t="str">
        <f t="shared" si="285"/>
        <v>Net infrastructure fund</v>
      </c>
      <c r="KA35" s="202"/>
      <c r="KB35" s="20">
        <f t="shared" si="352"/>
        <v>0</v>
      </c>
      <c r="KC35" s="20">
        <f t="shared" si="353"/>
        <v>36</v>
      </c>
      <c r="KD35" s="20">
        <f t="shared" si="354"/>
        <v>37</v>
      </c>
      <c r="KE35" s="422">
        <f t="shared" si="355"/>
        <v>14113628.68</v>
      </c>
      <c r="KF35" s="422" t="n">
        <f t="shared" ref="KF35:KF37" si="359">AND(KF$23&gt;=$KB35,KF$23&lt;=$KC35)*(IF($F35="Steady Growth",KF$23-$KB35,$KC35-KF$23)+1)/($KD35*($KD35+1)/2)*$KE35</f>
        <v>742822.5621052631</v>
      </c>
      <c r="KG35" s="422">
        <f t="shared" si="356"/>
        <v>722746.27664295875</v>
      </c>
      <c r="KH35" s="422">
        <f t="shared" si="356"/>
        <v>702669.99118065427</v>
      </c>
      <c r="KI35" s="422">
        <f t="shared" si="356"/>
        <v>682593.7057183499</v>
      </c>
      <c r="KJ35" s="422">
        <f t="shared" si="356"/>
        <v>662517.42025604553</v>
      </c>
      <c r="KK35" s="422">
        <f t="shared" si="356"/>
        <v>642441.13479374116</v>
      </c>
      <c r="KL35" s="422">
        <f t="shared" si="356"/>
        <v>622364.84933143668</v>
      </c>
      <c r="KM35" s="422">
        <f t="shared" si="356"/>
        <v>602288.56386913219</v>
      </c>
      <c r="KN35" s="422">
        <f t="shared" si="356"/>
        <v>582212.27840682783</v>
      </c>
      <c r="KO35" s="422">
        <f t="shared" si="356"/>
        <v>562135.99294452346</v>
      </c>
      <c r="KP35" s="422">
        <f t="shared" si="356"/>
        <v>542059.70748221909</v>
      </c>
      <c r="KQ35" s="422">
        <f t="shared" si="356"/>
        <v>521983.42201991467</v>
      </c>
      <c r="KR35" s="422">
        <f t="shared" si="356"/>
        <v>501907.13655761024</v>
      </c>
      <c r="KS35" s="422">
        <f t="shared" si="356"/>
        <v>481830.85109530587</v>
      </c>
      <c r="KT35" s="422">
        <f t="shared" si="356"/>
        <v>461754.56563300139</v>
      </c>
      <c r="KU35" s="422">
        <f t="shared" si="356"/>
        <v>441678.28017069696</v>
      </c>
      <c r="KV35" s="422">
        <f t="shared" si="356"/>
        <v>421601.99470839259</v>
      </c>
      <c r="KW35" s="422">
        <f t="shared" si="356"/>
        <v>401525.70924608817</v>
      </c>
      <c r="KX35" s="422">
        <f t="shared" si="356"/>
        <v>381449.4237837838</v>
      </c>
      <c r="KY35" s="422">
        <f t="shared" si="356"/>
        <v>361373.13832147938</v>
      </c>
      <c r="KZ35" s="422">
        <f t="shared" si="356"/>
        <v>341296.85285917495</v>
      </c>
      <c r="LA35" s="422">
        <f t="shared" si="356"/>
        <v>321220.56739687058</v>
      </c>
      <c r="LB35" s="422">
        <f t="shared" si="356"/>
        <v>301144.2819345661</v>
      </c>
      <c r="LC35" s="422">
        <f t="shared" si="356"/>
        <v>281067.99647226173</v>
      </c>
      <c r="LD35" s="422">
        <f t="shared" si="356"/>
        <v>260991.71100995733</v>
      </c>
      <c r="LE35" s="422">
        <f t="shared" si="356"/>
        <v>240915.42554765294</v>
      </c>
      <c r="LF35" s="422">
        <f t="shared" si="356"/>
        <v>220839.14008534848</v>
      </c>
      <c r="LG35" s="422">
        <f t="shared" si="356"/>
        <v>200762.85462304408</v>
      </c>
      <c r="LH35" s="422">
        <f t="shared" si="356"/>
        <v>180686.56916073969</v>
      </c>
      <c r="LI35" s="422">
        <f t="shared" si="356"/>
        <v>160610.28369843529</v>
      </c>
      <c r="LJ35" s="422">
        <f t="shared" si="356"/>
        <v>140533.99823613086</v>
      </c>
      <c r="LK35" s="422">
        <f t="shared" si="356"/>
        <v>120457.71277382647</v>
      </c>
      <c r="LL35" s="422">
        <f t="shared" si="356"/>
        <v>100381.42731152204</v>
      </c>
      <c r="LM35" s="422">
        <f t="shared" si="356"/>
        <v>80305.141849217645</v>
      </c>
      <c r="LN35" s="422">
        <f t="shared" si="356"/>
        <v>60228.856386913234</v>
      </c>
      <c r="LO35" s="422">
        <f t="shared" si="356"/>
        <v>40152.570924608823</v>
      </c>
      <c r="LP35" s="422">
        <f t="shared" si="356"/>
        <v>20076.285462304411</v>
      </c>
      <c r="LQ35" s="422">
        <f t="shared" si="356"/>
        <v>0</v>
      </c>
      <c r="LR35" s="422">
        <f t="shared" si="356"/>
        <v>0</v>
      </c>
      <c r="LS35" s="422">
        <f t="shared" si="356"/>
        <v>0</v>
      </c>
      <c r="LT35" s="422">
        <f t="shared" si="356"/>
        <v>0</v>
      </c>
      <c r="LU35" s="422">
        <f t="shared" si="356"/>
        <v>0</v>
      </c>
      <c r="LV35" s="422">
        <f t="shared" si="356"/>
        <v>0</v>
      </c>
      <c r="LW35" s="422">
        <f t="shared" si="356"/>
        <v>0</v>
      </c>
      <c r="LX35" s="422">
        <f t="shared" si="356"/>
        <v>0</v>
      </c>
      <c r="LY35" s="422">
        <f t="shared" si="356"/>
        <v>0</v>
      </c>
      <c r="LZ35" s="422">
        <f t="shared" si="356"/>
        <v>0</v>
      </c>
      <c r="MA35" s="422">
        <f t="shared" si="356"/>
        <v>0</v>
      </c>
      <c r="MB35" s="422">
        <f t="shared" si="356"/>
        <v>0</v>
      </c>
      <c r="MC35" s="422">
        <f t="shared" si="356"/>
        <v>0</v>
      </c>
      <c r="MD35" s="422">
        <f t="shared" si="356"/>
        <v>0</v>
      </c>
      <c r="ME35" s="422">
        <f t="shared" si="356"/>
        <v>0</v>
      </c>
      <c r="MF35" s="422">
        <f t="shared" si="356"/>
        <v>0</v>
      </c>
      <c r="MG35" s="422">
        <f t="shared" si="356"/>
        <v>0</v>
      </c>
      <c r="MH35" s="422">
        <f t="shared" si="356"/>
        <v>0</v>
      </c>
      <c r="MI35" s="422">
        <f t="shared" si="356"/>
        <v>0</v>
      </c>
      <c r="MJ35" s="422">
        <f t="shared" si="356"/>
        <v>0</v>
      </c>
      <c r="MK35" s="422">
        <f t="shared" si="356"/>
        <v>0</v>
      </c>
      <c r="ML35" s="422">
        <f t="shared" si="356"/>
        <v>0</v>
      </c>
      <c r="MM35" s="422">
        <f t="shared" si="356"/>
        <v>0</v>
      </c>
      <c r="MN35" s="422">
        <f t="shared" si="356"/>
        <v>0</v>
      </c>
      <c r="MO35" s="422">
        <f t="shared" si="356"/>
        <v>0</v>
      </c>
      <c r="MP35" s="422">
        <f t="shared" si="356"/>
        <v>0</v>
      </c>
      <c r="MQ35" s="422">
        <f t="shared" si="356"/>
        <v>0</v>
      </c>
      <c r="MR35" s="422">
        <f t="shared" si="356"/>
        <v>0</v>
      </c>
      <c r="MS35" s="422">
        <f t="shared" si="357"/>
        <v>0</v>
      </c>
      <c r="MT35" s="422">
        <f t="shared" si="357"/>
        <v>0</v>
      </c>
      <c r="MU35" s="422">
        <f t="shared" si="357"/>
        <v>0</v>
      </c>
      <c r="MV35" s="422">
        <f t="shared" si="357"/>
        <v>0</v>
      </c>
      <c r="MW35" s="422">
        <f t="shared" si="357"/>
        <v>0</v>
      </c>
      <c r="MX35" s="422">
        <f t="shared" si="357"/>
        <v>0</v>
      </c>
      <c r="MY35" s="422">
        <f t="shared" si="357"/>
        <v>0</v>
      </c>
      <c r="MZ35" s="422">
        <f t="shared" si="357"/>
        <v>0</v>
      </c>
      <c r="NA35" s="422">
        <f t="shared" si="357"/>
        <v>0</v>
      </c>
      <c r="NB35" s="422">
        <f t="shared" si="357"/>
        <v>0</v>
      </c>
      <c r="NC35" s="422">
        <f t="shared" si="357"/>
        <v>0</v>
      </c>
      <c r="ND35" s="422">
        <f t="shared" si="357"/>
        <v>0</v>
      </c>
      <c r="NE35" s="422">
        <f t="shared" si="357"/>
        <v>0</v>
      </c>
      <c r="NF35" s="422">
        <f t="shared" si="357"/>
        <v>0</v>
      </c>
      <c r="NG35" s="422">
        <f t="shared" si="357"/>
        <v>0</v>
      </c>
      <c r="NH35" s="422">
        <f t="shared" si="357"/>
        <v>0</v>
      </c>
      <c r="NI35" s="422">
        <f t="shared" si="357"/>
        <v>0</v>
      </c>
      <c r="NJ35" s="422">
        <f t="shared" si="357"/>
        <v>0</v>
      </c>
      <c r="NK35" s="422">
        <f t="shared" si="357"/>
        <v>0</v>
      </c>
      <c r="NL35" s="422">
        <f t="shared" si="357"/>
        <v>0</v>
      </c>
      <c r="NM35" s="422">
        <f t="shared" si="357"/>
        <v>0</v>
      </c>
      <c r="NN35" s="422">
        <f t="shared" si="357"/>
        <v>0</v>
      </c>
      <c r="NO35" s="422">
        <f t="shared" si="357"/>
        <v>0</v>
      </c>
      <c r="NP35" s="422">
        <f t="shared" si="357"/>
        <v>0</v>
      </c>
      <c r="NQ35" s="422">
        <f t="shared" si="357"/>
        <v>0</v>
      </c>
      <c r="NR35" s="422">
        <f t="shared" si="357"/>
        <v>0</v>
      </c>
      <c r="NS35" s="422">
        <f t="shared" si="357"/>
        <v>0</v>
      </c>
      <c r="NT35" s="422">
        <f t="shared" si="357"/>
        <v>0</v>
      </c>
      <c r="NU35" s="422">
        <f t="shared" si="357"/>
        <v>0</v>
      </c>
      <c r="NV35" s="422">
        <f t="shared" si="357"/>
        <v>0</v>
      </c>
      <c r="NW35" s="422">
        <f t="shared" si="357"/>
        <v>0</v>
      </c>
      <c r="NX35" s="422">
        <f t="shared" si="357"/>
        <v>0</v>
      </c>
      <c r="NY35" s="422">
        <f t="shared" si="357"/>
        <v>0</v>
      </c>
      <c r="NZ35" s="422">
        <f t="shared" si="357"/>
        <v>0</v>
      </c>
      <c r="OA35" s="422">
        <f t="shared" si="357"/>
        <v>0</v>
      </c>
      <c r="OB35" s="422">
        <f t="shared" si="357"/>
        <v>0</v>
      </c>
      <c r="OC35" s="422">
        <f t="shared" si="357"/>
        <v>0</v>
      </c>
      <c r="OD35" s="422">
        <f t="shared" si="357"/>
        <v>0</v>
      </c>
      <c r="OE35" s="422">
        <f t="shared" si="357"/>
        <v>0</v>
      </c>
      <c r="OF35" s="422">
        <f t="shared" si="357"/>
        <v>0</v>
      </c>
      <c r="OG35" s="422">
        <f t="shared" si="357"/>
        <v>0</v>
      </c>
      <c r="OH35" s="422">
        <f t="shared" si="357"/>
        <v>0</v>
      </c>
      <c r="OI35" s="422">
        <f t="shared" si="357"/>
        <v>0</v>
      </c>
      <c r="OJ35" s="422">
        <f t="shared" si="357"/>
        <v>0</v>
      </c>
      <c r="OK35" s="422">
        <f t="shared" si="357"/>
        <v>0</v>
      </c>
      <c r="OL35" s="422">
        <f t="shared" si="357"/>
        <v>0</v>
      </c>
      <c r="OM35" s="422">
        <f t="shared" si="357"/>
        <v>0</v>
      </c>
      <c r="ON35" s="422">
        <f t="shared" si="357"/>
        <v>0</v>
      </c>
      <c r="OO35" s="422">
        <f t="shared" si="357"/>
        <v>0</v>
      </c>
      <c r="OP35" s="422">
        <f t="shared" si="357"/>
        <v>0</v>
      </c>
      <c r="OQ35" s="422">
        <f t="shared" si="357"/>
        <v>0</v>
      </c>
      <c r="OR35" s="422">
        <f t="shared" si="357"/>
        <v>0</v>
      </c>
      <c r="OS35" s="422">
        <f t="shared" si="357"/>
        <v>0</v>
      </c>
      <c r="OT35" s="422">
        <f t="shared" si="357"/>
        <v>0</v>
      </c>
      <c r="OU35" s="422">
        <f t="shared" si="357"/>
        <v>0</v>
      </c>
      <c r="OV35" s="422">
        <f t="shared" si="357"/>
        <v>0</v>
      </c>
      <c r="OW35" s="422">
        <f t="shared" si="357"/>
        <v>0</v>
      </c>
      <c r="OX35" s="422">
        <f t="shared" si="357"/>
        <v>0</v>
      </c>
      <c r="OY35" s="422">
        <f t="shared" si="357"/>
        <v>0</v>
      </c>
      <c r="OZ35" s="422">
        <f t="shared" si="357"/>
        <v>0</v>
      </c>
      <c r="PA35" s="422">
        <f t="shared" si="357"/>
        <v>0</v>
      </c>
      <c r="PB35" s="422">
        <f t="shared" si="357"/>
        <v>0</v>
      </c>
      <c r="PC35" s="422">
        <f t="shared" si="357"/>
        <v>0</v>
      </c>
      <c r="PD35" s="422">
        <f t="shared" si="357"/>
        <v>0</v>
      </c>
      <c r="PE35" s="422">
        <f t="shared" si="358"/>
        <v>0</v>
      </c>
      <c r="PF35" s="422">
        <f t="shared" si="358"/>
        <v>0</v>
      </c>
      <c r="PG35" s="422">
        <f t="shared" si="358"/>
        <v>0</v>
      </c>
      <c r="PH35" s="422">
        <f t="shared" si="358"/>
        <v>0</v>
      </c>
    </row>
    <row r="36">
      <c r="B36" s="430" t="s">
        <v>145</v>
      </c>
      <c r="C36" s="404">
        <v>1</v>
      </c>
      <c r="D36" s="46"/>
      <c r="E36" s="46">
        <v>36</v>
      </c>
      <c r="F36" s="418" t="s">
        <v>137</v>
      </c>
      <c r="G36" s="135" t="n">
        <f>I36/Units_SF_M2</f>
        <v>-203.6245851473713</v>
      </c>
      <c r="H36" s="419"/>
      <c r="I36" s="420" t="n">
        <f>PROJECTS!$AP$175*1000000</f>
        <v>-15946325.889403298</v>
      </c>
      <c r="K36" s="22" t="str">
        <f>IF(ROUND(SUM(L36:EN36),0)=ROUND(I36,0),"","Incomplete")</f>
      </c>
      <c r="L36" s="421">
        <f t="shared" si="329"/>
        <v>-430981.78079468373</v>
      </c>
      <c r="M36" s="421">
        <f t="shared" si="329"/>
        <v>-430981.78079468373</v>
      </c>
      <c r="N36" s="421">
        <f t="shared" si="329"/>
        <v>-430981.78079468373</v>
      </c>
      <c r="O36" s="421">
        <f t="shared" si="329"/>
        <v>-430981.78079468373</v>
      </c>
      <c r="P36" s="421">
        <f t="shared" si="329"/>
        <v>-430981.78079468373</v>
      </c>
      <c r="Q36" s="421">
        <f t="shared" si="329"/>
        <v>-430981.78079468373</v>
      </c>
      <c r="R36" s="421">
        <f t="shared" si="329"/>
        <v>-430981.78079468373</v>
      </c>
      <c r="S36" s="421">
        <f t="shared" si="329"/>
        <v>-430981.78079468373</v>
      </c>
      <c r="T36" s="421">
        <f t="shared" si="329"/>
        <v>-430981.78079468373</v>
      </c>
      <c r="U36" s="421">
        <f t="shared" si="329"/>
        <v>-430981.78079468373</v>
      </c>
      <c r="V36" s="421">
        <f t="shared" si="330"/>
        <v>-430981.78079468373</v>
      </c>
      <c r="W36" s="421">
        <f t="shared" si="330"/>
        <v>-430981.78079468373</v>
      </c>
      <c r="X36" s="421">
        <f t="shared" si="330"/>
        <v>-430981.78079468373</v>
      </c>
      <c r="Y36" s="421">
        <f t="shared" si="330"/>
        <v>-430981.78079468373</v>
      </c>
      <c r="Z36" s="421">
        <f t="shared" si="330"/>
        <v>-430981.78079468373</v>
      </c>
      <c r="AA36" s="421">
        <f t="shared" si="330"/>
        <v>-430981.78079468373</v>
      </c>
      <c r="AB36" s="421">
        <f t="shared" si="330"/>
        <v>-430981.78079468373</v>
      </c>
      <c r="AC36" s="421">
        <f t="shared" si="330"/>
        <v>-430981.78079468373</v>
      </c>
      <c r="AD36" s="421">
        <f t="shared" si="330"/>
        <v>-430981.78079468373</v>
      </c>
      <c r="AE36" s="421">
        <f t="shared" si="330"/>
        <v>-430981.78079468373</v>
      </c>
      <c r="AF36" s="421">
        <f t="shared" si="331"/>
        <v>-430981.78079468373</v>
      </c>
      <c r="AG36" s="421">
        <f t="shared" si="331"/>
        <v>-430981.78079468373</v>
      </c>
      <c r="AH36" s="421">
        <f t="shared" si="331"/>
        <v>-430981.78079468373</v>
      </c>
      <c r="AI36" s="421">
        <f t="shared" si="331"/>
        <v>-430981.78079468373</v>
      </c>
      <c r="AJ36" s="421">
        <f t="shared" si="331"/>
        <v>-430981.78079468373</v>
      </c>
      <c r="AK36" s="421">
        <f t="shared" si="331"/>
        <v>-430981.78079468373</v>
      </c>
      <c r="AL36" s="421">
        <f t="shared" si="331"/>
        <v>-430981.78079468373</v>
      </c>
      <c r="AM36" s="421">
        <f t="shared" si="331"/>
        <v>-430981.78079468373</v>
      </c>
      <c r="AN36" s="421">
        <f t="shared" si="331"/>
        <v>-430981.78079468373</v>
      </c>
      <c r="AO36" s="421">
        <f t="shared" si="331"/>
        <v>-430981.78079468373</v>
      </c>
      <c r="AP36" s="421">
        <f t="shared" si="332"/>
        <v>-430981.78079468373</v>
      </c>
      <c r="AQ36" s="421">
        <f t="shared" si="332"/>
        <v>-430981.78079468373</v>
      </c>
      <c r="AR36" s="421">
        <f t="shared" si="332"/>
        <v>-430981.78079468373</v>
      </c>
      <c r="AS36" s="421">
        <f t="shared" si="332"/>
        <v>-430981.78079468373</v>
      </c>
      <c r="AT36" s="421">
        <f t="shared" si="332"/>
        <v>-430981.78079468373</v>
      </c>
      <c r="AU36" s="421">
        <f t="shared" si="332"/>
        <v>-430981.78079468373</v>
      </c>
      <c r="AV36" s="421">
        <f t="shared" si="332"/>
        <v>-430981.78079468373</v>
      </c>
      <c r="AW36" s="421">
        <f t="shared" si="332"/>
        <v>0</v>
      </c>
      <c r="AX36" s="421">
        <f t="shared" si="332"/>
        <v>0</v>
      </c>
      <c r="AY36" s="421">
        <f t="shared" si="332"/>
        <v>0</v>
      </c>
      <c r="AZ36" s="421">
        <f t="shared" si="333"/>
        <v>0</v>
      </c>
      <c r="BA36" s="421">
        <f t="shared" si="333"/>
        <v>0</v>
      </c>
      <c r="BB36" s="421">
        <f t="shared" si="333"/>
        <v>0</v>
      </c>
      <c r="BC36" s="421">
        <f t="shared" si="333"/>
        <v>0</v>
      </c>
      <c r="BD36" s="421">
        <f t="shared" si="333"/>
        <v>0</v>
      </c>
      <c r="BE36" s="421">
        <f t="shared" si="333"/>
        <v>0</v>
      </c>
      <c r="BF36" s="421">
        <f t="shared" si="333"/>
        <v>0</v>
      </c>
      <c r="BG36" s="421">
        <f t="shared" si="333"/>
        <v>0</v>
      </c>
      <c r="BH36" s="421">
        <f t="shared" si="333"/>
        <v>0</v>
      </c>
      <c r="BI36" s="421">
        <f t="shared" si="333"/>
        <v>0</v>
      </c>
      <c r="BJ36" s="421">
        <f t="shared" si="334"/>
        <v>0</v>
      </c>
      <c r="BK36" s="421">
        <f t="shared" si="334"/>
        <v>0</v>
      </c>
      <c r="BL36" s="421">
        <f t="shared" si="334"/>
        <v>0</v>
      </c>
      <c r="BM36" s="421">
        <f t="shared" si="334"/>
        <v>0</v>
      </c>
      <c r="BN36" s="421">
        <f t="shared" si="334"/>
        <v>0</v>
      </c>
      <c r="BO36" s="421">
        <f t="shared" si="334"/>
        <v>0</v>
      </c>
      <c r="BP36" s="421">
        <f t="shared" si="334"/>
        <v>0</v>
      </c>
      <c r="BQ36" s="421">
        <f t="shared" si="334"/>
        <v>0</v>
      </c>
      <c r="BR36" s="421">
        <f t="shared" si="334"/>
        <v>0</v>
      </c>
      <c r="BS36" s="421">
        <f t="shared" si="334"/>
        <v>0</v>
      </c>
      <c r="BT36" s="421">
        <f t="shared" si="335"/>
        <v>0</v>
      </c>
      <c r="BU36" s="421">
        <f t="shared" si="335"/>
        <v>0</v>
      </c>
      <c r="BV36" s="421">
        <f t="shared" si="335"/>
        <v>0</v>
      </c>
      <c r="BW36" s="421">
        <f t="shared" si="335"/>
        <v>0</v>
      </c>
      <c r="BX36" s="421">
        <f t="shared" si="335"/>
        <v>0</v>
      </c>
      <c r="BY36" s="421">
        <f t="shared" si="335"/>
        <v>0</v>
      </c>
      <c r="BZ36" s="421">
        <f t="shared" si="335"/>
        <v>0</v>
      </c>
      <c r="CA36" s="421">
        <f t="shared" si="335"/>
        <v>0</v>
      </c>
      <c r="CB36" s="421">
        <f t="shared" si="335"/>
        <v>0</v>
      </c>
      <c r="CC36" s="421">
        <f t="shared" si="335"/>
        <v>0</v>
      </c>
      <c r="CD36" s="421">
        <f t="shared" si="336"/>
        <v>0</v>
      </c>
      <c r="CE36" s="421">
        <f t="shared" si="336"/>
        <v>0</v>
      </c>
      <c r="CF36" s="421">
        <f t="shared" si="336"/>
        <v>0</v>
      </c>
      <c r="CG36" s="421">
        <f t="shared" si="336"/>
        <v>0</v>
      </c>
      <c r="CH36" s="421">
        <f t="shared" si="336"/>
        <v>0</v>
      </c>
      <c r="CI36" s="421">
        <f t="shared" si="336"/>
        <v>0</v>
      </c>
      <c r="CJ36" s="421">
        <f t="shared" si="336"/>
        <v>0</v>
      </c>
      <c r="CK36" s="421">
        <f t="shared" si="336"/>
        <v>0</v>
      </c>
      <c r="CL36" s="421">
        <f t="shared" si="336"/>
        <v>0</v>
      </c>
      <c r="CM36" s="421">
        <f t="shared" si="336"/>
        <v>0</v>
      </c>
      <c r="CN36" s="421">
        <f t="shared" si="337"/>
        <v>0</v>
      </c>
      <c r="CO36" s="421">
        <f t="shared" si="337"/>
        <v>0</v>
      </c>
      <c r="CP36" s="421">
        <f t="shared" si="337"/>
        <v>0</v>
      </c>
      <c r="CQ36" s="421">
        <f t="shared" si="337"/>
        <v>0</v>
      </c>
      <c r="CR36" s="421">
        <f t="shared" si="337"/>
        <v>0</v>
      </c>
      <c r="CS36" s="421">
        <f t="shared" si="337"/>
        <v>0</v>
      </c>
      <c r="CT36" s="421">
        <f t="shared" si="337"/>
        <v>0</v>
      </c>
      <c r="CU36" s="421">
        <f t="shared" si="337"/>
        <v>0</v>
      </c>
      <c r="CV36" s="421">
        <f t="shared" si="337"/>
        <v>0</v>
      </c>
      <c r="CW36" s="421">
        <f t="shared" si="337"/>
        <v>0</v>
      </c>
      <c r="CX36" s="421">
        <f t="shared" si="338"/>
        <v>0</v>
      </c>
      <c r="CY36" s="421">
        <f t="shared" si="338"/>
        <v>0</v>
      </c>
      <c r="CZ36" s="421">
        <f t="shared" si="338"/>
        <v>0</v>
      </c>
      <c r="DA36" s="421">
        <f t="shared" si="338"/>
        <v>0</v>
      </c>
      <c r="DB36" s="421">
        <f t="shared" si="338"/>
        <v>0</v>
      </c>
      <c r="DC36" s="421">
        <f t="shared" si="338"/>
        <v>0</v>
      </c>
      <c r="DD36" s="421">
        <f t="shared" si="338"/>
        <v>0</v>
      </c>
      <c r="DE36" s="421">
        <f t="shared" si="338"/>
        <v>0</v>
      </c>
      <c r="DF36" s="421">
        <f t="shared" si="338"/>
        <v>0</v>
      </c>
      <c r="DG36" s="421">
        <f t="shared" si="338"/>
        <v>0</v>
      </c>
      <c r="DH36" s="421">
        <f t="shared" si="339"/>
        <v>0</v>
      </c>
      <c r="DI36" s="421">
        <f t="shared" si="339"/>
        <v>0</v>
      </c>
      <c r="DJ36" s="421">
        <f t="shared" si="339"/>
        <v>0</v>
      </c>
      <c r="DK36" s="421">
        <f t="shared" si="339"/>
        <v>0</v>
      </c>
      <c r="DL36" s="421">
        <f t="shared" si="339"/>
        <v>0</v>
      </c>
      <c r="DM36" s="421">
        <f t="shared" si="339"/>
        <v>0</v>
      </c>
      <c r="DN36" s="421">
        <f t="shared" si="339"/>
        <v>0</v>
      </c>
      <c r="DO36" s="421">
        <f t="shared" si="339"/>
        <v>0</v>
      </c>
      <c r="DP36" s="421">
        <f t="shared" si="339"/>
        <v>0</v>
      </c>
      <c r="DQ36" s="421">
        <f t="shared" si="339"/>
        <v>0</v>
      </c>
      <c r="DR36" s="421">
        <f t="shared" si="340"/>
        <v>0</v>
      </c>
      <c r="DS36" s="421">
        <f t="shared" si="340"/>
        <v>0</v>
      </c>
      <c r="DT36" s="421">
        <f t="shared" si="340"/>
        <v>0</v>
      </c>
      <c r="DU36" s="421">
        <f t="shared" si="340"/>
        <v>0</v>
      </c>
      <c r="DV36" s="421">
        <f t="shared" si="340"/>
        <v>0</v>
      </c>
      <c r="DW36" s="421">
        <f t="shared" si="340"/>
        <v>0</v>
      </c>
      <c r="DX36" s="421">
        <f t="shared" si="340"/>
        <v>0</v>
      </c>
      <c r="DY36" s="421">
        <f t="shared" si="340"/>
        <v>0</v>
      </c>
      <c r="DZ36" s="421">
        <f t="shared" si="340"/>
        <v>0</v>
      </c>
      <c r="EA36" s="421">
        <f t="shared" si="340"/>
        <v>0</v>
      </c>
      <c r="EB36" s="421">
        <f t="shared" si="341"/>
        <v>0</v>
      </c>
      <c r="EC36" s="421">
        <f t="shared" si="341"/>
        <v>0</v>
      </c>
      <c r="ED36" s="421">
        <f t="shared" si="341"/>
        <v>0</v>
      </c>
      <c r="EE36" s="421">
        <f t="shared" si="341"/>
        <v>0</v>
      </c>
      <c r="EF36" s="421">
        <f t="shared" si="341"/>
        <v>0</v>
      </c>
      <c r="EG36" s="421">
        <f t="shared" si="341"/>
        <v>0</v>
      </c>
      <c r="EH36" s="421">
        <f t="shared" si="341"/>
        <v>0</v>
      </c>
      <c r="EI36" s="421">
        <f t="shared" si="341"/>
        <v>0</v>
      </c>
      <c r="EJ36" s="421">
        <f t="shared" si="341"/>
        <v>0</v>
      </c>
      <c r="EK36" s="421">
        <f t="shared" si="341"/>
        <v>0</v>
      </c>
      <c r="EL36" s="421">
        <f t="shared" si="342"/>
        <v>0</v>
      </c>
      <c r="EM36" s="421">
        <f t="shared" si="342"/>
        <v>0</v>
      </c>
      <c r="EN36" s="421">
        <f t="shared" si="342"/>
        <v>0</v>
      </c>
      <c r="EP36" s="221" t="n">
        <f>I36</f>
        <v>-15946325.889403298</v>
      </c>
      <c r="EQ36" s="202" t="n">
        <f>INDEX($L$24:$EN$24,1,$D36+1)</f>
        <v>46203</v>
      </c>
      <c r="ER36" s="202" t="n">
        <f>INDEX($L$24:$EN$24,1,$E36+1)</f>
        <v>47299</v>
      </c>
      <c r="ES36" s="20" t="n">
        <f>+E36-D36+1</f>
        <v>37</v>
      </c>
      <c r="ET36" s="18" t="str">
        <f>F36</f>
        <v>Straight-Line</v>
      </c>
      <c r="EU36" s="80" t="n">
        <f>ES36/Scurve_Dist</f>
        <v>6.166666666666667</v>
      </c>
      <c r="EV36" s="20">
        <f t="shared" si="343"/>
        <v>0</v>
      </c>
      <c r="EW36" s="20">
        <f t="shared" si="343"/>
        <v>0</v>
      </c>
      <c r="EX36" s="20">
        <f t="shared" si="343"/>
        <v>0</v>
      </c>
      <c r="EY36" s="20">
        <f t="shared" si="343"/>
        <v>0</v>
      </c>
      <c r="EZ36" s="20">
        <f t="shared" si="343"/>
        <v>0</v>
      </c>
      <c r="FA36" s="20">
        <f t="shared" si="343"/>
        <v>0</v>
      </c>
      <c r="FB36" s="20">
        <f t="shared" si="343"/>
        <v>0</v>
      </c>
      <c r="FC36" s="20">
        <f t="shared" si="343"/>
        <v>0</v>
      </c>
      <c r="FD36" s="20">
        <f t="shared" si="343"/>
        <v>0</v>
      </c>
      <c r="FE36" s="20">
        <f t="shared" si="343"/>
        <v>0</v>
      </c>
      <c r="FF36" s="20">
        <f t="shared" si="343"/>
        <v>0</v>
      </c>
      <c r="FG36" s="20">
        <f t="shared" si="343"/>
        <v>0</v>
      </c>
      <c r="FH36" s="20">
        <f t="shared" si="343"/>
        <v>0</v>
      </c>
      <c r="FI36" s="20">
        <f t="shared" si="343"/>
        <v>0</v>
      </c>
      <c r="FJ36" s="20">
        <f t="shared" si="343"/>
        <v>0</v>
      </c>
      <c r="FK36" s="20">
        <f t="shared" si="343"/>
        <v>0</v>
      </c>
      <c r="FL36" s="20">
        <f t="shared" si="344"/>
        <v>0</v>
      </c>
      <c r="FM36" s="20">
        <f t="shared" si="344"/>
        <v>0</v>
      </c>
      <c r="FN36" s="20">
        <f t="shared" si="344"/>
        <v>0</v>
      </c>
      <c r="FO36" s="20">
        <f t="shared" si="344"/>
        <v>0</v>
      </c>
      <c r="FP36" s="20">
        <f t="shared" si="344"/>
        <v>0</v>
      </c>
      <c r="FQ36" s="20">
        <f t="shared" si="344"/>
        <v>0</v>
      </c>
      <c r="FR36" s="20">
        <f t="shared" si="344"/>
        <v>0</v>
      </c>
      <c r="FS36" s="20">
        <f t="shared" si="344"/>
        <v>0</v>
      </c>
      <c r="FT36" s="20">
        <f t="shared" si="344"/>
        <v>0</v>
      </c>
      <c r="FU36" s="20">
        <f t="shared" si="344"/>
        <v>0</v>
      </c>
      <c r="FV36" s="20">
        <f t="shared" si="344"/>
        <v>0</v>
      </c>
      <c r="FW36" s="20">
        <f t="shared" si="344"/>
        <v>0</v>
      </c>
      <c r="FX36" s="20">
        <f t="shared" si="344"/>
        <v>0</v>
      </c>
      <c r="FY36" s="20">
        <f t="shared" si="344"/>
        <v>0</v>
      </c>
      <c r="FZ36" s="20">
        <f t="shared" si="344"/>
        <v>0</v>
      </c>
      <c r="GA36" s="20">
        <f t="shared" si="344"/>
        <v>0</v>
      </c>
      <c r="GB36" s="20">
        <f t="shared" si="345"/>
        <v>0</v>
      </c>
      <c r="GC36" s="20">
        <f t="shared" si="345"/>
        <v>0</v>
      </c>
      <c r="GD36" s="20">
        <f t="shared" si="345"/>
        <v>0</v>
      </c>
      <c r="GE36" s="20">
        <f t="shared" si="345"/>
        <v>0</v>
      </c>
      <c r="GF36" s="20">
        <f t="shared" si="345"/>
        <v>0</v>
      </c>
      <c r="GG36" s="20">
        <f t="shared" si="345"/>
        <v>0</v>
      </c>
      <c r="GH36" s="20">
        <f t="shared" si="345"/>
        <v>0</v>
      </c>
      <c r="GI36" s="20">
        <f t="shared" si="345"/>
        <v>0</v>
      </c>
      <c r="GJ36" s="20">
        <f t="shared" si="345"/>
        <v>0</v>
      </c>
      <c r="GK36" s="20">
        <f t="shared" si="345"/>
        <v>0</v>
      </c>
      <c r="GL36" s="20">
        <f t="shared" si="345"/>
        <v>0</v>
      </c>
      <c r="GM36" s="20">
        <f t="shared" si="345"/>
        <v>0</v>
      </c>
      <c r="GN36" s="20">
        <f t="shared" si="345"/>
        <v>0</v>
      </c>
      <c r="GO36" s="20">
        <f t="shared" si="345"/>
        <v>0</v>
      </c>
      <c r="GP36" s="20">
        <f t="shared" si="345"/>
        <v>0</v>
      </c>
      <c r="GQ36" s="20">
        <f t="shared" si="345"/>
        <v>0</v>
      </c>
      <c r="GR36" s="20">
        <f t="shared" si="346"/>
        <v>0</v>
      </c>
      <c r="GS36" s="20">
        <f t="shared" si="346"/>
        <v>0</v>
      </c>
      <c r="GT36" s="20">
        <f t="shared" si="346"/>
        <v>0</v>
      </c>
      <c r="GU36" s="20">
        <f t="shared" si="346"/>
        <v>0</v>
      </c>
      <c r="GV36" s="20">
        <f t="shared" si="346"/>
        <v>0</v>
      </c>
      <c r="GW36" s="20">
        <f t="shared" si="346"/>
        <v>0</v>
      </c>
      <c r="GX36" s="20">
        <f t="shared" si="346"/>
        <v>0</v>
      </c>
      <c r="GY36" s="20">
        <f t="shared" si="346"/>
        <v>0</v>
      </c>
      <c r="GZ36" s="20">
        <f t="shared" si="346"/>
        <v>0</v>
      </c>
      <c r="HA36" s="20">
        <f t="shared" si="346"/>
        <v>0</v>
      </c>
      <c r="HB36" s="20">
        <f t="shared" si="346"/>
        <v>0</v>
      </c>
      <c r="HC36" s="20">
        <f t="shared" si="346"/>
        <v>0</v>
      </c>
      <c r="HD36" s="20">
        <f t="shared" si="346"/>
        <v>0</v>
      </c>
      <c r="HE36" s="20">
        <f t="shared" si="346"/>
        <v>0</v>
      </c>
      <c r="HF36" s="20">
        <f t="shared" si="346"/>
        <v>0</v>
      </c>
      <c r="HG36" s="20">
        <f t="shared" si="346"/>
        <v>0</v>
      </c>
      <c r="HH36" s="20">
        <f t="shared" si="347"/>
        <v>0</v>
      </c>
      <c r="HI36" s="20">
        <f t="shared" si="347"/>
        <v>0</v>
      </c>
      <c r="HJ36" s="20">
        <f t="shared" si="347"/>
        <v>0</v>
      </c>
      <c r="HK36" s="20">
        <f t="shared" si="347"/>
        <v>0</v>
      </c>
      <c r="HL36" s="20">
        <f t="shared" si="347"/>
        <v>0</v>
      </c>
      <c r="HM36" s="20">
        <f t="shared" si="347"/>
        <v>0</v>
      </c>
      <c r="HN36" s="20">
        <f t="shared" si="347"/>
        <v>0</v>
      </c>
      <c r="HO36" s="20">
        <f t="shared" si="347"/>
        <v>0</v>
      </c>
      <c r="HP36" s="20">
        <f t="shared" si="347"/>
        <v>0</v>
      </c>
      <c r="HQ36" s="20">
        <f t="shared" si="347"/>
        <v>0</v>
      </c>
      <c r="HR36" s="20">
        <f t="shared" si="347"/>
        <v>0</v>
      </c>
      <c r="HS36" s="20">
        <f t="shared" si="347"/>
        <v>0</v>
      </c>
      <c r="HT36" s="20">
        <f t="shared" si="347"/>
        <v>0</v>
      </c>
      <c r="HU36" s="20">
        <f t="shared" si="347"/>
        <v>0</v>
      </c>
      <c r="HV36" s="20">
        <f t="shared" si="347"/>
        <v>0</v>
      </c>
      <c r="HW36" s="20">
        <f t="shared" si="347"/>
        <v>0</v>
      </c>
      <c r="HX36" s="20">
        <f t="shared" si="348"/>
        <v>0</v>
      </c>
      <c r="HY36" s="20">
        <f t="shared" si="348"/>
        <v>0</v>
      </c>
      <c r="HZ36" s="20">
        <f t="shared" si="348"/>
        <v>0</v>
      </c>
      <c r="IA36" s="20">
        <f t="shared" si="348"/>
        <v>0</v>
      </c>
      <c r="IB36" s="20">
        <f t="shared" si="348"/>
        <v>0</v>
      </c>
      <c r="IC36" s="20">
        <f t="shared" si="348"/>
        <v>0</v>
      </c>
      <c r="ID36" s="20">
        <f t="shared" si="348"/>
        <v>0</v>
      </c>
      <c r="IE36" s="20">
        <f t="shared" si="348"/>
        <v>0</v>
      </c>
      <c r="IF36" s="20">
        <f t="shared" si="348"/>
        <v>0</v>
      </c>
      <c r="IG36" s="20">
        <f t="shared" si="348"/>
        <v>0</v>
      </c>
      <c r="IH36" s="20">
        <f t="shared" si="348"/>
        <v>0</v>
      </c>
      <c r="II36" s="20">
        <f t="shared" si="348"/>
        <v>0</v>
      </c>
      <c r="IJ36" s="20">
        <f t="shared" si="348"/>
        <v>0</v>
      </c>
      <c r="IK36" s="20">
        <f t="shared" si="348"/>
        <v>0</v>
      </c>
      <c r="IL36" s="20">
        <f t="shared" si="348"/>
        <v>0</v>
      </c>
      <c r="IM36" s="20">
        <f t="shared" si="348"/>
        <v>0</v>
      </c>
      <c r="IN36" s="20">
        <f t="shared" si="349"/>
        <v>0</v>
      </c>
      <c r="IO36" s="20">
        <f t="shared" si="349"/>
        <v>0</v>
      </c>
      <c r="IP36" s="20">
        <f t="shared" si="349"/>
        <v>0</v>
      </c>
      <c r="IQ36" s="20">
        <f t="shared" si="349"/>
        <v>0</v>
      </c>
      <c r="IR36" s="20">
        <f t="shared" si="349"/>
        <v>0</v>
      </c>
      <c r="IS36" s="20">
        <f t="shared" si="349"/>
        <v>0</v>
      </c>
      <c r="IT36" s="20">
        <f t="shared" si="349"/>
        <v>0</v>
      </c>
      <c r="IU36" s="20">
        <f t="shared" si="349"/>
        <v>0</v>
      </c>
      <c r="IV36" s="20">
        <f t="shared" si="349"/>
        <v>0</v>
      </c>
      <c r="IW36" s="20">
        <f t="shared" si="349"/>
        <v>0</v>
      </c>
      <c r="IX36" s="20">
        <f t="shared" si="349"/>
        <v>0</v>
      </c>
      <c r="IY36" s="20">
        <f t="shared" si="349"/>
        <v>0</v>
      </c>
      <c r="IZ36" s="20">
        <f t="shared" si="349"/>
        <v>0</v>
      </c>
      <c r="JA36" s="20">
        <f t="shared" si="349"/>
        <v>0</v>
      </c>
      <c r="JB36" s="20">
        <f t="shared" si="349"/>
        <v>0</v>
      </c>
      <c r="JC36" s="20">
        <f t="shared" si="349"/>
        <v>0</v>
      </c>
      <c r="JD36" s="20">
        <f t="shared" si="350"/>
        <v>0</v>
      </c>
      <c r="JE36" s="20">
        <f t="shared" si="350"/>
        <v>0</v>
      </c>
      <c r="JF36" s="20">
        <f t="shared" si="350"/>
        <v>0</v>
      </c>
      <c r="JG36" s="20">
        <f t="shared" si="350"/>
        <v>0</v>
      </c>
      <c r="JH36" s="20">
        <f t="shared" si="350"/>
        <v>0</v>
      </c>
      <c r="JI36" s="20">
        <f t="shared" si="350"/>
        <v>0</v>
      </c>
      <c r="JJ36" s="20">
        <f t="shared" si="350"/>
        <v>0</v>
      </c>
      <c r="JK36" s="20">
        <f t="shared" si="350"/>
        <v>0</v>
      </c>
      <c r="JL36" s="20">
        <f t="shared" si="350"/>
        <v>0</v>
      </c>
      <c r="JM36" s="20">
        <f t="shared" si="350"/>
        <v>0</v>
      </c>
      <c r="JN36" s="20">
        <f t="shared" si="350"/>
        <v>0</v>
      </c>
      <c r="JO36" s="20">
        <f t="shared" si="350"/>
        <v>0</v>
      </c>
      <c r="JP36" s="20">
        <f t="shared" si="350"/>
        <v>0</v>
      </c>
      <c r="JQ36" s="20">
        <f t="shared" si="350"/>
        <v>0</v>
      </c>
      <c r="JR36" s="20">
        <f t="shared" si="350"/>
        <v>0</v>
      </c>
      <c r="JS36" s="20">
        <f t="shared" si="350"/>
        <v>0</v>
      </c>
      <c r="JT36" s="20">
        <f t="shared" si="351"/>
        <v>0</v>
      </c>
      <c r="JU36" s="20">
        <f t="shared" si="351"/>
        <v>0</v>
      </c>
      <c r="JV36" s="20">
        <f t="shared" si="351"/>
        <v>0</v>
      </c>
      <c r="JW36" s="20">
        <f t="shared" si="351"/>
        <v>0</v>
      </c>
      <c r="JX36" s="20">
        <f t="shared" si="351"/>
        <v>0</v>
      </c>
      <c r="JZ36" s="221" t="str">
        <f t="shared" si="285"/>
        <v>Development-period operating adjustments</v>
      </c>
      <c r="KA36" s="202"/>
      <c r="KB36" s="20">
        <f t="shared" si="352"/>
        <v>0</v>
      </c>
      <c r="KC36" s="20">
        <f t="shared" si="353"/>
        <v>36</v>
      </c>
      <c r="KD36" s="20">
        <f t="shared" si="354"/>
        <v>37</v>
      </c>
      <c r="KE36" s="422">
        <f t="shared" si="355"/>
        <v>-15946325.889403298</v>
      </c>
      <c r="KF36" s="422">
        <f t="shared" si="359"/>
        <v>-839280.30996859458</v>
      </c>
      <c r="KG36" s="422">
        <f t="shared" si="356"/>
        <v>-816597.05834782182</v>
      </c>
      <c r="KH36" s="422">
        <f t="shared" si="356"/>
        <v>-793913.80672704894</v>
      </c>
      <c r="KI36" s="422">
        <f t="shared" si="356"/>
        <v>-771230.55510627618</v>
      </c>
      <c r="KJ36" s="422">
        <f t="shared" si="356"/>
        <v>-748547.3034855033</v>
      </c>
      <c r="KK36" s="422">
        <f t="shared" si="356"/>
        <v>-725864.05186473054</v>
      </c>
      <c r="KL36" s="422">
        <f t="shared" si="356"/>
        <v>-703180.80024395778</v>
      </c>
      <c r="KM36" s="422">
        <f t="shared" si="356"/>
        <v>-680497.54862318479</v>
      </c>
      <c r="KN36" s="422">
        <f t="shared" si="356"/>
        <v>-657814.29700241203</v>
      </c>
      <c r="KO36" s="422">
        <f t="shared" si="356"/>
        <v>-635131.04538163915</v>
      </c>
      <c r="KP36" s="422">
        <f t="shared" si="356"/>
        <v>-612447.79376086639</v>
      </c>
      <c r="KQ36" s="422">
        <f t="shared" si="356"/>
        <v>-589764.54214009352</v>
      </c>
      <c r="KR36" s="422">
        <f t="shared" si="356"/>
        <v>-567081.29051932076</v>
      </c>
      <c r="KS36" s="422">
        <f t="shared" si="356"/>
        <v>-544398.03889854799</v>
      </c>
      <c r="KT36" s="422">
        <f t="shared" si="356"/>
        <v>-521714.787277775</v>
      </c>
      <c r="KU36" s="422">
        <f t="shared" si="356"/>
        <v>-499031.53565700218</v>
      </c>
      <c r="KV36" s="422">
        <f t="shared" si="356"/>
        <v>-476348.28403622936</v>
      </c>
      <c r="KW36" s="422">
        <f t="shared" si="356"/>
        <v>-453665.0324154566</v>
      </c>
      <c r="KX36" s="422">
        <f t="shared" si="356"/>
        <v>-430981.78079468379</v>
      </c>
      <c r="KY36" s="422">
        <f t="shared" si="356"/>
        <v>-408298.52917391091</v>
      </c>
      <c r="KZ36" s="422">
        <f t="shared" si="356"/>
        <v>-385615.27755313809</v>
      </c>
      <c r="LA36" s="422">
        <f t="shared" si="356"/>
        <v>-362932.02593236527</v>
      </c>
      <c r="LB36" s="422">
        <f t="shared" si="356"/>
        <v>-340248.77431159239</v>
      </c>
      <c r="LC36" s="422">
        <f t="shared" si="356"/>
        <v>-317565.52269081958</v>
      </c>
      <c r="LD36" s="422">
        <f t="shared" si="356"/>
        <v>-294882.27107004676</v>
      </c>
      <c r="LE36" s="422">
        <f t="shared" si="356"/>
        <v>-272199.019449274</v>
      </c>
      <c r="LF36" s="422">
        <f t="shared" si="356"/>
        <v>-249515.76782850109</v>
      </c>
      <c r="LG36" s="422">
        <f t="shared" si="356"/>
        <v>-226832.5162077283</v>
      </c>
      <c r="LH36" s="422">
        <f t="shared" si="356"/>
        <v>-204149.26458695545</v>
      </c>
      <c r="LI36" s="422">
        <f t="shared" si="356"/>
        <v>-181466.01296618264</v>
      </c>
      <c r="LJ36" s="422">
        <f t="shared" si="356"/>
        <v>-158782.76134540979</v>
      </c>
      <c r="LK36" s="422">
        <f t="shared" si="356"/>
        <v>-136099.509724637</v>
      </c>
      <c r="LL36" s="422">
        <f t="shared" si="356"/>
        <v>-113416.25810386415</v>
      </c>
      <c r="LM36" s="422">
        <f t="shared" si="356"/>
        <v>-90733.006483091318</v>
      </c>
      <c r="LN36" s="422">
        <f t="shared" si="356"/>
        <v>-68049.754862318499</v>
      </c>
      <c r="LO36" s="422">
        <f t="shared" si="356"/>
        <v>-45366.503241545659</v>
      </c>
      <c r="LP36" s="422">
        <f t="shared" si="356"/>
        <v>-22683.251620772829</v>
      </c>
      <c r="LQ36" s="422">
        <f t="shared" si="356"/>
        <v>0</v>
      </c>
      <c r="LR36" s="422">
        <f t="shared" si="356"/>
        <v>0</v>
      </c>
      <c r="LS36" s="422">
        <f t="shared" si="356"/>
        <v>0</v>
      </c>
      <c r="LT36" s="422">
        <f t="shared" si="356"/>
        <v>0</v>
      </c>
      <c r="LU36" s="422">
        <f t="shared" si="356"/>
        <v>0</v>
      </c>
      <c r="LV36" s="422">
        <f t="shared" si="356"/>
        <v>0</v>
      </c>
      <c r="LW36" s="422">
        <f t="shared" si="356"/>
        <v>0</v>
      </c>
      <c r="LX36" s="422">
        <f t="shared" si="356"/>
        <v>0</v>
      </c>
      <c r="LY36" s="422">
        <f t="shared" si="356"/>
        <v>0</v>
      </c>
      <c r="LZ36" s="422">
        <f t="shared" si="356"/>
        <v>0</v>
      </c>
      <c r="MA36" s="422">
        <f t="shared" si="356"/>
        <v>0</v>
      </c>
      <c r="MB36" s="422">
        <f t="shared" si="356"/>
        <v>0</v>
      </c>
      <c r="MC36" s="422">
        <f t="shared" si="356"/>
        <v>0</v>
      </c>
      <c r="MD36" s="422">
        <f t="shared" si="356"/>
        <v>0</v>
      </c>
      <c r="ME36" s="422">
        <f t="shared" si="356"/>
        <v>0</v>
      </c>
      <c r="MF36" s="422">
        <f t="shared" si="356"/>
        <v>0</v>
      </c>
      <c r="MG36" s="422">
        <f t="shared" si="356"/>
        <v>0</v>
      </c>
      <c r="MH36" s="422">
        <f t="shared" si="356"/>
        <v>0</v>
      </c>
      <c r="MI36" s="422">
        <f t="shared" si="356"/>
        <v>0</v>
      </c>
      <c r="MJ36" s="422">
        <f t="shared" si="356"/>
        <v>0</v>
      </c>
      <c r="MK36" s="422">
        <f t="shared" si="356"/>
        <v>0</v>
      </c>
      <c r="ML36" s="422">
        <f t="shared" si="356"/>
        <v>0</v>
      </c>
      <c r="MM36" s="422">
        <f t="shared" si="356"/>
        <v>0</v>
      </c>
      <c r="MN36" s="422">
        <f t="shared" si="356"/>
        <v>0</v>
      </c>
      <c r="MO36" s="422">
        <f t="shared" si="356"/>
        <v>0</v>
      </c>
      <c r="MP36" s="422">
        <f t="shared" si="356"/>
        <v>0</v>
      </c>
      <c r="MQ36" s="422">
        <f t="shared" si="356"/>
        <v>0</v>
      </c>
      <c r="MR36" s="422">
        <f t="shared" si="356"/>
        <v>0</v>
      </c>
      <c r="MS36" s="422">
        <f t="shared" si="357"/>
        <v>0</v>
      </c>
      <c r="MT36" s="422">
        <f t="shared" si="357"/>
        <v>0</v>
      </c>
      <c r="MU36" s="422">
        <f t="shared" si="357"/>
        <v>0</v>
      </c>
      <c r="MV36" s="422">
        <f t="shared" si="357"/>
        <v>0</v>
      </c>
      <c r="MW36" s="422">
        <f t="shared" si="357"/>
        <v>0</v>
      </c>
      <c r="MX36" s="422">
        <f t="shared" si="357"/>
        <v>0</v>
      </c>
      <c r="MY36" s="422">
        <f t="shared" si="357"/>
        <v>0</v>
      </c>
      <c r="MZ36" s="422">
        <f t="shared" si="357"/>
        <v>0</v>
      </c>
      <c r="NA36" s="422">
        <f t="shared" si="357"/>
        <v>0</v>
      </c>
      <c r="NB36" s="422">
        <f t="shared" si="357"/>
        <v>0</v>
      </c>
      <c r="NC36" s="422">
        <f t="shared" si="357"/>
        <v>0</v>
      </c>
      <c r="ND36" s="422">
        <f t="shared" si="357"/>
        <v>0</v>
      </c>
      <c r="NE36" s="422">
        <f t="shared" si="357"/>
        <v>0</v>
      </c>
      <c r="NF36" s="422">
        <f t="shared" si="357"/>
        <v>0</v>
      </c>
      <c r="NG36" s="422">
        <f t="shared" si="357"/>
        <v>0</v>
      </c>
      <c r="NH36" s="422">
        <f t="shared" si="357"/>
        <v>0</v>
      </c>
      <c r="NI36" s="422">
        <f t="shared" si="357"/>
        <v>0</v>
      </c>
      <c r="NJ36" s="422">
        <f t="shared" si="357"/>
        <v>0</v>
      </c>
      <c r="NK36" s="422">
        <f t="shared" si="357"/>
        <v>0</v>
      </c>
      <c r="NL36" s="422">
        <f t="shared" si="357"/>
        <v>0</v>
      </c>
      <c r="NM36" s="422">
        <f t="shared" si="357"/>
        <v>0</v>
      </c>
      <c r="NN36" s="422">
        <f t="shared" si="357"/>
        <v>0</v>
      </c>
      <c r="NO36" s="422">
        <f t="shared" si="357"/>
        <v>0</v>
      </c>
      <c r="NP36" s="422">
        <f t="shared" si="357"/>
        <v>0</v>
      </c>
      <c r="NQ36" s="422">
        <f t="shared" si="357"/>
        <v>0</v>
      </c>
      <c r="NR36" s="422">
        <f t="shared" si="357"/>
        <v>0</v>
      </c>
      <c r="NS36" s="422">
        <f t="shared" si="357"/>
        <v>0</v>
      </c>
      <c r="NT36" s="422">
        <f t="shared" si="357"/>
        <v>0</v>
      </c>
      <c r="NU36" s="422">
        <f t="shared" si="357"/>
        <v>0</v>
      </c>
      <c r="NV36" s="422">
        <f t="shared" si="357"/>
        <v>0</v>
      </c>
      <c r="NW36" s="422">
        <f t="shared" si="357"/>
        <v>0</v>
      </c>
      <c r="NX36" s="422">
        <f t="shared" si="357"/>
        <v>0</v>
      </c>
      <c r="NY36" s="422">
        <f t="shared" si="357"/>
        <v>0</v>
      </c>
      <c r="NZ36" s="422">
        <f t="shared" si="357"/>
        <v>0</v>
      </c>
      <c r="OA36" s="422">
        <f t="shared" si="357"/>
        <v>0</v>
      </c>
      <c r="OB36" s="422">
        <f t="shared" si="357"/>
        <v>0</v>
      </c>
      <c r="OC36" s="422">
        <f t="shared" si="357"/>
        <v>0</v>
      </c>
      <c r="OD36" s="422">
        <f t="shared" si="357"/>
        <v>0</v>
      </c>
      <c r="OE36" s="422">
        <f t="shared" si="357"/>
        <v>0</v>
      </c>
      <c r="OF36" s="422">
        <f t="shared" si="357"/>
        <v>0</v>
      </c>
      <c r="OG36" s="422">
        <f t="shared" si="357"/>
        <v>0</v>
      </c>
      <c r="OH36" s="422">
        <f t="shared" si="357"/>
        <v>0</v>
      </c>
      <c r="OI36" s="422">
        <f t="shared" si="357"/>
        <v>0</v>
      </c>
      <c r="OJ36" s="422">
        <f t="shared" si="357"/>
        <v>0</v>
      </c>
      <c r="OK36" s="422">
        <f t="shared" si="357"/>
        <v>0</v>
      </c>
      <c r="OL36" s="422">
        <f t="shared" si="357"/>
        <v>0</v>
      </c>
      <c r="OM36" s="422">
        <f t="shared" si="357"/>
        <v>0</v>
      </c>
      <c r="ON36" s="422">
        <f t="shared" si="357"/>
        <v>0</v>
      </c>
      <c r="OO36" s="422">
        <f t="shared" si="357"/>
        <v>0</v>
      </c>
      <c r="OP36" s="422">
        <f t="shared" si="357"/>
        <v>0</v>
      </c>
      <c r="OQ36" s="422">
        <f t="shared" si="357"/>
        <v>0</v>
      </c>
      <c r="OR36" s="422">
        <f t="shared" si="357"/>
        <v>0</v>
      </c>
      <c r="OS36" s="422">
        <f t="shared" si="357"/>
        <v>0</v>
      </c>
      <c r="OT36" s="422">
        <f t="shared" si="357"/>
        <v>0</v>
      </c>
      <c r="OU36" s="422">
        <f t="shared" si="357"/>
        <v>0</v>
      </c>
      <c r="OV36" s="422">
        <f t="shared" si="357"/>
        <v>0</v>
      </c>
      <c r="OW36" s="422">
        <f t="shared" si="357"/>
        <v>0</v>
      </c>
      <c r="OX36" s="422">
        <f t="shared" si="357"/>
        <v>0</v>
      </c>
      <c r="OY36" s="422">
        <f t="shared" si="357"/>
        <v>0</v>
      </c>
      <c r="OZ36" s="422">
        <f t="shared" si="357"/>
        <v>0</v>
      </c>
      <c r="PA36" s="422">
        <f t="shared" si="357"/>
        <v>0</v>
      </c>
      <c r="PB36" s="422">
        <f t="shared" si="357"/>
        <v>0</v>
      </c>
      <c r="PC36" s="422">
        <f t="shared" si="357"/>
        <v>0</v>
      </c>
      <c r="PD36" s="422">
        <f t="shared" si="357"/>
        <v>0</v>
      </c>
      <c r="PE36" s="422">
        <f t="shared" si="358"/>
        <v>0</v>
      </c>
      <c r="PF36" s="422">
        <f t="shared" si="358"/>
        <v>0</v>
      </c>
      <c r="PG36" s="422">
        <f t="shared" si="358"/>
        <v>0</v>
      </c>
      <c r="PH36" s="422">
        <f t="shared" si="358"/>
        <v>0</v>
      </c>
    </row>
    <row r="37">
      <c r="B37" s="430" t="s">
        <v>146</v>
      </c>
      <c r="C37" s="404">
        <v>36</v>
      </c>
      <c r="D37" s="46"/>
      <c r="E37" s="46">
        <v>36</v>
      </c>
      <c r="F37" s="418" t="s">
        <v>137</v>
      </c>
      <c r="G37" s="43" t="n">
        <f>I37/Units_SF_M2</f>
        <v>-260.773047473185</v>
      </c>
      <c r="H37" s="424"/>
      <c r="I37" s="425" t="n">
        <f>PROJECTS!$AP$176*1000000</f>
        <v>-20421757.987478103</v>
      </c>
      <c r="K37" s="22" t="str">
        <f>IF(ROUND(SUM(L37:EN37),0)=ROUND(I37,0),"","Incomplete")</f>
      </c>
      <c r="L37" s="426">
        <f t="shared" si="329"/>
        <v>-551939.40506697574</v>
      </c>
      <c r="M37" s="426">
        <f t="shared" si="329"/>
        <v>-551939.40506697574</v>
      </c>
      <c r="N37" s="426">
        <f t="shared" si="329"/>
        <v>-551939.40506697574</v>
      </c>
      <c r="O37" s="426">
        <f t="shared" si="329"/>
        <v>-551939.40506697574</v>
      </c>
      <c r="P37" s="426">
        <f t="shared" si="329"/>
        <v>-551939.40506697574</v>
      </c>
      <c r="Q37" s="426">
        <f t="shared" si="329"/>
        <v>-551939.40506697574</v>
      </c>
      <c r="R37" s="426">
        <f t="shared" si="329"/>
        <v>-551939.40506697574</v>
      </c>
      <c r="S37" s="426">
        <f t="shared" si="329"/>
        <v>-551939.40506697574</v>
      </c>
      <c r="T37" s="426">
        <f t="shared" si="329"/>
        <v>-551939.40506697574</v>
      </c>
      <c r="U37" s="426">
        <f t="shared" si="329"/>
        <v>-551939.40506697574</v>
      </c>
      <c r="V37" s="426">
        <f t="shared" si="330"/>
        <v>-551939.40506697574</v>
      </c>
      <c r="W37" s="426">
        <f t="shared" si="330"/>
        <v>-551939.40506697574</v>
      </c>
      <c r="X37" s="426">
        <f t="shared" si="330"/>
        <v>-551939.40506697574</v>
      </c>
      <c r="Y37" s="426">
        <f t="shared" si="330"/>
        <v>-551939.40506697574</v>
      </c>
      <c r="Z37" s="426">
        <f t="shared" si="330"/>
        <v>-551939.40506697574</v>
      </c>
      <c r="AA37" s="426">
        <f t="shared" si="330"/>
        <v>-551939.40506697574</v>
      </c>
      <c r="AB37" s="426">
        <f t="shared" si="330"/>
        <v>-551939.40506697574</v>
      </c>
      <c r="AC37" s="426">
        <f t="shared" si="330"/>
        <v>-551939.40506697574</v>
      </c>
      <c r="AD37" s="426">
        <f t="shared" si="330"/>
        <v>-551939.40506697574</v>
      </c>
      <c r="AE37" s="426">
        <f t="shared" si="330"/>
        <v>-551939.40506697574</v>
      </c>
      <c r="AF37" s="426">
        <f t="shared" si="331"/>
        <v>-551939.40506697574</v>
      </c>
      <c r="AG37" s="426">
        <f t="shared" si="331"/>
        <v>-551939.40506697574</v>
      </c>
      <c r="AH37" s="426">
        <f t="shared" si="331"/>
        <v>-551939.40506697574</v>
      </c>
      <c r="AI37" s="426">
        <f t="shared" si="331"/>
        <v>-551939.40506697574</v>
      </c>
      <c r="AJ37" s="426">
        <f t="shared" si="331"/>
        <v>-551939.40506697574</v>
      </c>
      <c r="AK37" s="426">
        <f t="shared" si="331"/>
        <v>-551939.40506697574</v>
      </c>
      <c r="AL37" s="426">
        <f t="shared" si="331"/>
        <v>-551939.40506697574</v>
      </c>
      <c r="AM37" s="426">
        <f t="shared" si="331"/>
        <v>-551939.40506697574</v>
      </c>
      <c r="AN37" s="426">
        <f t="shared" si="331"/>
        <v>-551939.40506697574</v>
      </c>
      <c r="AO37" s="426">
        <f t="shared" si="331"/>
        <v>-551939.40506697574</v>
      </c>
      <c r="AP37" s="426">
        <f t="shared" si="332"/>
        <v>-551939.40506697574</v>
      </c>
      <c r="AQ37" s="426">
        <f t="shared" si="332"/>
        <v>-551939.40506697574</v>
      </c>
      <c r="AR37" s="426">
        <f t="shared" si="332"/>
        <v>-551939.40506697574</v>
      </c>
      <c r="AS37" s="426">
        <f t="shared" si="332"/>
        <v>-551939.40506697574</v>
      </c>
      <c r="AT37" s="426">
        <f t="shared" si="332"/>
        <v>-551939.40506697574</v>
      </c>
      <c r="AU37" s="426">
        <f t="shared" si="332"/>
        <v>-551939.40506697574</v>
      </c>
      <c r="AV37" s="426">
        <f t="shared" si="332"/>
        <v>-551939.40506697574</v>
      </c>
      <c r="AW37" s="426">
        <f t="shared" si="332"/>
        <v>0</v>
      </c>
      <c r="AX37" s="426">
        <f t="shared" si="332"/>
        <v>0</v>
      </c>
      <c r="AY37" s="426">
        <f t="shared" si="332"/>
        <v>0</v>
      </c>
      <c r="AZ37" s="426">
        <f t="shared" si="333"/>
        <v>0</v>
      </c>
      <c r="BA37" s="426">
        <f t="shared" si="333"/>
        <v>0</v>
      </c>
      <c r="BB37" s="426">
        <f t="shared" si="333"/>
        <v>0</v>
      </c>
      <c r="BC37" s="426">
        <f t="shared" si="333"/>
        <v>0</v>
      </c>
      <c r="BD37" s="426">
        <f t="shared" si="333"/>
        <v>0</v>
      </c>
      <c r="BE37" s="426">
        <f t="shared" si="333"/>
        <v>0</v>
      </c>
      <c r="BF37" s="426">
        <f t="shared" si="333"/>
        <v>0</v>
      </c>
      <c r="BG37" s="426">
        <f t="shared" si="333"/>
        <v>0</v>
      </c>
      <c r="BH37" s="426">
        <f t="shared" si="333"/>
        <v>0</v>
      </c>
      <c r="BI37" s="426">
        <f t="shared" si="333"/>
        <v>0</v>
      </c>
      <c r="BJ37" s="426">
        <f t="shared" si="334"/>
        <v>0</v>
      </c>
      <c r="BK37" s="426">
        <f t="shared" si="334"/>
        <v>0</v>
      </c>
      <c r="BL37" s="426">
        <f t="shared" si="334"/>
        <v>0</v>
      </c>
      <c r="BM37" s="426">
        <f t="shared" si="334"/>
        <v>0</v>
      </c>
      <c r="BN37" s="426">
        <f t="shared" si="334"/>
        <v>0</v>
      </c>
      <c r="BO37" s="426">
        <f t="shared" si="334"/>
        <v>0</v>
      </c>
      <c r="BP37" s="426">
        <f t="shared" si="334"/>
        <v>0</v>
      </c>
      <c r="BQ37" s="426">
        <f t="shared" si="334"/>
        <v>0</v>
      </c>
      <c r="BR37" s="426">
        <f t="shared" si="334"/>
        <v>0</v>
      </c>
      <c r="BS37" s="426">
        <f t="shared" si="334"/>
        <v>0</v>
      </c>
      <c r="BT37" s="426">
        <f t="shared" si="335"/>
        <v>0</v>
      </c>
      <c r="BU37" s="426">
        <f t="shared" si="335"/>
        <v>0</v>
      </c>
      <c r="BV37" s="426">
        <f t="shared" si="335"/>
        <v>0</v>
      </c>
      <c r="BW37" s="426">
        <f t="shared" si="335"/>
        <v>0</v>
      </c>
      <c r="BX37" s="426">
        <f t="shared" si="335"/>
        <v>0</v>
      </c>
      <c r="BY37" s="426">
        <f t="shared" si="335"/>
        <v>0</v>
      </c>
      <c r="BZ37" s="426">
        <f t="shared" si="335"/>
        <v>0</v>
      </c>
      <c r="CA37" s="426">
        <f t="shared" si="335"/>
        <v>0</v>
      </c>
      <c r="CB37" s="426">
        <f t="shared" si="335"/>
        <v>0</v>
      </c>
      <c r="CC37" s="426">
        <f t="shared" si="335"/>
        <v>0</v>
      </c>
      <c r="CD37" s="426">
        <f t="shared" si="336"/>
        <v>0</v>
      </c>
      <c r="CE37" s="426">
        <f t="shared" si="336"/>
        <v>0</v>
      </c>
      <c r="CF37" s="426">
        <f t="shared" si="336"/>
        <v>0</v>
      </c>
      <c r="CG37" s="426">
        <f t="shared" si="336"/>
        <v>0</v>
      </c>
      <c r="CH37" s="426">
        <f t="shared" si="336"/>
        <v>0</v>
      </c>
      <c r="CI37" s="426">
        <f t="shared" si="336"/>
        <v>0</v>
      </c>
      <c r="CJ37" s="426">
        <f t="shared" si="336"/>
        <v>0</v>
      </c>
      <c r="CK37" s="426">
        <f t="shared" si="336"/>
        <v>0</v>
      </c>
      <c r="CL37" s="426">
        <f t="shared" si="336"/>
        <v>0</v>
      </c>
      <c r="CM37" s="426">
        <f t="shared" si="336"/>
        <v>0</v>
      </c>
      <c r="CN37" s="426">
        <f t="shared" si="337"/>
        <v>0</v>
      </c>
      <c r="CO37" s="426">
        <f t="shared" si="337"/>
        <v>0</v>
      </c>
      <c r="CP37" s="426">
        <f t="shared" si="337"/>
        <v>0</v>
      </c>
      <c r="CQ37" s="426">
        <f t="shared" si="337"/>
        <v>0</v>
      </c>
      <c r="CR37" s="426">
        <f t="shared" si="337"/>
        <v>0</v>
      </c>
      <c r="CS37" s="426">
        <f t="shared" si="337"/>
        <v>0</v>
      </c>
      <c r="CT37" s="426">
        <f t="shared" si="337"/>
        <v>0</v>
      </c>
      <c r="CU37" s="426">
        <f t="shared" si="337"/>
        <v>0</v>
      </c>
      <c r="CV37" s="426">
        <f t="shared" si="337"/>
        <v>0</v>
      </c>
      <c r="CW37" s="426">
        <f t="shared" si="337"/>
        <v>0</v>
      </c>
      <c r="CX37" s="426">
        <f t="shared" si="338"/>
        <v>0</v>
      </c>
      <c r="CY37" s="426">
        <f t="shared" si="338"/>
        <v>0</v>
      </c>
      <c r="CZ37" s="426">
        <f t="shared" si="338"/>
        <v>0</v>
      </c>
      <c r="DA37" s="426">
        <f t="shared" si="338"/>
        <v>0</v>
      </c>
      <c r="DB37" s="426">
        <f t="shared" si="338"/>
        <v>0</v>
      </c>
      <c r="DC37" s="426">
        <f t="shared" si="338"/>
        <v>0</v>
      </c>
      <c r="DD37" s="426">
        <f t="shared" si="338"/>
        <v>0</v>
      </c>
      <c r="DE37" s="426">
        <f t="shared" si="338"/>
        <v>0</v>
      </c>
      <c r="DF37" s="426">
        <f t="shared" si="338"/>
        <v>0</v>
      </c>
      <c r="DG37" s="426">
        <f t="shared" si="338"/>
        <v>0</v>
      </c>
      <c r="DH37" s="426">
        <f t="shared" si="339"/>
        <v>0</v>
      </c>
      <c r="DI37" s="426">
        <f t="shared" si="339"/>
        <v>0</v>
      </c>
      <c r="DJ37" s="426">
        <f t="shared" si="339"/>
        <v>0</v>
      </c>
      <c r="DK37" s="426">
        <f t="shared" si="339"/>
        <v>0</v>
      </c>
      <c r="DL37" s="426">
        <f t="shared" si="339"/>
        <v>0</v>
      </c>
      <c r="DM37" s="426">
        <f t="shared" si="339"/>
        <v>0</v>
      </c>
      <c r="DN37" s="426">
        <f t="shared" si="339"/>
        <v>0</v>
      </c>
      <c r="DO37" s="426">
        <f t="shared" si="339"/>
        <v>0</v>
      </c>
      <c r="DP37" s="426">
        <f t="shared" si="339"/>
        <v>0</v>
      </c>
      <c r="DQ37" s="426">
        <f t="shared" si="339"/>
        <v>0</v>
      </c>
      <c r="DR37" s="426">
        <f t="shared" si="340"/>
        <v>0</v>
      </c>
      <c r="DS37" s="426">
        <f t="shared" si="340"/>
        <v>0</v>
      </c>
      <c r="DT37" s="426">
        <f t="shared" si="340"/>
        <v>0</v>
      </c>
      <c r="DU37" s="426">
        <f t="shared" si="340"/>
        <v>0</v>
      </c>
      <c r="DV37" s="426">
        <f t="shared" si="340"/>
        <v>0</v>
      </c>
      <c r="DW37" s="426">
        <f t="shared" si="340"/>
        <v>0</v>
      </c>
      <c r="DX37" s="426">
        <f t="shared" si="340"/>
        <v>0</v>
      </c>
      <c r="DY37" s="426">
        <f t="shared" si="340"/>
        <v>0</v>
      </c>
      <c r="DZ37" s="426">
        <f t="shared" si="340"/>
        <v>0</v>
      </c>
      <c r="EA37" s="426">
        <f t="shared" si="340"/>
        <v>0</v>
      </c>
      <c r="EB37" s="426">
        <f t="shared" si="341"/>
        <v>0</v>
      </c>
      <c r="EC37" s="426">
        <f t="shared" si="341"/>
        <v>0</v>
      </c>
      <c r="ED37" s="426">
        <f t="shared" si="341"/>
        <v>0</v>
      </c>
      <c r="EE37" s="426">
        <f t="shared" si="341"/>
        <v>0</v>
      </c>
      <c r="EF37" s="426">
        <f t="shared" si="341"/>
        <v>0</v>
      </c>
      <c r="EG37" s="426">
        <f t="shared" si="341"/>
        <v>0</v>
      </c>
      <c r="EH37" s="426">
        <f t="shared" si="341"/>
        <v>0</v>
      </c>
      <c r="EI37" s="426">
        <f t="shared" si="341"/>
        <v>0</v>
      </c>
      <c r="EJ37" s="426">
        <f t="shared" si="341"/>
        <v>0</v>
      </c>
      <c r="EK37" s="426">
        <f t="shared" si="341"/>
        <v>0</v>
      </c>
      <c r="EL37" s="426">
        <f t="shared" si="342"/>
        <v>0</v>
      </c>
      <c r="EM37" s="426">
        <f t="shared" si="342"/>
        <v>0</v>
      </c>
      <c r="EN37" s="426">
        <f t="shared" si="342"/>
        <v>0</v>
      </c>
      <c r="EP37" s="221" t="n">
        <f>I37</f>
        <v>-20421757.987478103</v>
      </c>
      <c r="EQ37" s="202" t="n">
        <f>INDEX($L$24:$EN$24,1,$D37+1)</f>
        <v>46203</v>
      </c>
      <c r="ER37" s="202" t="n">
        <f>INDEX($L$24:$EN$24,1,$E37+1)</f>
        <v>47299</v>
      </c>
      <c r="ES37" s="20" t="n">
        <f>+E37-D37+1</f>
        <v>37</v>
      </c>
      <c r="ET37" s="18" t="str">
        <f>F37</f>
        <v>Straight-Line</v>
      </c>
      <c r="EU37" s="80" t="n">
        <f>ES37/Scurve_Dist</f>
        <v>6.166666666666667</v>
      </c>
      <c r="EV37" s="20">
        <f t="shared" si="343"/>
        <v>0</v>
      </c>
      <c r="EW37" s="20">
        <f t="shared" si="343"/>
        <v>0</v>
      </c>
      <c r="EX37" s="20">
        <f t="shared" si="343"/>
        <v>0</v>
      </c>
      <c r="EY37" s="20">
        <f t="shared" si="343"/>
        <v>0</v>
      </c>
      <c r="EZ37" s="20">
        <f t="shared" si="343"/>
        <v>0</v>
      </c>
      <c r="FA37" s="20">
        <f t="shared" si="343"/>
        <v>0</v>
      </c>
      <c r="FB37" s="20">
        <f t="shared" si="343"/>
        <v>0</v>
      </c>
      <c r="FC37" s="20">
        <f t="shared" si="343"/>
        <v>0</v>
      </c>
      <c r="FD37" s="20">
        <f t="shared" si="343"/>
        <v>0</v>
      </c>
      <c r="FE37" s="20">
        <f t="shared" si="343"/>
        <v>0</v>
      </c>
      <c r="FF37" s="20">
        <f t="shared" si="343"/>
        <v>0</v>
      </c>
      <c r="FG37" s="20">
        <f t="shared" si="343"/>
        <v>0</v>
      </c>
      <c r="FH37" s="20">
        <f t="shared" si="343"/>
        <v>0</v>
      </c>
      <c r="FI37" s="20">
        <f t="shared" si="343"/>
        <v>0</v>
      </c>
      <c r="FJ37" s="20">
        <f t="shared" si="343"/>
        <v>0</v>
      </c>
      <c r="FK37" s="20">
        <f t="shared" si="343"/>
        <v>0</v>
      </c>
      <c r="FL37" s="20">
        <f t="shared" si="344"/>
        <v>0</v>
      </c>
      <c r="FM37" s="20">
        <f t="shared" si="344"/>
        <v>0</v>
      </c>
      <c r="FN37" s="20">
        <f t="shared" si="344"/>
        <v>0</v>
      </c>
      <c r="FO37" s="20">
        <f t="shared" si="344"/>
        <v>0</v>
      </c>
      <c r="FP37" s="20">
        <f t="shared" si="344"/>
        <v>0</v>
      </c>
      <c r="FQ37" s="20">
        <f t="shared" si="344"/>
        <v>0</v>
      </c>
      <c r="FR37" s="20">
        <f t="shared" si="344"/>
        <v>0</v>
      </c>
      <c r="FS37" s="20">
        <f t="shared" si="344"/>
        <v>0</v>
      </c>
      <c r="FT37" s="20">
        <f t="shared" si="344"/>
        <v>0</v>
      </c>
      <c r="FU37" s="20">
        <f t="shared" si="344"/>
        <v>0</v>
      </c>
      <c r="FV37" s="20">
        <f t="shared" si="344"/>
        <v>0</v>
      </c>
      <c r="FW37" s="20">
        <f t="shared" si="344"/>
        <v>0</v>
      </c>
      <c r="FX37" s="20">
        <f t="shared" si="344"/>
        <v>0</v>
      </c>
      <c r="FY37" s="20">
        <f t="shared" si="344"/>
        <v>0</v>
      </c>
      <c r="FZ37" s="20">
        <f t="shared" si="344"/>
        <v>0</v>
      </c>
      <c r="GA37" s="20">
        <f t="shared" si="344"/>
        <v>0</v>
      </c>
      <c r="GB37" s="20">
        <f t="shared" si="345"/>
        <v>0</v>
      </c>
      <c r="GC37" s="20">
        <f t="shared" si="345"/>
        <v>0</v>
      </c>
      <c r="GD37" s="20">
        <f t="shared" si="345"/>
        <v>0</v>
      </c>
      <c r="GE37" s="20">
        <f t="shared" si="345"/>
        <v>0</v>
      </c>
      <c r="GF37" s="20">
        <f t="shared" si="345"/>
        <v>0</v>
      </c>
      <c r="GG37" s="20">
        <f t="shared" si="345"/>
        <v>0</v>
      </c>
      <c r="GH37" s="20">
        <f t="shared" si="345"/>
        <v>0</v>
      </c>
      <c r="GI37" s="20">
        <f t="shared" si="345"/>
        <v>0</v>
      </c>
      <c r="GJ37" s="20">
        <f t="shared" si="345"/>
        <v>0</v>
      </c>
      <c r="GK37" s="20">
        <f t="shared" si="345"/>
        <v>0</v>
      </c>
      <c r="GL37" s="20">
        <f t="shared" si="345"/>
        <v>0</v>
      </c>
      <c r="GM37" s="20">
        <f t="shared" si="345"/>
        <v>0</v>
      </c>
      <c r="GN37" s="20">
        <f t="shared" si="345"/>
        <v>0</v>
      </c>
      <c r="GO37" s="20">
        <f t="shared" si="345"/>
        <v>0</v>
      </c>
      <c r="GP37" s="20">
        <f t="shared" si="345"/>
        <v>0</v>
      </c>
      <c r="GQ37" s="20">
        <f t="shared" si="345"/>
        <v>0</v>
      </c>
      <c r="GR37" s="20">
        <f t="shared" si="346"/>
        <v>0</v>
      </c>
      <c r="GS37" s="20">
        <f t="shared" si="346"/>
        <v>0</v>
      </c>
      <c r="GT37" s="20">
        <f t="shared" si="346"/>
        <v>0</v>
      </c>
      <c r="GU37" s="20">
        <f t="shared" si="346"/>
        <v>0</v>
      </c>
      <c r="GV37" s="20">
        <f t="shared" si="346"/>
        <v>0</v>
      </c>
      <c r="GW37" s="20">
        <f t="shared" si="346"/>
        <v>0</v>
      </c>
      <c r="GX37" s="20">
        <f t="shared" si="346"/>
        <v>0</v>
      </c>
      <c r="GY37" s="20">
        <f t="shared" si="346"/>
        <v>0</v>
      </c>
      <c r="GZ37" s="20">
        <f t="shared" si="346"/>
        <v>0</v>
      </c>
      <c r="HA37" s="20">
        <f t="shared" si="346"/>
        <v>0</v>
      </c>
      <c r="HB37" s="20">
        <f t="shared" si="346"/>
        <v>0</v>
      </c>
      <c r="HC37" s="20">
        <f t="shared" si="346"/>
        <v>0</v>
      </c>
      <c r="HD37" s="20">
        <f t="shared" si="346"/>
        <v>0</v>
      </c>
      <c r="HE37" s="20">
        <f t="shared" si="346"/>
        <v>0</v>
      </c>
      <c r="HF37" s="20">
        <f t="shared" si="346"/>
        <v>0</v>
      </c>
      <c r="HG37" s="20">
        <f t="shared" si="346"/>
        <v>0</v>
      </c>
      <c r="HH37" s="20">
        <f t="shared" si="347"/>
        <v>0</v>
      </c>
      <c r="HI37" s="20">
        <f t="shared" si="347"/>
        <v>0</v>
      </c>
      <c r="HJ37" s="20">
        <f t="shared" si="347"/>
        <v>0</v>
      </c>
      <c r="HK37" s="20">
        <f t="shared" si="347"/>
        <v>0</v>
      </c>
      <c r="HL37" s="20">
        <f t="shared" si="347"/>
        <v>0</v>
      </c>
      <c r="HM37" s="20">
        <f t="shared" si="347"/>
        <v>0</v>
      </c>
      <c r="HN37" s="20">
        <f t="shared" si="347"/>
        <v>0</v>
      </c>
      <c r="HO37" s="20">
        <f t="shared" si="347"/>
        <v>0</v>
      </c>
      <c r="HP37" s="20">
        <f t="shared" si="347"/>
        <v>0</v>
      </c>
      <c r="HQ37" s="20">
        <f t="shared" si="347"/>
        <v>0</v>
      </c>
      <c r="HR37" s="20">
        <f t="shared" si="347"/>
        <v>0</v>
      </c>
      <c r="HS37" s="20">
        <f t="shared" si="347"/>
        <v>0</v>
      </c>
      <c r="HT37" s="20">
        <f t="shared" si="347"/>
        <v>0</v>
      </c>
      <c r="HU37" s="20">
        <f t="shared" si="347"/>
        <v>0</v>
      </c>
      <c r="HV37" s="20">
        <f t="shared" si="347"/>
        <v>0</v>
      </c>
      <c r="HW37" s="20">
        <f t="shared" si="347"/>
        <v>0</v>
      </c>
      <c r="HX37" s="20">
        <f t="shared" si="348"/>
        <v>0</v>
      </c>
      <c r="HY37" s="20">
        <f t="shared" si="348"/>
        <v>0</v>
      </c>
      <c r="HZ37" s="20">
        <f t="shared" si="348"/>
        <v>0</v>
      </c>
      <c r="IA37" s="20">
        <f t="shared" si="348"/>
        <v>0</v>
      </c>
      <c r="IB37" s="20">
        <f t="shared" si="348"/>
        <v>0</v>
      </c>
      <c r="IC37" s="20">
        <f t="shared" si="348"/>
        <v>0</v>
      </c>
      <c r="ID37" s="20">
        <f t="shared" si="348"/>
        <v>0</v>
      </c>
      <c r="IE37" s="20">
        <f t="shared" si="348"/>
        <v>0</v>
      </c>
      <c r="IF37" s="20">
        <f t="shared" si="348"/>
        <v>0</v>
      </c>
      <c r="IG37" s="20">
        <f t="shared" si="348"/>
        <v>0</v>
      </c>
      <c r="IH37" s="20">
        <f t="shared" si="348"/>
        <v>0</v>
      </c>
      <c r="II37" s="20">
        <f t="shared" si="348"/>
        <v>0</v>
      </c>
      <c r="IJ37" s="20">
        <f t="shared" si="348"/>
        <v>0</v>
      </c>
      <c r="IK37" s="20">
        <f t="shared" si="348"/>
        <v>0</v>
      </c>
      <c r="IL37" s="20">
        <f t="shared" si="348"/>
        <v>0</v>
      </c>
      <c r="IM37" s="20">
        <f t="shared" si="348"/>
        <v>0</v>
      </c>
      <c r="IN37" s="20">
        <f t="shared" si="349"/>
        <v>0</v>
      </c>
      <c r="IO37" s="20">
        <f t="shared" si="349"/>
        <v>0</v>
      </c>
      <c r="IP37" s="20">
        <f t="shared" si="349"/>
        <v>0</v>
      </c>
      <c r="IQ37" s="20">
        <f t="shared" si="349"/>
        <v>0</v>
      </c>
      <c r="IR37" s="20">
        <f t="shared" si="349"/>
        <v>0</v>
      </c>
      <c r="IS37" s="20">
        <f t="shared" si="349"/>
        <v>0</v>
      </c>
      <c r="IT37" s="20">
        <f t="shared" si="349"/>
        <v>0</v>
      </c>
      <c r="IU37" s="20">
        <f t="shared" si="349"/>
        <v>0</v>
      </c>
      <c r="IV37" s="20">
        <f t="shared" si="349"/>
        <v>0</v>
      </c>
      <c r="IW37" s="20">
        <f t="shared" si="349"/>
        <v>0</v>
      </c>
      <c r="IX37" s="20">
        <f t="shared" si="349"/>
        <v>0</v>
      </c>
      <c r="IY37" s="20">
        <f t="shared" si="349"/>
        <v>0</v>
      </c>
      <c r="IZ37" s="20">
        <f t="shared" si="349"/>
        <v>0</v>
      </c>
      <c r="JA37" s="20">
        <f t="shared" si="349"/>
        <v>0</v>
      </c>
      <c r="JB37" s="20">
        <f t="shared" si="349"/>
        <v>0</v>
      </c>
      <c r="JC37" s="20">
        <f t="shared" si="349"/>
        <v>0</v>
      </c>
      <c r="JD37" s="20">
        <f t="shared" si="350"/>
        <v>0</v>
      </c>
      <c r="JE37" s="20">
        <f t="shared" si="350"/>
        <v>0</v>
      </c>
      <c r="JF37" s="20">
        <f t="shared" si="350"/>
        <v>0</v>
      </c>
      <c r="JG37" s="20">
        <f t="shared" si="350"/>
        <v>0</v>
      </c>
      <c r="JH37" s="20">
        <f t="shared" si="350"/>
        <v>0</v>
      </c>
      <c r="JI37" s="20">
        <f t="shared" si="350"/>
        <v>0</v>
      </c>
      <c r="JJ37" s="20">
        <f t="shared" si="350"/>
        <v>0</v>
      </c>
      <c r="JK37" s="20">
        <f t="shared" si="350"/>
        <v>0</v>
      </c>
      <c r="JL37" s="20">
        <f t="shared" si="350"/>
        <v>0</v>
      </c>
      <c r="JM37" s="20">
        <f t="shared" si="350"/>
        <v>0</v>
      </c>
      <c r="JN37" s="20">
        <f t="shared" si="350"/>
        <v>0</v>
      </c>
      <c r="JO37" s="20">
        <f t="shared" si="350"/>
        <v>0</v>
      </c>
      <c r="JP37" s="20">
        <f t="shared" si="350"/>
        <v>0</v>
      </c>
      <c r="JQ37" s="20">
        <f t="shared" si="350"/>
        <v>0</v>
      </c>
      <c r="JR37" s="20">
        <f t="shared" si="350"/>
        <v>0</v>
      </c>
      <c r="JS37" s="20">
        <f t="shared" si="350"/>
        <v>0</v>
      </c>
      <c r="JT37" s="20">
        <f t="shared" si="351"/>
        <v>0</v>
      </c>
      <c r="JU37" s="20">
        <f t="shared" si="351"/>
        <v>0</v>
      </c>
      <c r="JV37" s="20">
        <f t="shared" si="351"/>
        <v>0</v>
      </c>
      <c r="JW37" s="20">
        <f t="shared" si="351"/>
        <v>0</v>
      </c>
      <c r="JX37" s="20">
        <f t="shared" si="351"/>
        <v>0</v>
      </c>
      <c r="JZ37" s="221" t="str">
        <f t="shared" si="285"/>
        <v>Staged operating funding sources</v>
      </c>
      <c r="KA37" s="202"/>
      <c r="KB37" s="20">
        <f t="shared" si="352"/>
        <v>0</v>
      </c>
      <c r="KC37" s="20">
        <f t="shared" si="353"/>
        <v>36</v>
      </c>
      <c r="KD37" s="20">
        <f t="shared" si="354"/>
        <v>37</v>
      </c>
      <c r="KE37" s="422">
        <f t="shared" si="355"/>
        <v>-20421757.987478103</v>
      </c>
      <c r="KF37" s="422">
        <f t="shared" si="359"/>
        <v>-1074829.3677620054</v>
      </c>
      <c r="KG37" s="422">
        <f t="shared" si="356"/>
        <v>-1045779.9253900594</v>
      </c>
      <c r="KH37" s="422">
        <f t="shared" si="356"/>
        <v>-1016730.4830181133</v>
      </c>
      <c r="KI37" s="422">
        <f t="shared" si="356"/>
        <v>-987681.04064616712</v>
      </c>
      <c r="KJ37" s="422">
        <f t="shared" si="356"/>
        <v>-958631.59827422106</v>
      </c>
      <c r="KK37" s="422">
        <f t="shared" si="356"/>
        <v>-929582.155902275</v>
      </c>
      <c r="KL37" s="422">
        <f t="shared" si="356"/>
        <v>-900532.71353032894</v>
      </c>
      <c r="KM37" s="422">
        <f t="shared" si="356"/>
        <v>-871483.27115838276</v>
      </c>
      <c r="KN37" s="422">
        <f t="shared" si="356"/>
        <v>-842433.8287864367</v>
      </c>
      <c r="KO37" s="422">
        <f t="shared" si="356"/>
        <v>-813384.38641449064</v>
      </c>
      <c r="KP37" s="422">
        <f t="shared" si="356"/>
        <v>-784334.94404254458</v>
      </c>
      <c r="KQ37" s="422">
        <f t="shared" si="356"/>
        <v>-755285.5016705984</v>
      </c>
      <c r="KR37" s="422">
        <f t="shared" si="356"/>
        <v>-726236.05929865234</v>
      </c>
      <c r="KS37" s="422">
        <f t="shared" si="356"/>
        <v>-697186.61692670628</v>
      </c>
      <c r="KT37" s="422">
        <f t="shared" si="356"/>
        <v>-668137.1745547601</v>
      </c>
      <c r="KU37" s="422">
        <f t="shared" si="356"/>
        <v>-639087.73218281404</v>
      </c>
      <c r="KV37" s="422">
        <f t="shared" si="356"/>
        <v>-610038.28981086798</v>
      </c>
      <c r="KW37" s="422">
        <f t="shared" si="356"/>
        <v>-580988.84743892192</v>
      </c>
      <c r="KX37" s="422">
        <f t="shared" si="356"/>
        <v>-551939.40506697586</v>
      </c>
      <c r="KY37" s="422">
        <f t="shared" si="356"/>
        <v>-522889.96269502968</v>
      </c>
      <c r="KZ37" s="422">
        <f t="shared" si="356"/>
        <v>-493840.52032308356</v>
      </c>
      <c r="LA37" s="422">
        <f t="shared" si="356"/>
        <v>-464791.0779511375</v>
      </c>
      <c r="LB37" s="422">
        <f t="shared" si="356"/>
        <v>-435741.63557919138</v>
      </c>
      <c r="LC37" s="422">
        <f t="shared" si="356"/>
        <v>-406692.19320724532</v>
      </c>
      <c r="LD37" s="422">
        <f t="shared" si="356"/>
        <v>-377642.7508352992</v>
      </c>
      <c r="LE37" s="422">
        <f t="shared" si="356"/>
        <v>-348593.30846335314</v>
      </c>
      <c r="LF37" s="422">
        <f t="shared" si="356"/>
        <v>-319543.86609140702</v>
      </c>
      <c r="LG37" s="422">
        <f t="shared" si="356"/>
        <v>-290494.42371946096</v>
      </c>
      <c r="LH37" s="422">
        <f t="shared" si="356"/>
        <v>-261444.98134751484</v>
      </c>
      <c r="LI37" s="422">
        <f t="shared" si="356"/>
        <v>-232395.53897556875</v>
      </c>
      <c r="LJ37" s="422">
        <f t="shared" si="356"/>
        <v>-203346.09660362266</v>
      </c>
      <c r="LK37" s="422">
        <f t="shared" si="356"/>
        <v>-174296.65423167657</v>
      </c>
      <c r="LL37" s="422">
        <f t="shared" si="356"/>
        <v>-145247.21185973048</v>
      </c>
      <c r="LM37" s="422">
        <f t="shared" si="356"/>
        <v>-116197.76948778438</v>
      </c>
      <c r="LN37" s="422">
        <f t="shared" si="356"/>
        <v>-87148.327115838285</v>
      </c>
      <c r="LO37" s="422">
        <f t="shared" si="356"/>
        <v>-58098.884743892188</v>
      </c>
      <c r="LP37" s="422">
        <f t="shared" si="356"/>
        <v>-29049.442371946094</v>
      </c>
      <c r="LQ37" s="422">
        <f t="shared" si="356"/>
        <v>0</v>
      </c>
      <c r="LR37" s="422">
        <f t="shared" si="356"/>
        <v>0</v>
      </c>
      <c r="LS37" s="422">
        <f t="shared" si="356"/>
        <v>0</v>
      </c>
      <c r="LT37" s="422">
        <f t="shared" si="356"/>
        <v>0</v>
      </c>
      <c r="LU37" s="422">
        <f t="shared" si="356"/>
        <v>0</v>
      </c>
      <c r="LV37" s="422">
        <f t="shared" si="356"/>
        <v>0</v>
      </c>
      <c r="LW37" s="422">
        <f t="shared" si="356"/>
        <v>0</v>
      </c>
      <c r="LX37" s="422">
        <f t="shared" si="356"/>
        <v>0</v>
      </c>
      <c r="LY37" s="422">
        <f t="shared" si="356"/>
        <v>0</v>
      </c>
      <c r="LZ37" s="422">
        <f t="shared" si="356"/>
        <v>0</v>
      </c>
      <c r="MA37" s="422">
        <f t="shared" si="356"/>
        <v>0</v>
      </c>
      <c r="MB37" s="422">
        <f t="shared" si="356"/>
        <v>0</v>
      </c>
      <c r="MC37" s="422">
        <f t="shared" si="356"/>
        <v>0</v>
      </c>
      <c r="MD37" s="422">
        <f t="shared" si="356"/>
        <v>0</v>
      </c>
      <c r="ME37" s="422">
        <f t="shared" si="356"/>
        <v>0</v>
      </c>
      <c r="MF37" s="422">
        <f t="shared" si="356"/>
        <v>0</v>
      </c>
      <c r="MG37" s="422">
        <f t="shared" si="356"/>
        <v>0</v>
      </c>
      <c r="MH37" s="422">
        <f t="shared" si="356"/>
        <v>0</v>
      </c>
      <c r="MI37" s="422">
        <f t="shared" si="356"/>
        <v>0</v>
      </c>
      <c r="MJ37" s="422">
        <f t="shared" si="356"/>
        <v>0</v>
      </c>
      <c r="MK37" s="422">
        <f t="shared" si="356"/>
        <v>0</v>
      </c>
      <c r="ML37" s="422">
        <f t="shared" si="356"/>
        <v>0</v>
      </c>
      <c r="MM37" s="422">
        <f t="shared" si="356"/>
        <v>0</v>
      </c>
      <c r="MN37" s="422">
        <f t="shared" si="356"/>
        <v>0</v>
      </c>
      <c r="MO37" s="422">
        <f t="shared" si="356"/>
        <v>0</v>
      </c>
      <c r="MP37" s="422">
        <f t="shared" si="356"/>
        <v>0</v>
      </c>
      <c r="MQ37" s="422">
        <f t="shared" si="356"/>
        <v>0</v>
      </c>
      <c r="MR37" s="422" t="n">
        <f t="shared" ref="MR37" si="360">AND(MR$23&gt;=$KB37,MR$23&lt;=$KC37)*(IF($F37="Steady Growth",MR$23-$KB37,$KC37-MR$23)+1)/($KD37*($KD37+1)/2)*$KE37</f>
        <v>0</v>
      </c>
      <c r="MS37" s="422">
        <f t="shared" si="357"/>
        <v>0</v>
      </c>
      <c r="MT37" s="422">
        <f t="shared" si="357"/>
        <v>0</v>
      </c>
      <c r="MU37" s="422">
        <f t="shared" si="357"/>
        <v>0</v>
      </c>
      <c r="MV37" s="422">
        <f t="shared" si="357"/>
        <v>0</v>
      </c>
      <c r="MW37" s="422">
        <f t="shared" si="357"/>
        <v>0</v>
      </c>
      <c r="MX37" s="422">
        <f t="shared" si="357"/>
        <v>0</v>
      </c>
      <c r="MY37" s="422">
        <f t="shared" si="357"/>
        <v>0</v>
      </c>
      <c r="MZ37" s="422">
        <f t="shared" si="357"/>
        <v>0</v>
      </c>
      <c r="NA37" s="422">
        <f t="shared" si="357"/>
        <v>0</v>
      </c>
      <c r="NB37" s="422">
        <f t="shared" si="357"/>
        <v>0</v>
      </c>
      <c r="NC37" s="422">
        <f t="shared" si="357"/>
        <v>0</v>
      </c>
      <c r="ND37" s="422">
        <f t="shared" si="357"/>
        <v>0</v>
      </c>
      <c r="NE37" s="422">
        <f t="shared" si="357"/>
        <v>0</v>
      </c>
      <c r="NF37" s="422">
        <f t="shared" si="357"/>
        <v>0</v>
      </c>
      <c r="NG37" s="422">
        <f t="shared" si="357"/>
        <v>0</v>
      </c>
      <c r="NH37" s="422">
        <f t="shared" si="357"/>
        <v>0</v>
      </c>
      <c r="NI37" s="422">
        <f t="shared" si="357"/>
        <v>0</v>
      </c>
      <c r="NJ37" s="422">
        <f t="shared" si="357"/>
        <v>0</v>
      </c>
      <c r="NK37" s="422">
        <f t="shared" si="357"/>
        <v>0</v>
      </c>
      <c r="NL37" s="422">
        <f t="shared" si="357"/>
        <v>0</v>
      </c>
      <c r="NM37" s="422">
        <f t="shared" si="357"/>
        <v>0</v>
      </c>
      <c r="NN37" s="422">
        <f t="shared" si="357"/>
        <v>0</v>
      </c>
      <c r="NO37" s="422">
        <f t="shared" si="357"/>
        <v>0</v>
      </c>
      <c r="NP37" s="422">
        <f t="shared" si="357"/>
        <v>0</v>
      </c>
      <c r="NQ37" s="422">
        <f t="shared" si="357"/>
        <v>0</v>
      </c>
      <c r="NR37" s="422">
        <f t="shared" si="357"/>
        <v>0</v>
      </c>
      <c r="NS37" s="422">
        <f t="shared" si="357"/>
        <v>0</v>
      </c>
      <c r="NT37" s="422">
        <f t="shared" si="357"/>
        <v>0</v>
      </c>
      <c r="NU37" s="422">
        <f t="shared" si="357"/>
        <v>0</v>
      </c>
      <c r="NV37" s="422">
        <f t="shared" si="357"/>
        <v>0</v>
      </c>
      <c r="NW37" s="422">
        <f t="shared" si="357"/>
        <v>0</v>
      </c>
      <c r="NX37" s="422">
        <f t="shared" si="357"/>
        <v>0</v>
      </c>
      <c r="NY37" s="422">
        <f t="shared" si="357"/>
        <v>0</v>
      </c>
      <c r="NZ37" s="422">
        <f t="shared" si="357"/>
        <v>0</v>
      </c>
      <c r="OA37" s="422">
        <f t="shared" si="357"/>
        <v>0</v>
      </c>
      <c r="OB37" s="422">
        <f t="shared" si="357"/>
        <v>0</v>
      </c>
      <c r="OC37" s="422">
        <f t="shared" si="357"/>
        <v>0</v>
      </c>
      <c r="OD37" s="422">
        <f t="shared" si="357"/>
        <v>0</v>
      </c>
      <c r="OE37" s="422">
        <f t="shared" si="357"/>
        <v>0</v>
      </c>
      <c r="OF37" s="422">
        <f t="shared" si="357"/>
        <v>0</v>
      </c>
      <c r="OG37" s="422">
        <f t="shared" si="357"/>
        <v>0</v>
      </c>
      <c r="OH37" s="422">
        <f t="shared" si="357"/>
        <v>0</v>
      </c>
      <c r="OI37" s="422">
        <f t="shared" si="357"/>
        <v>0</v>
      </c>
      <c r="OJ37" s="422">
        <f t="shared" si="357"/>
        <v>0</v>
      </c>
      <c r="OK37" s="422">
        <f t="shared" si="357"/>
        <v>0</v>
      </c>
      <c r="OL37" s="422">
        <f t="shared" si="357"/>
        <v>0</v>
      </c>
      <c r="OM37" s="422">
        <f t="shared" si="357"/>
        <v>0</v>
      </c>
      <c r="ON37" s="422">
        <f t="shared" si="357"/>
        <v>0</v>
      </c>
      <c r="OO37" s="422">
        <f t="shared" si="357"/>
        <v>0</v>
      </c>
      <c r="OP37" s="422">
        <f t="shared" si="357"/>
        <v>0</v>
      </c>
      <c r="OQ37" s="422">
        <f t="shared" si="357"/>
        <v>0</v>
      </c>
      <c r="OR37" s="422">
        <f t="shared" si="357"/>
        <v>0</v>
      </c>
      <c r="OS37" s="422">
        <f t="shared" si="357"/>
        <v>0</v>
      </c>
      <c r="OT37" s="422">
        <f t="shared" si="357"/>
        <v>0</v>
      </c>
      <c r="OU37" s="422">
        <f t="shared" si="357"/>
        <v>0</v>
      </c>
      <c r="OV37" s="422">
        <f t="shared" si="357"/>
        <v>0</v>
      </c>
      <c r="OW37" s="422">
        <f t="shared" si="357"/>
        <v>0</v>
      </c>
      <c r="OX37" s="422">
        <f t="shared" si="357"/>
        <v>0</v>
      </c>
      <c r="OY37" s="422">
        <f t="shared" si="357"/>
        <v>0</v>
      </c>
      <c r="OZ37" s="422">
        <f t="shared" si="357"/>
        <v>0</v>
      </c>
      <c r="PA37" s="422">
        <f t="shared" si="357"/>
        <v>0</v>
      </c>
      <c r="PB37" s="422">
        <f t="shared" si="357"/>
        <v>0</v>
      </c>
      <c r="PC37" s="422">
        <f t="shared" si="357"/>
        <v>0</v>
      </c>
      <c r="PD37" s="422" t="n">
        <f t="shared" ref="PD37" si="361">AND(PD$23&gt;=$KB37,PD$23&lt;=$KC37)*(IF($F37="Steady Growth",PD$23-$KB37,$KC37-PD$23)+1)/($KD37*($KD37+1)/2)*$KE37</f>
        <v>0</v>
      </c>
      <c r="PE37" s="422">
        <f t="shared" si="358"/>
        <v>0</v>
      </c>
      <c r="PF37" s="422">
        <f t="shared" si="358"/>
        <v>0</v>
      </c>
      <c r="PG37" s="422">
        <f t="shared" si="358"/>
        <v>0</v>
      </c>
      <c r="PH37" s="422">
        <f t="shared" si="358"/>
        <v>0</v>
      </c>
    </row>
    <row r="38">
      <c r="B38" s="427" t="s">
        <v>147</v>
      </c>
      <c r="C38" s="640" t="n">
        <f>MIN(D34:D37)</f>
        <v>0</v>
      </c>
      <c r="D38" s="47"/>
      <c r="E38" s="47" t="n">
        <f>MAX(E34:E37)</f>
        <v>36</v>
      </c>
      <c r="F38" s="641" t="n">
        <f>SUM(H34:H37)</f>
        <v>0</v>
      </c>
      <c r="G38" s="135"/>
      <c r="H38" s="419"/>
      <c r="I38" s="428" t="n">
        <f>SUM(I34:I37)</f>
        <v>320168551.28460014</v>
      </c>
      <c r="K38" s="22" t="str">
        <f>IF(ROUND(SUM(L38:EN38),0)=ROUND(I38,0),"","Incomplete")</f>
      </c>
      <c r="L38" s="421" t="n">
        <f t="shared" ref="L38:AQ38" si="362">SUM(L34:L37)</f>
        <v>-285207.09482578107</v>
      </c>
      <c r="M38" s="421">
        <f t="shared" si="362"/>
        <v>-100892.8237358164</v>
      </c>
      <c r="N38" s="421">
        <f t="shared" si="362"/>
        <v>170317.57335215877</v>
      </c>
      <c r="O38" s="421">
        <f t="shared" si="362"/>
        <v>557650.6541499208</v>
      </c>
      <c r="P38" s="421">
        <f t="shared" si="362"/>
        <v>1094287.4844426755</v>
      </c>
      <c r="Q38" s="421">
        <f t="shared" si="362"/>
        <v>1815120.9716493976</v>
      </c>
      <c r="R38" s="421">
        <f t="shared" si="362"/>
        <v>2753177.670029392</v>
      </c>
      <c r="S38" s="421">
        <f t="shared" si="362"/>
        <v>3934760.112479771</v>
      </c>
      <c r="T38" s="421">
        <f t="shared" si="362"/>
        <v>5373664.2575455848</v>
      </c>
      <c r="U38" s="421">
        <f t="shared" si="362"/>
        <v>7065163.6515838141</v>
      </c>
      <c r="V38" s="421">
        <f t="shared" si="362"/>
        <v>8980751.963331705</v>
      </c>
      <c r="W38" s="421">
        <f t="shared" si="362"/>
        <v>11064805.605489833</v>
      </c>
      <c r="X38" s="421">
        <f t="shared" si="362"/>
        <v>13234281.137995301</v>
      </c>
      <c r="Y38" s="421">
        <f t="shared" si="362"/>
        <v>15382246.512724983</v>
      </c>
      <c r="Z38" s="421">
        <f t="shared" si="362"/>
        <v>17385471.482058503</v>
      </c>
      <c r="AA38" s="421">
        <f t="shared" si="362"/>
        <v>19115556.058013067</v>
      </c>
      <c r="AB38" s="421">
        <f t="shared" si="362"/>
        <v>20452308.068071321</v>
      </c>
      <c r="AC38" s="421">
        <f t="shared" si="362"/>
        <v>21297476.217184056</v>
      </c>
      <c r="AD38" s="421">
        <f t="shared" si="362"/>
        <v>21586672.281520337</v>
      </c>
      <c r="AE38" s="421">
        <f t="shared" si="362"/>
        <v>21297476.217184074</v>
      </c>
      <c r="AF38" s="421">
        <f t="shared" si="362"/>
        <v>20452308.068071283</v>
      </c>
      <c r="AG38" s="421">
        <f t="shared" si="362"/>
        <v>19115556.058013104</v>
      </c>
      <c r="AH38" s="421">
        <f t="shared" si="362"/>
        <v>17385471.482058477</v>
      </c>
      <c r="AI38" s="421">
        <f t="shared" si="362"/>
        <v>15382246.512724983</v>
      </c>
      <c r="AJ38" s="421">
        <f t="shared" si="362"/>
        <v>13234281.137995327</v>
      </c>
      <c r="AK38" s="421">
        <f t="shared" si="362"/>
        <v>11064805.605489803</v>
      </c>
      <c r="AL38" s="421">
        <f t="shared" si="362"/>
        <v>8980751.963331705</v>
      </c>
      <c r="AM38" s="421">
        <f t="shared" si="362"/>
        <v>7065163.6515838383</v>
      </c>
      <c r="AN38" s="421">
        <f t="shared" si="362"/>
        <v>5373664.257545568</v>
      </c>
      <c r="AO38" s="421">
        <f t="shared" si="362"/>
        <v>3934760.112479772</v>
      </c>
      <c r="AP38" s="421">
        <f t="shared" si="362"/>
        <v>2753177.670029406</v>
      </c>
      <c r="AQ38" s="421">
        <f t="shared" si="362"/>
        <v>1815120.9716493823</v>
      </c>
      <c r="AR38" s="421" t="n">
        <f t="shared" ref="AR38:BW38" si="363">SUM(AR34:AR37)</f>
        <v>1094287.4844426815</v>
      </c>
      <c r="AS38" s="421">
        <f t="shared" si="363"/>
        <v>557650.6541499017</v>
      </c>
      <c r="AT38" s="421">
        <f t="shared" si="363"/>
        <v>170317.57335218112</v>
      </c>
      <c r="AU38" s="421">
        <f t="shared" si="363"/>
        <v>-100892.82373583224</v>
      </c>
      <c r="AV38" s="421">
        <f t="shared" si="363"/>
        <v>-285207.09482578107</v>
      </c>
      <c r="AW38" s="421">
        <f t="shared" si="363"/>
        <v>0</v>
      </c>
      <c r="AX38" s="421">
        <f t="shared" si="363"/>
        <v>0</v>
      </c>
      <c r="AY38" s="421">
        <f t="shared" si="363"/>
        <v>0</v>
      </c>
      <c r="AZ38" s="421">
        <f t="shared" si="363"/>
        <v>0</v>
      </c>
      <c r="BA38" s="421">
        <f t="shared" si="363"/>
        <v>0</v>
      </c>
      <c r="BB38" s="421">
        <f t="shared" si="363"/>
        <v>0</v>
      </c>
      <c r="BC38" s="421">
        <f t="shared" si="363"/>
        <v>0</v>
      </c>
      <c r="BD38" s="421">
        <f t="shared" si="363"/>
        <v>0</v>
      </c>
      <c r="BE38" s="421">
        <f t="shared" si="363"/>
        <v>0</v>
      </c>
      <c r="BF38" s="421">
        <f t="shared" si="363"/>
        <v>0</v>
      </c>
      <c r="BG38" s="421">
        <f t="shared" si="363"/>
        <v>0</v>
      </c>
      <c r="BH38" s="421">
        <f t="shared" si="363"/>
        <v>0</v>
      </c>
      <c r="BI38" s="421">
        <f t="shared" si="363"/>
        <v>0</v>
      </c>
      <c r="BJ38" s="421">
        <f t="shared" si="363"/>
        <v>0</v>
      </c>
      <c r="BK38" s="421">
        <f t="shared" si="363"/>
        <v>0</v>
      </c>
      <c r="BL38" s="421">
        <f t="shared" si="363"/>
        <v>0</v>
      </c>
      <c r="BM38" s="421">
        <f t="shared" si="363"/>
        <v>0</v>
      </c>
      <c r="BN38" s="421">
        <f t="shared" si="363"/>
        <v>0</v>
      </c>
      <c r="BO38" s="421">
        <f t="shared" si="363"/>
        <v>0</v>
      </c>
      <c r="BP38" s="421">
        <f t="shared" si="363"/>
        <v>0</v>
      </c>
      <c r="BQ38" s="421">
        <f t="shared" si="363"/>
        <v>0</v>
      </c>
      <c r="BR38" s="421">
        <f t="shared" si="363"/>
        <v>0</v>
      </c>
      <c r="BS38" s="421">
        <f t="shared" si="363"/>
        <v>0</v>
      </c>
      <c r="BT38" s="421">
        <f t="shared" si="363"/>
        <v>0</v>
      </c>
      <c r="BU38" s="421">
        <f t="shared" si="363"/>
        <v>0</v>
      </c>
      <c r="BV38" s="421">
        <f t="shared" si="363"/>
        <v>0</v>
      </c>
      <c r="BW38" s="421">
        <f t="shared" si="363"/>
        <v>0</v>
      </c>
      <c r="BX38" s="421" t="n">
        <f t="shared" ref="BX38:DC38" si="364">SUM(BX34:BX37)</f>
        <v>0</v>
      </c>
      <c r="BY38" s="421">
        <f t="shared" si="364"/>
        <v>0</v>
      </c>
      <c r="BZ38" s="421">
        <f t="shared" si="364"/>
        <v>0</v>
      </c>
      <c r="CA38" s="421">
        <f t="shared" si="364"/>
        <v>0</v>
      </c>
      <c r="CB38" s="421">
        <f t="shared" si="364"/>
        <v>0</v>
      </c>
      <c r="CC38" s="421">
        <f t="shared" si="364"/>
        <v>0</v>
      </c>
      <c r="CD38" s="421">
        <f t="shared" si="364"/>
        <v>0</v>
      </c>
      <c r="CE38" s="421">
        <f t="shared" si="364"/>
        <v>0</v>
      </c>
      <c r="CF38" s="421">
        <f t="shared" si="364"/>
        <v>0</v>
      </c>
      <c r="CG38" s="421">
        <f t="shared" si="364"/>
        <v>0</v>
      </c>
      <c r="CH38" s="421">
        <f t="shared" si="364"/>
        <v>0</v>
      </c>
      <c r="CI38" s="421">
        <f t="shared" si="364"/>
        <v>0</v>
      </c>
      <c r="CJ38" s="421">
        <f t="shared" si="364"/>
        <v>0</v>
      </c>
      <c r="CK38" s="421">
        <f t="shared" si="364"/>
        <v>0</v>
      </c>
      <c r="CL38" s="421">
        <f t="shared" si="364"/>
        <v>0</v>
      </c>
      <c r="CM38" s="421">
        <f t="shared" si="364"/>
        <v>0</v>
      </c>
      <c r="CN38" s="421">
        <f t="shared" si="364"/>
        <v>0</v>
      </c>
      <c r="CO38" s="421">
        <f t="shared" si="364"/>
        <v>0</v>
      </c>
      <c r="CP38" s="421">
        <f t="shared" si="364"/>
        <v>0</v>
      </c>
      <c r="CQ38" s="421">
        <f t="shared" si="364"/>
        <v>0</v>
      </c>
      <c r="CR38" s="421">
        <f t="shared" si="364"/>
        <v>0</v>
      </c>
      <c r="CS38" s="421">
        <f t="shared" si="364"/>
        <v>0</v>
      </c>
      <c r="CT38" s="421">
        <f t="shared" si="364"/>
        <v>0</v>
      </c>
      <c r="CU38" s="421">
        <f t="shared" si="364"/>
        <v>0</v>
      </c>
      <c r="CV38" s="421">
        <f t="shared" si="364"/>
        <v>0</v>
      </c>
      <c r="CW38" s="421">
        <f t="shared" si="364"/>
        <v>0</v>
      </c>
      <c r="CX38" s="421">
        <f t="shared" si="364"/>
        <v>0</v>
      </c>
      <c r="CY38" s="421">
        <f t="shared" si="364"/>
        <v>0</v>
      </c>
      <c r="CZ38" s="421">
        <f t="shared" si="364"/>
        <v>0</v>
      </c>
      <c r="DA38" s="421">
        <f t="shared" si="364"/>
        <v>0</v>
      </c>
      <c r="DB38" s="421">
        <f t="shared" si="364"/>
        <v>0</v>
      </c>
      <c r="DC38" s="421">
        <f t="shared" si="364"/>
        <v>0</v>
      </c>
      <c r="DD38" s="421" t="n">
        <f t="shared" ref="DD38:EI38" si="365">SUM(DD34:DD37)</f>
        <v>0</v>
      </c>
      <c r="DE38" s="421">
        <f t="shared" si="365"/>
        <v>0</v>
      </c>
      <c r="DF38" s="421">
        <f t="shared" si="365"/>
        <v>0</v>
      </c>
      <c r="DG38" s="421">
        <f t="shared" si="365"/>
        <v>0</v>
      </c>
      <c r="DH38" s="421">
        <f t="shared" si="365"/>
        <v>0</v>
      </c>
      <c r="DI38" s="421">
        <f t="shared" si="365"/>
        <v>0</v>
      </c>
      <c r="DJ38" s="421">
        <f t="shared" si="365"/>
        <v>0</v>
      </c>
      <c r="DK38" s="421">
        <f t="shared" si="365"/>
        <v>0</v>
      </c>
      <c r="DL38" s="421">
        <f t="shared" si="365"/>
        <v>0</v>
      </c>
      <c r="DM38" s="421">
        <f t="shared" si="365"/>
        <v>0</v>
      </c>
      <c r="DN38" s="421">
        <f t="shared" si="365"/>
        <v>0</v>
      </c>
      <c r="DO38" s="421">
        <f t="shared" si="365"/>
        <v>0</v>
      </c>
      <c r="DP38" s="421">
        <f t="shared" si="365"/>
        <v>0</v>
      </c>
      <c r="DQ38" s="421">
        <f t="shared" si="365"/>
        <v>0</v>
      </c>
      <c r="DR38" s="421">
        <f t="shared" si="365"/>
        <v>0</v>
      </c>
      <c r="DS38" s="421">
        <f t="shared" si="365"/>
        <v>0</v>
      </c>
      <c r="DT38" s="421">
        <f t="shared" si="365"/>
        <v>0</v>
      </c>
      <c r="DU38" s="421">
        <f t="shared" si="365"/>
        <v>0</v>
      </c>
      <c r="DV38" s="421">
        <f t="shared" si="365"/>
        <v>0</v>
      </c>
      <c r="DW38" s="421">
        <f t="shared" si="365"/>
        <v>0</v>
      </c>
      <c r="DX38" s="421">
        <f t="shared" si="365"/>
        <v>0</v>
      </c>
      <c r="DY38" s="421">
        <f t="shared" si="365"/>
        <v>0</v>
      </c>
      <c r="DZ38" s="421">
        <f t="shared" si="365"/>
        <v>0</v>
      </c>
      <c r="EA38" s="421">
        <f t="shared" si="365"/>
        <v>0</v>
      </c>
      <c r="EB38" s="421">
        <f t="shared" si="365"/>
        <v>0</v>
      </c>
      <c r="EC38" s="421">
        <f t="shared" si="365"/>
        <v>0</v>
      </c>
      <c r="ED38" s="421">
        <f t="shared" si="365"/>
        <v>0</v>
      </c>
      <c r="EE38" s="421">
        <f t="shared" si="365"/>
        <v>0</v>
      </c>
      <c r="EF38" s="421">
        <f t="shared" si="365"/>
        <v>0</v>
      </c>
      <c r="EG38" s="421">
        <f t="shared" si="365"/>
        <v>0</v>
      </c>
      <c r="EH38" s="421">
        <f t="shared" si="365"/>
        <v>0</v>
      </c>
      <c r="EI38" s="421">
        <f t="shared" si="365"/>
        <v>0</v>
      </c>
      <c r="EJ38" s="421" t="n">
        <f t="shared" ref="EJ38:EN38" si="366">SUM(EJ34:EJ37)</f>
        <v>0</v>
      </c>
      <c r="EK38" s="421">
        <f t="shared" si="366"/>
        <v>0</v>
      </c>
      <c r="EL38" s="421">
        <f t="shared" si="366"/>
        <v>0</v>
      </c>
      <c r="EM38" s="421">
        <f t="shared" si="366"/>
        <v>0</v>
      </c>
      <c r="EN38" s="421">
        <f t="shared" si="366"/>
        <v>0</v>
      </c>
      <c r="EP38" s="220"/>
      <c r="EQ38" s="18" t="s">
        <v>148</v>
      </c>
      <c r="ER38" s="20" t="n">
        <f>COUNTA($B$34:$B$37)</f>
        <v>3</v>
      </c>
      <c r="ES38" s="18"/>
      <c r="ET38" s="18"/>
      <c r="EU38" s="80"/>
      <c r="EV38" s="18"/>
      <c r="EW38" s="18"/>
      <c r="EX38" s="18"/>
      <c r="EY38" s="18"/>
      <c r="EZ38" s="18"/>
      <c r="FA38" s="18"/>
      <c r="FB38" s="18"/>
      <c r="FC38" s="18"/>
      <c r="FD38" s="18"/>
      <c r="FE38" s="18"/>
      <c r="FF38" s="18"/>
      <c r="FG38" s="18"/>
      <c r="FH38" s="18"/>
      <c r="FI38" s="18"/>
      <c r="FJ38" s="18"/>
      <c r="FK38" s="18"/>
      <c r="FL38" s="18"/>
      <c r="FM38" s="18"/>
      <c r="FN38" s="18"/>
      <c r="FO38" s="18"/>
      <c r="FP38" s="18"/>
      <c r="FQ38" s="18"/>
      <c r="FR38" s="18"/>
      <c r="FS38" s="18"/>
      <c r="FT38" s="18"/>
      <c r="FU38" s="18"/>
      <c r="FV38" s="18"/>
      <c r="FW38" s="18"/>
      <c r="FX38" s="18"/>
      <c r="FY38" s="18"/>
      <c r="FZ38" s="18"/>
      <c r="GA38" s="18"/>
      <c r="GB38" s="18"/>
      <c r="GC38" s="18"/>
      <c r="GD38" s="18"/>
      <c r="GE38" s="18"/>
      <c r="GF38" s="18"/>
      <c r="GG38" s="18"/>
      <c r="GH38" s="18"/>
      <c r="GI38" s="18"/>
      <c r="GJ38" s="18"/>
      <c r="GK38" s="18"/>
      <c r="GL38" s="18"/>
      <c r="GM38" s="18"/>
      <c r="GN38" s="18"/>
      <c r="GO38" s="18"/>
      <c r="GP38" s="18"/>
      <c r="GQ38" s="18"/>
      <c r="GR38" s="18"/>
      <c r="GS38" s="18"/>
      <c r="GT38" s="18"/>
      <c r="GU38" s="18"/>
      <c r="GV38" s="18"/>
      <c r="GW38" s="18"/>
      <c r="GX38" s="18"/>
      <c r="GY38" s="18"/>
      <c r="GZ38" s="18"/>
      <c r="HA38" s="18"/>
      <c r="HB38" s="18"/>
      <c r="HC38" s="18"/>
      <c r="HD38" s="18"/>
      <c r="HE38" s="18"/>
      <c r="HF38" s="18"/>
      <c r="HG38" s="18"/>
      <c r="HH38" s="18"/>
      <c r="HI38" s="18"/>
      <c r="HJ38" s="18"/>
      <c r="HK38" s="18"/>
      <c r="HL38" s="18"/>
      <c r="HM38" s="18"/>
      <c r="HN38" s="18"/>
      <c r="HO38" s="18"/>
      <c r="HP38" s="18"/>
      <c r="HQ38" s="18"/>
      <c r="HR38" s="18"/>
      <c r="HS38" s="18"/>
      <c r="HT38" s="18"/>
      <c r="HU38" s="18"/>
      <c r="HV38" s="18"/>
      <c r="HW38" s="18"/>
      <c r="HX38" s="18"/>
      <c r="HY38" s="18"/>
      <c r="HZ38" s="18"/>
      <c r="IA38" s="18"/>
      <c r="IB38" s="18"/>
      <c r="IC38" s="18"/>
      <c r="ID38" s="18"/>
      <c r="IE38" s="18"/>
      <c r="IF38" s="18"/>
      <c r="IG38" s="18"/>
      <c r="IH38" s="18"/>
      <c r="II38" s="18"/>
      <c r="IJ38" s="18"/>
      <c r="IK38" s="18"/>
      <c r="IL38" s="18"/>
      <c r="IM38" s="18"/>
      <c r="IN38" s="18"/>
      <c r="IO38" s="18"/>
      <c r="IP38" s="18"/>
      <c r="IQ38" s="18"/>
      <c r="IR38" s="18"/>
      <c r="IS38" s="18"/>
      <c r="IT38" s="18"/>
      <c r="IU38" s="18"/>
      <c r="IV38" s="18"/>
      <c r="IW38" s="18"/>
      <c r="IX38" s="18"/>
      <c r="IY38" s="18"/>
      <c r="IZ38" s="18"/>
      <c r="JA38" s="18"/>
      <c r="JB38" s="18"/>
      <c r="JC38" s="18"/>
      <c r="JD38" s="18"/>
      <c r="JE38" s="18"/>
      <c r="JF38" s="18"/>
      <c r="JG38" s="18"/>
      <c r="JH38" s="18"/>
      <c r="JI38" s="18"/>
      <c r="JJ38" s="18"/>
      <c r="JK38" s="18"/>
      <c r="JL38" s="18"/>
      <c r="JM38" s="18"/>
      <c r="JN38" s="18"/>
      <c r="JO38" s="18"/>
      <c r="JP38" s="18"/>
      <c r="JQ38" s="18"/>
      <c r="JR38" s="18"/>
      <c r="JS38" s="18"/>
      <c r="JT38" s="18"/>
      <c r="JU38" s="18"/>
      <c r="JV38" s="18"/>
      <c r="JW38" s="18"/>
      <c r="JX38" s="18"/>
      <c r="JZ38" s="220" t="str">
        <f t="shared" si="285"/>
        <v>Total Hard Costs</v>
      </c>
      <c r="KA38" s="18"/>
      <c r="KB38" s="20"/>
      <c r="KC38" s="20"/>
      <c r="KD38" s="20"/>
      <c r="KE38" s="82"/>
      <c r="KF38" s="82"/>
      <c r="KG38" s="82"/>
      <c r="KH38" s="82"/>
      <c r="KI38" s="82"/>
      <c r="KJ38" s="82"/>
      <c r="KK38" s="82"/>
      <c r="KL38" s="82"/>
      <c r="KM38" s="82"/>
      <c r="KN38" s="82"/>
      <c r="KO38" s="82"/>
      <c r="KP38" s="82"/>
      <c r="KQ38" s="82"/>
      <c r="KR38" s="82"/>
      <c r="KS38" s="82"/>
      <c r="KT38" s="82"/>
      <c r="KU38" s="82"/>
      <c r="KV38" s="82"/>
      <c r="KW38" s="82"/>
      <c r="KX38" s="82"/>
      <c r="KY38" s="82"/>
      <c r="KZ38" s="82"/>
      <c r="LA38" s="82"/>
      <c r="LB38" s="82"/>
      <c r="LC38" s="82"/>
      <c r="LD38" s="82"/>
      <c r="LE38" s="82"/>
      <c r="LF38" s="82"/>
      <c r="LG38" s="82"/>
      <c r="LH38" s="82"/>
      <c r="LI38" s="82"/>
      <c r="LJ38" s="82"/>
      <c r="LK38" s="82"/>
      <c r="LL38" s="82"/>
      <c r="LM38" s="82"/>
      <c r="LN38" s="82"/>
      <c r="LO38" s="82"/>
      <c r="LP38" s="82"/>
      <c r="LQ38" s="82"/>
      <c r="LR38" s="82"/>
      <c r="LS38" s="82"/>
      <c r="LT38" s="82"/>
      <c r="LU38" s="82"/>
      <c r="LV38" s="82"/>
      <c r="LW38" s="82"/>
      <c r="LX38" s="82"/>
      <c r="LY38" s="82"/>
      <c r="LZ38" s="82"/>
      <c r="MA38" s="82"/>
      <c r="MB38" s="82"/>
      <c r="MC38" s="82"/>
      <c r="MD38" s="82"/>
      <c r="ME38" s="82"/>
      <c r="MF38" s="82"/>
      <c r="MG38" s="82"/>
      <c r="MH38" s="82"/>
      <c r="MI38" s="82"/>
      <c r="MJ38" s="82"/>
      <c r="MK38" s="82"/>
      <c r="ML38" s="82"/>
      <c r="MM38" s="82"/>
      <c r="MN38" s="82"/>
      <c r="MO38" s="82"/>
      <c r="MP38" s="82"/>
      <c r="MQ38" s="82"/>
      <c r="MR38" s="82"/>
      <c r="MS38" s="82"/>
      <c r="MT38" s="82"/>
      <c r="MU38" s="82"/>
      <c r="MV38" s="82"/>
      <c r="MW38" s="82"/>
      <c r="MX38" s="82"/>
      <c r="MY38" s="82"/>
      <c r="MZ38" s="82"/>
      <c r="NA38" s="82"/>
      <c r="NB38" s="82"/>
      <c r="NC38" s="82"/>
      <c r="ND38" s="82"/>
      <c r="NE38" s="82"/>
      <c r="NF38" s="82"/>
      <c r="NG38" s="82"/>
      <c r="NH38" s="82"/>
      <c r="NI38" s="82"/>
      <c r="NJ38" s="82"/>
      <c r="NK38" s="82"/>
      <c r="NL38" s="82"/>
      <c r="NM38" s="82"/>
      <c r="NN38" s="82"/>
      <c r="NO38" s="82"/>
      <c r="NP38" s="82"/>
      <c r="NQ38" s="82"/>
      <c r="NR38" s="82"/>
      <c r="NS38" s="82"/>
      <c r="NT38" s="82"/>
      <c r="NU38" s="82"/>
      <c r="NV38" s="82"/>
      <c r="NW38" s="82"/>
      <c r="NX38" s="82"/>
      <c r="NY38" s="82"/>
      <c r="NZ38" s="82"/>
      <c r="OA38" s="82"/>
      <c r="OB38" s="82"/>
      <c r="OC38" s="82"/>
      <c r="OD38" s="82"/>
      <c r="OE38" s="82"/>
      <c r="OF38" s="82"/>
      <c r="OG38" s="82"/>
      <c r="OH38" s="82"/>
      <c r="OI38" s="82"/>
      <c r="OJ38" s="82"/>
      <c r="OK38" s="82"/>
      <c r="OL38" s="82"/>
      <c r="OM38" s="82"/>
      <c r="ON38" s="82"/>
      <c r="OO38" s="82"/>
      <c r="OP38" s="82"/>
      <c r="OQ38" s="82"/>
      <c r="OR38" s="82"/>
      <c r="OS38" s="82"/>
      <c r="OT38" s="82"/>
      <c r="OU38" s="82"/>
      <c r="OV38" s="82"/>
      <c r="OW38" s="82"/>
      <c r="OX38" s="82"/>
      <c r="OY38" s="82"/>
      <c r="OZ38" s="82"/>
      <c r="PA38" s="82"/>
      <c r="PB38" s="82"/>
      <c r="PC38" s="82"/>
      <c r="PD38" s="82"/>
      <c r="PE38" s="82"/>
      <c r="PF38" s="82"/>
      <c r="PG38" s="82"/>
      <c r="PH38" s="82"/>
    </row>
    <row r="39">
      <c r="B39" s="429"/>
      <c r="C39" s="404"/>
      <c r="D39" s="46"/>
      <c r="E39" s="46"/>
      <c r="F39" s="418"/>
      <c r="G39" s="135"/>
      <c r="H39" s="135"/>
      <c r="I39" s="48"/>
      <c r="EP39" s="220"/>
      <c r="EQ39" s="18"/>
      <c r="ER39" s="18"/>
      <c r="ES39" s="18"/>
      <c r="ET39" s="18"/>
      <c r="EU39" s="80"/>
      <c r="EV39" s="18"/>
      <c r="EW39" s="18"/>
      <c r="EX39" s="18"/>
      <c r="EY39" s="18"/>
      <c r="EZ39" s="18"/>
      <c r="FA39" s="18"/>
      <c r="FB39" s="18"/>
      <c r="FC39" s="18"/>
      <c r="FD39" s="18"/>
      <c r="FE39" s="18"/>
      <c r="FF39" s="18"/>
      <c r="FG39" s="18"/>
      <c r="FH39" s="18"/>
      <c r="FI39" s="18"/>
      <c r="FJ39" s="18"/>
      <c r="FK39" s="18"/>
      <c r="FL39" s="18"/>
      <c r="FM39" s="18"/>
      <c r="FN39" s="18"/>
      <c r="FO39" s="18"/>
      <c r="FP39" s="18"/>
      <c r="FQ39" s="18"/>
      <c r="FR39" s="18"/>
      <c r="FS39" s="18"/>
      <c r="FT39" s="18"/>
      <c r="FU39" s="18"/>
      <c r="FV39" s="18"/>
      <c r="FW39" s="18"/>
      <c r="FX39" s="18"/>
      <c r="FY39" s="18"/>
      <c r="FZ39" s="18"/>
      <c r="GA39" s="18"/>
      <c r="GB39" s="18"/>
      <c r="GC39" s="18"/>
      <c r="GD39" s="18"/>
      <c r="GE39" s="18"/>
      <c r="GF39" s="18"/>
      <c r="GG39" s="18"/>
      <c r="GH39" s="18"/>
      <c r="GI39" s="18"/>
      <c r="GJ39" s="18"/>
      <c r="GK39" s="18"/>
      <c r="GL39" s="18"/>
      <c r="GM39" s="18"/>
      <c r="GN39" s="18"/>
      <c r="GO39" s="18"/>
      <c r="GP39" s="18"/>
      <c r="GQ39" s="18"/>
      <c r="GR39" s="18"/>
      <c r="GS39" s="18"/>
      <c r="GT39" s="18"/>
      <c r="GU39" s="18"/>
      <c r="GV39" s="18"/>
      <c r="GW39" s="18"/>
      <c r="GX39" s="18"/>
      <c r="GY39" s="18"/>
      <c r="GZ39" s="18"/>
      <c r="HA39" s="18"/>
      <c r="HB39" s="18"/>
      <c r="HC39" s="18"/>
      <c r="HD39" s="18"/>
      <c r="HE39" s="18"/>
      <c r="HF39" s="18"/>
      <c r="HG39" s="18"/>
      <c r="HH39" s="18"/>
      <c r="HI39" s="18"/>
      <c r="HJ39" s="18"/>
      <c r="HK39" s="18"/>
      <c r="HL39" s="18"/>
      <c r="HM39" s="18"/>
      <c r="HN39" s="18"/>
      <c r="HO39" s="18"/>
      <c r="HP39" s="18"/>
      <c r="HQ39" s="18"/>
      <c r="HR39" s="18"/>
      <c r="HS39" s="18"/>
      <c r="HT39" s="18"/>
      <c r="HU39" s="18"/>
      <c r="HV39" s="18"/>
      <c r="HW39" s="18"/>
      <c r="HX39" s="18"/>
      <c r="HY39" s="18"/>
      <c r="HZ39" s="18"/>
      <c r="IA39" s="18"/>
      <c r="IB39" s="18"/>
      <c r="IC39" s="18"/>
      <c r="ID39" s="18"/>
      <c r="IE39" s="18"/>
      <c r="IF39" s="18"/>
      <c r="IG39" s="18"/>
      <c r="IH39" s="18"/>
      <c r="II39" s="18"/>
      <c r="IJ39" s="18"/>
      <c r="IK39" s="18"/>
      <c r="IL39" s="18"/>
      <c r="IM39" s="18"/>
      <c r="IN39" s="18"/>
      <c r="IO39" s="18"/>
      <c r="IP39" s="18"/>
      <c r="IQ39" s="18"/>
      <c r="IR39" s="18"/>
      <c r="IS39" s="18"/>
      <c r="IT39" s="18"/>
      <c r="IU39" s="18"/>
      <c r="IV39" s="18"/>
      <c r="IW39" s="18"/>
      <c r="IX39" s="18"/>
      <c r="IY39" s="18"/>
      <c r="IZ39" s="18"/>
      <c r="JA39" s="18"/>
      <c r="JB39" s="18"/>
      <c r="JC39" s="18"/>
      <c r="JD39" s="18"/>
      <c r="JE39" s="18"/>
      <c r="JF39" s="18"/>
      <c r="JG39" s="18"/>
      <c r="JH39" s="18"/>
      <c r="JI39" s="18"/>
      <c r="JJ39" s="18"/>
      <c r="JK39" s="18"/>
      <c r="JL39" s="18"/>
      <c r="JM39" s="18"/>
      <c r="JN39" s="18"/>
      <c r="JO39" s="18"/>
      <c r="JP39" s="18"/>
      <c r="JQ39" s="18"/>
      <c r="JR39" s="18"/>
      <c r="JS39" s="18"/>
      <c r="JT39" s="18"/>
      <c r="JU39" s="18"/>
      <c r="JV39" s="18"/>
      <c r="JW39" s="18"/>
      <c r="JX39" s="18"/>
      <c r="JZ39" s="220"/>
      <c r="KA39" s="18"/>
      <c r="KB39" s="20"/>
      <c r="KC39" s="20"/>
      <c r="KD39" s="20"/>
      <c r="KE39" s="82"/>
      <c r="KF39" s="82"/>
      <c r="KG39" s="82"/>
      <c r="KH39" s="82"/>
      <c r="KI39" s="82"/>
      <c r="KJ39" s="82"/>
      <c r="KK39" s="82"/>
      <c r="KL39" s="82"/>
      <c r="KM39" s="82"/>
      <c r="KN39" s="82"/>
      <c r="KO39" s="82"/>
      <c r="KP39" s="82"/>
      <c r="KQ39" s="82"/>
      <c r="KR39" s="82"/>
      <c r="KS39" s="82"/>
      <c r="KT39" s="82"/>
      <c r="KU39" s="82"/>
      <c r="KV39" s="82"/>
      <c r="KW39" s="82"/>
      <c r="KX39" s="82"/>
      <c r="KY39" s="82"/>
      <c r="KZ39" s="82"/>
      <c r="LA39" s="82"/>
      <c r="LB39" s="82"/>
      <c r="LC39" s="82"/>
      <c r="LD39" s="82"/>
      <c r="LE39" s="82"/>
      <c r="LF39" s="82"/>
      <c r="LG39" s="82"/>
      <c r="LH39" s="82"/>
      <c r="LI39" s="82"/>
      <c r="LJ39" s="82"/>
      <c r="LK39" s="82"/>
      <c r="LL39" s="82"/>
      <c r="LM39" s="82"/>
      <c r="LN39" s="82"/>
      <c r="LO39" s="82"/>
      <c r="LP39" s="82"/>
      <c r="LQ39" s="82"/>
      <c r="LR39" s="82"/>
      <c r="LS39" s="82"/>
      <c r="LT39" s="82"/>
      <c r="LU39" s="82"/>
      <c r="LV39" s="82"/>
      <c r="LW39" s="82"/>
      <c r="LX39" s="82"/>
      <c r="LY39" s="82"/>
      <c r="LZ39" s="82"/>
      <c r="MA39" s="82"/>
      <c r="MB39" s="82"/>
      <c r="MC39" s="82"/>
      <c r="MD39" s="82"/>
      <c r="ME39" s="82"/>
      <c r="MF39" s="82"/>
      <c r="MG39" s="82"/>
      <c r="MH39" s="82"/>
      <c r="MI39" s="82"/>
      <c r="MJ39" s="82"/>
      <c r="MK39" s="82"/>
      <c r="ML39" s="82"/>
      <c r="MM39" s="82"/>
      <c r="MN39" s="82"/>
      <c r="MO39" s="82"/>
      <c r="MP39" s="82"/>
      <c r="MQ39" s="82"/>
      <c r="MR39" s="82"/>
      <c r="MS39" s="82"/>
      <c r="MT39" s="82"/>
      <c r="MU39" s="82"/>
      <c r="MV39" s="82"/>
      <c r="MW39" s="82"/>
      <c r="MX39" s="82"/>
      <c r="MY39" s="82"/>
      <c r="MZ39" s="82"/>
      <c r="NA39" s="82"/>
      <c r="NB39" s="82"/>
      <c r="NC39" s="82"/>
      <c r="ND39" s="82"/>
      <c r="NE39" s="82"/>
      <c r="NF39" s="82"/>
      <c r="NG39" s="82"/>
      <c r="NH39" s="82"/>
      <c r="NI39" s="82"/>
      <c r="NJ39" s="82"/>
      <c r="NK39" s="82"/>
      <c r="NL39" s="82"/>
      <c r="NM39" s="82"/>
      <c r="NN39" s="82"/>
      <c r="NO39" s="82"/>
      <c r="NP39" s="82"/>
      <c r="NQ39" s="82"/>
      <c r="NR39" s="82"/>
      <c r="NS39" s="82"/>
      <c r="NT39" s="82"/>
      <c r="NU39" s="82"/>
      <c r="NV39" s="82"/>
      <c r="NW39" s="82"/>
      <c r="NX39" s="82"/>
      <c r="NY39" s="82"/>
      <c r="NZ39" s="82"/>
      <c r="OA39" s="82"/>
      <c r="OB39" s="82"/>
      <c r="OC39" s="82"/>
      <c r="OD39" s="82"/>
      <c r="OE39" s="82"/>
      <c r="OF39" s="82"/>
      <c r="OG39" s="82"/>
      <c r="OH39" s="82"/>
      <c r="OI39" s="82"/>
      <c r="OJ39" s="82"/>
      <c r="OK39" s="82"/>
      <c r="OL39" s="82"/>
      <c r="OM39" s="82"/>
      <c r="ON39" s="82"/>
      <c r="OO39" s="82"/>
      <c r="OP39" s="82"/>
      <c r="OQ39" s="82"/>
      <c r="OR39" s="82"/>
      <c r="OS39" s="82"/>
      <c r="OT39" s="82"/>
      <c r="OU39" s="82"/>
      <c r="OV39" s="82"/>
      <c r="OW39" s="82"/>
      <c r="OX39" s="82"/>
      <c r="OY39" s="82"/>
      <c r="OZ39" s="82"/>
      <c r="PA39" s="82"/>
      <c r="PB39" s="82"/>
      <c r="PC39" s="82"/>
      <c r="PD39" s="82"/>
      <c r="PE39" s="82"/>
      <c r="PF39" s="82"/>
      <c r="PG39" s="82"/>
      <c r="PH39" s="82"/>
    </row>
    <row r="40">
      <c r="B40" s="427"/>
      <c r="C40" s="404"/>
      <c r="D40" s="46"/>
      <c r="E40" s="46"/>
      <c r="F40" s="418"/>
      <c r="G40" s="135"/>
      <c r="H40" s="135"/>
      <c r="I40" s="48"/>
      <c r="EP40" s="220"/>
      <c r="EQ40" s="18"/>
      <c r="ER40" s="18"/>
      <c r="ES40" s="18"/>
      <c r="ET40" s="18"/>
      <c r="EU40" s="80"/>
      <c r="EV40" s="18"/>
      <c r="EW40" s="18"/>
      <c r="EX40" s="18"/>
      <c r="EY40" s="18"/>
      <c r="EZ40" s="18"/>
      <c r="FA40" s="18"/>
      <c r="FB40" s="18"/>
      <c r="FC40" s="18"/>
      <c r="FD40" s="18"/>
      <c r="FE40" s="18"/>
      <c r="FF40" s="18"/>
      <c r="FG40" s="18"/>
      <c r="FH40" s="18"/>
      <c r="FI40" s="18"/>
      <c r="FJ40" s="18"/>
      <c r="FK40" s="18"/>
      <c r="FL40" s="18"/>
      <c r="FM40" s="18"/>
      <c r="FN40" s="18"/>
      <c r="FO40" s="18"/>
      <c r="FP40" s="18"/>
      <c r="FQ40" s="18"/>
      <c r="FR40" s="18"/>
      <c r="FS40" s="18"/>
      <c r="FT40" s="18"/>
      <c r="FU40" s="18"/>
      <c r="FV40" s="18"/>
      <c r="FW40" s="18"/>
      <c r="FX40" s="18"/>
      <c r="FY40" s="18"/>
      <c r="FZ40" s="18"/>
      <c r="GA40" s="18"/>
      <c r="GB40" s="18"/>
      <c r="GC40" s="18"/>
      <c r="GD40" s="18"/>
      <c r="GE40" s="18"/>
      <c r="GF40" s="18"/>
      <c r="GG40" s="18"/>
      <c r="GH40" s="18"/>
      <c r="GI40" s="18"/>
      <c r="GJ40" s="18"/>
      <c r="GK40" s="18"/>
      <c r="GL40" s="18"/>
      <c r="GM40" s="18"/>
      <c r="GN40" s="18"/>
      <c r="GO40" s="18"/>
      <c r="GP40" s="18"/>
      <c r="GQ40" s="18"/>
      <c r="GR40" s="18"/>
      <c r="GS40" s="18"/>
      <c r="GT40" s="18"/>
      <c r="GU40" s="18"/>
      <c r="GV40" s="18"/>
      <c r="GW40" s="18"/>
      <c r="GX40" s="18"/>
      <c r="GY40" s="18"/>
      <c r="GZ40" s="18"/>
      <c r="HA40" s="18"/>
      <c r="HB40" s="18"/>
      <c r="HC40" s="18"/>
      <c r="HD40" s="18"/>
      <c r="HE40" s="18"/>
      <c r="HF40" s="18"/>
      <c r="HG40" s="18"/>
      <c r="HH40" s="18"/>
      <c r="HI40" s="18"/>
      <c r="HJ40" s="18"/>
      <c r="HK40" s="18"/>
      <c r="HL40" s="18"/>
      <c r="HM40" s="18"/>
      <c r="HN40" s="18"/>
      <c r="HO40" s="18"/>
      <c r="HP40" s="18"/>
      <c r="HQ40" s="18"/>
      <c r="HR40" s="18"/>
      <c r="HS40" s="18"/>
      <c r="HT40" s="18"/>
      <c r="HU40" s="18"/>
      <c r="HV40" s="18"/>
      <c r="HW40" s="18"/>
      <c r="HX40" s="18"/>
      <c r="HY40" s="18"/>
      <c r="HZ40" s="18"/>
      <c r="IA40" s="18"/>
      <c r="IB40" s="18"/>
      <c r="IC40" s="18"/>
      <c r="ID40" s="18"/>
      <c r="IE40" s="18"/>
      <c r="IF40" s="18"/>
      <c r="IG40" s="18"/>
      <c r="IH40" s="18"/>
      <c r="II40" s="18"/>
      <c r="IJ40" s="18"/>
      <c r="IK40" s="18"/>
      <c r="IL40" s="18"/>
      <c r="IM40" s="18"/>
      <c r="IN40" s="18"/>
      <c r="IO40" s="18"/>
      <c r="IP40" s="18"/>
      <c r="IQ40" s="18"/>
      <c r="IR40" s="18"/>
      <c r="IS40" s="18"/>
      <c r="IT40" s="18"/>
      <c r="IU40" s="18"/>
      <c r="IV40" s="18"/>
      <c r="IW40" s="18"/>
      <c r="IX40" s="18"/>
      <c r="IY40" s="18"/>
      <c r="IZ40" s="18"/>
      <c r="JA40" s="18"/>
      <c r="JB40" s="18"/>
      <c r="JC40" s="18"/>
      <c r="JD40" s="18"/>
      <c r="JE40" s="18"/>
      <c r="JF40" s="18"/>
      <c r="JG40" s="18"/>
      <c r="JH40" s="18"/>
      <c r="JI40" s="18"/>
      <c r="JJ40" s="18"/>
      <c r="JK40" s="18"/>
      <c r="JL40" s="18"/>
      <c r="JM40" s="18"/>
      <c r="JN40" s="18"/>
      <c r="JO40" s="18"/>
      <c r="JP40" s="18"/>
      <c r="JQ40" s="18"/>
      <c r="JR40" s="18"/>
      <c r="JS40" s="18"/>
      <c r="JT40" s="18"/>
      <c r="JU40" s="18"/>
      <c r="JV40" s="18"/>
      <c r="JW40" s="18"/>
      <c r="JX40" s="18"/>
      <c r="JZ40" s="220">
        <f t="shared" si="285"/>
        <v>0</v>
      </c>
      <c r="KA40" s="18"/>
      <c r="KB40" s="20"/>
      <c r="KC40" s="20"/>
      <c r="KD40" s="20"/>
      <c r="KE40" s="82"/>
      <c r="KF40" s="82"/>
      <c r="KG40" s="82"/>
      <c r="KH40" s="82"/>
      <c r="KI40" s="82"/>
      <c r="KJ40" s="82"/>
      <c r="KK40" s="82"/>
      <c r="KL40" s="82"/>
      <c r="KM40" s="82"/>
      <c r="KN40" s="82"/>
      <c r="KO40" s="82"/>
      <c r="KP40" s="82"/>
      <c r="KQ40" s="82"/>
      <c r="KR40" s="82"/>
      <c r="KS40" s="82"/>
      <c r="KT40" s="82"/>
      <c r="KU40" s="82"/>
      <c r="KV40" s="82"/>
      <c r="KW40" s="82"/>
      <c r="KX40" s="82"/>
      <c r="KY40" s="82"/>
      <c r="KZ40" s="82"/>
      <c r="LA40" s="82"/>
      <c r="LB40" s="82"/>
      <c r="LC40" s="82"/>
      <c r="LD40" s="82"/>
      <c r="LE40" s="82"/>
      <c r="LF40" s="82"/>
      <c r="LG40" s="82"/>
      <c r="LH40" s="82"/>
      <c r="LI40" s="82"/>
      <c r="LJ40" s="82"/>
      <c r="LK40" s="82"/>
      <c r="LL40" s="82"/>
      <c r="LM40" s="82"/>
      <c r="LN40" s="82"/>
      <c r="LO40" s="82"/>
      <c r="LP40" s="82"/>
      <c r="LQ40" s="82"/>
      <c r="LR40" s="82"/>
      <c r="LS40" s="82"/>
      <c r="LT40" s="82"/>
      <c r="LU40" s="82"/>
      <c r="LV40" s="82"/>
      <c r="LW40" s="82"/>
      <c r="LX40" s="82"/>
      <c r="LY40" s="82"/>
      <c r="LZ40" s="82"/>
      <c r="MA40" s="82"/>
      <c r="MB40" s="82"/>
      <c r="MC40" s="82"/>
      <c r="MD40" s="82"/>
      <c r="ME40" s="82"/>
      <c r="MF40" s="82"/>
      <c r="MG40" s="82"/>
      <c r="MH40" s="82"/>
      <c r="MI40" s="82"/>
      <c r="MJ40" s="82"/>
      <c r="MK40" s="82"/>
      <c r="ML40" s="82"/>
      <c r="MM40" s="82"/>
      <c r="MN40" s="82"/>
      <c r="MO40" s="82"/>
      <c r="MP40" s="82"/>
      <c r="MQ40" s="82"/>
      <c r="MR40" s="82"/>
      <c r="MS40" s="82"/>
      <c r="MT40" s="82"/>
      <c r="MU40" s="82"/>
      <c r="MV40" s="82"/>
      <c r="MW40" s="82"/>
      <c r="MX40" s="82"/>
      <c r="MY40" s="82"/>
      <c r="MZ40" s="82"/>
      <c r="NA40" s="82"/>
      <c r="NB40" s="82"/>
      <c r="NC40" s="82"/>
      <c r="ND40" s="82"/>
      <c r="NE40" s="82"/>
      <c r="NF40" s="82"/>
      <c r="NG40" s="82"/>
      <c r="NH40" s="82"/>
      <c r="NI40" s="82"/>
      <c r="NJ40" s="82"/>
      <c r="NK40" s="82"/>
      <c r="NL40" s="82"/>
      <c r="NM40" s="82"/>
      <c r="NN40" s="82"/>
      <c r="NO40" s="82"/>
      <c r="NP40" s="82"/>
      <c r="NQ40" s="82"/>
      <c r="NR40" s="82"/>
      <c r="NS40" s="82"/>
      <c r="NT40" s="82"/>
      <c r="NU40" s="82"/>
      <c r="NV40" s="82"/>
      <c r="NW40" s="82"/>
      <c r="NX40" s="82"/>
      <c r="NY40" s="82"/>
      <c r="NZ40" s="82"/>
      <c r="OA40" s="82"/>
      <c r="OB40" s="82"/>
      <c r="OC40" s="82"/>
      <c r="OD40" s="82"/>
      <c r="OE40" s="82"/>
      <c r="OF40" s="82"/>
      <c r="OG40" s="82"/>
      <c r="OH40" s="82"/>
      <c r="OI40" s="82"/>
      <c r="OJ40" s="82"/>
      <c r="OK40" s="82"/>
      <c r="OL40" s="82"/>
      <c r="OM40" s="82"/>
      <c r="ON40" s="82"/>
      <c r="OO40" s="82"/>
      <c r="OP40" s="82"/>
      <c r="OQ40" s="82"/>
      <c r="OR40" s="82"/>
      <c r="OS40" s="82"/>
      <c r="OT40" s="82"/>
      <c r="OU40" s="82"/>
      <c r="OV40" s="82"/>
      <c r="OW40" s="82"/>
      <c r="OX40" s="82"/>
      <c r="OY40" s="82"/>
      <c r="OZ40" s="82"/>
      <c r="PA40" s="82"/>
      <c r="PB40" s="82"/>
      <c r="PC40" s="82"/>
      <c r="PD40" s="82"/>
      <c r="PE40" s="82"/>
      <c r="PF40" s="82"/>
      <c r="PG40" s="82"/>
      <c r="PH40" s="82"/>
    </row>
    <row r="41">
      <c r="B41" s="430"/>
      <c r="C41" s="404">
        <v>1</v>
      </c>
      <c r="D41" s="46"/>
      <c r="E41" s="46">
        <v>36</v>
      </c>
      <c r="F41" s="418" t="s">
        <v>137</v>
      </c>
      <c r="G41" s="135" t="n">
        <f t="shared" ref="G41:G46" si="367">I41/Units_SF_M2</f>
        <v>0</v>
      </c>
      <c r="H41" s="419"/>
      <c r="I41" s="420">
        <v>0</v>
      </c>
      <c r="K41" s="22" t="str">
        <f t="shared" ref="K41:K47" si="368">IF(ROUND(SUM(L41:EN41),0)=ROUND(I41,0),"","Incomplete")</f>
      </c>
      <c r="L41" s="421" t="n">
        <f t="shared" ref="L41:U46" si="369">AND(L$23&gt;=$D41,L$23&lt;=$E41)*(OR($F41="Straight-Line",$F41="Detail")*($I41/$ES41)+($F41="S-Curve")*EV41+OR($F41="Steady Growth",$F41="Steady Decline")*KF41)</f>
        <v>0</v>
      </c>
      <c r="M41" s="421">
        <f t="shared" si="369"/>
        <v>0</v>
      </c>
      <c r="N41" s="421">
        <f t="shared" si="369"/>
        <v>0</v>
      </c>
      <c r="O41" s="421">
        <f t="shared" si="369"/>
        <v>0</v>
      </c>
      <c r="P41" s="421">
        <f t="shared" si="369"/>
        <v>0</v>
      </c>
      <c r="Q41" s="421">
        <f t="shared" si="369"/>
        <v>0</v>
      </c>
      <c r="R41" s="421">
        <f t="shared" si="369"/>
        <v>0</v>
      </c>
      <c r="S41" s="421">
        <f t="shared" si="369"/>
        <v>0</v>
      </c>
      <c r="T41" s="421">
        <f t="shared" si="369"/>
        <v>0</v>
      </c>
      <c r="U41" s="421">
        <f t="shared" si="369"/>
        <v>0</v>
      </c>
      <c r="V41" s="421" t="n">
        <f t="shared" ref="V41:AE46" si="370">AND(V$23&gt;=$D41,V$23&lt;=$E41)*(OR($F41="Straight-Line",$F41="Detail")*($I41/$ES41)+($F41="S-Curve")*FF41+OR($F41="Steady Growth",$F41="Steady Decline")*KP41)</f>
        <v>0</v>
      </c>
      <c r="W41" s="421">
        <f t="shared" si="370"/>
        <v>0</v>
      </c>
      <c r="X41" s="421">
        <f t="shared" si="370"/>
        <v>0</v>
      </c>
      <c r="Y41" s="421">
        <f t="shared" si="370"/>
        <v>0</v>
      </c>
      <c r="Z41" s="421">
        <f t="shared" si="370"/>
        <v>0</v>
      </c>
      <c r="AA41" s="421">
        <f t="shared" si="370"/>
        <v>0</v>
      </c>
      <c r="AB41" s="421">
        <f t="shared" si="370"/>
        <v>0</v>
      </c>
      <c r="AC41" s="421">
        <f t="shared" si="370"/>
        <v>0</v>
      </c>
      <c r="AD41" s="421">
        <f t="shared" si="370"/>
        <v>0</v>
      </c>
      <c r="AE41" s="421">
        <f t="shared" si="370"/>
        <v>0</v>
      </c>
      <c r="AF41" s="421" t="n">
        <f t="shared" ref="AF41:AO46" si="371">AND(AF$23&gt;=$D41,AF$23&lt;=$E41)*(OR($F41="Straight-Line",$F41="Detail")*($I41/$ES41)+($F41="S-Curve")*FP41+OR($F41="Steady Growth",$F41="Steady Decline")*KZ41)</f>
        <v>0</v>
      </c>
      <c r="AG41" s="421">
        <f t="shared" si="371"/>
        <v>0</v>
      </c>
      <c r="AH41" s="421">
        <f t="shared" si="371"/>
        <v>0</v>
      </c>
      <c r="AI41" s="421">
        <f t="shared" si="371"/>
        <v>0</v>
      </c>
      <c r="AJ41" s="421">
        <f t="shared" si="371"/>
        <v>0</v>
      </c>
      <c r="AK41" s="421">
        <f t="shared" si="371"/>
        <v>0</v>
      </c>
      <c r="AL41" s="421">
        <f t="shared" si="371"/>
        <v>0</v>
      </c>
      <c r="AM41" s="421">
        <f t="shared" si="371"/>
        <v>0</v>
      </c>
      <c r="AN41" s="421">
        <f t="shared" si="371"/>
        <v>0</v>
      </c>
      <c r="AO41" s="421">
        <f t="shared" si="371"/>
        <v>0</v>
      </c>
      <c r="AP41" s="421" t="n">
        <f t="shared" ref="AP41:AY46" si="372">AND(AP$23&gt;=$D41,AP$23&lt;=$E41)*(OR($F41="Straight-Line",$F41="Detail")*($I41/$ES41)+($F41="S-Curve")*FZ41+OR($F41="Steady Growth",$F41="Steady Decline")*LJ41)</f>
        <v>0</v>
      </c>
      <c r="AQ41" s="421">
        <f t="shared" si="372"/>
        <v>0</v>
      </c>
      <c r="AR41" s="421">
        <f t="shared" si="372"/>
        <v>0</v>
      </c>
      <c r="AS41" s="421">
        <f t="shared" si="372"/>
        <v>0</v>
      </c>
      <c r="AT41" s="421">
        <f t="shared" si="372"/>
        <v>0</v>
      </c>
      <c r="AU41" s="421">
        <f t="shared" si="372"/>
        <v>0</v>
      </c>
      <c r="AV41" s="421">
        <f t="shared" si="372"/>
        <v>0</v>
      </c>
      <c r="AW41" s="421">
        <f t="shared" si="372"/>
        <v>0</v>
      </c>
      <c r="AX41" s="421">
        <f t="shared" si="372"/>
        <v>0</v>
      </c>
      <c r="AY41" s="421">
        <f t="shared" si="372"/>
        <v>0</v>
      </c>
      <c r="AZ41" s="421" t="n">
        <f t="shared" ref="AZ41:BI46" si="373">AND(AZ$23&gt;=$D41,AZ$23&lt;=$E41)*(OR($F41="Straight-Line",$F41="Detail")*($I41/$ES41)+($F41="S-Curve")*GJ41+OR($F41="Steady Growth",$F41="Steady Decline")*LT41)</f>
        <v>0</v>
      </c>
      <c r="BA41" s="421">
        <f t="shared" si="373"/>
        <v>0</v>
      </c>
      <c r="BB41" s="421">
        <f t="shared" si="373"/>
        <v>0</v>
      </c>
      <c r="BC41" s="421">
        <f t="shared" si="373"/>
        <v>0</v>
      </c>
      <c r="BD41" s="421">
        <f t="shared" si="373"/>
        <v>0</v>
      </c>
      <c r="BE41" s="421">
        <f t="shared" si="373"/>
        <v>0</v>
      </c>
      <c r="BF41" s="421">
        <f t="shared" si="373"/>
        <v>0</v>
      </c>
      <c r="BG41" s="421">
        <f t="shared" si="373"/>
        <v>0</v>
      </c>
      <c r="BH41" s="421">
        <f t="shared" si="373"/>
        <v>0</v>
      </c>
      <c r="BI41" s="421">
        <f t="shared" si="373"/>
        <v>0</v>
      </c>
      <c r="BJ41" s="421" t="n">
        <f t="shared" ref="BJ41:BS46" si="374">AND(BJ$23&gt;=$D41,BJ$23&lt;=$E41)*(OR($F41="Straight-Line",$F41="Detail")*($I41/$ES41)+($F41="S-Curve")*GT41+OR($F41="Steady Growth",$F41="Steady Decline")*MD41)</f>
        <v>0</v>
      </c>
      <c r="BK41" s="421">
        <f t="shared" si="374"/>
        <v>0</v>
      </c>
      <c r="BL41" s="421">
        <f t="shared" si="374"/>
        <v>0</v>
      </c>
      <c r="BM41" s="421">
        <f t="shared" si="374"/>
        <v>0</v>
      </c>
      <c r="BN41" s="421">
        <f t="shared" si="374"/>
        <v>0</v>
      </c>
      <c r="BO41" s="421">
        <f t="shared" si="374"/>
        <v>0</v>
      </c>
      <c r="BP41" s="421">
        <f t="shared" si="374"/>
        <v>0</v>
      </c>
      <c r="BQ41" s="421">
        <f t="shared" si="374"/>
        <v>0</v>
      </c>
      <c r="BR41" s="421">
        <f t="shared" si="374"/>
        <v>0</v>
      </c>
      <c r="BS41" s="421">
        <f t="shared" si="374"/>
        <v>0</v>
      </c>
      <c r="BT41" s="421" t="n">
        <f t="shared" ref="BT41:CC46" si="375">AND(BT$23&gt;=$D41,BT$23&lt;=$E41)*(OR($F41="Straight-Line",$F41="Detail")*($I41/$ES41)+($F41="S-Curve")*HD41+OR($F41="Steady Growth",$F41="Steady Decline")*MN41)</f>
        <v>0</v>
      </c>
      <c r="BU41" s="421">
        <f t="shared" si="375"/>
        <v>0</v>
      </c>
      <c r="BV41" s="421">
        <f t="shared" si="375"/>
        <v>0</v>
      </c>
      <c r="BW41" s="421">
        <f t="shared" si="375"/>
        <v>0</v>
      </c>
      <c r="BX41" s="421">
        <f t="shared" si="375"/>
        <v>0</v>
      </c>
      <c r="BY41" s="421">
        <f t="shared" si="375"/>
        <v>0</v>
      </c>
      <c r="BZ41" s="421">
        <f t="shared" si="375"/>
        <v>0</v>
      </c>
      <c r="CA41" s="421">
        <f t="shared" si="375"/>
        <v>0</v>
      </c>
      <c r="CB41" s="421">
        <f t="shared" si="375"/>
        <v>0</v>
      </c>
      <c r="CC41" s="421">
        <f t="shared" si="375"/>
        <v>0</v>
      </c>
      <c r="CD41" s="421" t="n">
        <f t="shared" ref="CD41:CM46" si="376">AND(CD$23&gt;=$D41,CD$23&lt;=$E41)*(OR($F41="Straight-Line",$F41="Detail")*($I41/$ES41)+($F41="S-Curve")*HN41+OR($F41="Steady Growth",$F41="Steady Decline")*MX41)</f>
        <v>0</v>
      </c>
      <c r="CE41" s="421">
        <f t="shared" si="376"/>
        <v>0</v>
      </c>
      <c r="CF41" s="421">
        <f t="shared" si="376"/>
        <v>0</v>
      </c>
      <c r="CG41" s="421">
        <f t="shared" si="376"/>
        <v>0</v>
      </c>
      <c r="CH41" s="421">
        <f t="shared" si="376"/>
        <v>0</v>
      </c>
      <c r="CI41" s="421">
        <f t="shared" si="376"/>
        <v>0</v>
      </c>
      <c r="CJ41" s="421">
        <f t="shared" si="376"/>
        <v>0</v>
      </c>
      <c r="CK41" s="421">
        <f t="shared" si="376"/>
        <v>0</v>
      </c>
      <c r="CL41" s="421">
        <f t="shared" si="376"/>
        <v>0</v>
      </c>
      <c r="CM41" s="421">
        <f t="shared" si="376"/>
        <v>0</v>
      </c>
      <c r="CN41" s="421" t="n">
        <f t="shared" ref="CN41:CW46" si="377">AND(CN$23&gt;=$D41,CN$23&lt;=$E41)*(OR($F41="Straight-Line",$F41="Detail")*($I41/$ES41)+($F41="S-Curve")*HX41+OR($F41="Steady Growth",$F41="Steady Decline")*NH41)</f>
        <v>0</v>
      </c>
      <c r="CO41" s="421">
        <f t="shared" si="377"/>
        <v>0</v>
      </c>
      <c r="CP41" s="421">
        <f t="shared" si="377"/>
        <v>0</v>
      </c>
      <c r="CQ41" s="421">
        <f t="shared" si="377"/>
        <v>0</v>
      </c>
      <c r="CR41" s="421">
        <f t="shared" si="377"/>
        <v>0</v>
      </c>
      <c r="CS41" s="421">
        <f t="shared" si="377"/>
        <v>0</v>
      </c>
      <c r="CT41" s="421">
        <f t="shared" si="377"/>
        <v>0</v>
      </c>
      <c r="CU41" s="421">
        <f t="shared" si="377"/>
        <v>0</v>
      </c>
      <c r="CV41" s="421">
        <f t="shared" si="377"/>
        <v>0</v>
      </c>
      <c r="CW41" s="421">
        <f t="shared" si="377"/>
        <v>0</v>
      </c>
      <c r="CX41" s="421" t="n">
        <f t="shared" ref="CX41:DG46" si="378">AND(CX$23&gt;=$D41,CX$23&lt;=$E41)*(OR($F41="Straight-Line",$F41="Detail")*($I41/$ES41)+($F41="S-Curve")*IH41+OR($F41="Steady Growth",$F41="Steady Decline")*NR41)</f>
        <v>0</v>
      </c>
      <c r="CY41" s="421">
        <f t="shared" si="378"/>
        <v>0</v>
      </c>
      <c r="CZ41" s="421">
        <f t="shared" si="378"/>
        <v>0</v>
      </c>
      <c r="DA41" s="421">
        <f t="shared" si="378"/>
        <v>0</v>
      </c>
      <c r="DB41" s="421">
        <f t="shared" si="378"/>
        <v>0</v>
      </c>
      <c r="DC41" s="421">
        <f t="shared" si="378"/>
        <v>0</v>
      </c>
      <c r="DD41" s="421">
        <f t="shared" si="378"/>
        <v>0</v>
      </c>
      <c r="DE41" s="421">
        <f t="shared" si="378"/>
        <v>0</v>
      </c>
      <c r="DF41" s="421">
        <f t="shared" si="378"/>
        <v>0</v>
      </c>
      <c r="DG41" s="421">
        <f t="shared" si="378"/>
        <v>0</v>
      </c>
      <c r="DH41" s="421" t="n">
        <f t="shared" ref="DH41:DQ46" si="379">AND(DH$23&gt;=$D41,DH$23&lt;=$E41)*(OR($F41="Straight-Line",$F41="Detail")*($I41/$ES41)+($F41="S-Curve")*IR41+OR($F41="Steady Growth",$F41="Steady Decline")*OB41)</f>
        <v>0</v>
      </c>
      <c r="DI41" s="421">
        <f t="shared" si="379"/>
        <v>0</v>
      </c>
      <c r="DJ41" s="421">
        <f t="shared" si="379"/>
        <v>0</v>
      </c>
      <c r="DK41" s="421">
        <f t="shared" si="379"/>
        <v>0</v>
      </c>
      <c r="DL41" s="421">
        <f t="shared" si="379"/>
        <v>0</v>
      </c>
      <c r="DM41" s="421">
        <f t="shared" si="379"/>
        <v>0</v>
      </c>
      <c r="DN41" s="421">
        <f t="shared" si="379"/>
        <v>0</v>
      </c>
      <c r="DO41" s="421">
        <f t="shared" si="379"/>
        <v>0</v>
      </c>
      <c r="DP41" s="421">
        <f t="shared" si="379"/>
        <v>0</v>
      </c>
      <c r="DQ41" s="421">
        <f t="shared" si="379"/>
        <v>0</v>
      </c>
      <c r="DR41" s="421" t="n">
        <f t="shared" ref="DR41:EA46" si="380">AND(DR$23&gt;=$D41,DR$23&lt;=$E41)*(OR($F41="Straight-Line",$F41="Detail")*($I41/$ES41)+($F41="S-Curve")*JB41+OR($F41="Steady Growth",$F41="Steady Decline")*OL41)</f>
        <v>0</v>
      </c>
      <c r="DS41" s="421">
        <f t="shared" si="380"/>
        <v>0</v>
      </c>
      <c r="DT41" s="421">
        <f t="shared" si="380"/>
        <v>0</v>
      </c>
      <c r="DU41" s="421">
        <f t="shared" si="380"/>
        <v>0</v>
      </c>
      <c r="DV41" s="421">
        <f t="shared" si="380"/>
        <v>0</v>
      </c>
      <c r="DW41" s="421">
        <f t="shared" si="380"/>
        <v>0</v>
      </c>
      <c r="DX41" s="421">
        <f t="shared" si="380"/>
        <v>0</v>
      </c>
      <c r="DY41" s="421">
        <f t="shared" si="380"/>
        <v>0</v>
      </c>
      <c r="DZ41" s="421">
        <f t="shared" si="380"/>
        <v>0</v>
      </c>
      <c r="EA41" s="421">
        <f t="shared" si="380"/>
        <v>0</v>
      </c>
      <c r="EB41" s="421" t="n">
        <f t="shared" ref="EB41:EK46" si="381">AND(EB$23&gt;=$D41,EB$23&lt;=$E41)*(OR($F41="Straight-Line",$F41="Detail")*($I41/$ES41)+($F41="S-Curve")*JL41+OR($F41="Steady Growth",$F41="Steady Decline")*OV41)</f>
        <v>0</v>
      </c>
      <c r="EC41" s="421">
        <f t="shared" si="381"/>
        <v>0</v>
      </c>
      <c r="ED41" s="421">
        <f t="shared" si="381"/>
        <v>0</v>
      </c>
      <c r="EE41" s="421">
        <f t="shared" si="381"/>
        <v>0</v>
      </c>
      <c r="EF41" s="421">
        <f t="shared" si="381"/>
        <v>0</v>
      </c>
      <c r="EG41" s="421">
        <f t="shared" si="381"/>
        <v>0</v>
      </c>
      <c r="EH41" s="421">
        <f t="shared" si="381"/>
        <v>0</v>
      </c>
      <c r="EI41" s="421">
        <f t="shared" si="381"/>
        <v>0</v>
      </c>
      <c r="EJ41" s="421">
        <f t="shared" si="381"/>
        <v>0</v>
      </c>
      <c r="EK41" s="421">
        <f t="shared" si="381"/>
        <v>0</v>
      </c>
      <c r="EL41" s="421" t="n">
        <f t="shared" ref="EL41:EN46" si="382">AND(EL$23&gt;=$D41,EL$23&lt;=$E41)*(OR($F41="Straight-Line",$F41="Detail")*($I41/$ES41)+($F41="S-Curve")*JV41+OR($F41="Steady Growth",$F41="Steady Decline")*PF41)</f>
        <v>0</v>
      </c>
      <c r="EM41" s="421">
        <f t="shared" si="382"/>
        <v>0</v>
      </c>
      <c r="EN41" s="421">
        <f t="shared" si="382"/>
        <v>0</v>
      </c>
      <c r="EP41" s="221" t="n">
        <f t="shared" ref="EP41:EP46" si="383">I41</f>
        <v>0</v>
      </c>
      <c r="EQ41" s="202" t="n">
        <f t="shared" ref="EQ41:EQ46" si="384">INDEX($L$24:$EN$24,1,$D41+1)</f>
        <v>46203</v>
      </c>
      <c r="ER41" s="202" t="n">
        <f t="shared" ref="ER41:ER46" si="385">INDEX($L$24:$EN$24,1,$E41+1)</f>
        <v>47299</v>
      </c>
      <c r="ES41" s="20" t="n">
        <f t="shared" ref="ES41:ES46" si="386">+E41-D41+1</f>
        <v>37</v>
      </c>
      <c r="ET41" s="18" t="str">
        <f t="shared" ref="ET41:ET46" si="387">F41</f>
        <v>Straight-Line</v>
      </c>
      <c r="EU41" s="80" t="n">
        <f t="shared" ref="EU41:EU46" si="388">ES41/Scurve_Dist</f>
        <v>6.166666666666667</v>
      </c>
      <c r="EV41" s="20" t="n">
        <f t="shared" ref="EV41:FK46" si="389">AND($ET41="S-Curve",EV$24&gt;=$EQ41,EV$24&lt;=$ER41)*(_xlfn.NORM.DIST((YEAR(EV$24)-YEAR($EQ41))*12+MONTH(EV$24)-MONTH($EQ41)+1,$ES41/2,$EU41,TRUE)-_xlfn.NORM.DIST((YEAR(EV$24)-YEAR($EQ41))*12+MONTH(EV$24)-MONTH($EQ41),$ES41/2,$EU41,TRUE))/(1-2*_xlfn.NORM.DIST(0,$ES41/2,$EU41,TRUE))*$EP41</f>
        <v>0</v>
      </c>
      <c r="EW41" s="20">
        <f t="shared" si="389"/>
        <v>0</v>
      </c>
      <c r="EX41" s="20">
        <f t="shared" si="389"/>
        <v>0</v>
      </c>
      <c r="EY41" s="20">
        <f t="shared" si="389"/>
        <v>0</v>
      </c>
      <c r="EZ41" s="20">
        <f t="shared" si="389"/>
        <v>0</v>
      </c>
      <c r="FA41" s="20">
        <f t="shared" si="389"/>
        <v>0</v>
      </c>
      <c r="FB41" s="20">
        <f t="shared" si="389"/>
        <v>0</v>
      </c>
      <c r="FC41" s="20">
        <f t="shared" si="389"/>
        <v>0</v>
      </c>
      <c r="FD41" s="20">
        <f t="shared" si="389"/>
        <v>0</v>
      </c>
      <c r="FE41" s="20">
        <f t="shared" si="389"/>
        <v>0</v>
      </c>
      <c r="FF41" s="20">
        <f t="shared" si="389"/>
        <v>0</v>
      </c>
      <c r="FG41" s="20">
        <f t="shared" si="389"/>
        <v>0</v>
      </c>
      <c r="FH41" s="20">
        <f t="shared" si="389"/>
        <v>0</v>
      </c>
      <c r="FI41" s="20">
        <f t="shared" si="389"/>
        <v>0</v>
      </c>
      <c r="FJ41" s="20">
        <f t="shared" si="389"/>
        <v>0</v>
      </c>
      <c r="FK41" s="20">
        <f t="shared" si="389"/>
        <v>0</v>
      </c>
      <c r="FL41" s="20" t="n">
        <f t="shared" ref="FL41:GA46" si="390">AND($ET41="S-Curve",FL$24&gt;=$EQ41,FL$24&lt;=$ER41)*(_xlfn.NORM.DIST((YEAR(FL$24)-YEAR($EQ41))*12+MONTH(FL$24)-MONTH($EQ41)+1,$ES41/2,$EU41,TRUE)-_xlfn.NORM.DIST((YEAR(FL$24)-YEAR($EQ41))*12+MONTH(FL$24)-MONTH($EQ41),$ES41/2,$EU41,TRUE))/(1-2*_xlfn.NORM.DIST(0,$ES41/2,$EU41,TRUE))*$EP41</f>
        <v>0</v>
      </c>
      <c r="FM41" s="20">
        <f t="shared" si="390"/>
        <v>0</v>
      </c>
      <c r="FN41" s="20">
        <f t="shared" si="390"/>
        <v>0</v>
      </c>
      <c r="FO41" s="20">
        <f t="shared" si="390"/>
        <v>0</v>
      </c>
      <c r="FP41" s="20">
        <f t="shared" si="390"/>
        <v>0</v>
      </c>
      <c r="FQ41" s="20">
        <f t="shared" si="390"/>
        <v>0</v>
      </c>
      <c r="FR41" s="20">
        <f t="shared" si="390"/>
        <v>0</v>
      </c>
      <c r="FS41" s="20">
        <f t="shared" si="390"/>
        <v>0</v>
      </c>
      <c r="FT41" s="20">
        <f t="shared" si="390"/>
        <v>0</v>
      </c>
      <c r="FU41" s="20">
        <f t="shared" si="390"/>
        <v>0</v>
      </c>
      <c r="FV41" s="20">
        <f t="shared" si="390"/>
        <v>0</v>
      </c>
      <c r="FW41" s="20">
        <f t="shared" si="390"/>
        <v>0</v>
      </c>
      <c r="FX41" s="20">
        <f t="shared" si="390"/>
        <v>0</v>
      </c>
      <c r="FY41" s="20">
        <f t="shared" si="390"/>
        <v>0</v>
      </c>
      <c r="FZ41" s="20">
        <f t="shared" si="390"/>
        <v>0</v>
      </c>
      <c r="GA41" s="20">
        <f t="shared" si="390"/>
        <v>0</v>
      </c>
      <c r="GB41" s="20" t="n">
        <f t="shared" ref="GB41:GQ46" si="391">AND($ET41="S-Curve",GB$24&gt;=$EQ41,GB$24&lt;=$ER41)*(_xlfn.NORM.DIST((YEAR(GB$24)-YEAR($EQ41))*12+MONTH(GB$24)-MONTH($EQ41)+1,$ES41/2,$EU41,TRUE)-_xlfn.NORM.DIST((YEAR(GB$24)-YEAR($EQ41))*12+MONTH(GB$24)-MONTH($EQ41),$ES41/2,$EU41,TRUE))/(1-2*_xlfn.NORM.DIST(0,$ES41/2,$EU41,TRUE))*$EP41</f>
        <v>0</v>
      </c>
      <c r="GC41" s="20">
        <f t="shared" si="391"/>
        <v>0</v>
      </c>
      <c r="GD41" s="20">
        <f t="shared" si="391"/>
        <v>0</v>
      </c>
      <c r="GE41" s="20">
        <f t="shared" si="391"/>
        <v>0</v>
      </c>
      <c r="GF41" s="20">
        <f t="shared" si="391"/>
        <v>0</v>
      </c>
      <c r="GG41" s="20">
        <f t="shared" si="391"/>
        <v>0</v>
      </c>
      <c r="GH41" s="20">
        <f t="shared" si="391"/>
        <v>0</v>
      </c>
      <c r="GI41" s="20">
        <f t="shared" si="391"/>
        <v>0</v>
      </c>
      <c r="GJ41" s="20">
        <f t="shared" si="391"/>
        <v>0</v>
      </c>
      <c r="GK41" s="20">
        <f t="shared" si="391"/>
        <v>0</v>
      </c>
      <c r="GL41" s="20">
        <f t="shared" si="391"/>
        <v>0</v>
      </c>
      <c r="GM41" s="20">
        <f t="shared" si="391"/>
        <v>0</v>
      </c>
      <c r="GN41" s="20">
        <f t="shared" si="391"/>
        <v>0</v>
      </c>
      <c r="GO41" s="20">
        <f t="shared" si="391"/>
        <v>0</v>
      </c>
      <c r="GP41" s="20">
        <f t="shared" si="391"/>
        <v>0</v>
      </c>
      <c r="GQ41" s="20">
        <f t="shared" si="391"/>
        <v>0</v>
      </c>
      <c r="GR41" s="20" t="n">
        <f t="shared" ref="GR41:HG46" si="392">AND($ET41="S-Curve",GR$24&gt;=$EQ41,GR$24&lt;=$ER41)*(_xlfn.NORM.DIST((YEAR(GR$24)-YEAR($EQ41))*12+MONTH(GR$24)-MONTH($EQ41)+1,$ES41/2,$EU41,TRUE)-_xlfn.NORM.DIST((YEAR(GR$24)-YEAR($EQ41))*12+MONTH(GR$24)-MONTH($EQ41),$ES41/2,$EU41,TRUE))/(1-2*_xlfn.NORM.DIST(0,$ES41/2,$EU41,TRUE))*$EP41</f>
        <v>0</v>
      </c>
      <c r="GS41" s="20">
        <f t="shared" si="392"/>
        <v>0</v>
      </c>
      <c r="GT41" s="20">
        <f t="shared" si="392"/>
        <v>0</v>
      </c>
      <c r="GU41" s="20">
        <f t="shared" si="392"/>
        <v>0</v>
      </c>
      <c r="GV41" s="20">
        <f t="shared" si="392"/>
        <v>0</v>
      </c>
      <c r="GW41" s="20">
        <f t="shared" si="392"/>
        <v>0</v>
      </c>
      <c r="GX41" s="20">
        <f t="shared" si="392"/>
        <v>0</v>
      </c>
      <c r="GY41" s="20">
        <f t="shared" si="392"/>
        <v>0</v>
      </c>
      <c r="GZ41" s="20">
        <f t="shared" si="392"/>
        <v>0</v>
      </c>
      <c r="HA41" s="20">
        <f t="shared" si="392"/>
        <v>0</v>
      </c>
      <c r="HB41" s="20">
        <f t="shared" si="392"/>
        <v>0</v>
      </c>
      <c r="HC41" s="20">
        <f t="shared" si="392"/>
        <v>0</v>
      </c>
      <c r="HD41" s="20">
        <f t="shared" si="392"/>
        <v>0</v>
      </c>
      <c r="HE41" s="20">
        <f t="shared" si="392"/>
        <v>0</v>
      </c>
      <c r="HF41" s="20">
        <f t="shared" si="392"/>
        <v>0</v>
      </c>
      <c r="HG41" s="20">
        <f t="shared" si="392"/>
        <v>0</v>
      </c>
      <c r="HH41" s="20" t="n">
        <f t="shared" ref="HH41:HW46" si="393">AND($ET41="S-Curve",HH$24&gt;=$EQ41,HH$24&lt;=$ER41)*(_xlfn.NORM.DIST((YEAR(HH$24)-YEAR($EQ41))*12+MONTH(HH$24)-MONTH($EQ41)+1,$ES41/2,$EU41,TRUE)-_xlfn.NORM.DIST((YEAR(HH$24)-YEAR($EQ41))*12+MONTH(HH$24)-MONTH($EQ41),$ES41/2,$EU41,TRUE))/(1-2*_xlfn.NORM.DIST(0,$ES41/2,$EU41,TRUE))*$EP41</f>
        <v>0</v>
      </c>
      <c r="HI41" s="20">
        <f t="shared" si="393"/>
        <v>0</v>
      </c>
      <c r="HJ41" s="20">
        <f t="shared" si="393"/>
        <v>0</v>
      </c>
      <c r="HK41" s="20">
        <f t="shared" si="393"/>
        <v>0</v>
      </c>
      <c r="HL41" s="20">
        <f t="shared" si="393"/>
        <v>0</v>
      </c>
      <c r="HM41" s="20">
        <f t="shared" si="393"/>
        <v>0</v>
      </c>
      <c r="HN41" s="20">
        <f t="shared" si="393"/>
        <v>0</v>
      </c>
      <c r="HO41" s="20">
        <f t="shared" si="393"/>
        <v>0</v>
      </c>
      <c r="HP41" s="20">
        <f t="shared" si="393"/>
        <v>0</v>
      </c>
      <c r="HQ41" s="20">
        <f t="shared" si="393"/>
        <v>0</v>
      </c>
      <c r="HR41" s="20">
        <f t="shared" si="393"/>
        <v>0</v>
      </c>
      <c r="HS41" s="20">
        <f t="shared" si="393"/>
        <v>0</v>
      </c>
      <c r="HT41" s="20">
        <f t="shared" si="393"/>
        <v>0</v>
      </c>
      <c r="HU41" s="20">
        <f t="shared" si="393"/>
        <v>0</v>
      </c>
      <c r="HV41" s="20">
        <f t="shared" si="393"/>
        <v>0</v>
      </c>
      <c r="HW41" s="20">
        <f t="shared" si="393"/>
        <v>0</v>
      </c>
      <c r="HX41" s="20" t="n">
        <f t="shared" ref="HX41:IM46" si="394">AND($ET41="S-Curve",HX$24&gt;=$EQ41,HX$24&lt;=$ER41)*(_xlfn.NORM.DIST((YEAR(HX$24)-YEAR($EQ41))*12+MONTH(HX$24)-MONTH($EQ41)+1,$ES41/2,$EU41,TRUE)-_xlfn.NORM.DIST((YEAR(HX$24)-YEAR($EQ41))*12+MONTH(HX$24)-MONTH($EQ41),$ES41/2,$EU41,TRUE))/(1-2*_xlfn.NORM.DIST(0,$ES41/2,$EU41,TRUE))*$EP41</f>
        <v>0</v>
      </c>
      <c r="HY41" s="20">
        <f t="shared" si="394"/>
        <v>0</v>
      </c>
      <c r="HZ41" s="20">
        <f t="shared" si="394"/>
        <v>0</v>
      </c>
      <c r="IA41" s="20">
        <f t="shared" si="394"/>
        <v>0</v>
      </c>
      <c r="IB41" s="20">
        <f t="shared" si="394"/>
        <v>0</v>
      </c>
      <c r="IC41" s="20">
        <f t="shared" si="394"/>
        <v>0</v>
      </c>
      <c r="ID41" s="20">
        <f t="shared" si="394"/>
        <v>0</v>
      </c>
      <c r="IE41" s="20">
        <f t="shared" si="394"/>
        <v>0</v>
      </c>
      <c r="IF41" s="20">
        <f t="shared" si="394"/>
        <v>0</v>
      </c>
      <c r="IG41" s="20">
        <f t="shared" si="394"/>
        <v>0</v>
      </c>
      <c r="IH41" s="20">
        <f t="shared" si="394"/>
        <v>0</v>
      </c>
      <c r="II41" s="20">
        <f t="shared" si="394"/>
        <v>0</v>
      </c>
      <c r="IJ41" s="20">
        <f t="shared" si="394"/>
        <v>0</v>
      </c>
      <c r="IK41" s="20">
        <f t="shared" si="394"/>
        <v>0</v>
      </c>
      <c r="IL41" s="20">
        <f t="shared" si="394"/>
        <v>0</v>
      </c>
      <c r="IM41" s="20">
        <f t="shared" si="394"/>
        <v>0</v>
      </c>
      <c r="IN41" s="20" t="n">
        <f t="shared" ref="IN41:JC46" si="395">AND($ET41="S-Curve",IN$24&gt;=$EQ41,IN$24&lt;=$ER41)*(_xlfn.NORM.DIST((YEAR(IN$24)-YEAR($EQ41))*12+MONTH(IN$24)-MONTH($EQ41)+1,$ES41/2,$EU41,TRUE)-_xlfn.NORM.DIST((YEAR(IN$24)-YEAR($EQ41))*12+MONTH(IN$24)-MONTH($EQ41),$ES41/2,$EU41,TRUE))/(1-2*_xlfn.NORM.DIST(0,$ES41/2,$EU41,TRUE))*$EP41</f>
        <v>0</v>
      </c>
      <c r="IO41" s="20">
        <f t="shared" si="395"/>
        <v>0</v>
      </c>
      <c r="IP41" s="20">
        <f t="shared" si="395"/>
        <v>0</v>
      </c>
      <c r="IQ41" s="20">
        <f t="shared" si="395"/>
        <v>0</v>
      </c>
      <c r="IR41" s="20">
        <f t="shared" si="395"/>
        <v>0</v>
      </c>
      <c r="IS41" s="20">
        <f t="shared" si="395"/>
        <v>0</v>
      </c>
      <c r="IT41" s="20">
        <f t="shared" si="395"/>
        <v>0</v>
      </c>
      <c r="IU41" s="20">
        <f t="shared" si="395"/>
        <v>0</v>
      </c>
      <c r="IV41" s="20">
        <f t="shared" si="395"/>
        <v>0</v>
      </c>
      <c r="IW41" s="20">
        <f t="shared" si="395"/>
        <v>0</v>
      </c>
      <c r="IX41" s="20">
        <f t="shared" si="395"/>
        <v>0</v>
      </c>
      <c r="IY41" s="20">
        <f t="shared" si="395"/>
        <v>0</v>
      </c>
      <c r="IZ41" s="20">
        <f t="shared" si="395"/>
        <v>0</v>
      </c>
      <c r="JA41" s="20">
        <f t="shared" si="395"/>
        <v>0</v>
      </c>
      <c r="JB41" s="20">
        <f t="shared" si="395"/>
        <v>0</v>
      </c>
      <c r="JC41" s="20">
        <f t="shared" si="395"/>
        <v>0</v>
      </c>
      <c r="JD41" s="20" t="n">
        <f t="shared" ref="JD41:JS46" si="396">AND($ET41="S-Curve",JD$24&gt;=$EQ41,JD$24&lt;=$ER41)*(_xlfn.NORM.DIST((YEAR(JD$24)-YEAR($EQ41))*12+MONTH(JD$24)-MONTH($EQ41)+1,$ES41/2,$EU41,TRUE)-_xlfn.NORM.DIST((YEAR(JD$24)-YEAR($EQ41))*12+MONTH(JD$24)-MONTH($EQ41),$ES41/2,$EU41,TRUE))/(1-2*_xlfn.NORM.DIST(0,$ES41/2,$EU41,TRUE))*$EP41</f>
        <v>0</v>
      </c>
      <c r="JE41" s="20">
        <f t="shared" si="396"/>
        <v>0</v>
      </c>
      <c r="JF41" s="20">
        <f t="shared" si="396"/>
        <v>0</v>
      </c>
      <c r="JG41" s="20">
        <f t="shared" si="396"/>
        <v>0</v>
      </c>
      <c r="JH41" s="20">
        <f t="shared" si="396"/>
        <v>0</v>
      </c>
      <c r="JI41" s="20">
        <f t="shared" si="396"/>
        <v>0</v>
      </c>
      <c r="JJ41" s="20">
        <f t="shared" si="396"/>
        <v>0</v>
      </c>
      <c r="JK41" s="20">
        <f t="shared" si="396"/>
        <v>0</v>
      </c>
      <c r="JL41" s="20">
        <f t="shared" si="396"/>
        <v>0</v>
      </c>
      <c r="JM41" s="20">
        <f t="shared" si="396"/>
        <v>0</v>
      </c>
      <c r="JN41" s="20">
        <f t="shared" si="396"/>
        <v>0</v>
      </c>
      <c r="JO41" s="20">
        <f t="shared" si="396"/>
        <v>0</v>
      </c>
      <c r="JP41" s="20">
        <f t="shared" si="396"/>
        <v>0</v>
      </c>
      <c r="JQ41" s="20">
        <f t="shared" si="396"/>
        <v>0</v>
      </c>
      <c r="JR41" s="20">
        <f t="shared" si="396"/>
        <v>0</v>
      </c>
      <c r="JS41" s="20">
        <f t="shared" si="396"/>
        <v>0</v>
      </c>
      <c r="JT41" s="20" t="n">
        <f t="shared" ref="JT41:JX46" si="397">AND($ET41="S-Curve",JT$24&gt;=$EQ41,JT$24&lt;=$ER41)*(_xlfn.NORM.DIST((YEAR(JT$24)-YEAR($EQ41))*12+MONTH(JT$24)-MONTH($EQ41)+1,$ES41/2,$EU41,TRUE)-_xlfn.NORM.DIST((YEAR(JT$24)-YEAR($EQ41))*12+MONTH(JT$24)-MONTH($EQ41),$ES41/2,$EU41,TRUE))/(1-2*_xlfn.NORM.DIST(0,$ES41/2,$EU41,TRUE))*$EP41</f>
        <v>0</v>
      </c>
      <c r="JU41" s="20">
        <f t="shared" si="397"/>
        <v>0</v>
      </c>
      <c r="JV41" s="20">
        <f t="shared" si="397"/>
        <v>0</v>
      </c>
      <c r="JW41" s="20">
        <f t="shared" si="397"/>
        <v>0</v>
      </c>
      <c r="JX41" s="20">
        <f t="shared" si="397"/>
        <v>0</v>
      </c>
      <c r="JZ41" s="221">
        <f t="shared" si="285"/>
        <v>0</v>
      </c>
      <c r="KA41" s="202"/>
      <c r="KB41" s="20" t="n">
        <f t="shared" ref="KB41:KB46" si="398">D41</f>
        <v>0</v>
      </c>
      <c r="KC41" s="20" t="n">
        <f t="shared" ref="KC41:KC46" si="399">E41</f>
        <v>36</v>
      </c>
      <c r="KD41" s="20" t="n">
        <f t="shared" ref="KD41:KD46" si="400">KC41-KB41+1</f>
        <v>37</v>
      </c>
      <c r="KE41" s="422" t="n">
        <f t="shared" ref="KE41:KE46" si="401">I41</f>
        <v>0</v>
      </c>
      <c r="KF41" s="422" t="n">
        <f t="shared" ref="KF41:KU46" si="402">AND(KF$23&gt;=$KB41,KF$23&lt;=$KC41)*(IF($F41="Steady Growth",KF$23-$KB41,$KC41-KF$23)+1)/($KD41*($KD41+1)/2)*$KE41</f>
        <v>0</v>
      </c>
      <c r="KG41" s="422">
        <f t="shared" si="402"/>
        <v>0</v>
      </c>
      <c r="KH41" s="422">
        <f t="shared" si="402"/>
        <v>0</v>
      </c>
      <c r="KI41" s="422">
        <f t="shared" si="402"/>
        <v>0</v>
      </c>
      <c r="KJ41" s="422">
        <f t="shared" si="402"/>
        <v>0</v>
      </c>
      <c r="KK41" s="422">
        <f t="shared" si="402"/>
        <v>0</v>
      </c>
      <c r="KL41" s="422">
        <f t="shared" si="402"/>
        <v>0</v>
      </c>
      <c r="KM41" s="422">
        <f t="shared" si="402"/>
        <v>0</v>
      </c>
      <c r="KN41" s="422">
        <f t="shared" si="402"/>
        <v>0</v>
      </c>
      <c r="KO41" s="422">
        <f t="shared" si="402"/>
        <v>0</v>
      </c>
      <c r="KP41" s="422">
        <f t="shared" si="402"/>
        <v>0</v>
      </c>
      <c r="KQ41" s="422">
        <f t="shared" si="402"/>
        <v>0</v>
      </c>
      <c r="KR41" s="422">
        <f t="shared" si="402"/>
        <v>0</v>
      </c>
      <c r="KS41" s="422">
        <f t="shared" si="402"/>
        <v>0</v>
      </c>
      <c r="KT41" s="422">
        <f t="shared" si="402"/>
        <v>0</v>
      </c>
      <c r="KU41" s="422">
        <f t="shared" si="402"/>
        <v>0</v>
      </c>
      <c r="KV41" s="422" t="n">
        <f t="shared" ref="KV41:LK46" si="403">AND(KV$23&gt;=$KB41,KV$23&lt;=$KC41)*(IF($F41="Steady Growth",KV$23-$KB41,$KC41-KV$23)+1)/($KD41*($KD41+1)/2)*$KE41</f>
        <v>0</v>
      </c>
      <c r="KW41" s="422">
        <f t="shared" si="403"/>
        <v>0</v>
      </c>
      <c r="KX41" s="422">
        <f t="shared" si="403"/>
        <v>0</v>
      </c>
      <c r="KY41" s="422">
        <f t="shared" si="403"/>
        <v>0</v>
      </c>
      <c r="KZ41" s="422">
        <f t="shared" si="403"/>
        <v>0</v>
      </c>
      <c r="LA41" s="422">
        <f t="shared" si="403"/>
        <v>0</v>
      </c>
      <c r="LB41" s="422">
        <f t="shared" si="403"/>
        <v>0</v>
      </c>
      <c r="LC41" s="422">
        <f t="shared" si="403"/>
        <v>0</v>
      </c>
      <c r="LD41" s="422">
        <f t="shared" si="403"/>
        <v>0</v>
      </c>
      <c r="LE41" s="422">
        <f t="shared" si="403"/>
        <v>0</v>
      </c>
      <c r="LF41" s="422">
        <f t="shared" si="403"/>
        <v>0</v>
      </c>
      <c r="LG41" s="422">
        <f t="shared" si="403"/>
        <v>0</v>
      </c>
      <c r="LH41" s="422">
        <f t="shared" si="403"/>
        <v>0</v>
      </c>
      <c r="LI41" s="422">
        <f t="shared" si="403"/>
        <v>0</v>
      </c>
      <c r="LJ41" s="422">
        <f t="shared" si="403"/>
        <v>0</v>
      </c>
      <c r="LK41" s="422">
        <f t="shared" si="403"/>
        <v>0</v>
      </c>
      <c r="LL41" s="422" t="n">
        <f t="shared" ref="LL41:MA46" si="404">AND(LL$23&gt;=$KB41,LL$23&lt;=$KC41)*(IF($F41="Steady Growth",LL$23-$KB41,$KC41-LL$23)+1)/($KD41*($KD41+1)/2)*$KE41</f>
        <v>0</v>
      </c>
      <c r="LM41" s="422">
        <f t="shared" si="404"/>
        <v>0</v>
      </c>
      <c r="LN41" s="422">
        <f t="shared" si="404"/>
        <v>0</v>
      </c>
      <c r="LO41" s="422">
        <f t="shared" si="404"/>
        <v>0</v>
      </c>
      <c r="LP41" s="422">
        <f t="shared" si="404"/>
        <v>0</v>
      </c>
      <c r="LQ41" s="422">
        <f t="shared" si="404"/>
        <v>0</v>
      </c>
      <c r="LR41" s="422">
        <f t="shared" si="404"/>
        <v>0</v>
      </c>
      <c r="LS41" s="422">
        <f t="shared" si="404"/>
        <v>0</v>
      </c>
      <c r="LT41" s="422">
        <f t="shared" si="404"/>
        <v>0</v>
      </c>
      <c r="LU41" s="422">
        <f t="shared" si="404"/>
        <v>0</v>
      </c>
      <c r="LV41" s="422">
        <f t="shared" si="404"/>
        <v>0</v>
      </c>
      <c r="LW41" s="422">
        <f t="shared" si="404"/>
        <v>0</v>
      </c>
      <c r="LX41" s="422">
        <f t="shared" si="404"/>
        <v>0</v>
      </c>
      <c r="LY41" s="422">
        <f t="shared" si="404"/>
        <v>0</v>
      </c>
      <c r="LZ41" s="422">
        <f t="shared" si="404"/>
        <v>0</v>
      </c>
      <c r="MA41" s="422">
        <f t="shared" si="404"/>
        <v>0</v>
      </c>
      <c r="MB41" s="422" t="n">
        <f t="shared" ref="MB41:MQ46" si="405">AND(MB$23&gt;=$KB41,MB$23&lt;=$KC41)*(IF($F41="Steady Growth",MB$23-$KB41,$KC41-MB$23)+1)/($KD41*($KD41+1)/2)*$KE41</f>
        <v>0</v>
      </c>
      <c r="MC41" s="422">
        <f t="shared" si="405"/>
        <v>0</v>
      </c>
      <c r="MD41" s="422">
        <f t="shared" si="405"/>
        <v>0</v>
      </c>
      <c r="ME41" s="422">
        <f t="shared" si="405"/>
        <v>0</v>
      </c>
      <c r="MF41" s="422">
        <f t="shared" si="405"/>
        <v>0</v>
      </c>
      <c r="MG41" s="422">
        <f t="shared" si="405"/>
        <v>0</v>
      </c>
      <c r="MH41" s="422">
        <f t="shared" si="405"/>
        <v>0</v>
      </c>
      <c r="MI41" s="422">
        <f t="shared" si="405"/>
        <v>0</v>
      </c>
      <c r="MJ41" s="422">
        <f t="shared" si="405"/>
        <v>0</v>
      </c>
      <c r="MK41" s="422">
        <f t="shared" si="405"/>
        <v>0</v>
      </c>
      <c r="ML41" s="422">
        <f t="shared" si="405"/>
        <v>0</v>
      </c>
      <c r="MM41" s="422">
        <f t="shared" si="405"/>
        <v>0</v>
      </c>
      <c r="MN41" s="422">
        <f t="shared" si="405"/>
        <v>0</v>
      </c>
      <c r="MO41" s="422">
        <f t="shared" si="405"/>
        <v>0</v>
      </c>
      <c r="MP41" s="422">
        <f t="shared" si="405"/>
        <v>0</v>
      </c>
      <c r="MQ41" s="422">
        <f t="shared" si="405"/>
        <v>0</v>
      </c>
      <c r="MR41" s="422" t="n">
        <f t="shared" ref="MR41:NG46" si="406">AND(MR$23&gt;=$KB41,MR$23&lt;=$KC41)*(IF($F41="Steady Growth",MR$23-$KB41,$KC41-MR$23)+1)/($KD41*($KD41+1)/2)*$KE41</f>
        <v>0</v>
      </c>
      <c r="MS41" s="422">
        <f t="shared" si="406"/>
        <v>0</v>
      </c>
      <c r="MT41" s="422">
        <f t="shared" si="406"/>
        <v>0</v>
      </c>
      <c r="MU41" s="422">
        <f t="shared" si="406"/>
        <v>0</v>
      </c>
      <c r="MV41" s="422">
        <f t="shared" si="406"/>
        <v>0</v>
      </c>
      <c r="MW41" s="422">
        <f t="shared" si="406"/>
        <v>0</v>
      </c>
      <c r="MX41" s="422">
        <f t="shared" si="406"/>
        <v>0</v>
      </c>
      <c r="MY41" s="422">
        <f t="shared" si="406"/>
        <v>0</v>
      </c>
      <c r="MZ41" s="422">
        <f t="shared" si="406"/>
        <v>0</v>
      </c>
      <c r="NA41" s="422">
        <f t="shared" si="406"/>
        <v>0</v>
      </c>
      <c r="NB41" s="422">
        <f t="shared" si="406"/>
        <v>0</v>
      </c>
      <c r="NC41" s="422">
        <f t="shared" si="406"/>
        <v>0</v>
      </c>
      <c r="ND41" s="422">
        <f t="shared" si="406"/>
        <v>0</v>
      </c>
      <c r="NE41" s="422">
        <f t="shared" si="406"/>
        <v>0</v>
      </c>
      <c r="NF41" s="422">
        <f t="shared" si="406"/>
        <v>0</v>
      </c>
      <c r="NG41" s="422">
        <f t="shared" si="406"/>
        <v>0</v>
      </c>
      <c r="NH41" s="422" t="n">
        <f t="shared" ref="NH41:NW46" si="407">AND(NH$23&gt;=$KB41,NH$23&lt;=$KC41)*(IF($F41="Steady Growth",NH$23-$KB41,$KC41-NH$23)+1)/($KD41*($KD41+1)/2)*$KE41</f>
        <v>0</v>
      </c>
      <c r="NI41" s="422">
        <f t="shared" si="407"/>
        <v>0</v>
      </c>
      <c r="NJ41" s="422">
        <f t="shared" si="407"/>
        <v>0</v>
      </c>
      <c r="NK41" s="422">
        <f t="shared" si="407"/>
        <v>0</v>
      </c>
      <c r="NL41" s="422">
        <f t="shared" si="407"/>
        <v>0</v>
      </c>
      <c r="NM41" s="422">
        <f t="shared" si="407"/>
        <v>0</v>
      </c>
      <c r="NN41" s="422">
        <f t="shared" si="407"/>
        <v>0</v>
      </c>
      <c r="NO41" s="422">
        <f t="shared" si="407"/>
        <v>0</v>
      </c>
      <c r="NP41" s="422">
        <f t="shared" si="407"/>
        <v>0</v>
      </c>
      <c r="NQ41" s="422">
        <f t="shared" si="407"/>
        <v>0</v>
      </c>
      <c r="NR41" s="422">
        <f t="shared" si="407"/>
        <v>0</v>
      </c>
      <c r="NS41" s="422">
        <f t="shared" si="407"/>
        <v>0</v>
      </c>
      <c r="NT41" s="422">
        <f t="shared" si="407"/>
        <v>0</v>
      </c>
      <c r="NU41" s="422">
        <f t="shared" si="407"/>
        <v>0</v>
      </c>
      <c r="NV41" s="422">
        <f t="shared" si="407"/>
        <v>0</v>
      </c>
      <c r="NW41" s="422">
        <f t="shared" si="407"/>
        <v>0</v>
      </c>
      <c r="NX41" s="422" t="n">
        <f t="shared" ref="NX41:OM46" si="408">AND(NX$23&gt;=$KB41,NX$23&lt;=$KC41)*(IF($F41="Steady Growth",NX$23-$KB41,$KC41-NX$23)+1)/($KD41*($KD41+1)/2)*$KE41</f>
        <v>0</v>
      </c>
      <c r="NY41" s="422">
        <f t="shared" si="408"/>
        <v>0</v>
      </c>
      <c r="NZ41" s="422">
        <f t="shared" si="408"/>
        <v>0</v>
      </c>
      <c r="OA41" s="422">
        <f t="shared" si="408"/>
        <v>0</v>
      </c>
      <c r="OB41" s="422">
        <f t="shared" si="408"/>
        <v>0</v>
      </c>
      <c r="OC41" s="422">
        <f t="shared" si="408"/>
        <v>0</v>
      </c>
      <c r="OD41" s="422">
        <f t="shared" si="408"/>
        <v>0</v>
      </c>
      <c r="OE41" s="422">
        <f t="shared" si="408"/>
        <v>0</v>
      </c>
      <c r="OF41" s="422">
        <f t="shared" si="408"/>
        <v>0</v>
      </c>
      <c r="OG41" s="422">
        <f t="shared" si="408"/>
        <v>0</v>
      </c>
      <c r="OH41" s="422">
        <f t="shared" si="408"/>
        <v>0</v>
      </c>
      <c r="OI41" s="422">
        <f t="shared" si="408"/>
        <v>0</v>
      </c>
      <c r="OJ41" s="422">
        <f t="shared" si="408"/>
        <v>0</v>
      </c>
      <c r="OK41" s="422">
        <f t="shared" si="408"/>
        <v>0</v>
      </c>
      <c r="OL41" s="422">
        <f t="shared" si="408"/>
        <v>0</v>
      </c>
      <c r="OM41" s="422">
        <f t="shared" si="408"/>
        <v>0</v>
      </c>
      <c r="ON41" s="422" t="n">
        <f t="shared" ref="ON41:PC46" si="409">AND(ON$23&gt;=$KB41,ON$23&lt;=$KC41)*(IF($F41="Steady Growth",ON$23-$KB41,$KC41-ON$23)+1)/($KD41*($KD41+1)/2)*$KE41</f>
        <v>0</v>
      </c>
      <c r="OO41" s="422">
        <f t="shared" si="409"/>
        <v>0</v>
      </c>
      <c r="OP41" s="422">
        <f t="shared" si="409"/>
        <v>0</v>
      </c>
      <c r="OQ41" s="422">
        <f t="shared" si="409"/>
        <v>0</v>
      </c>
      <c r="OR41" s="422">
        <f t="shared" si="409"/>
        <v>0</v>
      </c>
      <c r="OS41" s="422">
        <f t="shared" si="409"/>
        <v>0</v>
      </c>
      <c r="OT41" s="422">
        <f t="shared" si="409"/>
        <v>0</v>
      </c>
      <c r="OU41" s="422">
        <f t="shared" si="409"/>
        <v>0</v>
      </c>
      <c r="OV41" s="422">
        <f t="shared" si="409"/>
        <v>0</v>
      </c>
      <c r="OW41" s="422">
        <f t="shared" si="409"/>
        <v>0</v>
      </c>
      <c r="OX41" s="422">
        <f t="shared" si="409"/>
        <v>0</v>
      </c>
      <c r="OY41" s="422">
        <f t="shared" si="409"/>
        <v>0</v>
      </c>
      <c r="OZ41" s="422">
        <f t="shared" si="409"/>
        <v>0</v>
      </c>
      <c r="PA41" s="422">
        <f t="shared" si="409"/>
        <v>0</v>
      </c>
      <c r="PB41" s="422">
        <f t="shared" si="409"/>
        <v>0</v>
      </c>
      <c r="PC41" s="422">
        <f t="shared" si="409"/>
        <v>0</v>
      </c>
      <c r="PD41" s="422" t="n">
        <f t="shared" ref="PD41:PH46" si="410">AND(PD$23&gt;=$KB41,PD$23&lt;=$KC41)*(IF($F41="Steady Growth",PD$23-$KB41,$KC41-PD$23)+1)/($KD41*($KD41+1)/2)*$KE41</f>
        <v>0</v>
      </c>
      <c r="PE41" s="422">
        <f t="shared" si="410"/>
        <v>0</v>
      </c>
      <c r="PF41" s="422">
        <f t="shared" si="410"/>
        <v>0</v>
      </c>
      <c r="PG41" s="422">
        <f t="shared" si="410"/>
        <v>0</v>
      </c>
      <c r="PH41" s="422">
        <f t="shared" si="410"/>
        <v>0</v>
      </c>
    </row>
    <row r="42">
      <c r="B42" s="430" t="s">
        <v>149</v>
      </c>
      <c r="C42" s="404">
        <v>1</v>
      </c>
      <c r="D42" s="46"/>
      <c r="E42" s="46">
        <v>36</v>
      </c>
      <c r="F42" s="418" t="s">
        <v>137</v>
      </c>
      <c r="G42" s="135">
        <f t="shared" si="367"/>
        <v>0</v>
      </c>
      <c r="H42" s="419"/>
      <c r="I42" s="420">
        <v>0</v>
      </c>
      <c r="K42" s="22" t="str">
        <f t="shared" si="368"/>
      </c>
      <c r="L42" s="421">
        <f t="shared" si="369"/>
        <v>0</v>
      </c>
      <c r="M42" s="421">
        <f t="shared" si="369"/>
        <v>0</v>
      </c>
      <c r="N42" s="421">
        <f t="shared" si="369"/>
        <v>0</v>
      </c>
      <c r="O42" s="421">
        <f t="shared" si="369"/>
        <v>0</v>
      </c>
      <c r="P42" s="421">
        <f t="shared" si="369"/>
        <v>0</v>
      </c>
      <c r="Q42" s="421">
        <f t="shared" si="369"/>
        <v>0</v>
      </c>
      <c r="R42" s="421">
        <f t="shared" si="369"/>
        <v>0</v>
      </c>
      <c r="S42" s="421">
        <f t="shared" si="369"/>
        <v>0</v>
      </c>
      <c r="T42" s="421">
        <f t="shared" si="369"/>
        <v>0</v>
      </c>
      <c r="U42" s="421">
        <f t="shared" si="369"/>
        <v>0</v>
      </c>
      <c r="V42" s="421">
        <f t="shared" si="370"/>
        <v>0</v>
      </c>
      <c r="W42" s="421">
        <f t="shared" si="370"/>
        <v>0</v>
      </c>
      <c r="X42" s="421">
        <f t="shared" si="370"/>
        <v>0</v>
      </c>
      <c r="Y42" s="421">
        <f t="shared" si="370"/>
        <v>0</v>
      </c>
      <c r="Z42" s="421">
        <f t="shared" si="370"/>
        <v>0</v>
      </c>
      <c r="AA42" s="421">
        <f t="shared" si="370"/>
        <v>0</v>
      </c>
      <c r="AB42" s="421">
        <f t="shared" si="370"/>
        <v>0</v>
      </c>
      <c r="AC42" s="421">
        <f t="shared" si="370"/>
        <v>0</v>
      </c>
      <c r="AD42" s="421">
        <f t="shared" si="370"/>
        <v>0</v>
      </c>
      <c r="AE42" s="421">
        <f t="shared" si="370"/>
        <v>0</v>
      </c>
      <c r="AF42" s="421">
        <f t="shared" si="371"/>
        <v>0</v>
      </c>
      <c r="AG42" s="421">
        <f t="shared" si="371"/>
        <v>0</v>
      </c>
      <c r="AH42" s="421">
        <f t="shared" si="371"/>
        <v>0</v>
      </c>
      <c r="AI42" s="421">
        <f t="shared" si="371"/>
        <v>0</v>
      </c>
      <c r="AJ42" s="421">
        <f t="shared" si="371"/>
        <v>0</v>
      </c>
      <c r="AK42" s="421">
        <f t="shared" si="371"/>
        <v>0</v>
      </c>
      <c r="AL42" s="421">
        <f t="shared" si="371"/>
        <v>0</v>
      </c>
      <c r="AM42" s="421">
        <f t="shared" si="371"/>
        <v>0</v>
      </c>
      <c r="AN42" s="421">
        <f t="shared" si="371"/>
        <v>0</v>
      </c>
      <c r="AO42" s="421">
        <f t="shared" si="371"/>
        <v>0</v>
      </c>
      <c r="AP42" s="421">
        <f t="shared" si="372"/>
        <v>0</v>
      </c>
      <c r="AQ42" s="421">
        <f t="shared" si="372"/>
        <v>0</v>
      </c>
      <c r="AR42" s="421">
        <f t="shared" si="372"/>
        <v>0</v>
      </c>
      <c r="AS42" s="421">
        <f t="shared" si="372"/>
        <v>0</v>
      </c>
      <c r="AT42" s="421">
        <f t="shared" si="372"/>
        <v>0</v>
      </c>
      <c r="AU42" s="421">
        <f t="shared" si="372"/>
        <v>0</v>
      </c>
      <c r="AV42" s="421">
        <f t="shared" si="372"/>
        <v>0</v>
      </c>
      <c r="AW42" s="421">
        <f t="shared" si="372"/>
        <v>0</v>
      </c>
      <c r="AX42" s="421">
        <f t="shared" si="372"/>
        <v>0</v>
      </c>
      <c r="AY42" s="421">
        <f t="shared" si="372"/>
        <v>0</v>
      </c>
      <c r="AZ42" s="421">
        <f t="shared" si="373"/>
        <v>0</v>
      </c>
      <c r="BA42" s="421">
        <f t="shared" si="373"/>
        <v>0</v>
      </c>
      <c r="BB42" s="421">
        <f t="shared" si="373"/>
        <v>0</v>
      </c>
      <c r="BC42" s="421">
        <f t="shared" si="373"/>
        <v>0</v>
      </c>
      <c r="BD42" s="421">
        <f t="shared" si="373"/>
        <v>0</v>
      </c>
      <c r="BE42" s="421">
        <f t="shared" si="373"/>
        <v>0</v>
      </c>
      <c r="BF42" s="421">
        <f t="shared" si="373"/>
        <v>0</v>
      </c>
      <c r="BG42" s="421">
        <f t="shared" si="373"/>
        <v>0</v>
      </c>
      <c r="BH42" s="421">
        <f t="shared" si="373"/>
        <v>0</v>
      </c>
      <c r="BI42" s="421">
        <f t="shared" si="373"/>
        <v>0</v>
      </c>
      <c r="BJ42" s="421">
        <f t="shared" si="374"/>
        <v>0</v>
      </c>
      <c r="BK42" s="421">
        <f t="shared" si="374"/>
        <v>0</v>
      </c>
      <c r="BL42" s="421">
        <f t="shared" si="374"/>
        <v>0</v>
      </c>
      <c r="BM42" s="421">
        <f t="shared" si="374"/>
        <v>0</v>
      </c>
      <c r="BN42" s="421">
        <f t="shared" si="374"/>
        <v>0</v>
      </c>
      <c r="BO42" s="421">
        <f t="shared" si="374"/>
        <v>0</v>
      </c>
      <c r="BP42" s="421">
        <f t="shared" si="374"/>
        <v>0</v>
      </c>
      <c r="BQ42" s="421">
        <f t="shared" si="374"/>
        <v>0</v>
      </c>
      <c r="BR42" s="421">
        <f t="shared" si="374"/>
        <v>0</v>
      </c>
      <c r="BS42" s="421">
        <f t="shared" si="374"/>
        <v>0</v>
      </c>
      <c r="BT42" s="421">
        <f t="shared" si="375"/>
        <v>0</v>
      </c>
      <c r="BU42" s="421">
        <f t="shared" si="375"/>
        <v>0</v>
      </c>
      <c r="BV42" s="421">
        <f t="shared" si="375"/>
        <v>0</v>
      </c>
      <c r="BW42" s="421">
        <f t="shared" si="375"/>
        <v>0</v>
      </c>
      <c r="BX42" s="421">
        <f t="shared" si="375"/>
        <v>0</v>
      </c>
      <c r="BY42" s="421">
        <f t="shared" si="375"/>
        <v>0</v>
      </c>
      <c r="BZ42" s="421">
        <f t="shared" si="375"/>
        <v>0</v>
      </c>
      <c r="CA42" s="421">
        <f t="shared" si="375"/>
        <v>0</v>
      </c>
      <c r="CB42" s="421">
        <f t="shared" si="375"/>
        <v>0</v>
      </c>
      <c r="CC42" s="421">
        <f t="shared" si="375"/>
        <v>0</v>
      </c>
      <c r="CD42" s="421">
        <f t="shared" si="376"/>
        <v>0</v>
      </c>
      <c r="CE42" s="421">
        <f t="shared" si="376"/>
        <v>0</v>
      </c>
      <c r="CF42" s="421">
        <f t="shared" si="376"/>
        <v>0</v>
      </c>
      <c r="CG42" s="421">
        <f t="shared" si="376"/>
        <v>0</v>
      </c>
      <c r="CH42" s="421">
        <f t="shared" si="376"/>
        <v>0</v>
      </c>
      <c r="CI42" s="421">
        <f t="shared" si="376"/>
        <v>0</v>
      </c>
      <c r="CJ42" s="421">
        <f t="shared" si="376"/>
        <v>0</v>
      </c>
      <c r="CK42" s="421">
        <f t="shared" si="376"/>
        <v>0</v>
      </c>
      <c r="CL42" s="421">
        <f t="shared" si="376"/>
        <v>0</v>
      </c>
      <c r="CM42" s="421">
        <f t="shared" si="376"/>
        <v>0</v>
      </c>
      <c r="CN42" s="421">
        <f t="shared" si="377"/>
        <v>0</v>
      </c>
      <c r="CO42" s="421">
        <f t="shared" si="377"/>
        <v>0</v>
      </c>
      <c r="CP42" s="421">
        <f t="shared" si="377"/>
        <v>0</v>
      </c>
      <c r="CQ42" s="421">
        <f t="shared" si="377"/>
        <v>0</v>
      </c>
      <c r="CR42" s="421">
        <f t="shared" si="377"/>
        <v>0</v>
      </c>
      <c r="CS42" s="421">
        <f t="shared" si="377"/>
        <v>0</v>
      </c>
      <c r="CT42" s="421">
        <f t="shared" si="377"/>
        <v>0</v>
      </c>
      <c r="CU42" s="421">
        <f t="shared" si="377"/>
        <v>0</v>
      </c>
      <c r="CV42" s="421">
        <f t="shared" si="377"/>
        <v>0</v>
      </c>
      <c r="CW42" s="421">
        <f t="shared" si="377"/>
        <v>0</v>
      </c>
      <c r="CX42" s="421">
        <f t="shared" si="378"/>
        <v>0</v>
      </c>
      <c r="CY42" s="421">
        <f t="shared" si="378"/>
        <v>0</v>
      </c>
      <c r="CZ42" s="421">
        <f t="shared" si="378"/>
        <v>0</v>
      </c>
      <c r="DA42" s="421">
        <f t="shared" si="378"/>
        <v>0</v>
      </c>
      <c r="DB42" s="421">
        <f t="shared" si="378"/>
        <v>0</v>
      </c>
      <c r="DC42" s="421">
        <f t="shared" si="378"/>
        <v>0</v>
      </c>
      <c r="DD42" s="421">
        <f t="shared" si="378"/>
        <v>0</v>
      </c>
      <c r="DE42" s="421">
        <f t="shared" si="378"/>
        <v>0</v>
      </c>
      <c r="DF42" s="421">
        <f t="shared" si="378"/>
        <v>0</v>
      </c>
      <c r="DG42" s="421">
        <f t="shared" si="378"/>
        <v>0</v>
      </c>
      <c r="DH42" s="421">
        <f t="shared" si="379"/>
        <v>0</v>
      </c>
      <c r="DI42" s="421">
        <f t="shared" si="379"/>
        <v>0</v>
      </c>
      <c r="DJ42" s="421">
        <f t="shared" si="379"/>
        <v>0</v>
      </c>
      <c r="DK42" s="421">
        <f t="shared" si="379"/>
        <v>0</v>
      </c>
      <c r="DL42" s="421">
        <f t="shared" si="379"/>
        <v>0</v>
      </c>
      <c r="DM42" s="421">
        <f t="shared" si="379"/>
        <v>0</v>
      </c>
      <c r="DN42" s="421">
        <f t="shared" si="379"/>
        <v>0</v>
      </c>
      <c r="DO42" s="421">
        <f t="shared" si="379"/>
        <v>0</v>
      </c>
      <c r="DP42" s="421">
        <f t="shared" si="379"/>
        <v>0</v>
      </c>
      <c r="DQ42" s="421">
        <f t="shared" si="379"/>
        <v>0</v>
      </c>
      <c r="DR42" s="421">
        <f t="shared" si="380"/>
        <v>0</v>
      </c>
      <c r="DS42" s="421">
        <f t="shared" si="380"/>
        <v>0</v>
      </c>
      <c r="DT42" s="421">
        <f t="shared" si="380"/>
        <v>0</v>
      </c>
      <c r="DU42" s="421">
        <f t="shared" si="380"/>
        <v>0</v>
      </c>
      <c r="DV42" s="421">
        <f t="shared" si="380"/>
        <v>0</v>
      </c>
      <c r="DW42" s="421">
        <f t="shared" si="380"/>
        <v>0</v>
      </c>
      <c r="DX42" s="421">
        <f t="shared" si="380"/>
        <v>0</v>
      </c>
      <c r="DY42" s="421">
        <f t="shared" si="380"/>
        <v>0</v>
      </c>
      <c r="DZ42" s="421">
        <f t="shared" si="380"/>
        <v>0</v>
      </c>
      <c r="EA42" s="421">
        <f t="shared" si="380"/>
        <v>0</v>
      </c>
      <c r="EB42" s="421">
        <f t="shared" si="381"/>
        <v>0</v>
      </c>
      <c r="EC42" s="421">
        <f t="shared" si="381"/>
        <v>0</v>
      </c>
      <c r="ED42" s="421">
        <f t="shared" si="381"/>
        <v>0</v>
      </c>
      <c r="EE42" s="421">
        <f t="shared" si="381"/>
        <v>0</v>
      </c>
      <c r="EF42" s="421">
        <f t="shared" si="381"/>
        <v>0</v>
      </c>
      <c r="EG42" s="421">
        <f t="shared" si="381"/>
        <v>0</v>
      </c>
      <c r="EH42" s="421">
        <f t="shared" si="381"/>
        <v>0</v>
      </c>
      <c r="EI42" s="421">
        <f t="shared" si="381"/>
        <v>0</v>
      </c>
      <c r="EJ42" s="421">
        <f t="shared" si="381"/>
        <v>0</v>
      </c>
      <c r="EK42" s="421">
        <f t="shared" si="381"/>
        <v>0</v>
      </c>
      <c r="EL42" s="421">
        <f t="shared" si="382"/>
        <v>0</v>
      </c>
      <c r="EM42" s="421">
        <f t="shared" si="382"/>
        <v>0</v>
      </c>
      <c r="EN42" s="421">
        <f t="shared" si="382"/>
        <v>0</v>
      </c>
      <c r="EP42" s="221">
        <f t="shared" si="383"/>
        <v>0</v>
      </c>
      <c r="EQ42" s="202">
        <f t="shared" si="384"/>
        <v>46203</v>
      </c>
      <c r="ER42" s="202">
        <f t="shared" si="385"/>
        <v>47299</v>
      </c>
      <c r="ES42" s="20">
        <f t="shared" si="386"/>
        <v>37</v>
      </c>
      <c r="ET42" s="18" t="str">
        <f t="shared" si="387"/>
        <v>Straight-Line</v>
      </c>
      <c r="EU42" s="80">
        <f t="shared" si="388"/>
        <v>6.166666666666667</v>
      </c>
      <c r="EV42" s="20">
        <f t="shared" si="389"/>
        <v>0</v>
      </c>
      <c r="EW42" s="20">
        <f t="shared" si="389"/>
        <v>0</v>
      </c>
      <c r="EX42" s="20">
        <f t="shared" si="389"/>
        <v>0</v>
      </c>
      <c r="EY42" s="20">
        <f t="shared" si="389"/>
        <v>0</v>
      </c>
      <c r="EZ42" s="20">
        <f t="shared" si="389"/>
        <v>0</v>
      </c>
      <c r="FA42" s="20">
        <f t="shared" si="389"/>
        <v>0</v>
      </c>
      <c r="FB42" s="20">
        <f t="shared" si="389"/>
        <v>0</v>
      </c>
      <c r="FC42" s="20">
        <f t="shared" si="389"/>
        <v>0</v>
      </c>
      <c r="FD42" s="20">
        <f t="shared" si="389"/>
        <v>0</v>
      </c>
      <c r="FE42" s="20">
        <f t="shared" si="389"/>
        <v>0</v>
      </c>
      <c r="FF42" s="20">
        <f t="shared" si="389"/>
        <v>0</v>
      </c>
      <c r="FG42" s="20">
        <f t="shared" si="389"/>
        <v>0</v>
      </c>
      <c r="FH42" s="20">
        <f t="shared" si="389"/>
        <v>0</v>
      </c>
      <c r="FI42" s="20">
        <f t="shared" si="389"/>
        <v>0</v>
      </c>
      <c r="FJ42" s="20">
        <f t="shared" si="389"/>
        <v>0</v>
      </c>
      <c r="FK42" s="20">
        <f t="shared" si="389"/>
        <v>0</v>
      </c>
      <c r="FL42" s="20">
        <f t="shared" si="390"/>
        <v>0</v>
      </c>
      <c r="FM42" s="20">
        <f t="shared" si="390"/>
        <v>0</v>
      </c>
      <c r="FN42" s="20">
        <f t="shared" si="390"/>
        <v>0</v>
      </c>
      <c r="FO42" s="20">
        <f t="shared" si="390"/>
        <v>0</v>
      </c>
      <c r="FP42" s="20">
        <f t="shared" si="390"/>
        <v>0</v>
      </c>
      <c r="FQ42" s="20">
        <f t="shared" si="390"/>
        <v>0</v>
      </c>
      <c r="FR42" s="20">
        <f t="shared" si="390"/>
        <v>0</v>
      </c>
      <c r="FS42" s="20">
        <f t="shared" si="390"/>
        <v>0</v>
      </c>
      <c r="FT42" s="20">
        <f t="shared" si="390"/>
        <v>0</v>
      </c>
      <c r="FU42" s="20">
        <f t="shared" si="390"/>
        <v>0</v>
      </c>
      <c r="FV42" s="20">
        <f t="shared" si="390"/>
        <v>0</v>
      </c>
      <c r="FW42" s="20">
        <f t="shared" si="390"/>
        <v>0</v>
      </c>
      <c r="FX42" s="20">
        <f t="shared" si="390"/>
        <v>0</v>
      </c>
      <c r="FY42" s="20">
        <f t="shared" si="390"/>
        <v>0</v>
      </c>
      <c r="FZ42" s="20">
        <f t="shared" si="390"/>
        <v>0</v>
      </c>
      <c r="GA42" s="20">
        <f t="shared" si="390"/>
        <v>0</v>
      </c>
      <c r="GB42" s="20">
        <f t="shared" si="391"/>
        <v>0</v>
      </c>
      <c r="GC42" s="20">
        <f t="shared" si="391"/>
        <v>0</v>
      </c>
      <c r="GD42" s="20">
        <f t="shared" si="391"/>
        <v>0</v>
      </c>
      <c r="GE42" s="20">
        <f t="shared" si="391"/>
        <v>0</v>
      </c>
      <c r="GF42" s="20">
        <f t="shared" si="391"/>
        <v>0</v>
      </c>
      <c r="GG42" s="20">
        <f t="shared" si="391"/>
        <v>0</v>
      </c>
      <c r="GH42" s="20">
        <f t="shared" si="391"/>
        <v>0</v>
      </c>
      <c r="GI42" s="20">
        <f t="shared" si="391"/>
        <v>0</v>
      </c>
      <c r="GJ42" s="20">
        <f t="shared" si="391"/>
        <v>0</v>
      </c>
      <c r="GK42" s="20">
        <f t="shared" si="391"/>
        <v>0</v>
      </c>
      <c r="GL42" s="20">
        <f t="shared" si="391"/>
        <v>0</v>
      </c>
      <c r="GM42" s="20">
        <f t="shared" si="391"/>
        <v>0</v>
      </c>
      <c r="GN42" s="20">
        <f t="shared" si="391"/>
        <v>0</v>
      </c>
      <c r="GO42" s="20">
        <f t="shared" si="391"/>
        <v>0</v>
      </c>
      <c r="GP42" s="20">
        <f t="shared" si="391"/>
        <v>0</v>
      </c>
      <c r="GQ42" s="20">
        <f t="shared" si="391"/>
        <v>0</v>
      </c>
      <c r="GR42" s="20">
        <f t="shared" si="392"/>
        <v>0</v>
      </c>
      <c r="GS42" s="20">
        <f t="shared" si="392"/>
        <v>0</v>
      </c>
      <c r="GT42" s="20">
        <f t="shared" si="392"/>
        <v>0</v>
      </c>
      <c r="GU42" s="20">
        <f t="shared" si="392"/>
        <v>0</v>
      </c>
      <c r="GV42" s="20">
        <f t="shared" si="392"/>
        <v>0</v>
      </c>
      <c r="GW42" s="20">
        <f t="shared" si="392"/>
        <v>0</v>
      </c>
      <c r="GX42" s="20">
        <f t="shared" si="392"/>
        <v>0</v>
      </c>
      <c r="GY42" s="20">
        <f t="shared" si="392"/>
        <v>0</v>
      </c>
      <c r="GZ42" s="20">
        <f t="shared" si="392"/>
        <v>0</v>
      </c>
      <c r="HA42" s="20">
        <f t="shared" si="392"/>
        <v>0</v>
      </c>
      <c r="HB42" s="20">
        <f t="shared" si="392"/>
        <v>0</v>
      </c>
      <c r="HC42" s="20">
        <f t="shared" si="392"/>
        <v>0</v>
      </c>
      <c r="HD42" s="20">
        <f t="shared" si="392"/>
        <v>0</v>
      </c>
      <c r="HE42" s="20">
        <f t="shared" si="392"/>
        <v>0</v>
      </c>
      <c r="HF42" s="20">
        <f t="shared" si="392"/>
        <v>0</v>
      </c>
      <c r="HG42" s="20">
        <f t="shared" si="392"/>
        <v>0</v>
      </c>
      <c r="HH42" s="20">
        <f t="shared" si="393"/>
        <v>0</v>
      </c>
      <c r="HI42" s="20">
        <f t="shared" si="393"/>
        <v>0</v>
      </c>
      <c r="HJ42" s="20">
        <f t="shared" si="393"/>
        <v>0</v>
      </c>
      <c r="HK42" s="20">
        <f t="shared" si="393"/>
        <v>0</v>
      </c>
      <c r="HL42" s="20">
        <f t="shared" si="393"/>
        <v>0</v>
      </c>
      <c r="HM42" s="20">
        <f t="shared" si="393"/>
        <v>0</v>
      </c>
      <c r="HN42" s="20">
        <f t="shared" si="393"/>
        <v>0</v>
      </c>
      <c r="HO42" s="20">
        <f t="shared" si="393"/>
        <v>0</v>
      </c>
      <c r="HP42" s="20">
        <f t="shared" si="393"/>
        <v>0</v>
      </c>
      <c r="HQ42" s="20">
        <f t="shared" si="393"/>
        <v>0</v>
      </c>
      <c r="HR42" s="20">
        <f t="shared" si="393"/>
        <v>0</v>
      </c>
      <c r="HS42" s="20">
        <f t="shared" si="393"/>
        <v>0</v>
      </c>
      <c r="HT42" s="20">
        <f t="shared" si="393"/>
        <v>0</v>
      </c>
      <c r="HU42" s="20">
        <f t="shared" si="393"/>
        <v>0</v>
      </c>
      <c r="HV42" s="20">
        <f t="shared" si="393"/>
        <v>0</v>
      </c>
      <c r="HW42" s="20">
        <f t="shared" si="393"/>
        <v>0</v>
      </c>
      <c r="HX42" s="20">
        <f t="shared" si="394"/>
        <v>0</v>
      </c>
      <c r="HY42" s="20">
        <f t="shared" si="394"/>
        <v>0</v>
      </c>
      <c r="HZ42" s="20">
        <f t="shared" si="394"/>
        <v>0</v>
      </c>
      <c r="IA42" s="20">
        <f t="shared" si="394"/>
        <v>0</v>
      </c>
      <c r="IB42" s="20">
        <f t="shared" si="394"/>
        <v>0</v>
      </c>
      <c r="IC42" s="20">
        <f t="shared" si="394"/>
        <v>0</v>
      </c>
      <c r="ID42" s="20">
        <f t="shared" si="394"/>
        <v>0</v>
      </c>
      <c r="IE42" s="20">
        <f t="shared" si="394"/>
        <v>0</v>
      </c>
      <c r="IF42" s="20">
        <f t="shared" si="394"/>
        <v>0</v>
      </c>
      <c r="IG42" s="20">
        <f t="shared" si="394"/>
        <v>0</v>
      </c>
      <c r="IH42" s="20">
        <f t="shared" si="394"/>
        <v>0</v>
      </c>
      <c r="II42" s="20">
        <f t="shared" si="394"/>
        <v>0</v>
      </c>
      <c r="IJ42" s="20">
        <f t="shared" si="394"/>
        <v>0</v>
      </c>
      <c r="IK42" s="20">
        <f t="shared" si="394"/>
        <v>0</v>
      </c>
      <c r="IL42" s="20">
        <f t="shared" si="394"/>
        <v>0</v>
      </c>
      <c r="IM42" s="20">
        <f t="shared" si="394"/>
        <v>0</v>
      </c>
      <c r="IN42" s="20">
        <f t="shared" si="395"/>
        <v>0</v>
      </c>
      <c r="IO42" s="20">
        <f t="shared" si="395"/>
        <v>0</v>
      </c>
      <c r="IP42" s="20">
        <f t="shared" si="395"/>
        <v>0</v>
      </c>
      <c r="IQ42" s="20">
        <f t="shared" si="395"/>
        <v>0</v>
      </c>
      <c r="IR42" s="20">
        <f t="shared" si="395"/>
        <v>0</v>
      </c>
      <c r="IS42" s="20">
        <f t="shared" si="395"/>
        <v>0</v>
      </c>
      <c r="IT42" s="20">
        <f t="shared" si="395"/>
        <v>0</v>
      </c>
      <c r="IU42" s="20">
        <f t="shared" si="395"/>
        <v>0</v>
      </c>
      <c r="IV42" s="20">
        <f t="shared" si="395"/>
        <v>0</v>
      </c>
      <c r="IW42" s="20">
        <f t="shared" si="395"/>
        <v>0</v>
      </c>
      <c r="IX42" s="20">
        <f t="shared" si="395"/>
        <v>0</v>
      </c>
      <c r="IY42" s="20">
        <f t="shared" si="395"/>
        <v>0</v>
      </c>
      <c r="IZ42" s="20">
        <f t="shared" si="395"/>
        <v>0</v>
      </c>
      <c r="JA42" s="20">
        <f t="shared" si="395"/>
        <v>0</v>
      </c>
      <c r="JB42" s="20">
        <f t="shared" si="395"/>
        <v>0</v>
      </c>
      <c r="JC42" s="20">
        <f t="shared" si="395"/>
        <v>0</v>
      </c>
      <c r="JD42" s="20">
        <f t="shared" si="396"/>
        <v>0</v>
      </c>
      <c r="JE42" s="20">
        <f t="shared" si="396"/>
        <v>0</v>
      </c>
      <c r="JF42" s="20">
        <f t="shared" si="396"/>
        <v>0</v>
      </c>
      <c r="JG42" s="20">
        <f t="shared" si="396"/>
        <v>0</v>
      </c>
      <c r="JH42" s="20">
        <f t="shared" si="396"/>
        <v>0</v>
      </c>
      <c r="JI42" s="20">
        <f t="shared" si="396"/>
        <v>0</v>
      </c>
      <c r="JJ42" s="20">
        <f t="shared" si="396"/>
        <v>0</v>
      </c>
      <c r="JK42" s="20">
        <f t="shared" si="396"/>
        <v>0</v>
      </c>
      <c r="JL42" s="20">
        <f t="shared" si="396"/>
        <v>0</v>
      </c>
      <c r="JM42" s="20">
        <f t="shared" si="396"/>
        <v>0</v>
      </c>
      <c r="JN42" s="20">
        <f t="shared" si="396"/>
        <v>0</v>
      </c>
      <c r="JO42" s="20">
        <f t="shared" si="396"/>
        <v>0</v>
      </c>
      <c r="JP42" s="20">
        <f t="shared" si="396"/>
        <v>0</v>
      </c>
      <c r="JQ42" s="20">
        <f t="shared" si="396"/>
        <v>0</v>
      </c>
      <c r="JR42" s="20">
        <f t="shared" si="396"/>
        <v>0</v>
      </c>
      <c r="JS42" s="20">
        <f t="shared" si="396"/>
        <v>0</v>
      </c>
      <c r="JT42" s="20">
        <f t="shared" si="397"/>
        <v>0</v>
      </c>
      <c r="JU42" s="20">
        <f t="shared" si="397"/>
        <v>0</v>
      </c>
      <c r="JV42" s="20">
        <f t="shared" si="397"/>
        <v>0</v>
      </c>
      <c r="JW42" s="20">
        <f t="shared" si="397"/>
        <v>0</v>
      </c>
      <c r="JX42" s="20">
        <f t="shared" si="397"/>
        <v>0</v>
      </c>
      <c r="JZ42" s="221" t="str">
        <f t="shared" si="285"/>
        <v>Included in detailed component CAPEX</v>
      </c>
      <c r="KA42" s="202"/>
      <c r="KB42" s="20">
        <f t="shared" si="398"/>
        <v>0</v>
      </c>
      <c r="KC42" s="20">
        <f t="shared" si="399"/>
        <v>36</v>
      </c>
      <c r="KD42" s="20">
        <f t="shared" si="400"/>
        <v>37</v>
      </c>
      <c r="KE42" s="422">
        <f t="shared" si="401"/>
        <v>0</v>
      </c>
      <c r="KF42" s="422">
        <f t="shared" si="402"/>
        <v>0</v>
      </c>
      <c r="KG42" s="422">
        <f t="shared" si="402"/>
        <v>0</v>
      </c>
      <c r="KH42" s="422">
        <f t="shared" si="402"/>
        <v>0</v>
      </c>
      <c r="KI42" s="422">
        <f t="shared" si="402"/>
        <v>0</v>
      </c>
      <c r="KJ42" s="422">
        <f t="shared" si="402"/>
        <v>0</v>
      </c>
      <c r="KK42" s="422">
        <f t="shared" si="402"/>
        <v>0</v>
      </c>
      <c r="KL42" s="422">
        <f t="shared" si="402"/>
        <v>0</v>
      </c>
      <c r="KM42" s="422">
        <f t="shared" si="402"/>
        <v>0</v>
      </c>
      <c r="KN42" s="422">
        <f t="shared" si="402"/>
        <v>0</v>
      </c>
      <c r="KO42" s="422">
        <f t="shared" si="402"/>
        <v>0</v>
      </c>
      <c r="KP42" s="422">
        <f t="shared" si="402"/>
        <v>0</v>
      </c>
      <c r="KQ42" s="422">
        <f t="shared" si="402"/>
        <v>0</v>
      </c>
      <c r="KR42" s="422">
        <f t="shared" si="402"/>
        <v>0</v>
      </c>
      <c r="KS42" s="422">
        <f t="shared" si="402"/>
        <v>0</v>
      </c>
      <c r="KT42" s="422">
        <f t="shared" si="402"/>
        <v>0</v>
      </c>
      <c r="KU42" s="422">
        <f t="shared" si="402"/>
        <v>0</v>
      </c>
      <c r="KV42" s="422">
        <f t="shared" si="403"/>
        <v>0</v>
      </c>
      <c r="KW42" s="422">
        <f t="shared" si="403"/>
        <v>0</v>
      </c>
      <c r="KX42" s="422">
        <f t="shared" si="403"/>
        <v>0</v>
      </c>
      <c r="KY42" s="422">
        <f t="shared" si="403"/>
        <v>0</v>
      </c>
      <c r="KZ42" s="422">
        <f t="shared" si="403"/>
        <v>0</v>
      </c>
      <c r="LA42" s="422">
        <f t="shared" si="403"/>
        <v>0</v>
      </c>
      <c r="LB42" s="422">
        <f t="shared" si="403"/>
        <v>0</v>
      </c>
      <c r="LC42" s="422">
        <f t="shared" si="403"/>
        <v>0</v>
      </c>
      <c r="LD42" s="422">
        <f t="shared" si="403"/>
        <v>0</v>
      </c>
      <c r="LE42" s="422">
        <f t="shared" si="403"/>
        <v>0</v>
      </c>
      <c r="LF42" s="422">
        <f t="shared" si="403"/>
        <v>0</v>
      </c>
      <c r="LG42" s="422">
        <f t="shared" si="403"/>
        <v>0</v>
      </c>
      <c r="LH42" s="422">
        <f t="shared" si="403"/>
        <v>0</v>
      </c>
      <c r="LI42" s="422">
        <f t="shared" si="403"/>
        <v>0</v>
      </c>
      <c r="LJ42" s="422">
        <f t="shared" si="403"/>
        <v>0</v>
      </c>
      <c r="LK42" s="422">
        <f t="shared" si="403"/>
        <v>0</v>
      </c>
      <c r="LL42" s="422">
        <f t="shared" si="404"/>
        <v>0</v>
      </c>
      <c r="LM42" s="422">
        <f t="shared" si="404"/>
        <v>0</v>
      </c>
      <c r="LN42" s="422">
        <f t="shared" si="404"/>
        <v>0</v>
      </c>
      <c r="LO42" s="422">
        <f t="shared" si="404"/>
        <v>0</v>
      </c>
      <c r="LP42" s="422">
        <f t="shared" si="404"/>
        <v>0</v>
      </c>
      <c r="LQ42" s="422">
        <f t="shared" si="404"/>
        <v>0</v>
      </c>
      <c r="LR42" s="422">
        <f t="shared" si="404"/>
        <v>0</v>
      </c>
      <c r="LS42" s="422">
        <f t="shared" si="404"/>
        <v>0</v>
      </c>
      <c r="LT42" s="422">
        <f t="shared" si="404"/>
        <v>0</v>
      </c>
      <c r="LU42" s="422">
        <f t="shared" si="404"/>
        <v>0</v>
      </c>
      <c r="LV42" s="422">
        <f t="shared" si="404"/>
        <v>0</v>
      </c>
      <c r="LW42" s="422">
        <f t="shared" si="404"/>
        <v>0</v>
      </c>
      <c r="LX42" s="422">
        <f t="shared" si="404"/>
        <v>0</v>
      </c>
      <c r="LY42" s="422">
        <f t="shared" si="404"/>
        <v>0</v>
      </c>
      <c r="LZ42" s="422">
        <f t="shared" si="404"/>
        <v>0</v>
      </c>
      <c r="MA42" s="422">
        <f t="shared" si="404"/>
        <v>0</v>
      </c>
      <c r="MB42" s="422">
        <f t="shared" si="405"/>
        <v>0</v>
      </c>
      <c r="MC42" s="422">
        <f t="shared" si="405"/>
        <v>0</v>
      </c>
      <c r="MD42" s="422">
        <f t="shared" si="405"/>
        <v>0</v>
      </c>
      <c r="ME42" s="422">
        <f t="shared" si="405"/>
        <v>0</v>
      </c>
      <c r="MF42" s="422">
        <f t="shared" si="405"/>
        <v>0</v>
      </c>
      <c r="MG42" s="422">
        <f t="shared" si="405"/>
        <v>0</v>
      </c>
      <c r="MH42" s="422">
        <f t="shared" si="405"/>
        <v>0</v>
      </c>
      <c r="MI42" s="422">
        <f t="shared" si="405"/>
        <v>0</v>
      </c>
      <c r="MJ42" s="422">
        <f t="shared" si="405"/>
        <v>0</v>
      </c>
      <c r="MK42" s="422">
        <f t="shared" si="405"/>
        <v>0</v>
      </c>
      <c r="ML42" s="422">
        <f t="shared" si="405"/>
        <v>0</v>
      </c>
      <c r="MM42" s="422">
        <f t="shared" si="405"/>
        <v>0</v>
      </c>
      <c r="MN42" s="422">
        <f t="shared" si="405"/>
        <v>0</v>
      </c>
      <c r="MO42" s="422">
        <f t="shared" si="405"/>
        <v>0</v>
      </c>
      <c r="MP42" s="422">
        <f t="shared" si="405"/>
        <v>0</v>
      </c>
      <c r="MQ42" s="422">
        <f t="shared" si="405"/>
        <v>0</v>
      </c>
      <c r="MR42" s="422">
        <f t="shared" si="406"/>
        <v>0</v>
      </c>
      <c r="MS42" s="422">
        <f t="shared" si="406"/>
        <v>0</v>
      </c>
      <c r="MT42" s="422">
        <f t="shared" si="406"/>
        <v>0</v>
      </c>
      <c r="MU42" s="422">
        <f t="shared" si="406"/>
        <v>0</v>
      </c>
      <c r="MV42" s="422">
        <f t="shared" si="406"/>
        <v>0</v>
      </c>
      <c r="MW42" s="422">
        <f t="shared" si="406"/>
        <v>0</v>
      </c>
      <c r="MX42" s="422">
        <f t="shared" si="406"/>
        <v>0</v>
      </c>
      <c r="MY42" s="422">
        <f t="shared" si="406"/>
        <v>0</v>
      </c>
      <c r="MZ42" s="422">
        <f t="shared" si="406"/>
        <v>0</v>
      </c>
      <c r="NA42" s="422">
        <f t="shared" si="406"/>
        <v>0</v>
      </c>
      <c r="NB42" s="422">
        <f t="shared" si="406"/>
        <v>0</v>
      </c>
      <c r="NC42" s="422">
        <f t="shared" si="406"/>
        <v>0</v>
      </c>
      <c r="ND42" s="422">
        <f t="shared" si="406"/>
        <v>0</v>
      </c>
      <c r="NE42" s="422">
        <f t="shared" si="406"/>
        <v>0</v>
      </c>
      <c r="NF42" s="422">
        <f t="shared" si="406"/>
        <v>0</v>
      </c>
      <c r="NG42" s="422">
        <f t="shared" si="406"/>
        <v>0</v>
      </c>
      <c r="NH42" s="422">
        <f t="shared" si="407"/>
        <v>0</v>
      </c>
      <c r="NI42" s="422">
        <f t="shared" si="407"/>
        <v>0</v>
      </c>
      <c r="NJ42" s="422">
        <f t="shared" si="407"/>
        <v>0</v>
      </c>
      <c r="NK42" s="422">
        <f t="shared" si="407"/>
        <v>0</v>
      </c>
      <c r="NL42" s="422">
        <f t="shared" si="407"/>
        <v>0</v>
      </c>
      <c r="NM42" s="422">
        <f t="shared" si="407"/>
        <v>0</v>
      </c>
      <c r="NN42" s="422">
        <f t="shared" si="407"/>
        <v>0</v>
      </c>
      <c r="NO42" s="422">
        <f t="shared" si="407"/>
        <v>0</v>
      </c>
      <c r="NP42" s="422">
        <f t="shared" si="407"/>
        <v>0</v>
      </c>
      <c r="NQ42" s="422">
        <f t="shared" si="407"/>
        <v>0</v>
      </c>
      <c r="NR42" s="422">
        <f t="shared" si="407"/>
        <v>0</v>
      </c>
      <c r="NS42" s="422">
        <f t="shared" si="407"/>
        <v>0</v>
      </c>
      <c r="NT42" s="422">
        <f t="shared" si="407"/>
        <v>0</v>
      </c>
      <c r="NU42" s="422">
        <f t="shared" si="407"/>
        <v>0</v>
      </c>
      <c r="NV42" s="422">
        <f t="shared" si="407"/>
        <v>0</v>
      </c>
      <c r="NW42" s="422">
        <f t="shared" si="407"/>
        <v>0</v>
      </c>
      <c r="NX42" s="422">
        <f t="shared" si="408"/>
        <v>0</v>
      </c>
      <c r="NY42" s="422">
        <f t="shared" si="408"/>
        <v>0</v>
      </c>
      <c r="NZ42" s="422">
        <f t="shared" si="408"/>
        <v>0</v>
      </c>
      <c r="OA42" s="422">
        <f t="shared" si="408"/>
        <v>0</v>
      </c>
      <c r="OB42" s="422">
        <f t="shared" si="408"/>
        <v>0</v>
      </c>
      <c r="OC42" s="422">
        <f t="shared" si="408"/>
        <v>0</v>
      </c>
      <c r="OD42" s="422">
        <f t="shared" si="408"/>
        <v>0</v>
      </c>
      <c r="OE42" s="422">
        <f t="shared" si="408"/>
        <v>0</v>
      </c>
      <c r="OF42" s="422">
        <f t="shared" si="408"/>
        <v>0</v>
      </c>
      <c r="OG42" s="422">
        <f t="shared" si="408"/>
        <v>0</v>
      </c>
      <c r="OH42" s="422">
        <f t="shared" si="408"/>
        <v>0</v>
      </c>
      <c r="OI42" s="422">
        <f t="shared" si="408"/>
        <v>0</v>
      </c>
      <c r="OJ42" s="422">
        <f t="shared" si="408"/>
        <v>0</v>
      </c>
      <c r="OK42" s="422">
        <f t="shared" si="408"/>
        <v>0</v>
      </c>
      <c r="OL42" s="422">
        <f t="shared" si="408"/>
        <v>0</v>
      </c>
      <c r="OM42" s="422">
        <f t="shared" si="408"/>
        <v>0</v>
      </c>
      <c r="ON42" s="422">
        <f t="shared" si="409"/>
        <v>0</v>
      </c>
      <c r="OO42" s="422">
        <f t="shared" si="409"/>
        <v>0</v>
      </c>
      <c r="OP42" s="422">
        <f t="shared" si="409"/>
        <v>0</v>
      </c>
      <c r="OQ42" s="422">
        <f t="shared" si="409"/>
        <v>0</v>
      </c>
      <c r="OR42" s="422">
        <f t="shared" si="409"/>
        <v>0</v>
      </c>
      <c r="OS42" s="422">
        <f t="shared" si="409"/>
        <v>0</v>
      </c>
      <c r="OT42" s="422">
        <f t="shared" si="409"/>
        <v>0</v>
      </c>
      <c r="OU42" s="422">
        <f t="shared" si="409"/>
        <v>0</v>
      </c>
      <c r="OV42" s="422">
        <f t="shared" si="409"/>
        <v>0</v>
      </c>
      <c r="OW42" s="422">
        <f t="shared" si="409"/>
        <v>0</v>
      </c>
      <c r="OX42" s="422">
        <f t="shared" si="409"/>
        <v>0</v>
      </c>
      <c r="OY42" s="422">
        <f t="shared" si="409"/>
        <v>0</v>
      </c>
      <c r="OZ42" s="422">
        <f t="shared" si="409"/>
        <v>0</v>
      </c>
      <c r="PA42" s="422">
        <f t="shared" si="409"/>
        <v>0</v>
      </c>
      <c r="PB42" s="422">
        <f t="shared" si="409"/>
        <v>0</v>
      </c>
      <c r="PC42" s="422">
        <f t="shared" si="409"/>
        <v>0</v>
      </c>
      <c r="PD42" s="422">
        <f t="shared" si="410"/>
        <v>0</v>
      </c>
      <c r="PE42" s="422">
        <f t="shared" si="410"/>
        <v>0</v>
      </c>
      <c r="PF42" s="422">
        <f t="shared" si="410"/>
        <v>0</v>
      </c>
      <c r="PG42" s="422">
        <f t="shared" si="410"/>
        <v>0</v>
      </c>
      <c r="PH42" s="422">
        <f t="shared" si="410"/>
        <v>0</v>
      </c>
    </row>
    <row r="43">
      <c r="B43" s="430" t="s">
        <v>149</v>
      </c>
      <c r="C43" s="404">
        <v>1</v>
      </c>
      <c r="D43" s="46"/>
      <c r="E43" s="46">
        <v>36</v>
      </c>
      <c r="F43" s="418" t="s">
        <v>137</v>
      </c>
      <c r="G43" s="135">
        <f t="shared" si="367"/>
        <v>0</v>
      </c>
      <c r="H43" s="419"/>
      <c r="I43" s="420">
        <v>0</v>
      </c>
      <c r="K43" s="22" t="str">
        <f t="shared" si="368"/>
      </c>
      <c r="L43" s="421">
        <f t="shared" si="369"/>
        <v>0</v>
      </c>
      <c r="M43" s="421">
        <f t="shared" si="369"/>
        <v>0</v>
      </c>
      <c r="N43" s="421">
        <f t="shared" si="369"/>
        <v>0</v>
      </c>
      <c r="O43" s="421">
        <f t="shared" si="369"/>
        <v>0</v>
      </c>
      <c r="P43" s="421">
        <f t="shared" si="369"/>
        <v>0</v>
      </c>
      <c r="Q43" s="421">
        <f t="shared" si="369"/>
        <v>0</v>
      </c>
      <c r="R43" s="421">
        <f t="shared" si="369"/>
        <v>0</v>
      </c>
      <c r="S43" s="421">
        <f t="shared" si="369"/>
        <v>0</v>
      </c>
      <c r="T43" s="421">
        <f t="shared" si="369"/>
        <v>0</v>
      </c>
      <c r="U43" s="421">
        <f t="shared" si="369"/>
        <v>0</v>
      </c>
      <c r="V43" s="421">
        <f t="shared" si="370"/>
        <v>0</v>
      </c>
      <c r="W43" s="421">
        <f t="shared" si="370"/>
        <v>0</v>
      </c>
      <c r="X43" s="421">
        <f t="shared" si="370"/>
        <v>0</v>
      </c>
      <c r="Y43" s="421">
        <f t="shared" si="370"/>
        <v>0</v>
      </c>
      <c r="Z43" s="421">
        <f t="shared" si="370"/>
        <v>0</v>
      </c>
      <c r="AA43" s="421">
        <f t="shared" si="370"/>
        <v>0</v>
      </c>
      <c r="AB43" s="421">
        <f t="shared" si="370"/>
        <v>0</v>
      </c>
      <c r="AC43" s="421">
        <f t="shared" si="370"/>
        <v>0</v>
      </c>
      <c r="AD43" s="421">
        <f t="shared" si="370"/>
        <v>0</v>
      </c>
      <c r="AE43" s="421">
        <f t="shared" si="370"/>
        <v>0</v>
      </c>
      <c r="AF43" s="421">
        <f t="shared" si="371"/>
        <v>0</v>
      </c>
      <c r="AG43" s="421">
        <f t="shared" si="371"/>
        <v>0</v>
      </c>
      <c r="AH43" s="421">
        <f t="shared" si="371"/>
        <v>0</v>
      </c>
      <c r="AI43" s="421">
        <f t="shared" si="371"/>
        <v>0</v>
      </c>
      <c r="AJ43" s="421">
        <f t="shared" si="371"/>
        <v>0</v>
      </c>
      <c r="AK43" s="421">
        <f t="shared" si="371"/>
        <v>0</v>
      </c>
      <c r="AL43" s="421">
        <f t="shared" si="371"/>
        <v>0</v>
      </c>
      <c r="AM43" s="421">
        <f t="shared" si="371"/>
        <v>0</v>
      </c>
      <c r="AN43" s="421">
        <f t="shared" si="371"/>
        <v>0</v>
      </c>
      <c r="AO43" s="421">
        <f t="shared" si="371"/>
        <v>0</v>
      </c>
      <c r="AP43" s="421">
        <f t="shared" si="372"/>
        <v>0</v>
      </c>
      <c r="AQ43" s="421">
        <f t="shared" si="372"/>
        <v>0</v>
      </c>
      <c r="AR43" s="421">
        <f t="shared" si="372"/>
        <v>0</v>
      </c>
      <c r="AS43" s="421">
        <f t="shared" si="372"/>
        <v>0</v>
      </c>
      <c r="AT43" s="421">
        <f t="shared" si="372"/>
        <v>0</v>
      </c>
      <c r="AU43" s="421">
        <f t="shared" si="372"/>
        <v>0</v>
      </c>
      <c r="AV43" s="421">
        <f t="shared" si="372"/>
        <v>0</v>
      </c>
      <c r="AW43" s="421">
        <f t="shared" si="372"/>
        <v>0</v>
      </c>
      <c r="AX43" s="421">
        <f t="shared" si="372"/>
        <v>0</v>
      </c>
      <c r="AY43" s="421">
        <f t="shared" si="372"/>
        <v>0</v>
      </c>
      <c r="AZ43" s="421">
        <f t="shared" si="373"/>
        <v>0</v>
      </c>
      <c r="BA43" s="421">
        <f t="shared" si="373"/>
        <v>0</v>
      </c>
      <c r="BB43" s="421">
        <f t="shared" si="373"/>
        <v>0</v>
      </c>
      <c r="BC43" s="421">
        <f t="shared" si="373"/>
        <v>0</v>
      </c>
      <c r="BD43" s="421">
        <f t="shared" si="373"/>
        <v>0</v>
      </c>
      <c r="BE43" s="421">
        <f t="shared" si="373"/>
        <v>0</v>
      </c>
      <c r="BF43" s="421">
        <f t="shared" si="373"/>
        <v>0</v>
      </c>
      <c r="BG43" s="421">
        <f t="shared" si="373"/>
        <v>0</v>
      </c>
      <c r="BH43" s="421">
        <f t="shared" si="373"/>
        <v>0</v>
      </c>
      <c r="BI43" s="421">
        <f t="shared" si="373"/>
        <v>0</v>
      </c>
      <c r="BJ43" s="421">
        <f t="shared" si="374"/>
        <v>0</v>
      </c>
      <c r="BK43" s="421">
        <f t="shared" si="374"/>
        <v>0</v>
      </c>
      <c r="BL43" s="421">
        <f t="shared" si="374"/>
        <v>0</v>
      </c>
      <c r="BM43" s="421">
        <f t="shared" si="374"/>
        <v>0</v>
      </c>
      <c r="BN43" s="421">
        <f t="shared" si="374"/>
        <v>0</v>
      </c>
      <c r="BO43" s="421">
        <f t="shared" si="374"/>
        <v>0</v>
      </c>
      <c r="BP43" s="421">
        <f t="shared" si="374"/>
        <v>0</v>
      </c>
      <c r="BQ43" s="421">
        <f t="shared" si="374"/>
        <v>0</v>
      </c>
      <c r="BR43" s="421">
        <f t="shared" si="374"/>
        <v>0</v>
      </c>
      <c r="BS43" s="421">
        <f t="shared" si="374"/>
        <v>0</v>
      </c>
      <c r="BT43" s="421">
        <f t="shared" si="375"/>
        <v>0</v>
      </c>
      <c r="BU43" s="421">
        <f t="shared" si="375"/>
        <v>0</v>
      </c>
      <c r="BV43" s="421">
        <f t="shared" si="375"/>
        <v>0</v>
      </c>
      <c r="BW43" s="421">
        <f t="shared" si="375"/>
        <v>0</v>
      </c>
      <c r="BX43" s="421">
        <f t="shared" si="375"/>
        <v>0</v>
      </c>
      <c r="BY43" s="421">
        <f t="shared" si="375"/>
        <v>0</v>
      </c>
      <c r="BZ43" s="421">
        <f t="shared" si="375"/>
        <v>0</v>
      </c>
      <c r="CA43" s="421">
        <f t="shared" si="375"/>
        <v>0</v>
      </c>
      <c r="CB43" s="421">
        <f t="shared" si="375"/>
        <v>0</v>
      </c>
      <c r="CC43" s="421">
        <f t="shared" si="375"/>
        <v>0</v>
      </c>
      <c r="CD43" s="421">
        <f t="shared" si="376"/>
        <v>0</v>
      </c>
      <c r="CE43" s="421">
        <f t="shared" si="376"/>
        <v>0</v>
      </c>
      <c r="CF43" s="421">
        <f t="shared" si="376"/>
        <v>0</v>
      </c>
      <c r="CG43" s="421">
        <f t="shared" si="376"/>
        <v>0</v>
      </c>
      <c r="CH43" s="421">
        <f t="shared" si="376"/>
        <v>0</v>
      </c>
      <c r="CI43" s="421">
        <f t="shared" si="376"/>
        <v>0</v>
      </c>
      <c r="CJ43" s="421">
        <f t="shared" si="376"/>
        <v>0</v>
      </c>
      <c r="CK43" s="421">
        <f t="shared" si="376"/>
        <v>0</v>
      </c>
      <c r="CL43" s="421">
        <f t="shared" si="376"/>
        <v>0</v>
      </c>
      <c r="CM43" s="421">
        <f t="shared" si="376"/>
        <v>0</v>
      </c>
      <c r="CN43" s="421">
        <f t="shared" si="377"/>
        <v>0</v>
      </c>
      <c r="CO43" s="421">
        <f t="shared" si="377"/>
        <v>0</v>
      </c>
      <c r="CP43" s="421">
        <f t="shared" si="377"/>
        <v>0</v>
      </c>
      <c r="CQ43" s="421">
        <f t="shared" si="377"/>
        <v>0</v>
      </c>
      <c r="CR43" s="421">
        <f t="shared" si="377"/>
        <v>0</v>
      </c>
      <c r="CS43" s="421">
        <f t="shared" si="377"/>
        <v>0</v>
      </c>
      <c r="CT43" s="421">
        <f t="shared" si="377"/>
        <v>0</v>
      </c>
      <c r="CU43" s="421">
        <f t="shared" si="377"/>
        <v>0</v>
      </c>
      <c r="CV43" s="421">
        <f t="shared" si="377"/>
        <v>0</v>
      </c>
      <c r="CW43" s="421">
        <f t="shared" si="377"/>
        <v>0</v>
      </c>
      <c r="CX43" s="421">
        <f t="shared" si="378"/>
        <v>0</v>
      </c>
      <c r="CY43" s="421">
        <f t="shared" si="378"/>
        <v>0</v>
      </c>
      <c r="CZ43" s="421">
        <f t="shared" si="378"/>
        <v>0</v>
      </c>
      <c r="DA43" s="421">
        <f t="shared" si="378"/>
        <v>0</v>
      </c>
      <c r="DB43" s="421">
        <f t="shared" si="378"/>
        <v>0</v>
      </c>
      <c r="DC43" s="421">
        <f t="shared" si="378"/>
        <v>0</v>
      </c>
      <c r="DD43" s="421">
        <f t="shared" si="378"/>
        <v>0</v>
      </c>
      <c r="DE43" s="421">
        <f t="shared" si="378"/>
        <v>0</v>
      </c>
      <c r="DF43" s="421">
        <f t="shared" si="378"/>
        <v>0</v>
      </c>
      <c r="DG43" s="421">
        <f t="shared" si="378"/>
        <v>0</v>
      </c>
      <c r="DH43" s="421">
        <f t="shared" si="379"/>
        <v>0</v>
      </c>
      <c r="DI43" s="421">
        <f t="shared" si="379"/>
        <v>0</v>
      </c>
      <c r="DJ43" s="421">
        <f t="shared" si="379"/>
        <v>0</v>
      </c>
      <c r="DK43" s="421">
        <f t="shared" si="379"/>
        <v>0</v>
      </c>
      <c r="DL43" s="421">
        <f t="shared" si="379"/>
        <v>0</v>
      </c>
      <c r="DM43" s="421">
        <f t="shared" si="379"/>
        <v>0</v>
      </c>
      <c r="DN43" s="421">
        <f t="shared" si="379"/>
        <v>0</v>
      </c>
      <c r="DO43" s="421">
        <f t="shared" si="379"/>
        <v>0</v>
      </c>
      <c r="DP43" s="421">
        <f t="shared" si="379"/>
        <v>0</v>
      </c>
      <c r="DQ43" s="421">
        <f t="shared" si="379"/>
        <v>0</v>
      </c>
      <c r="DR43" s="421">
        <f t="shared" si="380"/>
        <v>0</v>
      </c>
      <c r="DS43" s="421">
        <f t="shared" si="380"/>
        <v>0</v>
      </c>
      <c r="DT43" s="421">
        <f t="shared" si="380"/>
        <v>0</v>
      </c>
      <c r="DU43" s="421">
        <f t="shared" si="380"/>
        <v>0</v>
      </c>
      <c r="DV43" s="421">
        <f t="shared" si="380"/>
        <v>0</v>
      </c>
      <c r="DW43" s="421">
        <f t="shared" si="380"/>
        <v>0</v>
      </c>
      <c r="DX43" s="421">
        <f t="shared" si="380"/>
        <v>0</v>
      </c>
      <c r="DY43" s="421">
        <f t="shared" si="380"/>
        <v>0</v>
      </c>
      <c r="DZ43" s="421">
        <f t="shared" si="380"/>
        <v>0</v>
      </c>
      <c r="EA43" s="421">
        <f t="shared" si="380"/>
        <v>0</v>
      </c>
      <c r="EB43" s="421">
        <f t="shared" si="381"/>
        <v>0</v>
      </c>
      <c r="EC43" s="421">
        <f t="shared" si="381"/>
        <v>0</v>
      </c>
      <c r="ED43" s="421">
        <f t="shared" si="381"/>
        <v>0</v>
      </c>
      <c r="EE43" s="421">
        <f t="shared" si="381"/>
        <v>0</v>
      </c>
      <c r="EF43" s="421">
        <f t="shared" si="381"/>
        <v>0</v>
      </c>
      <c r="EG43" s="421">
        <f t="shared" si="381"/>
        <v>0</v>
      </c>
      <c r="EH43" s="421">
        <f t="shared" si="381"/>
        <v>0</v>
      </c>
      <c r="EI43" s="421">
        <f t="shared" si="381"/>
        <v>0</v>
      </c>
      <c r="EJ43" s="421">
        <f t="shared" si="381"/>
        <v>0</v>
      </c>
      <c r="EK43" s="421">
        <f t="shared" si="381"/>
        <v>0</v>
      </c>
      <c r="EL43" s="421">
        <f t="shared" si="382"/>
        <v>0</v>
      </c>
      <c r="EM43" s="421">
        <f t="shared" si="382"/>
        <v>0</v>
      </c>
      <c r="EN43" s="421">
        <f t="shared" si="382"/>
        <v>0</v>
      </c>
      <c r="EP43" s="221">
        <f t="shared" si="383"/>
        <v>0</v>
      </c>
      <c r="EQ43" s="202">
        <f t="shared" si="384"/>
        <v>46203</v>
      </c>
      <c r="ER43" s="202">
        <f t="shared" si="385"/>
        <v>47299</v>
      </c>
      <c r="ES43" s="20">
        <f t="shared" si="386"/>
        <v>37</v>
      </c>
      <c r="ET43" s="18" t="str">
        <f t="shared" si="387"/>
        <v>Straight-Line</v>
      </c>
      <c r="EU43" s="80">
        <f t="shared" si="388"/>
        <v>6.166666666666667</v>
      </c>
      <c r="EV43" s="20">
        <f t="shared" si="389"/>
        <v>0</v>
      </c>
      <c r="EW43" s="20">
        <f t="shared" si="389"/>
        <v>0</v>
      </c>
      <c r="EX43" s="20">
        <f t="shared" si="389"/>
        <v>0</v>
      </c>
      <c r="EY43" s="20">
        <f t="shared" si="389"/>
        <v>0</v>
      </c>
      <c r="EZ43" s="20">
        <f t="shared" si="389"/>
        <v>0</v>
      </c>
      <c r="FA43" s="20">
        <f t="shared" si="389"/>
        <v>0</v>
      </c>
      <c r="FB43" s="20">
        <f t="shared" si="389"/>
        <v>0</v>
      </c>
      <c r="FC43" s="20">
        <f t="shared" si="389"/>
        <v>0</v>
      </c>
      <c r="FD43" s="20">
        <f t="shared" si="389"/>
        <v>0</v>
      </c>
      <c r="FE43" s="20">
        <f t="shared" si="389"/>
        <v>0</v>
      </c>
      <c r="FF43" s="20">
        <f t="shared" si="389"/>
        <v>0</v>
      </c>
      <c r="FG43" s="20">
        <f t="shared" si="389"/>
        <v>0</v>
      </c>
      <c r="FH43" s="20">
        <f t="shared" si="389"/>
        <v>0</v>
      </c>
      <c r="FI43" s="20">
        <f t="shared" si="389"/>
        <v>0</v>
      </c>
      <c r="FJ43" s="20">
        <f t="shared" si="389"/>
        <v>0</v>
      </c>
      <c r="FK43" s="20">
        <f t="shared" si="389"/>
        <v>0</v>
      </c>
      <c r="FL43" s="20">
        <f t="shared" si="390"/>
        <v>0</v>
      </c>
      <c r="FM43" s="20">
        <f t="shared" si="390"/>
        <v>0</v>
      </c>
      <c r="FN43" s="20">
        <f t="shared" si="390"/>
        <v>0</v>
      </c>
      <c r="FO43" s="20">
        <f t="shared" si="390"/>
        <v>0</v>
      </c>
      <c r="FP43" s="20">
        <f t="shared" si="390"/>
        <v>0</v>
      </c>
      <c r="FQ43" s="20">
        <f t="shared" si="390"/>
        <v>0</v>
      </c>
      <c r="FR43" s="20">
        <f t="shared" si="390"/>
        <v>0</v>
      </c>
      <c r="FS43" s="20">
        <f t="shared" si="390"/>
        <v>0</v>
      </c>
      <c r="FT43" s="20">
        <f t="shared" si="390"/>
        <v>0</v>
      </c>
      <c r="FU43" s="20">
        <f t="shared" si="390"/>
        <v>0</v>
      </c>
      <c r="FV43" s="20">
        <f t="shared" si="390"/>
        <v>0</v>
      </c>
      <c r="FW43" s="20">
        <f t="shared" si="390"/>
        <v>0</v>
      </c>
      <c r="FX43" s="20">
        <f t="shared" si="390"/>
        <v>0</v>
      </c>
      <c r="FY43" s="20">
        <f t="shared" si="390"/>
        <v>0</v>
      </c>
      <c r="FZ43" s="20">
        <f t="shared" si="390"/>
        <v>0</v>
      </c>
      <c r="GA43" s="20">
        <f t="shared" si="390"/>
        <v>0</v>
      </c>
      <c r="GB43" s="20">
        <f t="shared" si="391"/>
        <v>0</v>
      </c>
      <c r="GC43" s="20">
        <f t="shared" si="391"/>
        <v>0</v>
      </c>
      <c r="GD43" s="20">
        <f t="shared" si="391"/>
        <v>0</v>
      </c>
      <c r="GE43" s="20">
        <f t="shared" si="391"/>
        <v>0</v>
      </c>
      <c r="GF43" s="20">
        <f t="shared" si="391"/>
        <v>0</v>
      </c>
      <c r="GG43" s="20">
        <f t="shared" si="391"/>
        <v>0</v>
      </c>
      <c r="GH43" s="20">
        <f t="shared" si="391"/>
        <v>0</v>
      </c>
      <c r="GI43" s="20">
        <f t="shared" si="391"/>
        <v>0</v>
      </c>
      <c r="GJ43" s="20">
        <f t="shared" si="391"/>
        <v>0</v>
      </c>
      <c r="GK43" s="20">
        <f t="shared" si="391"/>
        <v>0</v>
      </c>
      <c r="GL43" s="20">
        <f t="shared" si="391"/>
        <v>0</v>
      </c>
      <c r="GM43" s="20">
        <f t="shared" si="391"/>
        <v>0</v>
      </c>
      <c r="GN43" s="20">
        <f t="shared" si="391"/>
        <v>0</v>
      </c>
      <c r="GO43" s="20">
        <f t="shared" si="391"/>
        <v>0</v>
      </c>
      <c r="GP43" s="20">
        <f t="shared" si="391"/>
        <v>0</v>
      </c>
      <c r="GQ43" s="20">
        <f t="shared" si="391"/>
        <v>0</v>
      </c>
      <c r="GR43" s="20">
        <f t="shared" si="392"/>
        <v>0</v>
      </c>
      <c r="GS43" s="20">
        <f t="shared" si="392"/>
        <v>0</v>
      </c>
      <c r="GT43" s="20">
        <f t="shared" si="392"/>
        <v>0</v>
      </c>
      <c r="GU43" s="20">
        <f t="shared" si="392"/>
        <v>0</v>
      </c>
      <c r="GV43" s="20">
        <f t="shared" si="392"/>
        <v>0</v>
      </c>
      <c r="GW43" s="20">
        <f t="shared" si="392"/>
        <v>0</v>
      </c>
      <c r="GX43" s="20">
        <f t="shared" si="392"/>
        <v>0</v>
      </c>
      <c r="GY43" s="20">
        <f t="shared" si="392"/>
        <v>0</v>
      </c>
      <c r="GZ43" s="20">
        <f t="shared" si="392"/>
        <v>0</v>
      </c>
      <c r="HA43" s="20">
        <f t="shared" si="392"/>
        <v>0</v>
      </c>
      <c r="HB43" s="20">
        <f t="shared" si="392"/>
        <v>0</v>
      </c>
      <c r="HC43" s="20">
        <f t="shared" si="392"/>
        <v>0</v>
      </c>
      <c r="HD43" s="20">
        <f t="shared" si="392"/>
        <v>0</v>
      </c>
      <c r="HE43" s="20">
        <f t="shared" si="392"/>
        <v>0</v>
      </c>
      <c r="HF43" s="20">
        <f t="shared" si="392"/>
        <v>0</v>
      </c>
      <c r="HG43" s="20">
        <f t="shared" si="392"/>
        <v>0</v>
      </c>
      <c r="HH43" s="20">
        <f t="shared" si="393"/>
        <v>0</v>
      </c>
      <c r="HI43" s="20">
        <f t="shared" si="393"/>
        <v>0</v>
      </c>
      <c r="HJ43" s="20">
        <f t="shared" si="393"/>
        <v>0</v>
      </c>
      <c r="HK43" s="20">
        <f t="shared" si="393"/>
        <v>0</v>
      </c>
      <c r="HL43" s="20">
        <f t="shared" si="393"/>
        <v>0</v>
      </c>
      <c r="HM43" s="20">
        <f t="shared" si="393"/>
        <v>0</v>
      </c>
      <c r="HN43" s="20">
        <f t="shared" si="393"/>
        <v>0</v>
      </c>
      <c r="HO43" s="20">
        <f t="shared" si="393"/>
        <v>0</v>
      </c>
      <c r="HP43" s="20">
        <f t="shared" si="393"/>
        <v>0</v>
      </c>
      <c r="HQ43" s="20">
        <f t="shared" si="393"/>
        <v>0</v>
      </c>
      <c r="HR43" s="20">
        <f t="shared" si="393"/>
        <v>0</v>
      </c>
      <c r="HS43" s="20">
        <f t="shared" si="393"/>
        <v>0</v>
      </c>
      <c r="HT43" s="20">
        <f t="shared" si="393"/>
        <v>0</v>
      </c>
      <c r="HU43" s="20">
        <f t="shared" si="393"/>
        <v>0</v>
      </c>
      <c r="HV43" s="20">
        <f t="shared" si="393"/>
        <v>0</v>
      </c>
      <c r="HW43" s="20">
        <f t="shared" si="393"/>
        <v>0</v>
      </c>
      <c r="HX43" s="20">
        <f t="shared" si="394"/>
        <v>0</v>
      </c>
      <c r="HY43" s="20">
        <f t="shared" si="394"/>
        <v>0</v>
      </c>
      <c r="HZ43" s="20">
        <f t="shared" si="394"/>
        <v>0</v>
      </c>
      <c r="IA43" s="20">
        <f t="shared" si="394"/>
        <v>0</v>
      </c>
      <c r="IB43" s="20">
        <f t="shared" si="394"/>
        <v>0</v>
      </c>
      <c r="IC43" s="20">
        <f t="shared" si="394"/>
        <v>0</v>
      </c>
      <c r="ID43" s="20">
        <f t="shared" si="394"/>
        <v>0</v>
      </c>
      <c r="IE43" s="20">
        <f t="shared" si="394"/>
        <v>0</v>
      </c>
      <c r="IF43" s="20">
        <f t="shared" si="394"/>
        <v>0</v>
      </c>
      <c r="IG43" s="20">
        <f t="shared" si="394"/>
        <v>0</v>
      </c>
      <c r="IH43" s="20">
        <f t="shared" si="394"/>
        <v>0</v>
      </c>
      <c r="II43" s="20">
        <f t="shared" si="394"/>
        <v>0</v>
      </c>
      <c r="IJ43" s="20">
        <f t="shared" si="394"/>
        <v>0</v>
      </c>
      <c r="IK43" s="20">
        <f t="shared" si="394"/>
        <v>0</v>
      </c>
      <c r="IL43" s="20">
        <f t="shared" si="394"/>
        <v>0</v>
      </c>
      <c r="IM43" s="20">
        <f t="shared" si="394"/>
        <v>0</v>
      </c>
      <c r="IN43" s="20">
        <f t="shared" si="395"/>
        <v>0</v>
      </c>
      <c r="IO43" s="20">
        <f t="shared" si="395"/>
        <v>0</v>
      </c>
      <c r="IP43" s="20">
        <f t="shared" si="395"/>
        <v>0</v>
      </c>
      <c r="IQ43" s="20">
        <f t="shared" si="395"/>
        <v>0</v>
      </c>
      <c r="IR43" s="20">
        <f t="shared" si="395"/>
        <v>0</v>
      </c>
      <c r="IS43" s="20">
        <f t="shared" si="395"/>
        <v>0</v>
      </c>
      <c r="IT43" s="20">
        <f t="shared" si="395"/>
        <v>0</v>
      </c>
      <c r="IU43" s="20">
        <f t="shared" si="395"/>
        <v>0</v>
      </c>
      <c r="IV43" s="20">
        <f t="shared" si="395"/>
        <v>0</v>
      </c>
      <c r="IW43" s="20">
        <f t="shared" si="395"/>
        <v>0</v>
      </c>
      <c r="IX43" s="20">
        <f t="shared" si="395"/>
        <v>0</v>
      </c>
      <c r="IY43" s="20">
        <f t="shared" si="395"/>
        <v>0</v>
      </c>
      <c r="IZ43" s="20">
        <f t="shared" si="395"/>
        <v>0</v>
      </c>
      <c r="JA43" s="20">
        <f t="shared" si="395"/>
        <v>0</v>
      </c>
      <c r="JB43" s="20">
        <f t="shared" si="395"/>
        <v>0</v>
      </c>
      <c r="JC43" s="20">
        <f t="shared" si="395"/>
        <v>0</v>
      </c>
      <c r="JD43" s="20">
        <f t="shared" si="396"/>
        <v>0</v>
      </c>
      <c r="JE43" s="20">
        <f t="shared" si="396"/>
        <v>0</v>
      </c>
      <c r="JF43" s="20">
        <f t="shared" si="396"/>
        <v>0</v>
      </c>
      <c r="JG43" s="20">
        <f t="shared" si="396"/>
        <v>0</v>
      </c>
      <c r="JH43" s="20">
        <f t="shared" si="396"/>
        <v>0</v>
      </c>
      <c r="JI43" s="20">
        <f t="shared" si="396"/>
        <v>0</v>
      </c>
      <c r="JJ43" s="20">
        <f t="shared" si="396"/>
        <v>0</v>
      </c>
      <c r="JK43" s="20">
        <f t="shared" si="396"/>
        <v>0</v>
      </c>
      <c r="JL43" s="20">
        <f t="shared" si="396"/>
        <v>0</v>
      </c>
      <c r="JM43" s="20">
        <f t="shared" si="396"/>
        <v>0</v>
      </c>
      <c r="JN43" s="20">
        <f t="shared" si="396"/>
        <v>0</v>
      </c>
      <c r="JO43" s="20">
        <f t="shared" si="396"/>
        <v>0</v>
      </c>
      <c r="JP43" s="20">
        <f t="shared" si="396"/>
        <v>0</v>
      </c>
      <c r="JQ43" s="20">
        <f t="shared" si="396"/>
        <v>0</v>
      </c>
      <c r="JR43" s="20">
        <f t="shared" si="396"/>
        <v>0</v>
      </c>
      <c r="JS43" s="20">
        <f t="shared" si="396"/>
        <v>0</v>
      </c>
      <c r="JT43" s="20">
        <f t="shared" si="397"/>
        <v>0</v>
      </c>
      <c r="JU43" s="20">
        <f t="shared" si="397"/>
        <v>0</v>
      </c>
      <c r="JV43" s="20">
        <f t="shared" si="397"/>
        <v>0</v>
      </c>
      <c r="JW43" s="20">
        <f t="shared" si="397"/>
        <v>0</v>
      </c>
      <c r="JX43" s="20">
        <f t="shared" si="397"/>
        <v>0</v>
      </c>
      <c r="JZ43" s="221" t="str">
        <f t="shared" si="285"/>
        <v>Included in detailed component CAPEX</v>
      </c>
      <c r="KA43" s="202"/>
      <c r="KB43" s="20">
        <f t="shared" si="398"/>
        <v>0</v>
      </c>
      <c r="KC43" s="20">
        <f t="shared" si="399"/>
        <v>36</v>
      </c>
      <c r="KD43" s="20">
        <f t="shared" si="400"/>
        <v>37</v>
      </c>
      <c r="KE43" s="422">
        <f t="shared" si="401"/>
        <v>0</v>
      </c>
      <c r="KF43" s="422">
        <f t="shared" si="402"/>
        <v>0</v>
      </c>
      <c r="KG43" s="422">
        <f t="shared" si="402"/>
        <v>0</v>
      </c>
      <c r="KH43" s="422">
        <f t="shared" si="402"/>
        <v>0</v>
      </c>
      <c r="KI43" s="422">
        <f t="shared" si="402"/>
        <v>0</v>
      </c>
      <c r="KJ43" s="422">
        <f t="shared" si="402"/>
        <v>0</v>
      </c>
      <c r="KK43" s="422">
        <f t="shared" si="402"/>
        <v>0</v>
      </c>
      <c r="KL43" s="422">
        <f t="shared" si="402"/>
        <v>0</v>
      </c>
      <c r="KM43" s="422">
        <f t="shared" si="402"/>
        <v>0</v>
      </c>
      <c r="KN43" s="422">
        <f t="shared" si="402"/>
        <v>0</v>
      </c>
      <c r="KO43" s="422">
        <f t="shared" si="402"/>
        <v>0</v>
      </c>
      <c r="KP43" s="422">
        <f t="shared" si="402"/>
        <v>0</v>
      </c>
      <c r="KQ43" s="422">
        <f t="shared" si="402"/>
        <v>0</v>
      </c>
      <c r="KR43" s="422">
        <f t="shared" si="402"/>
        <v>0</v>
      </c>
      <c r="KS43" s="422">
        <f t="shared" si="402"/>
        <v>0</v>
      </c>
      <c r="KT43" s="422">
        <f t="shared" si="402"/>
        <v>0</v>
      </c>
      <c r="KU43" s="422">
        <f t="shared" si="402"/>
        <v>0</v>
      </c>
      <c r="KV43" s="422">
        <f t="shared" si="403"/>
        <v>0</v>
      </c>
      <c r="KW43" s="422">
        <f t="shared" si="403"/>
        <v>0</v>
      </c>
      <c r="KX43" s="422">
        <f t="shared" si="403"/>
        <v>0</v>
      </c>
      <c r="KY43" s="422">
        <f t="shared" si="403"/>
        <v>0</v>
      </c>
      <c r="KZ43" s="422">
        <f t="shared" si="403"/>
        <v>0</v>
      </c>
      <c r="LA43" s="422">
        <f t="shared" si="403"/>
        <v>0</v>
      </c>
      <c r="LB43" s="422">
        <f t="shared" si="403"/>
        <v>0</v>
      </c>
      <c r="LC43" s="422">
        <f t="shared" si="403"/>
        <v>0</v>
      </c>
      <c r="LD43" s="422">
        <f t="shared" si="403"/>
        <v>0</v>
      </c>
      <c r="LE43" s="422">
        <f t="shared" si="403"/>
        <v>0</v>
      </c>
      <c r="LF43" s="422">
        <f t="shared" si="403"/>
        <v>0</v>
      </c>
      <c r="LG43" s="422">
        <f t="shared" si="403"/>
        <v>0</v>
      </c>
      <c r="LH43" s="422">
        <f t="shared" si="403"/>
        <v>0</v>
      </c>
      <c r="LI43" s="422">
        <f t="shared" si="403"/>
        <v>0</v>
      </c>
      <c r="LJ43" s="422">
        <f t="shared" si="403"/>
        <v>0</v>
      </c>
      <c r="LK43" s="422">
        <f t="shared" si="403"/>
        <v>0</v>
      </c>
      <c r="LL43" s="422">
        <f t="shared" si="404"/>
        <v>0</v>
      </c>
      <c r="LM43" s="422">
        <f t="shared" si="404"/>
        <v>0</v>
      </c>
      <c r="LN43" s="422">
        <f t="shared" si="404"/>
        <v>0</v>
      </c>
      <c r="LO43" s="422">
        <f t="shared" si="404"/>
        <v>0</v>
      </c>
      <c r="LP43" s="422">
        <f t="shared" si="404"/>
        <v>0</v>
      </c>
      <c r="LQ43" s="422">
        <f t="shared" si="404"/>
        <v>0</v>
      </c>
      <c r="LR43" s="422">
        <f t="shared" si="404"/>
        <v>0</v>
      </c>
      <c r="LS43" s="422">
        <f t="shared" si="404"/>
        <v>0</v>
      </c>
      <c r="LT43" s="422">
        <f t="shared" si="404"/>
        <v>0</v>
      </c>
      <c r="LU43" s="422">
        <f t="shared" si="404"/>
        <v>0</v>
      </c>
      <c r="LV43" s="422">
        <f t="shared" si="404"/>
        <v>0</v>
      </c>
      <c r="LW43" s="422">
        <f t="shared" si="404"/>
        <v>0</v>
      </c>
      <c r="LX43" s="422">
        <f t="shared" si="404"/>
        <v>0</v>
      </c>
      <c r="LY43" s="422">
        <f t="shared" si="404"/>
        <v>0</v>
      </c>
      <c r="LZ43" s="422">
        <f t="shared" si="404"/>
        <v>0</v>
      </c>
      <c r="MA43" s="422">
        <f t="shared" si="404"/>
        <v>0</v>
      </c>
      <c r="MB43" s="422">
        <f t="shared" si="405"/>
        <v>0</v>
      </c>
      <c r="MC43" s="422">
        <f t="shared" si="405"/>
        <v>0</v>
      </c>
      <c r="MD43" s="422">
        <f t="shared" si="405"/>
        <v>0</v>
      </c>
      <c r="ME43" s="422">
        <f t="shared" si="405"/>
        <v>0</v>
      </c>
      <c r="MF43" s="422">
        <f t="shared" si="405"/>
        <v>0</v>
      </c>
      <c r="MG43" s="422">
        <f t="shared" si="405"/>
        <v>0</v>
      </c>
      <c r="MH43" s="422">
        <f t="shared" si="405"/>
        <v>0</v>
      </c>
      <c r="MI43" s="422">
        <f t="shared" si="405"/>
        <v>0</v>
      </c>
      <c r="MJ43" s="422">
        <f t="shared" si="405"/>
        <v>0</v>
      </c>
      <c r="MK43" s="422">
        <f t="shared" si="405"/>
        <v>0</v>
      </c>
      <c r="ML43" s="422">
        <f t="shared" si="405"/>
        <v>0</v>
      </c>
      <c r="MM43" s="422">
        <f t="shared" si="405"/>
        <v>0</v>
      </c>
      <c r="MN43" s="422">
        <f t="shared" si="405"/>
        <v>0</v>
      </c>
      <c r="MO43" s="422">
        <f t="shared" si="405"/>
        <v>0</v>
      </c>
      <c r="MP43" s="422">
        <f t="shared" si="405"/>
        <v>0</v>
      </c>
      <c r="MQ43" s="422">
        <f t="shared" si="405"/>
        <v>0</v>
      </c>
      <c r="MR43" s="422">
        <f t="shared" si="406"/>
        <v>0</v>
      </c>
      <c r="MS43" s="422">
        <f t="shared" si="406"/>
        <v>0</v>
      </c>
      <c r="MT43" s="422">
        <f t="shared" si="406"/>
        <v>0</v>
      </c>
      <c r="MU43" s="422">
        <f t="shared" si="406"/>
        <v>0</v>
      </c>
      <c r="MV43" s="422">
        <f t="shared" si="406"/>
        <v>0</v>
      </c>
      <c r="MW43" s="422">
        <f t="shared" si="406"/>
        <v>0</v>
      </c>
      <c r="MX43" s="422">
        <f t="shared" si="406"/>
        <v>0</v>
      </c>
      <c r="MY43" s="422">
        <f t="shared" si="406"/>
        <v>0</v>
      </c>
      <c r="MZ43" s="422">
        <f t="shared" si="406"/>
        <v>0</v>
      </c>
      <c r="NA43" s="422">
        <f t="shared" si="406"/>
        <v>0</v>
      </c>
      <c r="NB43" s="422">
        <f t="shared" si="406"/>
        <v>0</v>
      </c>
      <c r="NC43" s="422">
        <f t="shared" si="406"/>
        <v>0</v>
      </c>
      <c r="ND43" s="422">
        <f t="shared" si="406"/>
        <v>0</v>
      </c>
      <c r="NE43" s="422">
        <f t="shared" si="406"/>
        <v>0</v>
      </c>
      <c r="NF43" s="422">
        <f t="shared" si="406"/>
        <v>0</v>
      </c>
      <c r="NG43" s="422">
        <f t="shared" si="406"/>
        <v>0</v>
      </c>
      <c r="NH43" s="422">
        <f t="shared" si="407"/>
        <v>0</v>
      </c>
      <c r="NI43" s="422">
        <f t="shared" si="407"/>
        <v>0</v>
      </c>
      <c r="NJ43" s="422">
        <f t="shared" si="407"/>
        <v>0</v>
      </c>
      <c r="NK43" s="422">
        <f t="shared" si="407"/>
        <v>0</v>
      </c>
      <c r="NL43" s="422">
        <f t="shared" si="407"/>
        <v>0</v>
      </c>
      <c r="NM43" s="422">
        <f t="shared" si="407"/>
        <v>0</v>
      </c>
      <c r="NN43" s="422">
        <f t="shared" si="407"/>
        <v>0</v>
      </c>
      <c r="NO43" s="422">
        <f t="shared" si="407"/>
        <v>0</v>
      </c>
      <c r="NP43" s="422">
        <f t="shared" si="407"/>
        <v>0</v>
      </c>
      <c r="NQ43" s="422">
        <f t="shared" si="407"/>
        <v>0</v>
      </c>
      <c r="NR43" s="422">
        <f t="shared" si="407"/>
        <v>0</v>
      </c>
      <c r="NS43" s="422">
        <f t="shared" si="407"/>
        <v>0</v>
      </c>
      <c r="NT43" s="422">
        <f t="shared" si="407"/>
        <v>0</v>
      </c>
      <c r="NU43" s="422">
        <f t="shared" si="407"/>
        <v>0</v>
      </c>
      <c r="NV43" s="422">
        <f t="shared" si="407"/>
        <v>0</v>
      </c>
      <c r="NW43" s="422">
        <f t="shared" si="407"/>
        <v>0</v>
      </c>
      <c r="NX43" s="422">
        <f t="shared" si="408"/>
        <v>0</v>
      </c>
      <c r="NY43" s="422">
        <f t="shared" si="408"/>
        <v>0</v>
      </c>
      <c r="NZ43" s="422">
        <f t="shared" si="408"/>
        <v>0</v>
      </c>
      <c r="OA43" s="422">
        <f t="shared" si="408"/>
        <v>0</v>
      </c>
      <c r="OB43" s="422">
        <f t="shared" si="408"/>
        <v>0</v>
      </c>
      <c r="OC43" s="422">
        <f t="shared" si="408"/>
        <v>0</v>
      </c>
      <c r="OD43" s="422">
        <f t="shared" si="408"/>
        <v>0</v>
      </c>
      <c r="OE43" s="422">
        <f t="shared" si="408"/>
        <v>0</v>
      </c>
      <c r="OF43" s="422">
        <f t="shared" si="408"/>
        <v>0</v>
      </c>
      <c r="OG43" s="422">
        <f t="shared" si="408"/>
        <v>0</v>
      </c>
      <c r="OH43" s="422">
        <f t="shared" si="408"/>
        <v>0</v>
      </c>
      <c r="OI43" s="422">
        <f t="shared" si="408"/>
        <v>0</v>
      </c>
      <c r="OJ43" s="422">
        <f t="shared" si="408"/>
        <v>0</v>
      </c>
      <c r="OK43" s="422">
        <f t="shared" si="408"/>
        <v>0</v>
      </c>
      <c r="OL43" s="422">
        <f t="shared" si="408"/>
        <v>0</v>
      </c>
      <c r="OM43" s="422">
        <f t="shared" si="408"/>
        <v>0</v>
      </c>
      <c r="ON43" s="422">
        <f t="shared" si="409"/>
        <v>0</v>
      </c>
      <c r="OO43" s="422">
        <f t="shared" si="409"/>
        <v>0</v>
      </c>
      <c r="OP43" s="422">
        <f t="shared" si="409"/>
        <v>0</v>
      </c>
      <c r="OQ43" s="422">
        <f t="shared" si="409"/>
        <v>0</v>
      </c>
      <c r="OR43" s="422">
        <f t="shared" si="409"/>
        <v>0</v>
      </c>
      <c r="OS43" s="422">
        <f t="shared" si="409"/>
        <v>0</v>
      </c>
      <c r="OT43" s="422">
        <f t="shared" si="409"/>
        <v>0</v>
      </c>
      <c r="OU43" s="422">
        <f t="shared" si="409"/>
        <v>0</v>
      </c>
      <c r="OV43" s="422">
        <f t="shared" si="409"/>
        <v>0</v>
      </c>
      <c r="OW43" s="422">
        <f t="shared" si="409"/>
        <v>0</v>
      </c>
      <c r="OX43" s="422">
        <f t="shared" si="409"/>
        <v>0</v>
      </c>
      <c r="OY43" s="422">
        <f t="shared" si="409"/>
        <v>0</v>
      </c>
      <c r="OZ43" s="422">
        <f t="shared" si="409"/>
        <v>0</v>
      </c>
      <c r="PA43" s="422">
        <f t="shared" si="409"/>
        <v>0</v>
      </c>
      <c r="PB43" s="422">
        <f t="shared" si="409"/>
        <v>0</v>
      </c>
      <c r="PC43" s="422">
        <f t="shared" si="409"/>
        <v>0</v>
      </c>
      <c r="PD43" s="422">
        <f t="shared" si="410"/>
        <v>0</v>
      </c>
      <c r="PE43" s="422">
        <f t="shared" si="410"/>
        <v>0</v>
      </c>
      <c r="PF43" s="422">
        <f t="shared" si="410"/>
        <v>0</v>
      </c>
      <c r="PG43" s="422">
        <f t="shared" si="410"/>
        <v>0</v>
      </c>
      <c r="PH43" s="422">
        <f t="shared" si="410"/>
        <v>0</v>
      </c>
    </row>
    <row r="44">
      <c r="B44" s="430" t="s">
        <v>149</v>
      </c>
      <c r="C44" s="404">
        <v>1</v>
      </c>
      <c r="D44" s="46"/>
      <c r="E44" s="46">
        <v>36</v>
      </c>
      <c r="F44" s="418" t="s">
        <v>137</v>
      </c>
      <c r="G44" s="41">
        <f t="shared" si="367"/>
        <v>0</v>
      </c>
      <c r="H44" s="419"/>
      <c r="I44" s="420">
        <v>0</v>
      </c>
      <c r="K44" s="22" t="str">
        <f>IF(ROUND(SUM(L44:EN44),0)=ROUND(I44,0),"","Incomplete")</f>
      </c>
      <c r="L44" s="421">
        <f t="shared" si="369"/>
        <v>0</v>
      </c>
      <c r="M44" s="421">
        <f t="shared" si="369"/>
        <v>0</v>
      </c>
      <c r="N44" s="421">
        <f t="shared" si="369"/>
        <v>0</v>
      </c>
      <c r="O44" s="421">
        <f t="shared" si="369"/>
        <v>0</v>
      </c>
      <c r="P44" s="421">
        <f t="shared" si="369"/>
        <v>0</v>
      </c>
      <c r="Q44" s="421">
        <f t="shared" si="369"/>
        <v>0</v>
      </c>
      <c r="R44" s="421">
        <f t="shared" si="369"/>
        <v>0</v>
      </c>
      <c r="S44" s="421">
        <f t="shared" si="369"/>
        <v>0</v>
      </c>
      <c r="T44" s="421">
        <f t="shared" si="369"/>
        <v>0</v>
      </c>
      <c r="U44" s="421">
        <f t="shared" si="369"/>
        <v>0</v>
      </c>
      <c r="V44" s="421">
        <f t="shared" si="370"/>
        <v>0</v>
      </c>
      <c r="W44" s="421">
        <f t="shared" si="370"/>
        <v>0</v>
      </c>
      <c r="X44" s="421">
        <f t="shared" si="370"/>
        <v>0</v>
      </c>
      <c r="Y44" s="421">
        <f t="shared" si="370"/>
        <v>0</v>
      </c>
      <c r="Z44" s="421">
        <f t="shared" si="370"/>
        <v>0</v>
      </c>
      <c r="AA44" s="421">
        <f t="shared" si="370"/>
        <v>0</v>
      </c>
      <c r="AB44" s="421">
        <f t="shared" si="370"/>
        <v>0</v>
      </c>
      <c r="AC44" s="421">
        <f t="shared" si="370"/>
        <v>0</v>
      </c>
      <c r="AD44" s="421">
        <f t="shared" si="370"/>
        <v>0</v>
      </c>
      <c r="AE44" s="421">
        <f t="shared" si="370"/>
        <v>0</v>
      </c>
      <c r="AF44" s="421">
        <f t="shared" si="371"/>
        <v>0</v>
      </c>
      <c r="AG44" s="421">
        <f t="shared" si="371"/>
        <v>0</v>
      </c>
      <c r="AH44" s="421">
        <f t="shared" si="371"/>
        <v>0</v>
      </c>
      <c r="AI44" s="421">
        <f t="shared" si="371"/>
        <v>0</v>
      </c>
      <c r="AJ44" s="421">
        <f t="shared" si="371"/>
        <v>0</v>
      </c>
      <c r="AK44" s="421">
        <f t="shared" si="371"/>
        <v>0</v>
      </c>
      <c r="AL44" s="421">
        <f t="shared" si="371"/>
        <v>0</v>
      </c>
      <c r="AM44" s="421">
        <f t="shared" si="371"/>
        <v>0</v>
      </c>
      <c r="AN44" s="421">
        <f t="shared" si="371"/>
        <v>0</v>
      </c>
      <c r="AO44" s="421">
        <f t="shared" si="371"/>
        <v>0</v>
      </c>
      <c r="AP44" s="421">
        <f t="shared" si="372"/>
        <v>0</v>
      </c>
      <c r="AQ44" s="421">
        <f t="shared" si="372"/>
        <v>0</v>
      </c>
      <c r="AR44" s="421">
        <f t="shared" si="372"/>
        <v>0</v>
      </c>
      <c r="AS44" s="421">
        <f t="shared" si="372"/>
        <v>0</v>
      </c>
      <c r="AT44" s="421">
        <f t="shared" si="372"/>
        <v>0</v>
      </c>
      <c r="AU44" s="421">
        <f t="shared" si="372"/>
        <v>0</v>
      </c>
      <c r="AV44" s="421">
        <f t="shared" si="372"/>
        <v>0</v>
      </c>
      <c r="AW44" s="421">
        <f t="shared" si="372"/>
        <v>0</v>
      </c>
      <c r="AX44" s="421">
        <f t="shared" si="372"/>
        <v>0</v>
      </c>
      <c r="AY44" s="421">
        <f t="shared" si="372"/>
        <v>0</v>
      </c>
      <c r="AZ44" s="421">
        <f t="shared" si="373"/>
        <v>0</v>
      </c>
      <c r="BA44" s="421">
        <f t="shared" si="373"/>
        <v>0</v>
      </c>
      <c r="BB44" s="421">
        <f t="shared" si="373"/>
        <v>0</v>
      </c>
      <c r="BC44" s="421">
        <f t="shared" si="373"/>
        <v>0</v>
      </c>
      <c r="BD44" s="421">
        <f t="shared" si="373"/>
        <v>0</v>
      </c>
      <c r="BE44" s="421">
        <f t="shared" si="373"/>
        <v>0</v>
      </c>
      <c r="BF44" s="421">
        <f t="shared" si="373"/>
        <v>0</v>
      </c>
      <c r="BG44" s="421">
        <f t="shared" si="373"/>
        <v>0</v>
      </c>
      <c r="BH44" s="421">
        <f t="shared" si="373"/>
        <v>0</v>
      </c>
      <c r="BI44" s="421">
        <f t="shared" si="373"/>
        <v>0</v>
      </c>
      <c r="BJ44" s="421">
        <f t="shared" si="374"/>
        <v>0</v>
      </c>
      <c r="BK44" s="421">
        <f t="shared" si="374"/>
        <v>0</v>
      </c>
      <c r="BL44" s="421">
        <f t="shared" si="374"/>
        <v>0</v>
      </c>
      <c r="BM44" s="421">
        <f t="shared" si="374"/>
        <v>0</v>
      </c>
      <c r="BN44" s="421">
        <f t="shared" si="374"/>
        <v>0</v>
      </c>
      <c r="BO44" s="421">
        <f t="shared" si="374"/>
        <v>0</v>
      </c>
      <c r="BP44" s="421">
        <f t="shared" si="374"/>
        <v>0</v>
      </c>
      <c r="BQ44" s="421">
        <f t="shared" si="374"/>
        <v>0</v>
      </c>
      <c r="BR44" s="421">
        <f t="shared" si="374"/>
        <v>0</v>
      </c>
      <c r="BS44" s="421">
        <f t="shared" si="374"/>
        <v>0</v>
      </c>
      <c r="BT44" s="421">
        <f t="shared" si="375"/>
        <v>0</v>
      </c>
      <c r="BU44" s="421">
        <f t="shared" si="375"/>
        <v>0</v>
      </c>
      <c r="BV44" s="421">
        <f t="shared" si="375"/>
        <v>0</v>
      </c>
      <c r="BW44" s="421">
        <f t="shared" si="375"/>
        <v>0</v>
      </c>
      <c r="BX44" s="421">
        <f t="shared" si="375"/>
        <v>0</v>
      </c>
      <c r="BY44" s="421">
        <f t="shared" si="375"/>
        <v>0</v>
      </c>
      <c r="BZ44" s="421">
        <f t="shared" si="375"/>
        <v>0</v>
      </c>
      <c r="CA44" s="421">
        <f t="shared" si="375"/>
        <v>0</v>
      </c>
      <c r="CB44" s="421">
        <f t="shared" si="375"/>
        <v>0</v>
      </c>
      <c r="CC44" s="421">
        <f t="shared" si="375"/>
        <v>0</v>
      </c>
      <c r="CD44" s="421">
        <f t="shared" si="376"/>
        <v>0</v>
      </c>
      <c r="CE44" s="421">
        <f t="shared" si="376"/>
        <v>0</v>
      </c>
      <c r="CF44" s="421">
        <f t="shared" si="376"/>
        <v>0</v>
      </c>
      <c r="CG44" s="421">
        <f t="shared" si="376"/>
        <v>0</v>
      </c>
      <c r="CH44" s="421">
        <f t="shared" si="376"/>
        <v>0</v>
      </c>
      <c r="CI44" s="421">
        <f t="shared" si="376"/>
        <v>0</v>
      </c>
      <c r="CJ44" s="421">
        <f t="shared" si="376"/>
        <v>0</v>
      </c>
      <c r="CK44" s="421">
        <f t="shared" si="376"/>
        <v>0</v>
      </c>
      <c r="CL44" s="421">
        <f t="shared" si="376"/>
        <v>0</v>
      </c>
      <c r="CM44" s="421">
        <f t="shared" si="376"/>
        <v>0</v>
      </c>
      <c r="CN44" s="421">
        <f t="shared" si="377"/>
        <v>0</v>
      </c>
      <c r="CO44" s="421">
        <f t="shared" si="377"/>
        <v>0</v>
      </c>
      <c r="CP44" s="421">
        <f t="shared" si="377"/>
        <v>0</v>
      </c>
      <c r="CQ44" s="421">
        <f t="shared" si="377"/>
        <v>0</v>
      </c>
      <c r="CR44" s="421">
        <f t="shared" si="377"/>
        <v>0</v>
      </c>
      <c r="CS44" s="421">
        <f t="shared" si="377"/>
        <v>0</v>
      </c>
      <c r="CT44" s="421">
        <f t="shared" si="377"/>
        <v>0</v>
      </c>
      <c r="CU44" s="421">
        <f t="shared" si="377"/>
        <v>0</v>
      </c>
      <c r="CV44" s="421">
        <f t="shared" si="377"/>
        <v>0</v>
      </c>
      <c r="CW44" s="421">
        <f t="shared" si="377"/>
        <v>0</v>
      </c>
      <c r="CX44" s="421">
        <f t="shared" si="378"/>
        <v>0</v>
      </c>
      <c r="CY44" s="421">
        <f t="shared" si="378"/>
        <v>0</v>
      </c>
      <c r="CZ44" s="421">
        <f t="shared" si="378"/>
        <v>0</v>
      </c>
      <c r="DA44" s="421">
        <f t="shared" si="378"/>
        <v>0</v>
      </c>
      <c r="DB44" s="421">
        <f t="shared" si="378"/>
        <v>0</v>
      </c>
      <c r="DC44" s="421">
        <f t="shared" si="378"/>
        <v>0</v>
      </c>
      <c r="DD44" s="421">
        <f t="shared" si="378"/>
        <v>0</v>
      </c>
      <c r="DE44" s="421">
        <f t="shared" si="378"/>
        <v>0</v>
      </c>
      <c r="DF44" s="421">
        <f t="shared" si="378"/>
        <v>0</v>
      </c>
      <c r="DG44" s="421">
        <f t="shared" si="378"/>
        <v>0</v>
      </c>
      <c r="DH44" s="421">
        <f t="shared" si="379"/>
        <v>0</v>
      </c>
      <c r="DI44" s="421">
        <f t="shared" si="379"/>
        <v>0</v>
      </c>
      <c r="DJ44" s="421">
        <f t="shared" si="379"/>
        <v>0</v>
      </c>
      <c r="DK44" s="421">
        <f t="shared" si="379"/>
        <v>0</v>
      </c>
      <c r="DL44" s="421">
        <f t="shared" si="379"/>
        <v>0</v>
      </c>
      <c r="DM44" s="421">
        <f t="shared" si="379"/>
        <v>0</v>
      </c>
      <c r="DN44" s="421">
        <f t="shared" si="379"/>
        <v>0</v>
      </c>
      <c r="DO44" s="421">
        <f t="shared" si="379"/>
        <v>0</v>
      </c>
      <c r="DP44" s="421">
        <f t="shared" si="379"/>
        <v>0</v>
      </c>
      <c r="DQ44" s="421">
        <f t="shared" si="379"/>
        <v>0</v>
      </c>
      <c r="DR44" s="421">
        <f t="shared" si="380"/>
        <v>0</v>
      </c>
      <c r="DS44" s="421">
        <f t="shared" si="380"/>
        <v>0</v>
      </c>
      <c r="DT44" s="421">
        <f t="shared" si="380"/>
        <v>0</v>
      </c>
      <c r="DU44" s="421">
        <f t="shared" si="380"/>
        <v>0</v>
      </c>
      <c r="DV44" s="421">
        <f t="shared" si="380"/>
        <v>0</v>
      </c>
      <c r="DW44" s="421">
        <f t="shared" si="380"/>
        <v>0</v>
      </c>
      <c r="DX44" s="421">
        <f t="shared" si="380"/>
        <v>0</v>
      </c>
      <c r="DY44" s="421">
        <f t="shared" si="380"/>
        <v>0</v>
      </c>
      <c r="DZ44" s="421">
        <f t="shared" si="380"/>
        <v>0</v>
      </c>
      <c r="EA44" s="421">
        <f t="shared" si="380"/>
        <v>0</v>
      </c>
      <c r="EB44" s="421">
        <f t="shared" si="381"/>
        <v>0</v>
      </c>
      <c r="EC44" s="421">
        <f t="shared" si="381"/>
        <v>0</v>
      </c>
      <c r="ED44" s="421">
        <f t="shared" si="381"/>
        <v>0</v>
      </c>
      <c r="EE44" s="421">
        <f t="shared" si="381"/>
        <v>0</v>
      </c>
      <c r="EF44" s="421">
        <f t="shared" si="381"/>
        <v>0</v>
      </c>
      <c r="EG44" s="421">
        <f t="shared" si="381"/>
        <v>0</v>
      </c>
      <c r="EH44" s="421">
        <f t="shared" si="381"/>
        <v>0</v>
      </c>
      <c r="EI44" s="421">
        <f t="shared" si="381"/>
        <v>0</v>
      </c>
      <c r="EJ44" s="421">
        <f t="shared" si="381"/>
        <v>0</v>
      </c>
      <c r="EK44" s="421">
        <f t="shared" si="381"/>
        <v>0</v>
      </c>
      <c r="EL44" s="421">
        <f t="shared" si="382"/>
        <v>0</v>
      </c>
      <c r="EM44" s="421">
        <f t="shared" si="382"/>
        <v>0</v>
      </c>
      <c r="EN44" s="421">
        <f t="shared" si="382"/>
        <v>0</v>
      </c>
      <c r="EP44" s="221">
        <f t="shared" si="383"/>
        <v>0</v>
      </c>
      <c r="EQ44" s="202">
        <f t="shared" si="384"/>
        <v>46203</v>
      </c>
      <c r="ER44" s="202">
        <f t="shared" si="385"/>
        <v>47299</v>
      </c>
      <c r="ES44" s="20">
        <f t="shared" si="386"/>
        <v>37</v>
      </c>
      <c r="ET44" s="18" t="str">
        <f t="shared" si="387"/>
        <v>Straight-Line</v>
      </c>
      <c r="EU44" s="80">
        <f t="shared" si="388"/>
        <v>6.166666666666667</v>
      </c>
      <c r="EV44" s="20">
        <f t="shared" si="389"/>
        <v>0</v>
      </c>
      <c r="EW44" s="20">
        <f t="shared" si="389"/>
        <v>0</v>
      </c>
      <c r="EX44" s="20">
        <f t="shared" si="389"/>
        <v>0</v>
      </c>
      <c r="EY44" s="20">
        <f t="shared" si="389"/>
        <v>0</v>
      </c>
      <c r="EZ44" s="20">
        <f t="shared" si="389"/>
        <v>0</v>
      </c>
      <c r="FA44" s="20">
        <f t="shared" si="389"/>
        <v>0</v>
      </c>
      <c r="FB44" s="20">
        <f t="shared" si="389"/>
        <v>0</v>
      </c>
      <c r="FC44" s="20">
        <f t="shared" si="389"/>
        <v>0</v>
      </c>
      <c r="FD44" s="20">
        <f t="shared" si="389"/>
        <v>0</v>
      </c>
      <c r="FE44" s="20">
        <f t="shared" si="389"/>
        <v>0</v>
      </c>
      <c r="FF44" s="20">
        <f t="shared" si="389"/>
        <v>0</v>
      </c>
      <c r="FG44" s="20">
        <f t="shared" si="389"/>
        <v>0</v>
      </c>
      <c r="FH44" s="20">
        <f t="shared" si="389"/>
        <v>0</v>
      </c>
      <c r="FI44" s="20">
        <f t="shared" si="389"/>
        <v>0</v>
      </c>
      <c r="FJ44" s="20">
        <f t="shared" si="389"/>
        <v>0</v>
      </c>
      <c r="FK44" s="20">
        <f t="shared" si="389"/>
        <v>0</v>
      </c>
      <c r="FL44" s="20">
        <f t="shared" si="390"/>
        <v>0</v>
      </c>
      <c r="FM44" s="20">
        <f t="shared" si="390"/>
        <v>0</v>
      </c>
      <c r="FN44" s="20">
        <f t="shared" si="390"/>
        <v>0</v>
      </c>
      <c r="FO44" s="20">
        <f t="shared" si="390"/>
        <v>0</v>
      </c>
      <c r="FP44" s="20">
        <f t="shared" si="390"/>
        <v>0</v>
      </c>
      <c r="FQ44" s="20">
        <f t="shared" si="390"/>
        <v>0</v>
      </c>
      <c r="FR44" s="20">
        <f t="shared" si="390"/>
        <v>0</v>
      </c>
      <c r="FS44" s="20">
        <f t="shared" si="390"/>
        <v>0</v>
      </c>
      <c r="FT44" s="20">
        <f t="shared" si="390"/>
        <v>0</v>
      </c>
      <c r="FU44" s="20">
        <f t="shared" si="390"/>
        <v>0</v>
      </c>
      <c r="FV44" s="20">
        <f t="shared" si="390"/>
        <v>0</v>
      </c>
      <c r="FW44" s="20">
        <f t="shared" si="390"/>
        <v>0</v>
      </c>
      <c r="FX44" s="20">
        <f t="shared" si="390"/>
        <v>0</v>
      </c>
      <c r="FY44" s="20">
        <f t="shared" si="390"/>
        <v>0</v>
      </c>
      <c r="FZ44" s="20">
        <f t="shared" si="390"/>
        <v>0</v>
      </c>
      <c r="GA44" s="20">
        <f t="shared" si="390"/>
        <v>0</v>
      </c>
      <c r="GB44" s="20">
        <f t="shared" si="391"/>
        <v>0</v>
      </c>
      <c r="GC44" s="20">
        <f t="shared" si="391"/>
        <v>0</v>
      </c>
      <c r="GD44" s="20">
        <f t="shared" si="391"/>
        <v>0</v>
      </c>
      <c r="GE44" s="20">
        <f t="shared" si="391"/>
        <v>0</v>
      </c>
      <c r="GF44" s="20">
        <f t="shared" si="391"/>
        <v>0</v>
      </c>
      <c r="GG44" s="20">
        <f t="shared" si="391"/>
        <v>0</v>
      </c>
      <c r="GH44" s="20">
        <f t="shared" si="391"/>
        <v>0</v>
      </c>
      <c r="GI44" s="20">
        <f t="shared" si="391"/>
        <v>0</v>
      </c>
      <c r="GJ44" s="20">
        <f t="shared" si="391"/>
        <v>0</v>
      </c>
      <c r="GK44" s="20">
        <f t="shared" si="391"/>
        <v>0</v>
      </c>
      <c r="GL44" s="20">
        <f t="shared" si="391"/>
        <v>0</v>
      </c>
      <c r="GM44" s="20">
        <f t="shared" si="391"/>
        <v>0</v>
      </c>
      <c r="GN44" s="20">
        <f t="shared" si="391"/>
        <v>0</v>
      </c>
      <c r="GO44" s="20">
        <f t="shared" si="391"/>
        <v>0</v>
      </c>
      <c r="GP44" s="20">
        <f t="shared" si="391"/>
        <v>0</v>
      </c>
      <c r="GQ44" s="20">
        <f t="shared" si="391"/>
        <v>0</v>
      </c>
      <c r="GR44" s="20">
        <f t="shared" si="392"/>
        <v>0</v>
      </c>
      <c r="GS44" s="20">
        <f t="shared" si="392"/>
        <v>0</v>
      </c>
      <c r="GT44" s="20">
        <f t="shared" si="392"/>
        <v>0</v>
      </c>
      <c r="GU44" s="20">
        <f t="shared" si="392"/>
        <v>0</v>
      </c>
      <c r="GV44" s="20">
        <f t="shared" si="392"/>
        <v>0</v>
      </c>
      <c r="GW44" s="20">
        <f t="shared" si="392"/>
        <v>0</v>
      </c>
      <c r="GX44" s="20">
        <f t="shared" si="392"/>
        <v>0</v>
      </c>
      <c r="GY44" s="20">
        <f t="shared" si="392"/>
        <v>0</v>
      </c>
      <c r="GZ44" s="20">
        <f t="shared" si="392"/>
        <v>0</v>
      </c>
      <c r="HA44" s="20">
        <f t="shared" si="392"/>
        <v>0</v>
      </c>
      <c r="HB44" s="20">
        <f t="shared" si="392"/>
        <v>0</v>
      </c>
      <c r="HC44" s="20">
        <f t="shared" si="392"/>
        <v>0</v>
      </c>
      <c r="HD44" s="20">
        <f t="shared" si="392"/>
        <v>0</v>
      </c>
      <c r="HE44" s="20">
        <f t="shared" si="392"/>
        <v>0</v>
      </c>
      <c r="HF44" s="20">
        <f t="shared" si="392"/>
        <v>0</v>
      </c>
      <c r="HG44" s="20">
        <f t="shared" si="392"/>
        <v>0</v>
      </c>
      <c r="HH44" s="20">
        <f t="shared" si="393"/>
        <v>0</v>
      </c>
      <c r="HI44" s="20">
        <f t="shared" si="393"/>
        <v>0</v>
      </c>
      <c r="HJ44" s="20">
        <f t="shared" si="393"/>
        <v>0</v>
      </c>
      <c r="HK44" s="20">
        <f t="shared" si="393"/>
        <v>0</v>
      </c>
      <c r="HL44" s="20">
        <f t="shared" si="393"/>
        <v>0</v>
      </c>
      <c r="HM44" s="20">
        <f t="shared" si="393"/>
        <v>0</v>
      </c>
      <c r="HN44" s="20">
        <f t="shared" si="393"/>
        <v>0</v>
      </c>
      <c r="HO44" s="20">
        <f t="shared" si="393"/>
        <v>0</v>
      </c>
      <c r="HP44" s="20">
        <f t="shared" si="393"/>
        <v>0</v>
      </c>
      <c r="HQ44" s="20">
        <f t="shared" si="393"/>
        <v>0</v>
      </c>
      <c r="HR44" s="20">
        <f t="shared" si="393"/>
        <v>0</v>
      </c>
      <c r="HS44" s="20">
        <f t="shared" si="393"/>
        <v>0</v>
      </c>
      <c r="HT44" s="20">
        <f t="shared" si="393"/>
        <v>0</v>
      </c>
      <c r="HU44" s="20">
        <f t="shared" si="393"/>
        <v>0</v>
      </c>
      <c r="HV44" s="20">
        <f t="shared" si="393"/>
        <v>0</v>
      </c>
      <c r="HW44" s="20">
        <f t="shared" si="393"/>
        <v>0</v>
      </c>
      <c r="HX44" s="20">
        <f t="shared" si="394"/>
        <v>0</v>
      </c>
      <c r="HY44" s="20">
        <f t="shared" si="394"/>
        <v>0</v>
      </c>
      <c r="HZ44" s="20">
        <f t="shared" si="394"/>
        <v>0</v>
      </c>
      <c r="IA44" s="20">
        <f t="shared" si="394"/>
        <v>0</v>
      </c>
      <c r="IB44" s="20">
        <f t="shared" si="394"/>
        <v>0</v>
      </c>
      <c r="IC44" s="20">
        <f t="shared" si="394"/>
        <v>0</v>
      </c>
      <c r="ID44" s="20">
        <f t="shared" si="394"/>
        <v>0</v>
      </c>
      <c r="IE44" s="20">
        <f t="shared" si="394"/>
        <v>0</v>
      </c>
      <c r="IF44" s="20">
        <f t="shared" si="394"/>
        <v>0</v>
      </c>
      <c r="IG44" s="20">
        <f t="shared" si="394"/>
        <v>0</v>
      </c>
      <c r="IH44" s="20">
        <f t="shared" si="394"/>
        <v>0</v>
      </c>
      <c r="II44" s="20">
        <f t="shared" si="394"/>
        <v>0</v>
      </c>
      <c r="IJ44" s="20">
        <f t="shared" si="394"/>
        <v>0</v>
      </c>
      <c r="IK44" s="20">
        <f t="shared" si="394"/>
        <v>0</v>
      </c>
      <c r="IL44" s="20">
        <f t="shared" si="394"/>
        <v>0</v>
      </c>
      <c r="IM44" s="20">
        <f t="shared" si="394"/>
        <v>0</v>
      </c>
      <c r="IN44" s="20">
        <f t="shared" si="395"/>
        <v>0</v>
      </c>
      <c r="IO44" s="20">
        <f t="shared" si="395"/>
        <v>0</v>
      </c>
      <c r="IP44" s="20">
        <f t="shared" si="395"/>
        <v>0</v>
      </c>
      <c r="IQ44" s="20">
        <f t="shared" si="395"/>
        <v>0</v>
      </c>
      <c r="IR44" s="20">
        <f t="shared" si="395"/>
        <v>0</v>
      </c>
      <c r="IS44" s="20">
        <f t="shared" si="395"/>
        <v>0</v>
      </c>
      <c r="IT44" s="20">
        <f t="shared" si="395"/>
        <v>0</v>
      </c>
      <c r="IU44" s="20">
        <f t="shared" si="395"/>
        <v>0</v>
      </c>
      <c r="IV44" s="20">
        <f t="shared" si="395"/>
        <v>0</v>
      </c>
      <c r="IW44" s="20">
        <f t="shared" si="395"/>
        <v>0</v>
      </c>
      <c r="IX44" s="20">
        <f t="shared" si="395"/>
        <v>0</v>
      </c>
      <c r="IY44" s="20">
        <f t="shared" si="395"/>
        <v>0</v>
      </c>
      <c r="IZ44" s="20">
        <f t="shared" si="395"/>
        <v>0</v>
      </c>
      <c r="JA44" s="20">
        <f t="shared" si="395"/>
        <v>0</v>
      </c>
      <c r="JB44" s="20">
        <f t="shared" si="395"/>
        <v>0</v>
      </c>
      <c r="JC44" s="20">
        <f t="shared" si="395"/>
        <v>0</v>
      </c>
      <c r="JD44" s="20">
        <f t="shared" si="396"/>
        <v>0</v>
      </c>
      <c r="JE44" s="20">
        <f t="shared" si="396"/>
        <v>0</v>
      </c>
      <c r="JF44" s="20">
        <f t="shared" si="396"/>
        <v>0</v>
      </c>
      <c r="JG44" s="20">
        <f t="shared" si="396"/>
        <v>0</v>
      </c>
      <c r="JH44" s="20">
        <f t="shared" si="396"/>
        <v>0</v>
      </c>
      <c r="JI44" s="20">
        <f t="shared" si="396"/>
        <v>0</v>
      </c>
      <c r="JJ44" s="20">
        <f t="shared" si="396"/>
        <v>0</v>
      </c>
      <c r="JK44" s="20">
        <f t="shared" si="396"/>
        <v>0</v>
      </c>
      <c r="JL44" s="20">
        <f t="shared" si="396"/>
        <v>0</v>
      </c>
      <c r="JM44" s="20">
        <f t="shared" si="396"/>
        <v>0</v>
      </c>
      <c r="JN44" s="20">
        <f t="shared" si="396"/>
        <v>0</v>
      </c>
      <c r="JO44" s="20">
        <f t="shared" si="396"/>
        <v>0</v>
      </c>
      <c r="JP44" s="20">
        <f t="shared" si="396"/>
        <v>0</v>
      </c>
      <c r="JQ44" s="20">
        <f t="shared" si="396"/>
        <v>0</v>
      </c>
      <c r="JR44" s="20">
        <f t="shared" si="396"/>
        <v>0</v>
      </c>
      <c r="JS44" s="20">
        <f t="shared" si="396"/>
        <v>0</v>
      </c>
      <c r="JT44" s="20">
        <f t="shared" si="397"/>
        <v>0</v>
      </c>
      <c r="JU44" s="20">
        <f t="shared" si="397"/>
        <v>0</v>
      </c>
      <c r="JV44" s="20">
        <f t="shared" si="397"/>
        <v>0</v>
      </c>
      <c r="JW44" s="20">
        <f t="shared" si="397"/>
        <v>0</v>
      </c>
      <c r="JX44" s="20">
        <f t="shared" si="397"/>
        <v>0</v>
      </c>
      <c r="JZ44" s="221" t="str">
        <f t="shared" si="285"/>
        <v>Included in detailed component CAPEX</v>
      </c>
      <c r="KA44" s="202"/>
      <c r="KB44" s="20">
        <f t="shared" si="398"/>
        <v>0</v>
      </c>
      <c r="KC44" s="20">
        <f t="shared" si="399"/>
        <v>36</v>
      </c>
      <c r="KD44" s="20">
        <f t="shared" si="400"/>
        <v>37</v>
      </c>
      <c r="KE44" s="422">
        <f t="shared" si="401"/>
        <v>0</v>
      </c>
      <c r="KF44" s="422">
        <f t="shared" si="402"/>
        <v>0</v>
      </c>
      <c r="KG44" s="422">
        <f t="shared" si="402"/>
        <v>0</v>
      </c>
      <c r="KH44" s="422">
        <f t="shared" si="402"/>
        <v>0</v>
      </c>
      <c r="KI44" s="422">
        <f t="shared" si="402"/>
        <v>0</v>
      </c>
      <c r="KJ44" s="422">
        <f t="shared" si="402"/>
        <v>0</v>
      </c>
      <c r="KK44" s="422">
        <f t="shared" si="402"/>
        <v>0</v>
      </c>
      <c r="KL44" s="422">
        <f t="shared" si="402"/>
        <v>0</v>
      </c>
      <c r="KM44" s="422">
        <f t="shared" si="402"/>
        <v>0</v>
      </c>
      <c r="KN44" s="422">
        <f t="shared" si="402"/>
        <v>0</v>
      </c>
      <c r="KO44" s="422">
        <f t="shared" si="402"/>
        <v>0</v>
      </c>
      <c r="KP44" s="422">
        <f t="shared" si="402"/>
        <v>0</v>
      </c>
      <c r="KQ44" s="422">
        <f t="shared" si="402"/>
        <v>0</v>
      </c>
      <c r="KR44" s="422">
        <f t="shared" si="402"/>
        <v>0</v>
      </c>
      <c r="KS44" s="422">
        <f t="shared" si="402"/>
        <v>0</v>
      </c>
      <c r="KT44" s="422">
        <f t="shared" si="402"/>
        <v>0</v>
      </c>
      <c r="KU44" s="422">
        <f t="shared" si="402"/>
        <v>0</v>
      </c>
      <c r="KV44" s="422">
        <f t="shared" si="403"/>
        <v>0</v>
      </c>
      <c r="KW44" s="422">
        <f t="shared" si="403"/>
        <v>0</v>
      </c>
      <c r="KX44" s="422">
        <f t="shared" si="403"/>
        <v>0</v>
      </c>
      <c r="KY44" s="422">
        <f t="shared" si="403"/>
        <v>0</v>
      </c>
      <c r="KZ44" s="422">
        <f t="shared" si="403"/>
        <v>0</v>
      </c>
      <c r="LA44" s="422">
        <f t="shared" si="403"/>
        <v>0</v>
      </c>
      <c r="LB44" s="422">
        <f t="shared" si="403"/>
        <v>0</v>
      </c>
      <c r="LC44" s="422">
        <f t="shared" si="403"/>
        <v>0</v>
      </c>
      <c r="LD44" s="422">
        <f t="shared" si="403"/>
        <v>0</v>
      </c>
      <c r="LE44" s="422">
        <f t="shared" si="403"/>
        <v>0</v>
      </c>
      <c r="LF44" s="422">
        <f t="shared" si="403"/>
        <v>0</v>
      </c>
      <c r="LG44" s="422">
        <f t="shared" si="403"/>
        <v>0</v>
      </c>
      <c r="LH44" s="422">
        <f t="shared" si="403"/>
        <v>0</v>
      </c>
      <c r="LI44" s="422">
        <f t="shared" si="403"/>
        <v>0</v>
      </c>
      <c r="LJ44" s="422">
        <f t="shared" si="403"/>
        <v>0</v>
      </c>
      <c r="LK44" s="422">
        <f t="shared" si="403"/>
        <v>0</v>
      </c>
      <c r="LL44" s="422">
        <f t="shared" si="404"/>
        <v>0</v>
      </c>
      <c r="LM44" s="422">
        <f t="shared" si="404"/>
        <v>0</v>
      </c>
      <c r="LN44" s="422">
        <f t="shared" si="404"/>
        <v>0</v>
      </c>
      <c r="LO44" s="422">
        <f t="shared" si="404"/>
        <v>0</v>
      </c>
      <c r="LP44" s="422">
        <f t="shared" si="404"/>
        <v>0</v>
      </c>
      <c r="LQ44" s="422">
        <f t="shared" si="404"/>
        <v>0</v>
      </c>
      <c r="LR44" s="422">
        <f t="shared" si="404"/>
        <v>0</v>
      </c>
      <c r="LS44" s="422">
        <f t="shared" si="404"/>
        <v>0</v>
      </c>
      <c r="LT44" s="422">
        <f t="shared" si="404"/>
        <v>0</v>
      </c>
      <c r="LU44" s="422">
        <f t="shared" si="404"/>
        <v>0</v>
      </c>
      <c r="LV44" s="422">
        <f t="shared" si="404"/>
        <v>0</v>
      </c>
      <c r="LW44" s="422">
        <f t="shared" si="404"/>
        <v>0</v>
      </c>
      <c r="LX44" s="422">
        <f t="shared" si="404"/>
        <v>0</v>
      </c>
      <c r="LY44" s="422">
        <f t="shared" si="404"/>
        <v>0</v>
      </c>
      <c r="LZ44" s="422">
        <f t="shared" si="404"/>
        <v>0</v>
      </c>
      <c r="MA44" s="422">
        <f t="shared" si="404"/>
        <v>0</v>
      </c>
      <c r="MB44" s="422">
        <f t="shared" si="405"/>
        <v>0</v>
      </c>
      <c r="MC44" s="422">
        <f t="shared" si="405"/>
        <v>0</v>
      </c>
      <c r="MD44" s="422">
        <f t="shared" si="405"/>
        <v>0</v>
      </c>
      <c r="ME44" s="422">
        <f t="shared" si="405"/>
        <v>0</v>
      </c>
      <c r="MF44" s="422">
        <f t="shared" si="405"/>
        <v>0</v>
      </c>
      <c r="MG44" s="422">
        <f t="shared" si="405"/>
        <v>0</v>
      </c>
      <c r="MH44" s="422">
        <f t="shared" si="405"/>
        <v>0</v>
      </c>
      <c r="MI44" s="422">
        <f t="shared" si="405"/>
        <v>0</v>
      </c>
      <c r="MJ44" s="422">
        <f t="shared" si="405"/>
        <v>0</v>
      </c>
      <c r="MK44" s="422">
        <f t="shared" si="405"/>
        <v>0</v>
      </c>
      <c r="ML44" s="422">
        <f t="shared" si="405"/>
        <v>0</v>
      </c>
      <c r="MM44" s="422">
        <f t="shared" si="405"/>
        <v>0</v>
      </c>
      <c r="MN44" s="422">
        <f t="shared" si="405"/>
        <v>0</v>
      </c>
      <c r="MO44" s="422">
        <f t="shared" si="405"/>
        <v>0</v>
      </c>
      <c r="MP44" s="422">
        <f t="shared" si="405"/>
        <v>0</v>
      </c>
      <c r="MQ44" s="422">
        <f t="shared" si="405"/>
        <v>0</v>
      </c>
      <c r="MR44" s="422">
        <f t="shared" si="406"/>
        <v>0</v>
      </c>
      <c r="MS44" s="422">
        <f t="shared" si="406"/>
        <v>0</v>
      </c>
      <c r="MT44" s="422">
        <f t="shared" si="406"/>
        <v>0</v>
      </c>
      <c r="MU44" s="422">
        <f t="shared" si="406"/>
        <v>0</v>
      </c>
      <c r="MV44" s="422">
        <f t="shared" si="406"/>
        <v>0</v>
      </c>
      <c r="MW44" s="422">
        <f t="shared" si="406"/>
        <v>0</v>
      </c>
      <c r="MX44" s="422">
        <f t="shared" si="406"/>
        <v>0</v>
      </c>
      <c r="MY44" s="422">
        <f t="shared" si="406"/>
        <v>0</v>
      </c>
      <c r="MZ44" s="422">
        <f t="shared" si="406"/>
        <v>0</v>
      </c>
      <c r="NA44" s="422">
        <f t="shared" si="406"/>
        <v>0</v>
      </c>
      <c r="NB44" s="422">
        <f t="shared" si="406"/>
        <v>0</v>
      </c>
      <c r="NC44" s="422">
        <f t="shared" si="406"/>
        <v>0</v>
      </c>
      <c r="ND44" s="422">
        <f t="shared" si="406"/>
        <v>0</v>
      </c>
      <c r="NE44" s="422">
        <f t="shared" si="406"/>
        <v>0</v>
      </c>
      <c r="NF44" s="422">
        <f t="shared" si="406"/>
        <v>0</v>
      </c>
      <c r="NG44" s="422">
        <f t="shared" si="406"/>
        <v>0</v>
      </c>
      <c r="NH44" s="422">
        <f t="shared" si="407"/>
        <v>0</v>
      </c>
      <c r="NI44" s="422">
        <f t="shared" si="407"/>
        <v>0</v>
      </c>
      <c r="NJ44" s="422">
        <f t="shared" si="407"/>
        <v>0</v>
      </c>
      <c r="NK44" s="422">
        <f t="shared" si="407"/>
        <v>0</v>
      </c>
      <c r="NL44" s="422">
        <f t="shared" si="407"/>
        <v>0</v>
      </c>
      <c r="NM44" s="422">
        <f t="shared" si="407"/>
        <v>0</v>
      </c>
      <c r="NN44" s="422">
        <f t="shared" si="407"/>
        <v>0</v>
      </c>
      <c r="NO44" s="422">
        <f t="shared" si="407"/>
        <v>0</v>
      </c>
      <c r="NP44" s="422">
        <f t="shared" si="407"/>
        <v>0</v>
      </c>
      <c r="NQ44" s="422">
        <f t="shared" si="407"/>
        <v>0</v>
      </c>
      <c r="NR44" s="422">
        <f t="shared" si="407"/>
        <v>0</v>
      </c>
      <c r="NS44" s="422">
        <f t="shared" si="407"/>
        <v>0</v>
      </c>
      <c r="NT44" s="422">
        <f t="shared" si="407"/>
        <v>0</v>
      </c>
      <c r="NU44" s="422">
        <f t="shared" si="407"/>
        <v>0</v>
      </c>
      <c r="NV44" s="422">
        <f t="shared" si="407"/>
        <v>0</v>
      </c>
      <c r="NW44" s="422">
        <f t="shared" si="407"/>
        <v>0</v>
      </c>
      <c r="NX44" s="422">
        <f t="shared" si="408"/>
        <v>0</v>
      </c>
      <c r="NY44" s="422">
        <f t="shared" si="408"/>
        <v>0</v>
      </c>
      <c r="NZ44" s="422">
        <f t="shared" si="408"/>
        <v>0</v>
      </c>
      <c r="OA44" s="422">
        <f t="shared" si="408"/>
        <v>0</v>
      </c>
      <c r="OB44" s="422">
        <f t="shared" si="408"/>
        <v>0</v>
      </c>
      <c r="OC44" s="422">
        <f t="shared" si="408"/>
        <v>0</v>
      </c>
      <c r="OD44" s="422">
        <f t="shared" si="408"/>
        <v>0</v>
      </c>
      <c r="OE44" s="422">
        <f t="shared" si="408"/>
        <v>0</v>
      </c>
      <c r="OF44" s="422">
        <f t="shared" si="408"/>
        <v>0</v>
      </c>
      <c r="OG44" s="422">
        <f t="shared" si="408"/>
        <v>0</v>
      </c>
      <c r="OH44" s="422">
        <f t="shared" si="408"/>
        <v>0</v>
      </c>
      <c r="OI44" s="422">
        <f t="shared" si="408"/>
        <v>0</v>
      </c>
      <c r="OJ44" s="422">
        <f t="shared" si="408"/>
        <v>0</v>
      </c>
      <c r="OK44" s="422">
        <f t="shared" si="408"/>
        <v>0</v>
      </c>
      <c r="OL44" s="422">
        <f t="shared" si="408"/>
        <v>0</v>
      </c>
      <c r="OM44" s="422">
        <f t="shared" si="408"/>
        <v>0</v>
      </c>
      <c r="ON44" s="422">
        <f t="shared" si="409"/>
        <v>0</v>
      </c>
      <c r="OO44" s="422">
        <f t="shared" si="409"/>
        <v>0</v>
      </c>
      <c r="OP44" s="422">
        <f t="shared" si="409"/>
        <v>0</v>
      </c>
      <c r="OQ44" s="422">
        <f t="shared" si="409"/>
        <v>0</v>
      </c>
      <c r="OR44" s="422">
        <f t="shared" si="409"/>
        <v>0</v>
      </c>
      <c r="OS44" s="422">
        <f t="shared" si="409"/>
        <v>0</v>
      </c>
      <c r="OT44" s="422">
        <f t="shared" si="409"/>
        <v>0</v>
      </c>
      <c r="OU44" s="422">
        <f t="shared" si="409"/>
        <v>0</v>
      </c>
      <c r="OV44" s="422">
        <f t="shared" si="409"/>
        <v>0</v>
      </c>
      <c r="OW44" s="422">
        <f t="shared" si="409"/>
        <v>0</v>
      </c>
      <c r="OX44" s="422">
        <f t="shared" si="409"/>
        <v>0</v>
      </c>
      <c r="OY44" s="422">
        <f t="shared" si="409"/>
        <v>0</v>
      </c>
      <c r="OZ44" s="422">
        <f t="shared" si="409"/>
        <v>0</v>
      </c>
      <c r="PA44" s="422">
        <f t="shared" si="409"/>
        <v>0</v>
      </c>
      <c r="PB44" s="422">
        <f t="shared" si="409"/>
        <v>0</v>
      </c>
      <c r="PC44" s="422">
        <f t="shared" si="409"/>
        <v>0</v>
      </c>
      <c r="PD44" s="422">
        <f t="shared" si="410"/>
        <v>0</v>
      </c>
      <c r="PE44" s="422">
        <f t="shared" si="410"/>
        <v>0</v>
      </c>
      <c r="PF44" s="422">
        <f t="shared" si="410"/>
        <v>0</v>
      </c>
      <c r="PG44" s="422">
        <f t="shared" si="410"/>
        <v>0</v>
      </c>
      <c r="PH44" s="422">
        <f t="shared" si="410"/>
        <v>0</v>
      </c>
    </row>
    <row r="45">
      <c r="B45" s="430" t="s">
        <v>149</v>
      </c>
      <c r="C45" s="404">
        <v>1</v>
      </c>
      <c r="D45" s="46"/>
      <c r="E45" s="46">
        <v>36</v>
      </c>
      <c r="F45" s="418" t="s">
        <v>137</v>
      </c>
      <c r="G45" s="41">
        <f t="shared" si="367"/>
        <v>0</v>
      </c>
      <c r="H45" s="419"/>
      <c r="I45" s="420">
        <v>0</v>
      </c>
      <c r="K45" s="22" t="str">
        <f>IF(ROUND(SUM(L45:EN45),0)=ROUND(I45,0),"","Incomplete")</f>
      </c>
      <c r="L45" s="421">
        <f t="shared" si="369"/>
        <v>0</v>
      </c>
      <c r="M45" s="421">
        <f t="shared" si="369"/>
        <v>0</v>
      </c>
      <c r="N45" s="421">
        <f t="shared" si="369"/>
        <v>0</v>
      </c>
      <c r="O45" s="421">
        <f t="shared" si="369"/>
        <v>0</v>
      </c>
      <c r="P45" s="421">
        <f t="shared" si="369"/>
        <v>0</v>
      </c>
      <c r="Q45" s="421">
        <f t="shared" si="369"/>
        <v>0</v>
      </c>
      <c r="R45" s="421">
        <f t="shared" si="369"/>
        <v>0</v>
      </c>
      <c r="S45" s="421">
        <f t="shared" si="369"/>
        <v>0</v>
      </c>
      <c r="T45" s="421">
        <f t="shared" si="369"/>
        <v>0</v>
      </c>
      <c r="U45" s="421">
        <f t="shared" si="369"/>
        <v>0</v>
      </c>
      <c r="V45" s="421">
        <f t="shared" si="370"/>
        <v>0</v>
      </c>
      <c r="W45" s="421">
        <f t="shared" si="370"/>
        <v>0</v>
      </c>
      <c r="X45" s="421">
        <f t="shared" si="370"/>
        <v>0</v>
      </c>
      <c r="Y45" s="421">
        <f t="shared" si="370"/>
        <v>0</v>
      </c>
      <c r="Z45" s="421">
        <f t="shared" si="370"/>
        <v>0</v>
      </c>
      <c r="AA45" s="421">
        <f t="shared" si="370"/>
        <v>0</v>
      </c>
      <c r="AB45" s="421">
        <f t="shared" si="370"/>
        <v>0</v>
      </c>
      <c r="AC45" s="421">
        <f t="shared" si="370"/>
        <v>0</v>
      </c>
      <c r="AD45" s="421">
        <f t="shared" si="370"/>
        <v>0</v>
      </c>
      <c r="AE45" s="421">
        <f t="shared" si="370"/>
        <v>0</v>
      </c>
      <c r="AF45" s="421">
        <f t="shared" si="371"/>
        <v>0</v>
      </c>
      <c r="AG45" s="421">
        <f t="shared" si="371"/>
        <v>0</v>
      </c>
      <c r="AH45" s="421">
        <f t="shared" si="371"/>
        <v>0</v>
      </c>
      <c r="AI45" s="421">
        <f t="shared" si="371"/>
        <v>0</v>
      </c>
      <c r="AJ45" s="421">
        <f t="shared" si="371"/>
        <v>0</v>
      </c>
      <c r="AK45" s="421">
        <f t="shared" si="371"/>
        <v>0</v>
      </c>
      <c r="AL45" s="421">
        <f t="shared" si="371"/>
        <v>0</v>
      </c>
      <c r="AM45" s="421">
        <f t="shared" si="371"/>
        <v>0</v>
      </c>
      <c r="AN45" s="421">
        <f t="shared" si="371"/>
        <v>0</v>
      </c>
      <c r="AO45" s="421">
        <f t="shared" si="371"/>
        <v>0</v>
      </c>
      <c r="AP45" s="421">
        <f t="shared" si="372"/>
        <v>0</v>
      </c>
      <c r="AQ45" s="421">
        <f t="shared" si="372"/>
        <v>0</v>
      </c>
      <c r="AR45" s="421">
        <f t="shared" si="372"/>
        <v>0</v>
      </c>
      <c r="AS45" s="421">
        <f t="shared" si="372"/>
        <v>0</v>
      </c>
      <c r="AT45" s="421">
        <f t="shared" si="372"/>
        <v>0</v>
      </c>
      <c r="AU45" s="421">
        <f t="shared" si="372"/>
        <v>0</v>
      </c>
      <c r="AV45" s="421">
        <f t="shared" si="372"/>
        <v>0</v>
      </c>
      <c r="AW45" s="421">
        <f t="shared" si="372"/>
        <v>0</v>
      </c>
      <c r="AX45" s="421">
        <f t="shared" si="372"/>
        <v>0</v>
      </c>
      <c r="AY45" s="421">
        <f t="shared" si="372"/>
        <v>0</v>
      </c>
      <c r="AZ45" s="421">
        <f t="shared" si="373"/>
        <v>0</v>
      </c>
      <c r="BA45" s="421">
        <f t="shared" si="373"/>
        <v>0</v>
      </c>
      <c r="BB45" s="421">
        <f t="shared" si="373"/>
        <v>0</v>
      </c>
      <c r="BC45" s="421">
        <f t="shared" si="373"/>
        <v>0</v>
      </c>
      <c r="BD45" s="421">
        <f t="shared" si="373"/>
        <v>0</v>
      </c>
      <c r="BE45" s="421">
        <f t="shared" si="373"/>
        <v>0</v>
      </c>
      <c r="BF45" s="421">
        <f t="shared" si="373"/>
        <v>0</v>
      </c>
      <c r="BG45" s="421">
        <f t="shared" si="373"/>
        <v>0</v>
      </c>
      <c r="BH45" s="421">
        <f t="shared" si="373"/>
        <v>0</v>
      </c>
      <c r="BI45" s="421">
        <f t="shared" si="373"/>
        <v>0</v>
      </c>
      <c r="BJ45" s="421">
        <f t="shared" si="374"/>
        <v>0</v>
      </c>
      <c r="BK45" s="421">
        <f t="shared" si="374"/>
        <v>0</v>
      </c>
      <c r="BL45" s="421">
        <f t="shared" si="374"/>
        <v>0</v>
      </c>
      <c r="BM45" s="421">
        <f t="shared" si="374"/>
        <v>0</v>
      </c>
      <c r="BN45" s="421">
        <f t="shared" si="374"/>
        <v>0</v>
      </c>
      <c r="BO45" s="421">
        <f t="shared" si="374"/>
        <v>0</v>
      </c>
      <c r="BP45" s="421">
        <f t="shared" si="374"/>
        <v>0</v>
      </c>
      <c r="BQ45" s="421">
        <f t="shared" si="374"/>
        <v>0</v>
      </c>
      <c r="BR45" s="421">
        <f t="shared" si="374"/>
        <v>0</v>
      </c>
      <c r="BS45" s="421">
        <f t="shared" si="374"/>
        <v>0</v>
      </c>
      <c r="BT45" s="421">
        <f t="shared" si="375"/>
        <v>0</v>
      </c>
      <c r="BU45" s="421">
        <f t="shared" si="375"/>
        <v>0</v>
      </c>
      <c r="BV45" s="421">
        <f t="shared" si="375"/>
        <v>0</v>
      </c>
      <c r="BW45" s="421">
        <f t="shared" si="375"/>
        <v>0</v>
      </c>
      <c r="BX45" s="421">
        <f t="shared" si="375"/>
        <v>0</v>
      </c>
      <c r="BY45" s="421">
        <f t="shared" si="375"/>
        <v>0</v>
      </c>
      <c r="BZ45" s="421">
        <f t="shared" si="375"/>
        <v>0</v>
      </c>
      <c r="CA45" s="421">
        <f t="shared" si="375"/>
        <v>0</v>
      </c>
      <c r="CB45" s="421">
        <f t="shared" si="375"/>
        <v>0</v>
      </c>
      <c r="CC45" s="421">
        <f t="shared" si="375"/>
        <v>0</v>
      </c>
      <c r="CD45" s="421">
        <f t="shared" si="376"/>
        <v>0</v>
      </c>
      <c r="CE45" s="421">
        <f t="shared" si="376"/>
        <v>0</v>
      </c>
      <c r="CF45" s="421">
        <f t="shared" si="376"/>
        <v>0</v>
      </c>
      <c r="CG45" s="421">
        <f t="shared" si="376"/>
        <v>0</v>
      </c>
      <c r="CH45" s="421">
        <f t="shared" si="376"/>
        <v>0</v>
      </c>
      <c r="CI45" s="421">
        <f t="shared" si="376"/>
        <v>0</v>
      </c>
      <c r="CJ45" s="421">
        <f t="shared" si="376"/>
        <v>0</v>
      </c>
      <c r="CK45" s="421">
        <f t="shared" si="376"/>
        <v>0</v>
      </c>
      <c r="CL45" s="421">
        <f t="shared" si="376"/>
        <v>0</v>
      </c>
      <c r="CM45" s="421">
        <f t="shared" si="376"/>
        <v>0</v>
      </c>
      <c r="CN45" s="421">
        <f t="shared" si="377"/>
        <v>0</v>
      </c>
      <c r="CO45" s="421">
        <f t="shared" si="377"/>
        <v>0</v>
      </c>
      <c r="CP45" s="421">
        <f t="shared" si="377"/>
        <v>0</v>
      </c>
      <c r="CQ45" s="421">
        <f t="shared" si="377"/>
        <v>0</v>
      </c>
      <c r="CR45" s="421">
        <f t="shared" si="377"/>
        <v>0</v>
      </c>
      <c r="CS45" s="421">
        <f t="shared" si="377"/>
        <v>0</v>
      </c>
      <c r="CT45" s="421">
        <f t="shared" si="377"/>
        <v>0</v>
      </c>
      <c r="CU45" s="421">
        <f t="shared" si="377"/>
        <v>0</v>
      </c>
      <c r="CV45" s="421">
        <f t="shared" si="377"/>
        <v>0</v>
      </c>
      <c r="CW45" s="421">
        <f t="shared" si="377"/>
        <v>0</v>
      </c>
      <c r="CX45" s="421">
        <f t="shared" si="378"/>
        <v>0</v>
      </c>
      <c r="CY45" s="421">
        <f t="shared" si="378"/>
        <v>0</v>
      </c>
      <c r="CZ45" s="421">
        <f t="shared" si="378"/>
        <v>0</v>
      </c>
      <c r="DA45" s="421">
        <f t="shared" si="378"/>
        <v>0</v>
      </c>
      <c r="DB45" s="421">
        <f t="shared" si="378"/>
        <v>0</v>
      </c>
      <c r="DC45" s="421">
        <f t="shared" si="378"/>
        <v>0</v>
      </c>
      <c r="DD45" s="421">
        <f t="shared" si="378"/>
        <v>0</v>
      </c>
      <c r="DE45" s="421">
        <f t="shared" si="378"/>
        <v>0</v>
      </c>
      <c r="DF45" s="421">
        <f t="shared" si="378"/>
        <v>0</v>
      </c>
      <c r="DG45" s="421">
        <f t="shared" si="378"/>
        <v>0</v>
      </c>
      <c r="DH45" s="421">
        <f t="shared" si="379"/>
        <v>0</v>
      </c>
      <c r="DI45" s="421">
        <f t="shared" si="379"/>
        <v>0</v>
      </c>
      <c r="DJ45" s="421">
        <f t="shared" si="379"/>
        <v>0</v>
      </c>
      <c r="DK45" s="421">
        <f t="shared" si="379"/>
        <v>0</v>
      </c>
      <c r="DL45" s="421">
        <f t="shared" si="379"/>
        <v>0</v>
      </c>
      <c r="DM45" s="421">
        <f t="shared" si="379"/>
        <v>0</v>
      </c>
      <c r="DN45" s="421">
        <f t="shared" si="379"/>
        <v>0</v>
      </c>
      <c r="DO45" s="421">
        <f t="shared" si="379"/>
        <v>0</v>
      </c>
      <c r="DP45" s="421">
        <f t="shared" si="379"/>
        <v>0</v>
      </c>
      <c r="DQ45" s="421">
        <f t="shared" si="379"/>
        <v>0</v>
      </c>
      <c r="DR45" s="421">
        <f t="shared" si="380"/>
        <v>0</v>
      </c>
      <c r="DS45" s="421">
        <f t="shared" si="380"/>
        <v>0</v>
      </c>
      <c r="DT45" s="421">
        <f t="shared" si="380"/>
        <v>0</v>
      </c>
      <c r="DU45" s="421">
        <f t="shared" si="380"/>
        <v>0</v>
      </c>
      <c r="DV45" s="421">
        <f t="shared" si="380"/>
        <v>0</v>
      </c>
      <c r="DW45" s="421">
        <f t="shared" si="380"/>
        <v>0</v>
      </c>
      <c r="DX45" s="421">
        <f t="shared" si="380"/>
        <v>0</v>
      </c>
      <c r="DY45" s="421">
        <f t="shared" si="380"/>
        <v>0</v>
      </c>
      <c r="DZ45" s="421">
        <f t="shared" si="380"/>
        <v>0</v>
      </c>
      <c r="EA45" s="421">
        <f t="shared" si="380"/>
        <v>0</v>
      </c>
      <c r="EB45" s="421">
        <f t="shared" si="381"/>
        <v>0</v>
      </c>
      <c r="EC45" s="421">
        <f t="shared" si="381"/>
        <v>0</v>
      </c>
      <c r="ED45" s="421">
        <f t="shared" si="381"/>
        <v>0</v>
      </c>
      <c r="EE45" s="421">
        <f t="shared" si="381"/>
        <v>0</v>
      </c>
      <c r="EF45" s="421">
        <f t="shared" si="381"/>
        <v>0</v>
      </c>
      <c r="EG45" s="421">
        <f t="shared" si="381"/>
        <v>0</v>
      </c>
      <c r="EH45" s="421">
        <f t="shared" si="381"/>
        <v>0</v>
      </c>
      <c r="EI45" s="421">
        <f t="shared" si="381"/>
        <v>0</v>
      </c>
      <c r="EJ45" s="421">
        <f t="shared" si="381"/>
        <v>0</v>
      </c>
      <c r="EK45" s="421">
        <f t="shared" si="381"/>
        <v>0</v>
      </c>
      <c r="EL45" s="421">
        <f t="shared" si="382"/>
        <v>0</v>
      </c>
      <c r="EM45" s="421">
        <f t="shared" si="382"/>
        <v>0</v>
      </c>
      <c r="EN45" s="421">
        <f t="shared" si="382"/>
        <v>0</v>
      </c>
      <c r="EP45" s="221" t="n">
        <f t="shared" ref="EP45" si="411">I45</f>
        <v>0</v>
      </c>
      <c r="EQ45" s="202">
        <f t="shared" si="384"/>
        <v>46203</v>
      </c>
      <c r="ER45" s="202">
        <f t="shared" si="385"/>
        <v>47299</v>
      </c>
      <c r="ES45" s="20" t="n">
        <f t="shared" ref="ES45" si="412">+E45-D45+1</f>
        <v>37</v>
      </c>
      <c r="ET45" s="18" t="str">
        <f t="shared" ref="ET45" si="413">F45</f>
        <v>Straight-Line</v>
      </c>
      <c r="EU45" s="80" t="n">
        <f t="shared" ref="EU45" si="414">ES45/Scurve_Dist</f>
        <v>6.166666666666667</v>
      </c>
      <c r="EV45" s="20">
        <f t="shared" si="389"/>
        <v>0</v>
      </c>
      <c r="EW45" s="20">
        <f t="shared" si="389"/>
        <v>0</v>
      </c>
      <c r="EX45" s="20">
        <f t="shared" si="389"/>
        <v>0</v>
      </c>
      <c r="EY45" s="20">
        <f t="shared" si="389"/>
        <v>0</v>
      </c>
      <c r="EZ45" s="20">
        <f t="shared" si="389"/>
        <v>0</v>
      </c>
      <c r="FA45" s="20">
        <f t="shared" si="389"/>
        <v>0</v>
      </c>
      <c r="FB45" s="20">
        <f t="shared" si="389"/>
        <v>0</v>
      </c>
      <c r="FC45" s="20">
        <f t="shared" si="389"/>
        <v>0</v>
      </c>
      <c r="FD45" s="20">
        <f t="shared" si="389"/>
        <v>0</v>
      </c>
      <c r="FE45" s="20">
        <f t="shared" si="389"/>
        <v>0</v>
      </c>
      <c r="FF45" s="20">
        <f t="shared" si="389"/>
        <v>0</v>
      </c>
      <c r="FG45" s="20">
        <f t="shared" si="389"/>
        <v>0</v>
      </c>
      <c r="FH45" s="20">
        <f t="shared" si="389"/>
        <v>0</v>
      </c>
      <c r="FI45" s="20">
        <f t="shared" si="389"/>
        <v>0</v>
      </c>
      <c r="FJ45" s="20">
        <f t="shared" si="389"/>
        <v>0</v>
      </c>
      <c r="FK45" s="20">
        <f t="shared" si="389"/>
        <v>0</v>
      </c>
      <c r="FL45" s="20">
        <f t="shared" si="390"/>
        <v>0</v>
      </c>
      <c r="FM45" s="20">
        <f t="shared" si="390"/>
        <v>0</v>
      </c>
      <c r="FN45" s="20">
        <f t="shared" si="390"/>
        <v>0</v>
      </c>
      <c r="FO45" s="20">
        <f t="shared" si="390"/>
        <v>0</v>
      </c>
      <c r="FP45" s="20">
        <f t="shared" si="390"/>
        <v>0</v>
      </c>
      <c r="FQ45" s="20">
        <f t="shared" si="390"/>
        <v>0</v>
      </c>
      <c r="FR45" s="20">
        <f t="shared" si="390"/>
        <v>0</v>
      </c>
      <c r="FS45" s="20">
        <f t="shared" si="390"/>
        <v>0</v>
      </c>
      <c r="FT45" s="20">
        <f t="shared" si="390"/>
        <v>0</v>
      </c>
      <c r="FU45" s="20">
        <f t="shared" si="390"/>
        <v>0</v>
      </c>
      <c r="FV45" s="20">
        <f t="shared" si="390"/>
        <v>0</v>
      </c>
      <c r="FW45" s="20">
        <f t="shared" si="390"/>
        <v>0</v>
      </c>
      <c r="FX45" s="20">
        <f t="shared" si="390"/>
        <v>0</v>
      </c>
      <c r="FY45" s="20">
        <f t="shared" si="390"/>
        <v>0</v>
      </c>
      <c r="FZ45" s="20">
        <f t="shared" si="390"/>
        <v>0</v>
      </c>
      <c r="GA45" s="20">
        <f t="shared" si="390"/>
        <v>0</v>
      </c>
      <c r="GB45" s="20">
        <f t="shared" si="391"/>
        <v>0</v>
      </c>
      <c r="GC45" s="20">
        <f t="shared" si="391"/>
        <v>0</v>
      </c>
      <c r="GD45" s="20">
        <f t="shared" si="391"/>
        <v>0</v>
      </c>
      <c r="GE45" s="20">
        <f t="shared" si="391"/>
        <v>0</v>
      </c>
      <c r="GF45" s="20">
        <f t="shared" si="391"/>
        <v>0</v>
      </c>
      <c r="GG45" s="20">
        <f t="shared" si="391"/>
        <v>0</v>
      </c>
      <c r="GH45" s="20">
        <f t="shared" si="391"/>
        <v>0</v>
      </c>
      <c r="GI45" s="20">
        <f t="shared" si="391"/>
        <v>0</v>
      </c>
      <c r="GJ45" s="20">
        <f t="shared" si="391"/>
        <v>0</v>
      </c>
      <c r="GK45" s="20">
        <f t="shared" si="391"/>
        <v>0</v>
      </c>
      <c r="GL45" s="20">
        <f t="shared" si="391"/>
        <v>0</v>
      </c>
      <c r="GM45" s="20">
        <f t="shared" si="391"/>
        <v>0</v>
      </c>
      <c r="GN45" s="20">
        <f t="shared" si="391"/>
        <v>0</v>
      </c>
      <c r="GO45" s="20">
        <f t="shared" si="391"/>
        <v>0</v>
      </c>
      <c r="GP45" s="20">
        <f t="shared" si="391"/>
        <v>0</v>
      </c>
      <c r="GQ45" s="20">
        <f t="shared" si="391"/>
        <v>0</v>
      </c>
      <c r="GR45" s="20">
        <f t="shared" si="392"/>
        <v>0</v>
      </c>
      <c r="GS45" s="20">
        <f t="shared" si="392"/>
        <v>0</v>
      </c>
      <c r="GT45" s="20">
        <f t="shared" si="392"/>
        <v>0</v>
      </c>
      <c r="GU45" s="20">
        <f t="shared" si="392"/>
        <v>0</v>
      </c>
      <c r="GV45" s="20">
        <f t="shared" si="392"/>
        <v>0</v>
      </c>
      <c r="GW45" s="20">
        <f t="shared" si="392"/>
        <v>0</v>
      </c>
      <c r="GX45" s="20">
        <f t="shared" si="392"/>
        <v>0</v>
      </c>
      <c r="GY45" s="20">
        <f t="shared" si="392"/>
        <v>0</v>
      </c>
      <c r="GZ45" s="20">
        <f t="shared" si="392"/>
        <v>0</v>
      </c>
      <c r="HA45" s="20">
        <f t="shared" si="392"/>
        <v>0</v>
      </c>
      <c r="HB45" s="20">
        <f t="shared" si="392"/>
        <v>0</v>
      </c>
      <c r="HC45" s="20">
        <f t="shared" si="392"/>
        <v>0</v>
      </c>
      <c r="HD45" s="20">
        <f t="shared" si="392"/>
        <v>0</v>
      </c>
      <c r="HE45" s="20">
        <f t="shared" si="392"/>
        <v>0</v>
      </c>
      <c r="HF45" s="20">
        <f t="shared" si="392"/>
        <v>0</v>
      </c>
      <c r="HG45" s="20">
        <f t="shared" si="392"/>
        <v>0</v>
      </c>
      <c r="HH45" s="20">
        <f t="shared" si="393"/>
        <v>0</v>
      </c>
      <c r="HI45" s="20">
        <f t="shared" si="393"/>
        <v>0</v>
      </c>
      <c r="HJ45" s="20">
        <f t="shared" si="393"/>
        <v>0</v>
      </c>
      <c r="HK45" s="20">
        <f t="shared" si="393"/>
        <v>0</v>
      </c>
      <c r="HL45" s="20">
        <f t="shared" si="393"/>
        <v>0</v>
      </c>
      <c r="HM45" s="20">
        <f t="shared" si="393"/>
        <v>0</v>
      </c>
      <c r="HN45" s="20">
        <f t="shared" si="393"/>
        <v>0</v>
      </c>
      <c r="HO45" s="20">
        <f t="shared" si="393"/>
        <v>0</v>
      </c>
      <c r="HP45" s="20">
        <f t="shared" si="393"/>
        <v>0</v>
      </c>
      <c r="HQ45" s="20">
        <f t="shared" si="393"/>
        <v>0</v>
      </c>
      <c r="HR45" s="20">
        <f t="shared" si="393"/>
        <v>0</v>
      </c>
      <c r="HS45" s="20">
        <f t="shared" si="393"/>
        <v>0</v>
      </c>
      <c r="HT45" s="20">
        <f t="shared" si="393"/>
        <v>0</v>
      </c>
      <c r="HU45" s="20">
        <f t="shared" si="393"/>
        <v>0</v>
      </c>
      <c r="HV45" s="20">
        <f t="shared" si="393"/>
        <v>0</v>
      </c>
      <c r="HW45" s="20">
        <f t="shared" si="393"/>
        <v>0</v>
      </c>
      <c r="HX45" s="20">
        <f t="shared" si="394"/>
        <v>0</v>
      </c>
      <c r="HY45" s="20">
        <f t="shared" si="394"/>
        <v>0</v>
      </c>
      <c r="HZ45" s="20">
        <f t="shared" si="394"/>
        <v>0</v>
      </c>
      <c r="IA45" s="20">
        <f t="shared" si="394"/>
        <v>0</v>
      </c>
      <c r="IB45" s="20">
        <f t="shared" si="394"/>
        <v>0</v>
      </c>
      <c r="IC45" s="20">
        <f t="shared" si="394"/>
        <v>0</v>
      </c>
      <c r="ID45" s="20">
        <f t="shared" si="394"/>
        <v>0</v>
      </c>
      <c r="IE45" s="20">
        <f t="shared" si="394"/>
        <v>0</v>
      </c>
      <c r="IF45" s="20">
        <f t="shared" si="394"/>
        <v>0</v>
      </c>
      <c r="IG45" s="20">
        <f t="shared" si="394"/>
        <v>0</v>
      </c>
      <c r="IH45" s="20">
        <f t="shared" si="394"/>
        <v>0</v>
      </c>
      <c r="II45" s="20">
        <f t="shared" si="394"/>
        <v>0</v>
      </c>
      <c r="IJ45" s="20">
        <f t="shared" si="394"/>
        <v>0</v>
      </c>
      <c r="IK45" s="20">
        <f t="shared" si="394"/>
        <v>0</v>
      </c>
      <c r="IL45" s="20">
        <f t="shared" si="394"/>
        <v>0</v>
      </c>
      <c r="IM45" s="20">
        <f t="shared" si="394"/>
        <v>0</v>
      </c>
      <c r="IN45" s="20">
        <f t="shared" si="395"/>
        <v>0</v>
      </c>
      <c r="IO45" s="20">
        <f t="shared" si="395"/>
        <v>0</v>
      </c>
      <c r="IP45" s="20">
        <f t="shared" si="395"/>
        <v>0</v>
      </c>
      <c r="IQ45" s="20">
        <f t="shared" si="395"/>
        <v>0</v>
      </c>
      <c r="IR45" s="20">
        <f t="shared" si="395"/>
        <v>0</v>
      </c>
      <c r="IS45" s="20">
        <f t="shared" si="395"/>
        <v>0</v>
      </c>
      <c r="IT45" s="20">
        <f t="shared" si="395"/>
        <v>0</v>
      </c>
      <c r="IU45" s="20">
        <f t="shared" si="395"/>
        <v>0</v>
      </c>
      <c r="IV45" s="20">
        <f t="shared" si="395"/>
        <v>0</v>
      </c>
      <c r="IW45" s="20">
        <f t="shared" si="395"/>
        <v>0</v>
      </c>
      <c r="IX45" s="20">
        <f t="shared" si="395"/>
        <v>0</v>
      </c>
      <c r="IY45" s="20">
        <f t="shared" si="395"/>
        <v>0</v>
      </c>
      <c r="IZ45" s="20">
        <f t="shared" si="395"/>
        <v>0</v>
      </c>
      <c r="JA45" s="20">
        <f t="shared" si="395"/>
        <v>0</v>
      </c>
      <c r="JB45" s="20">
        <f t="shared" si="395"/>
        <v>0</v>
      </c>
      <c r="JC45" s="20">
        <f t="shared" si="395"/>
        <v>0</v>
      </c>
      <c r="JD45" s="20">
        <f t="shared" si="396"/>
        <v>0</v>
      </c>
      <c r="JE45" s="20">
        <f t="shared" si="396"/>
        <v>0</v>
      </c>
      <c r="JF45" s="20">
        <f t="shared" si="396"/>
        <v>0</v>
      </c>
      <c r="JG45" s="20">
        <f t="shared" si="396"/>
        <v>0</v>
      </c>
      <c r="JH45" s="20">
        <f t="shared" si="396"/>
        <v>0</v>
      </c>
      <c r="JI45" s="20">
        <f t="shared" si="396"/>
        <v>0</v>
      </c>
      <c r="JJ45" s="20">
        <f t="shared" si="396"/>
        <v>0</v>
      </c>
      <c r="JK45" s="20">
        <f t="shared" si="396"/>
        <v>0</v>
      </c>
      <c r="JL45" s="20">
        <f t="shared" si="396"/>
        <v>0</v>
      </c>
      <c r="JM45" s="20">
        <f t="shared" si="396"/>
        <v>0</v>
      </c>
      <c r="JN45" s="20">
        <f t="shared" si="396"/>
        <v>0</v>
      </c>
      <c r="JO45" s="20">
        <f t="shared" si="396"/>
        <v>0</v>
      </c>
      <c r="JP45" s="20">
        <f t="shared" si="396"/>
        <v>0</v>
      </c>
      <c r="JQ45" s="20">
        <f t="shared" si="396"/>
        <v>0</v>
      </c>
      <c r="JR45" s="20">
        <f t="shared" si="396"/>
        <v>0</v>
      </c>
      <c r="JS45" s="20">
        <f t="shared" si="396"/>
        <v>0</v>
      </c>
      <c r="JT45" s="20">
        <f t="shared" si="397"/>
        <v>0</v>
      </c>
      <c r="JU45" s="20">
        <f t="shared" si="397"/>
        <v>0</v>
      </c>
      <c r="JV45" s="20">
        <f t="shared" si="397"/>
        <v>0</v>
      </c>
      <c r="JW45" s="20">
        <f t="shared" si="397"/>
        <v>0</v>
      </c>
      <c r="JX45" s="20">
        <f t="shared" si="397"/>
        <v>0</v>
      </c>
      <c r="JZ45" s="221" t="str">
        <f t="shared" ref="JZ45" si="415">B45</f>
        <v>Included in detailed component CAPEX</v>
      </c>
      <c r="KA45" s="202"/>
      <c r="KB45" s="20" t="n">
        <f t="shared" ref="KB45" si="416">D45</f>
        <v>0</v>
      </c>
      <c r="KC45" s="20" t="n">
        <f t="shared" ref="KC45" si="417">E45</f>
        <v>36</v>
      </c>
      <c r="KD45" s="20" t="n">
        <f t="shared" ref="KD45" si="418">KC45-KB45+1</f>
        <v>37</v>
      </c>
      <c r="KE45" s="422" t="n">
        <f t="shared" ref="KE45" si="419">I45</f>
        <v>0</v>
      </c>
      <c r="KF45" s="422">
        <f t="shared" si="402"/>
        <v>0</v>
      </c>
      <c r="KG45" s="422">
        <f t="shared" si="402"/>
        <v>0</v>
      </c>
      <c r="KH45" s="422">
        <f t="shared" si="402"/>
        <v>0</v>
      </c>
      <c r="KI45" s="422">
        <f t="shared" si="402"/>
        <v>0</v>
      </c>
      <c r="KJ45" s="422">
        <f t="shared" si="402"/>
        <v>0</v>
      </c>
      <c r="KK45" s="422">
        <f t="shared" si="402"/>
        <v>0</v>
      </c>
      <c r="KL45" s="422">
        <f t="shared" si="402"/>
        <v>0</v>
      </c>
      <c r="KM45" s="422">
        <f t="shared" si="402"/>
        <v>0</v>
      </c>
      <c r="KN45" s="422">
        <f t="shared" si="402"/>
        <v>0</v>
      </c>
      <c r="KO45" s="422">
        <f t="shared" si="402"/>
        <v>0</v>
      </c>
      <c r="KP45" s="422">
        <f t="shared" si="402"/>
        <v>0</v>
      </c>
      <c r="KQ45" s="422">
        <f t="shared" si="402"/>
        <v>0</v>
      </c>
      <c r="KR45" s="422">
        <f t="shared" si="402"/>
        <v>0</v>
      </c>
      <c r="KS45" s="422">
        <f t="shared" si="402"/>
        <v>0</v>
      </c>
      <c r="KT45" s="422">
        <f t="shared" si="402"/>
        <v>0</v>
      </c>
      <c r="KU45" s="422">
        <f t="shared" si="402"/>
        <v>0</v>
      </c>
      <c r="KV45" s="422">
        <f t="shared" si="403"/>
        <v>0</v>
      </c>
      <c r="KW45" s="422">
        <f t="shared" si="403"/>
        <v>0</v>
      </c>
      <c r="KX45" s="422">
        <f t="shared" si="403"/>
        <v>0</v>
      </c>
      <c r="KY45" s="422">
        <f t="shared" si="403"/>
        <v>0</v>
      </c>
      <c r="KZ45" s="422">
        <f t="shared" si="403"/>
        <v>0</v>
      </c>
      <c r="LA45" s="422">
        <f t="shared" si="403"/>
        <v>0</v>
      </c>
      <c r="LB45" s="422">
        <f t="shared" si="403"/>
        <v>0</v>
      </c>
      <c r="LC45" s="422">
        <f t="shared" si="403"/>
        <v>0</v>
      </c>
      <c r="LD45" s="422">
        <f t="shared" si="403"/>
        <v>0</v>
      </c>
      <c r="LE45" s="422">
        <f t="shared" si="403"/>
        <v>0</v>
      </c>
      <c r="LF45" s="422">
        <f t="shared" si="403"/>
        <v>0</v>
      </c>
      <c r="LG45" s="422">
        <f t="shared" si="403"/>
        <v>0</v>
      </c>
      <c r="LH45" s="422">
        <f t="shared" si="403"/>
        <v>0</v>
      </c>
      <c r="LI45" s="422">
        <f t="shared" si="403"/>
        <v>0</v>
      </c>
      <c r="LJ45" s="422">
        <f t="shared" si="403"/>
        <v>0</v>
      </c>
      <c r="LK45" s="422">
        <f t="shared" si="403"/>
        <v>0</v>
      </c>
      <c r="LL45" s="422">
        <f t="shared" si="404"/>
        <v>0</v>
      </c>
      <c r="LM45" s="422">
        <f t="shared" si="404"/>
        <v>0</v>
      </c>
      <c r="LN45" s="422">
        <f t="shared" si="404"/>
        <v>0</v>
      </c>
      <c r="LO45" s="422">
        <f t="shared" si="404"/>
        <v>0</v>
      </c>
      <c r="LP45" s="422">
        <f t="shared" si="404"/>
        <v>0</v>
      </c>
      <c r="LQ45" s="422">
        <f t="shared" si="404"/>
        <v>0</v>
      </c>
      <c r="LR45" s="422">
        <f t="shared" si="404"/>
        <v>0</v>
      </c>
      <c r="LS45" s="422">
        <f t="shared" si="404"/>
        <v>0</v>
      </c>
      <c r="LT45" s="422">
        <f t="shared" si="404"/>
        <v>0</v>
      </c>
      <c r="LU45" s="422">
        <f t="shared" si="404"/>
        <v>0</v>
      </c>
      <c r="LV45" s="422">
        <f t="shared" si="404"/>
        <v>0</v>
      </c>
      <c r="LW45" s="422">
        <f t="shared" si="404"/>
        <v>0</v>
      </c>
      <c r="LX45" s="422">
        <f t="shared" si="404"/>
        <v>0</v>
      </c>
      <c r="LY45" s="422">
        <f t="shared" si="404"/>
        <v>0</v>
      </c>
      <c r="LZ45" s="422">
        <f t="shared" si="404"/>
        <v>0</v>
      </c>
      <c r="MA45" s="422">
        <f t="shared" si="404"/>
        <v>0</v>
      </c>
      <c r="MB45" s="422">
        <f t="shared" si="405"/>
        <v>0</v>
      </c>
      <c r="MC45" s="422">
        <f t="shared" si="405"/>
        <v>0</v>
      </c>
      <c r="MD45" s="422">
        <f t="shared" si="405"/>
        <v>0</v>
      </c>
      <c r="ME45" s="422">
        <f t="shared" si="405"/>
        <v>0</v>
      </c>
      <c r="MF45" s="422">
        <f t="shared" si="405"/>
        <v>0</v>
      </c>
      <c r="MG45" s="422">
        <f t="shared" si="405"/>
        <v>0</v>
      </c>
      <c r="MH45" s="422">
        <f t="shared" si="405"/>
        <v>0</v>
      </c>
      <c r="MI45" s="422">
        <f t="shared" si="405"/>
        <v>0</v>
      </c>
      <c r="MJ45" s="422">
        <f t="shared" si="405"/>
        <v>0</v>
      </c>
      <c r="MK45" s="422">
        <f t="shared" si="405"/>
        <v>0</v>
      </c>
      <c r="ML45" s="422">
        <f t="shared" si="405"/>
        <v>0</v>
      </c>
      <c r="MM45" s="422">
        <f t="shared" si="405"/>
        <v>0</v>
      </c>
      <c r="MN45" s="422">
        <f t="shared" si="405"/>
        <v>0</v>
      </c>
      <c r="MO45" s="422">
        <f t="shared" si="405"/>
        <v>0</v>
      </c>
      <c r="MP45" s="422">
        <f t="shared" si="405"/>
        <v>0</v>
      </c>
      <c r="MQ45" s="422">
        <f t="shared" si="405"/>
        <v>0</v>
      </c>
      <c r="MR45" s="422">
        <f t="shared" si="406"/>
        <v>0</v>
      </c>
      <c r="MS45" s="422">
        <f t="shared" si="406"/>
        <v>0</v>
      </c>
      <c r="MT45" s="422">
        <f t="shared" si="406"/>
        <v>0</v>
      </c>
      <c r="MU45" s="422">
        <f t="shared" si="406"/>
        <v>0</v>
      </c>
      <c r="MV45" s="422">
        <f t="shared" si="406"/>
        <v>0</v>
      </c>
      <c r="MW45" s="422">
        <f t="shared" si="406"/>
        <v>0</v>
      </c>
      <c r="MX45" s="422">
        <f t="shared" si="406"/>
        <v>0</v>
      </c>
      <c r="MY45" s="422">
        <f t="shared" si="406"/>
        <v>0</v>
      </c>
      <c r="MZ45" s="422">
        <f t="shared" si="406"/>
        <v>0</v>
      </c>
      <c r="NA45" s="422">
        <f t="shared" si="406"/>
        <v>0</v>
      </c>
      <c r="NB45" s="422">
        <f t="shared" si="406"/>
        <v>0</v>
      </c>
      <c r="NC45" s="422">
        <f t="shared" si="406"/>
        <v>0</v>
      </c>
      <c r="ND45" s="422">
        <f t="shared" si="406"/>
        <v>0</v>
      </c>
      <c r="NE45" s="422">
        <f t="shared" si="406"/>
        <v>0</v>
      </c>
      <c r="NF45" s="422">
        <f t="shared" si="406"/>
        <v>0</v>
      </c>
      <c r="NG45" s="422">
        <f t="shared" si="406"/>
        <v>0</v>
      </c>
      <c r="NH45" s="422">
        <f t="shared" si="407"/>
        <v>0</v>
      </c>
      <c r="NI45" s="422">
        <f t="shared" si="407"/>
        <v>0</v>
      </c>
      <c r="NJ45" s="422">
        <f t="shared" si="407"/>
        <v>0</v>
      </c>
      <c r="NK45" s="422">
        <f t="shared" si="407"/>
        <v>0</v>
      </c>
      <c r="NL45" s="422">
        <f t="shared" si="407"/>
        <v>0</v>
      </c>
      <c r="NM45" s="422">
        <f t="shared" si="407"/>
        <v>0</v>
      </c>
      <c r="NN45" s="422">
        <f t="shared" si="407"/>
        <v>0</v>
      </c>
      <c r="NO45" s="422">
        <f t="shared" si="407"/>
        <v>0</v>
      </c>
      <c r="NP45" s="422">
        <f t="shared" si="407"/>
        <v>0</v>
      </c>
      <c r="NQ45" s="422">
        <f t="shared" si="407"/>
        <v>0</v>
      </c>
      <c r="NR45" s="422">
        <f t="shared" si="407"/>
        <v>0</v>
      </c>
      <c r="NS45" s="422">
        <f t="shared" si="407"/>
        <v>0</v>
      </c>
      <c r="NT45" s="422">
        <f t="shared" si="407"/>
        <v>0</v>
      </c>
      <c r="NU45" s="422">
        <f t="shared" si="407"/>
        <v>0</v>
      </c>
      <c r="NV45" s="422">
        <f t="shared" si="407"/>
        <v>0</v>
      </c>
      <c r="NW45" s="422">
        <f t="shared" si="407"/>
        <v>0</v>
      </c>
      <c r="NX45" s="422">
        <f t="shared" si="408"/>
        <v>0</v>
      </c>
      <c r="NY45" s="422">
        <f t="shared" si="408"/>
        <v>0</v>
      </c>
      <c r="NZ45" s="422">
        <f t="shared" si="408"/>
        <v>0</v>
      </c>
      <c r="OA45" s="422">
        <f t="shared" si="408"/>
        <v>0</v>
      </c>
      <c r="OB45" s="422">
        <f t="shared" si="408"/>
        <v>0</v>
      </c>
      <c r="OC45" s="422">
        <f t="shared" si="408"/>
        <v>0</v>
      </c>
      <c r="OD45" s="422">
        <f t="shared" si="408"/>
        <v>0</v>
      </c>
      <c r="OE45" s="422">
        <f t="shared" si="408"/>
        <v>0</v>
      </c>
      <c r="OF45" s="422">
        <f t="shared" si="408"/>
        <v>0</v>
      </c>
      <c r="OG45" s="422">
        <f t="shared" si="408"/>
        <v>0</v>
      </c>
      <c r="OH45" s="422">
        <f t="shared" si="408"/>
        <v>0</v>
      </c>
      <c r="OI45" s="422">
        <f t="shared" si="408"/>
        <v>0</v>
      </c>
      <c r="OJ45" s="422">
        <f t="shared" si="408"/>
        <v>0</v>
      </c>
      <c r="OK45" s="422">
        <f t="shared" si="408"/>
        <v>0</v>
      </c>
      <c r="OL45" s="422">
        <f t="shared" si="408"/>
        <v>0</v>
      </c>
      <c r="OM45" s="422">
        <f t="shared" si="408"/>
        <v>0</v>
      </c>
      <c r="ON45" s="422">
        <f t="shared" si="409"/>
        <v>0</v>
      </c>
      <c r="OO45" s="422">
        <f t="shared" si="409"/>
        <v>0</v>
      </c>
      <c r="OP45" s="422">
        <f t="shared" si="409"/>
        <v>0</v>
      </c>
      <c r="OQ45" s="422">
        <f t="shared" si="409"/>
        <v>0</v>
      </c>
      <c r="OR45" s="422">
        <f t="shared" si="409"/>
        <v>0</v>
      </c>
      <c r="OS45" s="422">
        <f t="shared" si="409"/>
        <v>0</v>
      </c>
      <c r="OT45" s="422">
        <f t="shared" si="409"/>
        <v>0</v>
      </c>
      <c r="OU45" s="422">
        <f t="shared" si="409"/>
        <v>0</v>
      </c>
      <c r="OV45" s="422">
        <f t="shared" si="409"/>
        <v>0</v>
      </c>
      <c r="OW45" s="422">
        <f t="shared" si="409"/>
        <v>0</v>
      </c>
      <c r="OX45" s="422">
        <f t="shared" si="409"/>
        <v>0</v>
      </c>
      <c r="OY45" s="422">
        <f t="shared" si="409"/>
        <v>0</v>
      </c>
      <c r="OZ45" s="422">
        <f t="shared" si="409"/>
        <v>0</v>
      </c>
      <c r="PA45" s="422">
        <f t="shared" si="409"/>
        <v>0</v>
      </c>
      <c r="PB45" s="422">
        <f t="shared" si="409"/>
        <v>0</v>
      </c>
      <c r="PC45" s="422">
        <f t="shared" si="409"/>
        <v>0</v>
      </c>
      <c r="PD45" s="422">
        <f t="shared" si="410"/>
        <v>0</v>
      </c>
      <c r="PE45" s="422">
        <f t="shared" si="410"/>
        <v>0</v>
      </c>
      <c r="PF45" s="422">
        <f t="shared" si="410"/>
        <v>0</v>
      </c>
      <c r="PG45" s="422">
        <f t="shared" si="410"/>
        <v>0</v>
      </c>
      <c r="PH45" s="422">
        <f t="shared" si="410"/>
        <v>0</v>
      </c>
    </row>
    <row r="46">
      <c r="B46" s="431" t="s">
        <v>149</v>
      </c>
      <c r="C46" s="40" t="n">
        <f>I46/SUM(I41:I44,I38,I31)</f>
        <v>0</v>
      </c>
      <c r="D46" s="46">
        <v>1</v>
      </c>
      <c r="E46" s="46">
        <v>36</v>
      </c>
      <c r="F46" s="418" t="s">
        <v>137</v>
      </c>
      <c r="G46" s="43">
        <f t="shared" si="367"/>
        <v>0</v>
      </c>
      <c r="H46" s="432"/>
      <c r="I46" s="425">
        <v>0</v>
      </c>
      <c r="K46" s="22" t="str">
        <f t="shared" si="368"/>
      </c>
      <c r="L46" s="426">
        <f t="shared" si="369"/>
        <v>0</v>
      </c>
      <c r="M46" s="426">
        <f t="shared" si="369"/>
        <v>0</v>
      </c>
      <c r="N46" s="426">
        <f t="shared" si="369"/>
        <v>0</v>
      </c>
      <c r="O46" s="426">
        <f t="shared" si="369"/>
        <v>0</v>
      </c>
      <c r="P46" s="426">
        <f t="shared" si="369"/>
        <v>0</v>
      </c>
      <c r="Q46" s="426">
        <f t="shared" si="369"/>
        <v>0</v>
      </c>
      <c r="R46" s="426">
        <f t="shared" si="369"/>
        <v>0</v>
      </c>
      <c r="S46" s="426">
        <f t="shared" si="369"/>
        <v>0</v>
      </c>
      <c r="T46" s="426">
        <f t="shared" si="369"/>
        <v>0</v>
      </c>
      <c r="U46" s="426">
        <f t="shared" si="369"/>
        <v>0</v>
      </c>
      <c r="V46" s="426">
        <f t="shared" si="370"/>
        <v>0</v>
      </c>
      <c r="W46" s="426">
        <f t="shared" si="370"/>
        <v>0</v>
      </c>
      <c r="X46" s="426">
        <f t="shared" si="370"/>
        <v>0</v>
      </c>
      <c r="Y46" s="426">
        <f t="shared" si="370"/>
        <v>0</v>
      </c>
      <c r="Z46" s="426">
        <f t="shared" si="370"/>
        <v>0</v>
      </c>
      <c r="AA46" s="426">
        <f t="shared" si="370"/>
        <v>0</v>
      </c>
      <c r="AB46" s="426">
        <f t="shared" si="370"/>
        <v>0</v>
      </c>
      <c r="AC46" s="426">
        <f t="shared" si="370"/>
        <v>0</v>
      </c>
      <c r="AD46" s="426">
        <f t="shared" si="370"/>
        <v>0</v>
      </c>
      <c r="AE46" s="426">
        <f t="shared" si="370"/>
        <v>0</v>
      </c>
      <c r="AF46" s="426">
        <f t="shared" si="371"/>
        <v>0</v>
      </c>
      <c r="AG46" s="426">
        <f t="shared" si="371"/>
        <v>0</v>
      </c>
      <c r="AH46" s="426">
        <f t="shared" si="371"/>
        <v>0</v>
      </c>
      <c r="AI46" s="426">
        <f t="shared" si="371"/>
        <v>0</v>
      </c>
      <c r="AJ46" s="426">
        <f t="shared" si="371"/>
        <v>0</v>
      </c>
      <c r="AK46" s="426">
        <f t="shared" si="371"/>
        <v>0</v>
      </c>
      <c r="AL46" s="426">
        <f t="shared" si="371"/>
        <v>0</v>
      </c>
      <c r="AM46" s="426">
        <f t="shared" si="371"/>
        <v>0</v>
      </c>
      <c r="AN46" s="426">
        <f t="shared" si="371"/>
        <v>0</v>
      </c>
      <c r="AO46" s="426">
        <f t="shared" si="371"/>
        <v>0</v>
      </c>
      <c r="AP46" s="426">
        <f t="shared" si="372"/>
        <v>0</v>
      </c>
      <c r="AQ46" s="426">
        <f t="shared" si="372"/>
        <v>0</v>
      </c>
      <c r="AR46" s="426">
        <f t="shared" si="372"/>
        <v>0</v>
      </c>
      <c r="AS46" s="426">
        <f t="shared" si="372"/>
        <v>0</v>
      </c>
      <c r="AT46" s="426">
        <f t="shared" si="372"/>
        <v>0</v>
      </c>
      <c r="AU46" s="426">
        <f t="shared" si="372"/>
        <v>0</v>
      </c>
      <c r="AV46" s="426">
        <f t="shared" si="372"/>
        <v>0</v>
      </c>
      <c r="AW46" s="426">
        <f t="shared" si="372"/>
        <v>0</v>
      </c>
      <c r="AX46" s="426">
        <f t="shared" si="372"/>
        <v>0</v>
      </c>
      <c r="AY46" s="426">
        <f t="shared" si="372"/>
        <v>0</v>
      </c>
      <c r="AZ46" s="426">
        <f t="shared" si="373"/>
        <v>0</v>
      </c>
      <c r="BA46" s="426">
        <f t="shared" si="373"/>
        <v>0</v>
      </c>
      <c r="BB46" s="426">
        <f t="shared" si="373"/>
        <v>0</v>
      </c>
      <c r="BC46" s="426">
        <f t="shared" si="373"/>
        <v>0</v>
      </c>
      <c r="BD46" s="426">
        <f t="shared" si="373"/>
        <v>0</v>
      </c>
      <c r="BE46" s="426">
        <f t="shared" si="373"/>
        <v>0</v>
      </c>
      <c r="BF46" s="426">
        <f t="shared" si="373"/>
        <v>0</v>
      </c>
      <c r="BG46" s="426">
        <f t="shared" si="373"/>
        <v>0</v>
      </c>
      <c r="BH46" s="426">
        <f t="shared" si="373"/>
        <v>0</v>
      </c>
      <c r="BI46" s="426">
        <f t="shared" si="373"/>
        <v>0</v>
      </c>
      <c r="BJ46" s="426">
        <f t="shared" si="374"/>
        <v>0</v>
      </c>
      <c r="BK46" s="426">
        <f t="shared" si="374"/>
        <v>0</v>
      </c>
      <c r="BL46" s="426">
        <f t="shared" si="374"/>
        <v>0</v>
      </c>
      <c r="BM46" s="426">
        <f t="shared" si="374"/>
        <v>0</v>
      </c>
      <c r="BN46" s="426">
        <f t="shared" si="374"/>
        <v>0</v>
      </c>
      <c r="BO46" s="426">
        <f t="shared" si="374"/>
        <v>0</v>
      </c>
      <c r="BP46" s="426">
        <f t="shared" si="374"/>
        <v>0</v>
      </c>
      <c r="BQ46" s="426">
        <f t="shared" si="374"/>
        <v>0</v>
      </c>
      <c r="BR46" s="426">
        <f t="shared" si="374"/>
        <v>0</v>
      </c>
      <c r="BS46" s="426">
        <f t="shared" si="374"/>
        <v>0</v>
      </c>
      <c r="BT46" s="426">
        <f t="shared" si="375"/>
        <v>0</v>
      </c>
      <c r="BU46" s="426">
        <f t="shared" si="375"/>
        <v>0</v>
      </c>
      <c r="BV46" s="426">
        <f t="shared" si="375"/>
        <v>0</v>
      </c>
      <c r="BW46" s="426">
        <f t="shared" si="375"/>
        <v>0</v>
      </c>
      <c r="BX46" s="426">
        <f t="shared" si="375"/>
        <v>0</v>
      </c>
      <c r="BY46" s="426">
        <f t="shared" si="375"/>
        <v>0</v>
      </c>
      <c r="BZ46" s="426">
        <f t="shared" si="375"/>
        <v>0</v>
      </c>
      <c r="CA46" s="426">
        <f t="shared" si="375"/>
        <v>0</v>
      </c>
      <c r="CB46" s="426">
        <f t="shared" si="375"/>
        <v>0</v>
      </c>
      <c r="CC46" s="426">
        <f t="shared" si="375"/>
        <v>0</v>
      </c>
      <c r="CD46" s="426">
        <f t="shared" si="376"/>
        <v>0</v>
      </c>
      <c r="CE46" s="426">
        <f t="shared" si="376"/>
        <v>0</v>
      </c>
      <c r="CF46" s="426">
        <f t="shared" si="376"/>
        <v>0</v>
      </c>
      <c r="CG46" s="426">
        <f t="shared" si="376"/>
        <v>0</v>
      </c>
      <c r="CH46" s="426">
        <f t="shared" si="376"/>
        <v>0</v>
      </c>
      <c r="CI46" s="426">
        <f t="shared" si="376"/>
        <v>0</v>
      </c>
      <c r="CJ46" s="426">
        <f t="shared" si="376"/>
        <v>0</v>
      </c>
      <c r="CK46" s="426">
        <f t="shared" si="376"/>
        <v>0</v>
      </c>
      <c r="CL46" s="426">
        <f t="shared" si="376"/>
        <v>0</v>
      </c>
      <c r="CM46" s="426">
        <f t="shared" si="376"/>
        <v>0</v>
      </c>
      <c r="CN46" s="426">
        <f t="shared" si="377"/>
        <v>0</v>
      </c>
      <c r="CO46" s="426">
        <f t="shared" si="377"/>
        <v>0</v>
      </c>
      <c r="CP46" s="426">
        <f t="shared" si="377"/>
        <v>0</v>
      </c>
      <c r="CQ46" s="426">
        <f t="shared" si="377"/>
        <v>0</v>
      </c>
      <c r="CR46" s="426">
        <f t="shared" si="377"/>
        <v>0</v>
      </c>
      <c r="CS46" s="426">
        <f t="shared" si="377"/>
        <v>0</v>
      </c>
      <c r="CT46" s="426">
        <f t="shared" si="377"/>
        <v>0</v>
      </c>
      <c r="CU46" s="426">
        <f t="shared" si="377"/>
        <v>0</v>
      </c>
      <c r="CV46" s="426">
        <f t="shared" si="377"/>
        <v>0</v>
      </c>
      <c r="CW46" s="426">
        <f t="shared" si="377"/>
        <v>0</v>
      </c>
      <c r="CX46" s="426">
        <f t="shared" si="378"/>
        <v>0</v>
      </c>
      <c r="CY46" s="426">
        <f t="shared" si="378"/>
        <v>0</v>
      </c>
      <c r="CZ46" s="426">
        <f t="shared" si="378"/>
        <v>0</v>
      </c>
      <c r="DA46" s="426">
        <f t="shared" si="378"/>
        <v>0</v>
      </c>
      <c r="DB46" s="426">
        <f t="shared" si="378"/>
        <v>0</v>
      </c>
      <c r="DC46" s="426">
        <f t="shared" si="378"/>
        <v>0</v>
      </c>
      <c r="DD46" s="426">
        <f t="shared" si="378"/>
        <v>0</v>
      </c>
      <c r="DE46" s="426">
        <f t="shared" si="378"/>
        <v>0</v>
      </c>
      <c r="DF46" s="426">
        <f t="shared" si="378"/>
        <v>0</v>
      </c>
      <c r="DG46" s="426">
        <f t="shared" si="378"/>
        <v>0</v>
      </c>
      <c r="DH46" s="426">
        <f t="shared" si="379"/>
        <v>0</v>
      </c>
      <c r="DI46" s="426">
        <f t="shared" si="379"/>
        <v>0</v>
      </c>
      <c r="DJ46" s="426">
        <f t="shared" si="379"/>
        <v>0</v>
      </c>
      <c r="DK46" s="426">
        <f t="shared" si="379"/>
        <v>0</v>
      </c>
      <c r="DL46" s="426">
        <f t="shared" si="379"/>
        <v>0</v>
      </c>
      <c r="DM46" s="426">
        <f t="shared" si="379"/>
        <v>0</v>
      </c>
      <c r="DN46" s="426">
        <f t="shared" si="379"/>
        <v>0</v>
      </c>
      <c r="DO46" s="426">
        <f t="shared" si="379"/>
        <v>0</v>
      </c>
      <c r="DP46" s="426">
        <f t="shared" si="379"/>
        <v>0</v>
      </c>
      <c r="DQ46" s="426">
        <f t="shared" si="379"/>
        <v>0</v>
      </c>
      <c r="DR46" s="426">
        <f t="shared" si="380"/>
        <v>0</v>
      </c>
      <c r="DS46" s="426">
        <f t="shared" si="380"/>
        <v>0</v>
      </c>
      <c r="DT46" s="426">
        <f t="shared" si="380"/>
        <v>0</v>
      </c>
      <c r="DU46" s="426">
        <f t="shared" si="380"/>
        <v>0</v>
      </c>
      <c r="DV46" s="426">
        <f t="shared" si="380"/>
        <v>0</v>
      </c>
      <c r="DW46" s="426">
        <f t="shared" si="380"/>
        <v>0</v>
      </c>
      <c r="DX46" s="426">
        <f t="shared" si="380"/>
        <v>0</v>
      </c>
      <c r="DY46" s="426">
        <f t="shared" si="380"/>
        <v>0</v>
      </c>
      <c r="DZ46" s="426">
        <f t="shared" si="380"/>
        <v>0</v>
      </c>
      <c r="EA46" s="426">
        <f t="shared" si="380"/>
        <v>0</v>
      </c>
      <c r="EB46" s="426">
        <f t="shared" si="381"/>
        <v>0</v>
      </c>
      <c r="EC46" s="426">
        <f t="shared" si="381"/>
        <v>0</v>
      </c>
      <c r="ED46" s="426">
        <f t="shared" si="381"/>
        <v>0</v>
      </c>
      <c r="EE46" s="426">
        <f t="shared" si="381"/>
        <v>0</v>
      </c>
      <c r="EF46" s="426">
        <f t="shared" si="381"/>
        <v>0</v>
      </c>
      <c r="EG46" s="426">
        <f t="shared" si="381"/>
        <v>0</v>
      </c>
      <c r="EH46" s="426">
        <f t="shared" si="381"/>
        <v>0</v>
      </c>
      <c r="EI46" s="426">
        <f t="shared" si="381"/>
        <v>0</v>
      </c>
      <c r="EJ46" s="426">
        <f t="shared" si="381"/>
        <v>0</v>
      </c>
      <c r="EK46" s="426">
        <f t="shared" si="381"/>
        <v>0</v>
      </c>
      <c r="EL46" s="426">
        <f t="shared" si="382"/>
        <v>0</v>
      </c>
      <c r="EM46" s="426">
        <f t="shared" si="382"/>
        <v>0</v>
      </c>
      <c r="EN46" s="426">
        <f t="shared" si="382"/>
        <v>0</v>
      </c>
      <c r="EP46" s="221">
        <f t="shared" si="383"/>
        <v>0</v>
      </c>
      <c r="EQ46" s="202">
        <f t="shared" si="384"/>
        <v>46234</v>
      </c>
      <c r="ER46" s="202">
        <f t="shared" si="385"/>
        <v>47299</v>
      </c>
      <c r="ES46" s="20">
        <f t="shared" si="386"/>
        <v>36</v>
      </c>
      <c r="ET46" s="18" t="str">
        <f t="shared" si="387"/>
        <v>Straight-Line</v>
      </c>
      <c r="EU46" s="80">
        <f t="shared" si="388"/>
        <v>6</v>
      </c>
      <c r="EV46" s="20">
        <f t="shared" si="389"/>
        <v>0</v>
      </c>
      <c r="EW46" s="20">
        <f t="shared" si="389"/>
        <v>0</v>
      </c>
      <c r="EX46" s="20">
        <f t="shared" si="389"/>
        <v>0</v>
      </c>
      <c r="EY46" s="20">
        <f t="shared" si="389"/>
        <v>0</v>
      </c>
      <c r="EZ46" s="20">
        <f t="shared" si="389"/>
        <v>0</v>
      </c>
      <c r="FA46" s="20">
        <f t="shared" si="389"/>
        <v>0</v>
      </c>
      <c r="FB46" s="20">
        <f t="shared" si="389"/>
        <v>0</v>
      </c>
      <c r="FC46" s="20">
        <f t="shared" si="389"/>
        <v>0</v>
      </c>
      <c r="FD46" s="20">
        <f t="shared" si="389"/>
        <v>0</v>
      </c>
      <c r="FE46" s="20">
        <f t="shared" si="389"/>
        <v>0</v>
      </c>
      <c r="FF46" s="20">
        <f t="shared" si="389"/>
        <v>0</v>
      </c>
      <c r="FG46" s="20">
        <f t="shared" si="389"/>
        <v>0</v>
      </c>
      <c r="FH46" s="20">
        <f t="shared" si="389"/>
        <v>0</v>
      </c>
      <c r="FI46" s="20">
        <f t="shared" si="389"/>
        <v>0</v>
      </c>
      <c r="FJ46" s="20">
        <f t="shared" si="389"/>
        <v>0</v>
      </c>
      <c r="FK46" s="20">
        <f t="shared" si="389"/>
        <v>0</v>
      </c>
      <c r="FL46" s="20">
        <f t="shared" si="390"/>
        <v>0</v>
      </c>
      <c r="FM46" s="20">
        <f t="shared" si="390"/>
        <v>0</v>
      </c>
      <c r="FN46" s="20">
        <f t="shared" si="390"/>
        <v>0</v>
      </c>
      <c r="FO46" s="20">
        <f t="shared" si="390"/>
        <v>0</v>
      </c>
      <c r="FP46" s="20">
        <f t="shared" si="390"/>
        <v>0</v>
      </c>
      <c r="FQ46" s="20">
        <f t="shared" si="390"/>
        <v>0</v>
      </c>
      <c r="FR46" s="20">
        <f t="shared" si="390"/>
        <v>0</v>
      </c>
      <c r="FS46" s="20">
        <f t="shared" si="390"/>
        <v>0</v>
      </c>
      <c r="FT46" s="20">
        <f t="shared" si="390"/>
        <v>0</v>
      </c>
      <c r="FU46" s="20">
        <f t="shared" si="390"/>
        <v>0</v>
      </c>
      <c r="FV46" s="20">
        <f t="shared" si="390"/>
        <v>0</v>
      </c>
      <c r="FW46" s="20">
        <f t="shared" si="390"/>
        <v>0</v>
      </c>
      <c r="FX46" s="20">
        <f t="shared" si="390"/>
        <v>0</v>
      </c>
      <c r="FY46" s="20">
        <f t="shared" si="390"/>
        <v>0</v>
      </c>
      <c r="FZ46" s="20">
        <f t="shared" si="390"/>
        <v>0</v>
      </c>
      <c r="GA46" s="20">
        <f t="shared" si="390"/>
        <v>0</v>
      </c>
      <c r="GB46" s="20">
        <f t="shared" si="391"/>
        <v>0</v>
      </c>
      <c r="GC46" s="20">
        <f t="shared" si="391"/>
        <v>0</v>
      </c>
      <c r="GD46" s="20">
        <f t="shared" si="391"/>
        <v>0</v>
      </c>
      <c r="GE46" s="20">
        <f t="shared" si="391"/>
        <v>0</v>
      </c>
      <c r="GF46" s="20">
        <f t="shared" si="391"/>
        <v>0</v>
      </c>
      <c r="GG46" s="20">
        <f t="shared" si="391"/>
        <v>0</v>
      </c>
      <c r="GH46" s="20">
        <f t="shared" si="391"/>
        <v>0</v>
      </c>
      <c r="GI46" s="20">
        <f t="shared" si="391"/>
        <v>0</v>
      </c>
      <c r="GJ46" s="20">
        <f t="shared" si="391"/>
        <v>0</v>
      </c>
      <c r="GK46" s="20">
        <f t="shared" si="391"/>
        <v>0</v>
      </c>
      <c r="GL46" s="20">
        <f t="shared" si="391"/>
        <v>0</v>
      </c>
      <c r="GM46" s="20">
        <f t="shared" si="391"/>
        <v>0</v>
      </c>
      <c r="GN46" s="20">
        <f t="shared" si="391"/>
        <v>0</v>
      </c>
      <c r="GO46" s="20">
        <f t="shared" si="391"/>
        <v>0</v>
      </c>
      <c r="GP46" s="20">
        <f t="shared" si="391"/>
        <v>0</v>
      </c>
      <c r="GQ46" s="20">
        <f t="shared" si="391"/>
        <v>0</v>
      </c>
      <c r="GR46" s="20">
        <f t="shared" si="392"/>
        <v>0</v>
      </c>
      <c r="GS46" s="20">
        <f t="shared" si="392"/>
        <v>0</v>
      </c>
      <c r="GT46" s="20">
        <f t="shared" si="392"/>
        <v>0</v>
      </c>
      <c r="GU46" s="20">
        <f t="shared" si="392"/>
        <v>0</v>
      </c>
      <c r="GV46" s="20">
        <f t="shared" si="392"/>
        <v>0</v>
      </c>
      <c r="GW46" s="20">
        <f t="shared" si="392"/>
        <v>0</v>
      </c>
      <c r="GX46" s="20">
        <f t="shared" si="392"/>
        <v>0</v>
      </c>
      <c r="GY46" s="20">
        <f t="shared" si="392"/>
        <v>0</v>
      </c>
      <c r="GZ46" s="20">
        <f t="shared" si="392"/>
        <v>0</v>
      </c>
      <c r="HA46" s="20">
        <f t="shared" si="392"/>
        <v>0</v>
      </c>
      <c r="HB46" s="20">
        <f t="shared" si="392"/>
        <v>0</v>
      </c>
      <c r="HC46" s="20">
        <f t="shared" si="392"/>
        <v>0</v>
      </c>
      <c r="HD46" s="20">
        <f t="shared" si="392"/>
        <v>0</v>
      </c>
      <c r="HE46" s="20">
        <f t="shared" si="392"/>
        <v>0</v>
      </c>
      <c r="HF46" s="20">
        <f t="shared" si="392"/>
        <v>0</v>
      </c>
      <c r="HG46" s="20">
        <f t="shared" si="392"/>
        <v>0</v>
      </c>
      <c r="HH46" s="20">
        <f t="shared" si="393"/>
        <v>0</v>
      </c>
      <c r="HI46" s="20">
        <f t="shared" si="393"/>
        <v>0</v>
      </c>
      <c r="HJ46" s="20">
        <f t="shared" si="393"/>
        <v>0</v>
      </c>
      <c r="HK46" s="20">
        <f t="shared" si="393"/>
        <v>0</v>
      </c>
      <c r="HL46" s="20">
        <f t="shared" si="393"/>
        <v>0</v>
      </c>
      <c r="HM46" s="20">
        <f t="shared" si="393"/>
        <v>0</v>
      </c>
      <c r="HN46" s="20">
        <f t="shared" si="393"/>
        <v>0</v>
      </c>
      <c r="HO46" s="20">
        <f t="shared" si="393"/>
        <v>0</v>
      </c>
      <c r="HP46" s="20">
        <f t="shared" si="393"/>
        <v>0</v>
      </c>
      <c r="HQ46" s="20">
        <f t="shared" si="393"/>
        <v>0</v>
      </c>
      <c r="HR46" s="20">
        <f t="shared" si="393"/>
        <v>0</v>
      </c>
      <c r="HS46" s="20">
        <f t="shared" si="393"/>
        <v>0</v>
      </c>
      <c r="HT46" s="20">
        <f t="shared" si="393"/>
        <v>0</v>
      </c>
      <c r="HU46" s="20">
        <f t="shared" si="393"/>
        <v>0</v>
      </c>
      <c r="HV46" s="20">
        <f t="shared" si="393"/>
        <v>0</v>
      </c>
      <c r="HW46" s="20">
        <f t="shared" si="393"/>
        <v>0</v>
      </c>
      <c r="HX46" s="20">
        <f t="shared" si="394"/>
        <v>0</v>
      </c>
      <c r="HY46" s="20">
        <f t="shared" si="394"/>
        <v>0</v>
      </c>
      <c r="HZ46" s="20">
        <f t="shared" si="394"/>
        <v>0</v>
      </c>
      <c r="IA46" s="20">
        <f t="shared" si="394"/>
        <v>0</v>
      </c>
      <c r="IB46" s="20">
        <f t="shared" si="394"/>
        <v>0</v>
      </c>
      <c r="IC46" s="20">
        <f t="shared" si="394"/>
        <v>0</v>
      </c>
      <c r="ID46" s="20">
        <f t="shared" si="394"/>
        <v>0</v>
      </c>
      <c r="IE46" s="20">
        <f t="shared" si="394"/>
        <v>0</v>
      </c>
      <c r="IF46" s="20">
        <f t="shared" si="394"/>
        <v>0</v>
      </c>
      <c r="IG46" s="20">
        <f t="shared" si="394"/>
        <v>0</v>
      </c>
      <c r="IH46" s="20">
        <f t="shared" si="394"/>
        <v>0</v>
      </c>
      <c r="II46" s="20">
        <f t="shared" si="394"/>
        <v>0</v>
      </c>
      <c r="IJ46" s="20">
        <f t="shared" si="394"/>
        <v>0</v>
      </c>
      <c r="IK46" s="20">
        <f t="shared" si="394"/>
        <v>0</v>
      </c>
      <c r="IL46" s="20">
        <f t="shared" si="394"/>
        <v>0</v>
      </c>
      <c r="IM46" s="20">
        <f t="shared" si="394"/>
        <v>0</v>
      </c>
      <c r="IN46" s="20">
        <f t="shared" si="395"/>
        <v>0</v>
      </c>
      <c r="IO46" s="20">
        <f t="shared" si="395"/>
        <v>0</v>
      </c>
      <c r="IP46" s="20">
        <f t="shared" si="395"/>
        <v>0</v>
      </c>
      <c r="IQ46" s="20">
        <f t="shared" si="395"/>
        <v>0</v>
      </c>
      <c r="IR46" s="20">
        <f t="shared" si="395"/>
        <v>0</v>
      </c>
      <c r="IS46" s="20">
        <f t="shared" si="395"/>
        <v>0</v>
      </c>
      <c r="IT46" s="20">
        <f t="shared" si="395"/>
        <v>0</v>
      </c>
      <c r="IU46" s="20">
        <f t="shared" si="395"/>
        <v>0</v>
      </c>
      <c r="IV46" s="20">
        <f t="shared" si="395"/>
        <v>0</v>
      </c>
      <c r="IW46" s="20">
        <f t="shared" si="395"/>
        <v>0</v>
      </c>
      <c r="IX46" s="20">
        <f t="shared" si="395"/>
        <v>0</v>
      </c>
      <c r="IY46" s="20">
        <f t="shared" si="395"/>
        <v>0</v>
      </c>
      <c r="IZ46" s="20">
        <f t="shared" si="395"/>
        <v>0</v>
      </c>
      <c r="JA46" s="20">
        <f t="shared" si="395"/>
        <v>0</v>
      </c>
      <c r="JB46" s="20">
        <f t="shared" si="395"/>
        <v>0</v>
      </c>
      <c r="JC46" s="20">
        <f t="shared" si="395"/>
        <v>0</v>
      </c>
      <c r="JD46" s="20">
        <f t="shared" si="396"/>
        <v>0</v>
      </c>
      <c r="JE46" s="20">
        <f t="shared" si="396"/>
        <v>0</v>
      </c>
      <c r="JF46" s="20">
        <f t="shared" si="396"/>
        <v>0</v>
      </c>
      <c r="JG46" s="20">
        <f t="shared" si="396"/>
        <v>0</v>
      </c>
      <c r="JH46" s="20">
        <f t="shared" si="396"/>
        <v>0</v>
      </c>
      <c r="JI46" s="20">
        <f t="shared" si="396"/>
        <v>0</v>
      </c>
      <c r="JJ46" s="20">
        <f t="shared" si="396"/>
        <v>0</v>
      </c>
      <c r="JK46" s="20">
        <f t="shared" si="396"/>
        <v>0</v>
      </c>
      <c r="JL46" s="20">
        <f t="shared" si="396"/>
        <v>0</v>
      </c>
      <c r="JM46" s="20">
        <f t="shared" si="396"/>
        <v>0</v>
      </c>
      <c r="JN46" s="20">
        <f t="shared" si="396"/>
        <v>0</v>
      </c>
      <c r="JO46" s="20">
        <f t="shared" si="396"/>
        <v>0</v>
      </c>
      <c r="JP46" s="20">
        <f t="shared" si="396"/>
        <v>0</v>
      </c>
      <c r="JQ46" s="20">
        <f t="shared" si="396"/>
        <v>0</v>
      </c>
      <c r="JR46" s="20">
        <f t="shared" si="396"/>
        <v>0</v>
      </c>
      <c r="JS46" s="20">
        <f t="shared" si="396"/>
        <v>0</v>
      </c>
      <c r="JT46" s="20">
        <f t="shared" si="397"/>
        <v>0</v>
      </c>
      <c r="JU46" s="20">
        <f t="shared" si="397"/>
        <v>0</v>
      </c>
      <c r="JV46" s="20">
        <f t="shared" si="397"/>
        <v>0</v>
      </c>
      <c r="JW46" s="20">
        <f t="shared" si="397"/>
        <v>0</v>
      </c>
      <c r="JX46" s="20">
        <f t="shared" si="397"/>
        <v>0</v>
      </c>
      <c r="JZ46" s="221" t="str">
        <f t="shared" si="285"/>
        <v>Included in detailed component CAPEX</v>
      </c>
      <c r="KA46" s="202"/>
      <c r="KB46" s="20">
        <f t="shared" si="398"/>
        <v>1</v>
      </c>
      <c r="KC46" s="20">
        <f t="shared" si="399"/>
        <v>36</v>
      </c>
      <c r="KD46" s="20">
        <f t="shared" si="400"/>
        <v>36</v>
      </c>
      <c r="KE46" s="422">
        <f t="shared" si="401"/>
        <v>0</v>
      </c>
      <c r="KF46" s="422">
        <f t="shared" si="402"/>
        <v>0</v>
      </c>
      <c r="KG46" s="422">
        <f t="shared" si="402"/>
        <v>0</v>
      </c>
      <c r="KH46" s="422">
        <f t="shared" si="402"/>
        <v>0</v>
      </c>
      <c r="KI46" s="422">
        <f t="shared" si="402"/>
        <v>0</v>
      </c>
      <c r="KJ46" s="422">
        <f t="shared" si="402"/>
        <v>0</v>
      </c>
      <c r="KK46" s="422">
        <f t="shared" si="402"/>
        <v>0</v>
      </c>
      <c r="KL46" s="422">
        <f t="shared" si="402"/>
        <v>0</v>
      </c>
      <c r="KM46" s="422">
        <f t="shared" si="402"/>
        <v>0</v>
      </c>
      <c r="KN46" s="422">
        <f t="shared" si="402"/>
        <v>0</v>
      </c>
      <c r="KO46" s="422">
        <f t="shared" si="402"/>
        <v>0</v>
      </c>
      <c r="KP46" s="422">
        <f t="shared" si="402"/>
        <v>0</v>
      </c>
      <c r="KQ46" s="422">
        <f t="shared" si="402"/>
        <v>0</v>
      </c>
      <c r="KR46" s="422">
        <f t="shared" si="402"/>
        <v>0</v>
      </c>
      <c r="KS46" s="422">
        <f t="shared" si="402"/>
        <v>0</v>
      </c>
      <c r="KT46" s="422">
        <f t="shared" si="402"/>
        <v>0</v>
      </c>
      <c r="KU46" s="422">
        <f t="shared" si="402"/>
        <v>0</v>
      </c>
      <c r="KV46" s="422">
        <f t="shared" si="403"/>
        <v>0</v>
      </c>
      <c r="KW46" s="422">
        <f t="shared" si="403"/>
        <v>0</v>
      </c>
      <c r="KX46" s="422">
        <f t="shared" si="403"/>
        <v>0</v>
      </c>
      <c r="KY46" s="422">
        <f t="shared" si="403"/>
        <v>0</v>
      </c>
      <c r="KZ46" s="422">
        <f t="shared" si="403"/>
        <v>0</v>
      </c>
      <c r="LA46" s="422">
        <f t="shared" si="403"/>
        <v>0</v>
      </c>
      <c r="LB46" s="422">
        <f t="shared" si="403"/>
        <v>0</v>
      </c>
      <c r="LC46" s="422">
        <f t="shared" si="403"/>
        <v>0</v>
      </c>
      <c r="LD46" s="422">
        <f t="shared" si="403"/>
        <v>0</v>
      </c>
      <c r="LE46" s="422">
        <f t="shared" si="403"/>
        <v>0</v>
      </c>
      <c r="LF46" s="422">
        <f t="shared" si="403"/>
        <v>0</v>
      </c>
      <c r="LG46" s="422">
        <f t="shared" si="403"/>
        <v>0</v>
      </c>
      <c r="LH46" s="422">
        <f t="shared" si="403"/>
        <v>0</v>
      </c>
      <c r="LI46" s="422">
        <f t="shared" si="403"/>
        <v>0</v>
      </c>
      <c r="LJ46" s="422">
        <f t="shared" si="403"/>
        <v>0</v>
      </c>
      <c r="LK46" s="422">
        <f t="shared" si="403"/>
        <v>0</v>
      </c>
      <c r="LL46" s="422">
        <f t="shared" si="404"/>
        <v>0</v>
      </c>
      <c r="LM46" s="422">
        <f t="shared" si="404"/>
        <v>0</v>
      </c>
      <c r="LN46" s="422">
        <f t="shared" si="404"/>
        <v>0</v>
      </c>
      <c r="LO46" s="422">
        <f t="shared" si="404"/>
        <v>0</v>
      </c>
      <c r="LP46" s="422">
        <f t="shared" si="404"/>
        <v>0</v>
      </c>
      <c r="LQ46" s="422">
        <f t="shared" si="404"/>
        <v>0</v>
      </c>
      <c r="LR46" s="422">
        <f t="shared" si="404"/>
        <v>0</v>
      </c>
      <c r="LS46" s="422">
        <f t="shared" si="404"/>
        <v>0</v>
      </c>
      <c r="LT46" s="422">
        <f t="shared" si="404"/>
        <v>0</v>
      </c>
      <c r="LU46" s="422">
        <f t="shared" si="404"/>
        <v>0</v>
      </c>
      <c r="LV46" s="422">
        <f t="shared" si="404"/>
        <v>0</v>
      </c>
      <c r="LW46" s="422">
        <f t="shared" si="404"/>
        <v>0</v>
      </c>
      <c r="LX46" s="422">
        <f t="shared" si="404"/>
        <v>0</v>
      </c>
      <c r="LY46" s="422">
        <f t="shared" si="404"/>
        <v>0</v>
      </c>
      <c r="LZ46" s="422">
        <f t="shared" si="404"/>
        <v>0</v>
      </c>
      <c r="MA46" s="422">
        <f t="shared" si="404"/>
        <v>0</v>
      </c>
      <c r="MB46" s="422">
        <f t="shared" si="405"/>
        <v>0</v>
      </c>
      <c r="MC46" s="422">
        <f t="shared" si="405"/>
        <v>0</v>
      </c>
      <c r="MD46" s="422">
        <f t="shared" si="405"/>
        <v>0</v>
      </c>
      <c r="ME46" s="422">
        <f t="shared" si="405"/>
        <v>0</v>
      </c>
      <c r="MF46" s="422">
        <f t="shared" si="405"/>
        <v>0</v>
      </c>
      <c r="MG46" s="422">
        <f t="shared" si="405"/>
        <v>0</v>
      </c>
      <c r="MH46" s="422">
        <f t="shared" si="405"/>
        <v>0</v>
      </c>
      <c r="MI46" s="422">
        <f t="shared" si="405"/>
        <v>0</v>
      </c>
      <c r="MJ46" s="422">
        <f t="shared" si="405"/>
        <v>0</v>
      </c>
      <c r="MK46" s="422">
        <f t="shared" si="405"/>
        <v>0</v>
      </c>
      <c r="ML46" s="422">
        <f t="shared" si="405"/>
        <v>0</v>
      </c>
      <c r="MM46" s="422">
        <f t="shared" si="405"/>
        <v>0</v>
      </c>
      <c r="MN46" s="422">
        <f t="shared" si="405"/>
        <v>0</v>
      </c>
      <c r="MO46" s="422">
        <f t="shared" si="405"/>
        <v>0</v>
      </c>
      <c r="MP46" s="422">
        <f t="shared" si="405"/>
        <v>0</v>
      </c>
      <c r="MQ46" s="422">
        <f t="shared" si="405"/>
        <v>0</v>
      </c>
      <c r="MR46" s="422">
        <f t="shared" si="406"/>
        <v>0</v>
      </c>
      <c r="MS46" s="422">
        <f t="shared" si="406"/>
        <v>0</v>
      </c>
      <c r="MT46" s="422">
        <f t="shared" si="406"/>
        <v>0</v>
      </c>
      <c r="MU46" s="422">
        <f t="shared" si="406"/>
        <v>0</v>
      </c>
      <c r="MV46" s="422">
        <f t="shared" si="406"/>
        <v>0</v>
      </c>
      <c r="MW46" s="422">
        <f t="shared" si="406"/>
        <v>0</v>
      </c>
      <c r="MX46" s="422">
        <f t="shared" si="406"/>
        <v>0</v>
      </c>
      <c r="MY46" s="422">
        <f t="shared" si="406"/>
        <v>0</v>
      </c>
      <c r="MZ46" s="422">
        <f t="shared" si="406"/>
        <v>0</v>
      </c>
      <c r="NA46" s="422">
        <f t="shared" si="406"/>
        <v>0</v>
      </c>
      <c r="NB46" s="422">
        <f t="shared" si="406"/>
        <v>0</v>
      </c>
      <c r="NC46" s="422">
        <f t="shared" si="406"/>
        <v>0</v>
      </c>
      <c r="ND46" s="422">
        <f t="shared" si="406"/>
        <v>0</v>
      </c>
      <c r="NE46" s="422">
        <f t="shared" si="406"/>
        <v>0</v>
      </c>
      <c r="NF46" s="422">
        <f t="shared" si="406"/>
        <v>0</v>
      </c>
      <c r="NG46" s="422">
        <f t="shared" si="406"/>
        <v>0</v>
      </c>
      <c r="NH46" s="422">
        <f t="shared" si="407"/>
        <v>0</v>
      </c>
      <c r="NI46" s="422">
        <f t="shared" si="407"/>
        <v>0</v>
      </c>
      <c r="NJ46" s="422">
        <f t="shared" si="407"/>
        <v>0</v>
      </c>
      <c r="NK46" s="422">
        <f t="shared" si="407"/>
        <v>0</v>
      </c>
      <c r="NL46" s="422">
        <f t="shared" si="407"/>
        <v>0</v>
      </c>
      <c r="NM46" s="422">
        <f t="shared" si="407"/>
        <v>0</v>
      </c>
      <c r="NN46" s="422">
        <f t="shared" si="407"/>
        <v>0</v>
      </c>
      <c r="NO46" s="422">
        <f t="shared" si="407"/>
        <v>0</v>
      </c>
      <c r="NP46" s="422">
        <f t="shared" si="407"/>
        <v>0</v>
      </c>
      <c r="NQ46" s="422">
        <f t="shared" si="407"/>
        <v>0</v>
      </c>
      <c r="NR46" s="422">
        <f t="shared" si="407"/>
        <v>0</v>
      </c>
      <c r="NS46" s="422">
        <f t="shared" si="407"/>
        <v>0</v>
      </c>
      <c r="NT46" s="422">
        <f t="shared" si="407"/>
        <v>0</v>
      </c>
      <c r="NU46" s="422">
        <f t="shared" si="407"/>
        <v>0</v>
      </c>
      <c r="NV46" s="422">
        <f t="shared" si="407"/>
        <v>0</v>
      </c>
      <c r="NW46" s="422">
        <f t="shared" si="407"/>
        <v>0</v>
      </c>
      <c r="NX46" s="422">
        <f t="shared" si="408"/>
        <v>0</v>
      </c>
      <c r="NY46" s="422">
        <f t="shared" si="408"/>
        <v>0</v>
      </c>
      <c r="NZ46" s="422">
        <f t="shared" si="408"/>
        <v>0</v>
      </c>
      <c r="OA46" s="422">
        <f t="shared" si="408"/>
        <v>0</v>
      </c>
      <c r="OB46" s="422">
        <f t="shared" si="408"/>
        <v>0</v>
      </c>
      <c r="OC46" s="422">
        <f t="shared" si="408"/>
        <v>0</v>
      </c>
      <c r="OD46" s="422">
        <f t="shared" si="408"/>
        <v>0</v>
      </c>
      <c r="OE46" s="422">
        <f t="shared" si="408"/>
        <v>0</v>
      </c>
      <c r="OF46" s="422">
        <f t="shared" si="408"/>
        <v>0</v>
      </c>
      <c r="OG46" s="422">
        <f t="shared" si="408"/>
        <v>0</v>
      </c>
      <c r="OH46" s="422">
        <f t="shared" si="408"/>
        <v>0</v>
      </c>
      <c r="OI46" s="422">
        <f t="shared" si="408"/>
        <v>0</v>
      </c>
      <c r="OJ46" s="422">
        <f t="shared" si="408"/>
        <v>0</v>
      </c>
      <c r="OK46" s="422">
        <f t="shared" si="408"/>
        <v>0</v>
      </c>
      <c r="OL46" s="422">
        <f t="shared" si="408"/>
        <v>0</v>
      </c>
      <c r="OM46" s="422">
        <f t="shared" si="408"/>
        <v>0</v>
      </c>
      <c r="ON46" s="422">
        <f t="shared" si="409"/>
        <v>0</v>
      </c>
      <c r="OO46" s="422">
        <f t="shared" si="409"/>
        <v>0</v>
      </c>
      <c r="OP46" s="422">
        <f t="shared" si="409"/>
        <v>0</v>
      </c>
      <c r="OQ46" s="422">
        <f t="shared" si="409"/>
        <v>0</v>
      </c>
      <c r="OR46" s="422">
        <f t="shared" si="409"/>
        <v>0</v>
      </c>
      <c r="OS46" s="422">
        <f t="shared" si="409"/>
        <v>0</v>
      </c>
      <c r="OT46" s="422">
        <f t="shared" si="409"/>
        <v>0</v>
      </c>
      <c r="OU46" s="422">
        <f t="shared" si="409"/>
        <v>0</v>
      </c>
      <c r="OV46" s="422">
        <f t="shared" si="409"/>
        <v>0</v>
      </c>
      <c r="OW46" s="422">
        <f t="shared" si="409"/>
        <v>0</v>
      </c>
      <c r="OX46" s="422">
        <f t="shared" si="409"/>
        <v>0</v>
      </c>
      <c r="OY46" s="422">
        <f t="shared" si="409"/>
        <v>0</v>
      </c>
      <c r="OZ46" s="422">
        <f t="shared" si="409"/>
        <v>0</v>
      </c>
      <c r="PA46" s="422">
        <f t="shared" si="409"/>
        <v>0</v>
      </c>
      <c r="PB46" s="422">
        <f t="shared" si="409"/>
        <v>0</v>
      </c>
      <c r="PC46" s="422">
        <f t="shared" si="409"/>
        <v>0</v>
      </c>
      <c r="PD46" s="422">
        <f t="shared" si="410"/>
        <v>0</v>
      </c>
      <c r="PE46" s="422">
        <f t="shared" si="410"/>
        <v>0</v>
      </c>
      <c r="PF46" s="422">
        <f t="shared" si="410"/>
        <v>0</v>
      </c>
      <c r="PG46" s="422">
        <f t="shared" si="410"/>
        <v>0</v>
      </c>
      <c r="PH46" s="422">
        <f t="shared" si="410"/>
        <v>0</v>
      </c>
    </row>
    <row r="47">
      <c r="B47" s="427" t="s">
        <v>150</v>
      </c>
      <c r="C47" s="640" t="n">
        <f>MIN(D41:D46)</f>
        <v>1</v>
      </c>
      <c r="D47" s="47"/>
      <c r="E47" s="47" t="n">
        <f>MAX(E41:E46)</f>
        <v>36</v>
      </c>
      <c r="F47" s="641" t="n">
        <f>SUM(H41:H46)</f>
        <v>0</v>
      </c>
      <c r="G47" s="135"/>
      <c r="H47" s="419"/>
      <c r="I47" s="428" t="n">
        <f>SUM(I41:I46)</f>
        <v>0</v>
      </c>
      <c r="K47" s="22" t="str">
        <f t="shared" si="368"/>
      </c>
      <c r="L47" s="421" t="n">
        <f t="shared" ref="L47:AQ47" si="420">SUM(L41:L46)</f>
        <v>0</v>
      </c>
      <c r="M47" s="421">
        <f t="shared" si="420"/>
        <v>0</v>
      </c>
      <c r="N47" s="421">
        <f t="shared" si="420"/>
        <v>0</v>
      </c>
      <c r="O47" s="421">
        <f t="shared" si="420"/>
        <v>0</v>
      </c>
      <c r="P47" s="421">
        <f t="shared" si="420"/>
        <v>0</v>
      </c>
      <c r="Q47" s="421">
        <f t="shared" si="420"/>
        <v>0</v>
      </c>
      <c r="R47" s="421">
        <f t="shared" si="420"/>
        <v>0</v>
      </c>
      <c r="S47" s="421">
        <f t="shared" si="420"/>
        <v>0</v>
      </c>
      <c r="T47" s="421">
        <f t="shared" si="420"/>
        <v>0</v>
      </c>
      <c r="U47" s="421">
        <f t="shared" si="420"/>
        <v>0</v>
      </c>
      <c r="V47" s="421">
        <f t="shared" si="420"/>
        <v>0</v>
      </c>
      <c r="W47" s="421">
        <f t="shared" si="420"/>
        <v>0</v>
      </c>
      <c r="X47" s="421">
        <f t="shared" si="420"/>
        <v>0</v>
      </c>
      <c r="Y47" s="421">
        <f t="shared" si="420"/>
        <v>0</v>
      </c>
      <c r="Z47" s="421">
        <f t="shared" si="420"/>
        <v>0</v>
      </c>
      <c r="AA47" s="421">
        <f t="shared" si="420"/>
        <v>0</v>
      </c>
      <c r="AB47" s="421">
        <f t="shared" si="420"/>
        <v>0</v>
      </c>
      <c r="AC47" s="421">
        <f t="shared" si="420"/>
        <v>0</v>
      </c>
      <c r="AD47" s="421">
        <f t="shared" si="420"/>
        <v>0</v>
      </c>
      <c r="AE47" s="421">
        <f t="shared" si="420"/>
        <v>0</v>
      </c>
      <c r="AF47" s="421">
        <f t="shared" si="420"/>
        <v>0</v>
      </c>
      <c r="AG47" s="421">
        <f t="shared" si="420"/>
        <v>0</v>
      </c>
      <c r="AH47" s="421">
        <f t="shared" si="420"/>
        <v>0</v>
      </c>
      <c r="AI47" s="421">
        <f t="shared" si="420"/>
        <v>0</v>
      </c>
      <c r="AJ47" s="421">
        <f t="shared" si="420"/>
        <v>0</v>
      </c>
      <c r="AK47" s="421">
        <f t="shared" si="420"/>
        <v>0</v>
      </c>
      <c r="AL47" s="421">
        <f t="shared" si="420"/>
        <v>0</v>
      </c>
      <c r="AM47" s="421">
        <f t="shared" si="420"/>
        <v>0</v>
      </c>
      <c r="AN47" s="421">
        <f t="shared" si="420"/>
        <v>0</v>
      </c>
      <c r="AO47" s="421">
        <f t="shared" si="420"/>
        <v>0</v>
      </c>
      <c r="AP47" s="421">
        <f t="shared" si="420"/>
        <v>0</v>
      </c>
      <c r="AQ47" s="421">
        <f t="shared" si="420"/>
        <v>0</v>
      </c>
      <c r="AR47" s="421" t="n">
        <f t="shared" ref="AR47:BW47" si="421">SUM(AR41:AR46)</f>
        <v>0</v>
      </c>
      <c r="AS47" s="421">
        <f t="shared" si="421"/>
        <v>0</v>
      </c>
      <c r="AT47" s="421">
        <f t="shared" si="421"/>
        <v>0</v>
      </c>
      <c r="AU47" s="421">
        <f t="shared" si="421"/>
        <v>0</v>
      </c>
      <c r="AV47" s="421">
        <f t="shared" si="421"/>
        <v>0</v>
      </c>
      <c r="AW47" s="421">
        <f t="shared" si="421"/>
        <v>0</v>
      </c>
      <c r="AX47" s="421">
        <f t="shared" si="421"/>
        <v>0</v>
      </c>
      <c r="AY47" s="421">
        <f t="shared" si="421"/>
        <v>0</v>
      </c>
      <c r="AZ47" s="421">
        <f t="shared" si="421"/>
        <v>0</v>
      </c>
      <c r="BA47" s="421">
        <f t="shared" si="421"/>
        <v>0</v>
      </c>
      <c r="BB47" s="421">
        <f t="shared" si="421"/>
        <v>0</v>
      </c>
      <c r="BC47" s="421">
        <f t="shared" si="421"/>
        <v>0</v>
      </c>
      <c r="BD47" s="421">
        <f t="shared" si="421"/>
        <v>0</v>
      </c>
      <c r="BE47" s="421">
        <f t="shared" si="421"/>
        <v>0</v>
      </c>
      <c r="BF47" s="421">
        <f t="shared" si="421"/>
        <v>0</v>
      </c>
      <c r="BG47" s="421">
        <f t="shared" si="421"/>
        <v>0</v>
      </c>
      <c r="BH47" s="421">
        <f t="shared" si="421"/>
        <v>0</v>
      </c>
      <c r="BI47" s="421">
        <f t="shared" si="421"/>
        <v>0</v>
      </c>
      <c r="BJ47" s="421">
        <f t="shared" si="421"/>
        <v>0</v>
      </c>
      <c r="BK47" s="421">
        <f t="shared" si="421"/>
        <v>0</v>
      </c>
      <c r="BL47" s="421">
        <f t="shared" si="421"/>
        <v>0</v>
      </c>
      <c r="BM47" s="421">
        <f t="shared" si="421"/>
        <v>0</v>
      </c>
      <c r="BN47" s="421">
        <f t="shared" si="421"/>
        <v>0</v>
      </c>
      <c r="BO47" s="421">
        <f t="shared" si="421"/>
        <v>0</v>
      </c>
      <c r="BP47" s="421">
        <f t="shared" si="421"/>
        <v>0</v>
      </c>
      <c r="BQ47" s="421">
        <f t="shared" si="421"/>
        <v>0</v>
      </c>
      <c r="BR47" s="421">
        <f t="shared" si="421"/>
        <v>0</v>
      </c>
      <c r="BS47" s="421">
        <f t="shared" si="421"/>
        <v>0</v>
      </c>
      <c r="BT47" s="421">
        <f t="shared" si="421"/>
        <v>0</v>
      </c>
      <c r="BU47" s="421">
        <f t="shared" si="421"/>
        <v>0</v>
      </c>
      <c r="BV47" s="421">
        <f t="shared" si="421"/>
        <v>0</v>
      </c>
      <c r="BW47" s="421">
        <f t="shared" si="421"/>
        <v>0</v>
      </c>
      <c r="BX47" s="421" t="n">
        <f t="shared" ref="BX47:DC47" si="422">SUM(BX41:BX46)</f>
        <v>0</v>
      </c>
      <c r="BY47" s="421">
        <f t="shared" si="422"/>
        <v>0</v>
      </c>
      <c r="BZ47" s="421">
        <f t="shared" si="422"/>
        <v>0</v>
      </c>
      <c r="CA47" s="421">
        <f t="shared" si="422"/>
        <v>0</v>
      </c>
      <c r="CB47" s="421">
        <f t="shared" si="422"/>
        <v>0</v>
      </c>
      <c r="CC47" s="421">
        <f t="shared" si="422"/>
        <v>0</v>
      </c>
      <c r="CD47" s="421">
        <f t="shared" si="422"/>
        <v>0</v>
      </c>
      <c r="CE47" s="421">
        <f t="shared" si="422"/>
        <v>0</v>
      </c>
      <c r="CF47" s="421">
        <f t="shared" si="422"/>
        <v>0</v>
      </c>
      <c r="CG47" s="421">
        <f t="shared" si="422"/>
        <v>0</v>
      </c>
      <c r="CH47" s="421">
        <f t="shared" si="422"/>
        <v>0</v>
      </c>
      <c r="CI47" s="421">
        <f t="shared" si="422"/>
        <v>0</v>
      </c>
      <c r="CJ47" s="421">
        <f t="shared" si="422"/>
        <v>0</v>
      </c>
      <c r="CK47" s="421">
        <f t="shared" si="422"/>
        <v>0</v>
      </c>
      <c r="CL47" s="421">
        <f t="shared" si="422"/>
        <v>0</v>
      </c>
      <c r="CM47" s="421">
        <f t="shared" si="422"/>
        <v>0</v>
      </c>
      <c r="CN47" s="421">
        <f t="shared" si="422"/>
        <v>0</v>
      </c>
      <c r="CO47" s="421">
        <f t="shared" si="422"/>
        <v>0</v>
      </c>
      <c r="CP47" s="421">
        <f t="shared" si="422"/>
        <v>0</v>
      </c>
      <c r="CQ47" s="421">
        <f t="shared" si="422"/>
        <v>0</v>
      </c>
      <c r="CR47" s="421">
        <f t="shared" si="422"/>
        <v>0</v>
      </c>
      <c r="CS47" s="421">
        <f t="shared" si="422"/>
        <v>0</v>
      </c>
      <c r="CT47" s="421">
        <f t="shared" si="422"/>
        <v>0</v>
      </c>
      <c r="CU47" s="421">
        <f t="shared" si="422"/>
        <v>0</v>
      </c>
      <c r="CV47" s="421">
        <f t="shared" si="422"/>
        <v>0</v>
      </c>
      <c r="CW47" s="421">
        <f t="shared" si="422"/>
        <v>0</v>
      </c>
      <c r="CX47" s="421">
        <f t="shared" si="422"/>
        <v>0</v>
      </c>
      <c r="CY47" s="421">
        <f t="shared" si="422"/>
        <v>0</v>
      </c>
      <c r="CZ47" s="421">
        <f t="shared" si="422"/>
        <v>0</v>
      </c>
      <c r="DA47" s="421">
        <f t="shared" si="422"/>
        <v>0</v>
      </c>
      <c r="DB47" s="421">
        <f t="shared" si="422"/>
        <v>0</v>
      </c>
      <c r="DC47" s="421">
        <f t="shared" si="422"/>
        <v>0</v>
      </c>
      <c r="DD47" s="421" t="n">
        <f t="shared" ref="DD47:EI47" si="423">SUM(DD41:DD46)</f>
        <v>0</v>
      </c>
      <c r="DE47" s="421">
        <f t="shared" si="423"/>
        <v>0</v>
      </c>
      <c r="DF47" s="421">
        <f t="shared" si="423"/>
        <v>0</v>
      </c>
      <c r="DG47" s="421">
        <f t="shared" si="423"/>
        <v>0</v>
      </c>
      <c r="DH47" s="421">
        <f t="shared" si="423"/>
        <v>0</v>
      </c>
      <c r="DI47" s="421">
        <f t="shared" si="423"/>
        <v>0</v>
      </c>
      <c r="DJ47" s="421">
        <f t="shared" si="423"/>
        <v>0</v>
      </c>
      <c r="DK47" s="421">
        <f t="shared" si="423"/>
        <v>0</v>
      </c>
      <c r="DL47" s="421">
        <f t="shared" si="423"/>
        <v>0</v>
      </c>
      <c r="DM47" s="421">
        <f t="shared" si="423"/>
        <v>0</v>
      </c>
      <c r="DN47" s="421">
        <f t="shared" si="423"/>
        <v>0</v>
      </c>
      <c r="DO47" s="421">
        <f t="shared" si="423"/>
        <v>0</v>
      </c>
      <c r="DP47" s="421">
        <f t="shared" si="423"/>
        <v>0</v>
      </c>
      <c r="DQ47" s="421">
        <f t="shared" si="423"/>
        <v>0</v>
      </c>
      <c r="DR47" s="421">
        <f t="shared" si="423"/>
        <v>0</v>
      </c>
      <c r="DS47" s="421">
        <f t="shared" si="423"/>
        <v>0</v>
      </c>
      <c r="DT47" s="421">
        <f t="shared" si="423"/>
        <v>0</v>
      </c>
      <c r="DU47" s="421">
        <f t="shared" si="423"/>
        <v>0</v>
      </c>
      <c r="DV47" s="421">
        <f t="shared" si="423"/>
        <v>0</v>
      </c>
      <c r="DW47" s="421">
        <f t="shared" si="423"/>
        <v>0</v>
      </c>
      <c r="DX47" s="421">
        <f t="shared" si="423"/>
        <v>0</v>
      </c>
      <c r="DY47" s="421">
        <f t="shared" si="423"/>
        <v>0</v>
      </c>
      <c r="DZ47" s="421">
        <f t="shared" si="423"/>
        <v>0</v>
      </c>
      <c r="EA47" s="421">
        <f t="shared" si="423"/>
        <v>0</v>
      </c>
      <c r="EB47" s="421">
        <f t="shared" si="423"/>
        <v>0</v>
      </c>
      <c r="EC47" s="421">
        <f t="shared" si="423"/>
        <v>0</v>
      </c>
      <c r="ED47" s="421">
        <f t="shared" si="423"/>
        <v>0</v>
      </c>
      <c r="EE47" s="421">
        <f t="shared" si="423"/>
        <v>0</v>
      </c>
      <c r="EF47" s="421">
        <f t="shared" si="423"/>
        <v>0</v>
      </c>
      <c r="EG47" s="421">
        <f t="shared" si="423"/>
        <v>0</v>
      </c>
      <c r="EH47" s="421">
        <f t="shared" si="423"/>
        <v>0</v>
      </c>
      <c r="EI47" s="421">
        <f t="shared" si="423"/>
        <v>0</v>
      </c>
      <c r="EJ47" s="421" t="n">
        <f t="shared" ref="EJ47:EN47" si="424">SUM(EJ41:EJ46)</f>
        <v>0</v>
      </c>
      <c r="EK47" s="421">
        <f t="shared" si="424"/>
        <v>0</v>
      </c>
      <c r="EL47" s="421">
        <f t="shared" si="424"/>
        <v>0</v>
      </c>
      <c r="EM47" s="421">
        <f t="shared" si="424"/>
        <v>0</v>
      </c>
      <c r="EN47" s="421">
        <f t="shared" si="424"/>
        <v>0</v>
      </c>
      <c r="EP47" s="220"/>
      <c r="EQ47" s="18" t="s">
        <v>151</v>
      </c>
      <c r="ER47" s="20" t="n">
        <f>COUNTA($B$41:$B$46)</f>
        <v>5</v>
      </c>
      <c r="ES47" s="18"/>
      <c r="ET47" s="18"/>
      <c r="EU47" s="18"/>
      <c r="EV47" s="18"/>
      <c r="EW47" s="18"/>
      <c r="EX47" s="18"/>
      <c r="EY47" s="18"/>
      <c r="EZ47" s="18"/>
      <c r="FA47" s="18"/>
      <c r="FB47" s="18"/>
      <c r="FC47" s="18"/>
      <c r="FD47" s="18"/>
      <c r="FE47" s="18"/>
      <c r="FF47" s="18"/>
      <c r="FG47" s="18"/>
      <c r="FH47" s="18"/>
      <c r="FI47" s="18"/>
      <c r="FJ47" s="18"/>
      <c r="FK47" s="18"/>
      <c r="FL47" s="18"/>
      <c r="FM47" s="18"/>
      <c r="FN47" s="18"/>
      <c r="FO47" s="18"/>
      <c r="FP47" s="18"/>
      <c r="FQ47" s="18"/>
      <c r="FR47" s="18"/>
      <c r="FS47" s="18"/>
      <c r="FT47" s="18"/>
      <c r="FU47" s="18"/>
      <c r="FV47" s="18"/>
      <c r="FW47" s="18"/>
      <c r="FX47" s="18"/>
      <c r="FY47" s="18"/>
      <c r="FZ47" s="18"/>
      <c r="GA47" s="18"/>
      <c r="GB47" s="18"/>
      <c r="GC47" s="18"/>
      <c r="GD47" s="18"/>
      <c r="GE47" s="18"/>
      <c r="GF47" s="18"/>
      <c r="GG47" s="18"/>
      <c r="GH47" s="18"/>
      <c r="GI47" s="18"/>
      <c r="GJ47" s="18"/>
      <c r="GK47" s="18"/>
      <c r="GL47" s="18"/>
      <c r="GM47" s="18"/>
      <c r="GN47" s="18"/>
      <c r="GO47" s="18"/>
      <c r="GP47" s="18"/>
      <c r="GQ47" s="18"/>
      <c r="GR47" s="18"/>
      <c r="GS47" s="18"/>
      <c r="GT47" s="18"/>
      <c r="GU47" s="18"/>
      <c r="GV47" s="18"/>
      <c r="GW47" s="18"/>
      <c r="GX47" s="18"/>
      <c r="GY47" s="18"/>
      <c r="GZ47" s="18"/>
      <c r="HA47" s="18"/>
      <c r="HB47" s="18"/>
      <c r="HC47" s="18"/>
      <c r="HD47" s="18"/>
      <c r="HE47" s="18"/>
      <c r="HF47" s="18"/>
      <c r="HG47" s="18"/>
      <c r="HH47" s="18"/>
      <c r="HI47" s="18"/>
      <c r="HJ47" s="18"/>
      <c r="HK47" s="18"/>
      <c r="HL47" s="18"/>
      <c r="HM47" s="18"/>
      <c r="HN47" s="18"/>
      <c r="HO47" s="18"/>
      <c r="HP47" s="18"/>
      <c r="HQ47" s="18"/>
      <c r="HR47" s="18"/>
      <c r="HS47" s="18"/>
      <c r="HT47" s="18"/>
      <c r="HU47" s="18"/>
      <c r="HV47" s="18"/>
      <c r="HW47" s="18"/>
      <c r="HX47" s="18"/>
      <c r="HY47" s="18"/>
      <c r="HZ47" s="18"/>
      <c r="IA47" s="18"/>
      <c r="IB47" s="18"/>
      <c r="IC47" s="18"/>
      <c r="ID47" s="18"/>
      <c r="IE47" s="18"/>
      <c r="IF47" s="18"/>
      <c r="IG47" s="18"/>
      <c r="IH47" s="18"/>
      <c r="II47" s="18"/>
      <c r="IJ47" s="18"/>
      <c r="IK47" s="18"/>
      <c r="IL47" s="18"/>
      <c r="IM47" s="18"/>
      <c r="IN47" s="18"/>
      <c r="IO47" s="18"/>
      <c r="IP47" s="18"/>
      <c r="IQ47" s="18"/>
      <c r="IR47" s="18"/>
      <c r="IS47" s="18"/>
      <c r="IT47" s="18"/>
      <c r="IU47" s="18"/>
      <c r="IV47" s="18"/>
      <c r="IW47" s="18"/>
      <c r="IX47" s="18"/>
      <c r="IY47" s="18"/>
      <c r="IZ47" s="18"/>
      <c r="JA47" s="18"/>
      <c r="JB47" s="18"/>
      <c r="JC47" s="18"/>
      <c r="JD47" s="18"/>
      <c r="JE47" s="18"/>
      <c r="JF47" s="18"/>
      <c r="JG47" s="18"/>
      <c r="JH47" s="18"/>
      <c r="JI47" s="18"/>
      <c r="JJ47" s="18"/>
      <c r="JK47" s="18"/>
      <c r="JL47" s="18"/>
      <c r="JM47" s="18"/>
      <c r="JN47" s="18"/>
      <c r="JO47" s="18"/>
      <c r="JP47" s="18"/>
      <c r="JQ47" s="18"/>
      <c r="JR47" s="18"/>
      <c r="JS47" s="18"/>
      <c r="JT47" s="18"/>
      <c r="JU47" s="18"/>
      <c r="JV47" s="18"/>
      <c r="JW47" s="18"/>
      <c r="JX47" s="18"/>
      <c r="JZ47" s="221"/>
      <c r="KA47" s="202"/>
      <c r="KB47" s="20"/>
      <c r="KC47" s="20"/>
      <c r="KD47" s="20"/>
      <c r="KE47" s="82"/>
      <c r="KF47" s="82"/>
      <c r="KG47" s="82"/>
      <c r="KH47" s="82"/>
      <c r="KI47" s="82"/>
      <c r="KJ47" s="82"/>
      <c r="KK47" s="82"/>
      <c r="KL47" s="82"/>
      <c r="KM47" s="82"/>
      <c r="KN47" s="82"/>
      <c r="KO47" s="82"/>
      <c r="KP47" s="82"/>
      <c r="KQ47" s="82"/>
      <c r="KR47" s="82"/>
      <c r="KS47" s="82"/>
      <c r="KT47" s="82"/>
      <c r="KU47" s="82"/>
      <c r="KV47" s="82"/>
      <c r="KW47" s="82"/>
      <c r="KX47" s="82"/>
      <c r="KY47" s="82"/>
      <c r="KZ47" s="82"/>
      <c r="LA47" s="82"/>
      <c r="LB47" s="82"/>
      <c r="LC47" s="82"/>
      <c r="LD47" s="82"/>
      <c r="LE47" s="82"/>
      <c r="LF47" s="82"/>
      <c r="LG47" s="82"/>
      <c r="LH47" s="82"/>
      <c r="LI47" s="82"/>
      <c r="LJ47" s="82"/>
      <c r="LK47" s="82"/>
      <c r="LL47" s="82"/>
      <c r="LM47" s="82"/>
      <c r="LN47" s="82"/>
      <c r="LO47" s="82"/>
      <c r="LP47" s="82"/>
      <c r="LQ47" s="82"/>
      <c r="LR47" s="82"/>
      <c r="LS47" s="82"/>
      <c r="LT47" s="82"/>
      <c r="LU47" s="82"/>
      <c r="LV47" s="82"/>
      <c r="LW47" s="82"/>
      <c r="LX47" s="82"/>
      <c r="LY47" s="82"/>
      <c r="LZ47" s="82"/>
      <c r="MA47" s="82"/>
      <c r="MB47" s="82"/>
      <c r="MC47" s="82"/>
      <c r="MD47" s="82"/>
      <c r="ME47" s="82"/>
      <c r="MF47" s="82"/>
      <c r="MG47" s="82"/>
      <c r="MH47" s="82"/>
      <c r="MI47" s="82"/>
      <c r="MJ47" s="82"/>
      <c r="MK47" s="82"/>
      <c r="ML47" s="82"/>
      <c r="MM47" s="82"/>
      <c r="MN47" s="82"/>
      <c r="MO47" s="82"/>
      <c r="MP47" s="82"/>
      <c r="MQ47" s="82"/>
      <c r="MR47" s="82"/>
      <c r="MS47" s="82"/>
      <c r="MT47" s="82"/>
      <c r="MU47" s="82"/>
      <c r="MV47" s="82"/>
      <c r="MW47" s="82"/>
      <c r="MX47" s="82"/>
      <c r="MY47" s="82"/>
      <c r="MZ47" s="82"/>
      <c r="NA47" s="82"/>
      <c r="NB47" s="82"/>
      <c r="NC47" s="82"/>
      <c r="ND47" s="82"/>
      <c r="NE47" s="82"/>
      <c r="NF47" s="82"/>
      <c r="NG47" s="82"/>
      <c r="NH47" s="82"/>
      <c r="NI47" s="82"/>
      <c r="NJ47" s="82"/>
      <c r="NK47" s="82"/>
      <c r="NL47" s="82"/>
      <c r="NM47" s="82"/>
      <c r="NN47" s="82"/>
      <c r="NO47" s="82"/>
      <c r="NP47" s="82"/>
      <c r="NQ47" s="82"/>
      <c r="NR47" s="82"/>
      <c r="NS47" s="82"/>
      <c r="NT47" s="82"/>
      <c r="NU47" s="82"/>
      <c r="NV47" s="82"/>
      <c r="NW47" s="82"/>
      <c r="NX47" s="82"/>
      <c r="NY47" s="82"/>
      <c r="NZ47" s="82"/>
      <c r="OA47" s="82"/>
      <c r="OB47" s="82"/>
      <c r="OC47" s="82"/>
      <c r="OD47" s="82"/>
      <c r="OE47" s="82"/>
      <c r="OF47" s="82"/>
      <c r="OG47" s="82"/>
      <c r="OH47" s="82"/>
      <c r="OI47" s="82"/>
      <c r="OJ47" s="82"/>
      <c r="OK47" s="82"/>
      <c r="OL47" s="82"/>
      <c r="OM47" s="82"/>
      <c r="ON47" s="82"/>
      <c r="OO47" s="82"/>
      <c r="OP47" s="82"/>
      <c r="OQ47" s="82"/>
      <c r="OR47" s="82"/>
      <c r="OS47" s="82"/>
      <c r="OT47" s="82"/>
      <c r="OU47" s="82"/>
      <c r="OV47" s="82"/>
      <c r="OW47" s="82"/>
      <c r="OX47" s="82"/>
      <c r="OY47" s="82"/>
      <c r="OZ47" s="82"/>
      <c r="PA47" s="82"/>
      <c r="PB47" s="82"/>
      <c r="PC47" s="82"/>
      <c r="PD47" s="82"/>
      <c r="PE47" s="82"/>
      <c r="PF47" s="82"/>
      <c r="PG47" s="82"/>
      <c r="PH47" s="82"/>
    </row>
    <row r="48">
      <c r="B48" s="429"/>
      <c r="C48" s="404"/>
      <c r="D48" s="46"/>
      <c r="E48" s="404"/>
      <c r="F48" s="46"/>
      <c r="G48" s="138"/>
      <c r="H48" s="138"/>
      <c r="I48" s="48"/>
      <c r="EP48" s="220"/>
      <c r="EQ48" s="18"/>
      <c r="ER48" s="18"/>
      <c r="ES48" s="18"/>
      <c r="ET48" s="18"/>
      <c r="EU48" s="18"/>
      <c r="EV48" s="18"/>
      <c r="EW48" s="18"/>
      <c r="EX48" s="18"/>
      <c r="EY48" s="18"/>
      <c r="EZ48" s="18"/>
      <c r="FA48" s="18"/>
      <c r="FB48" s="18"/>
      <c r="FC48" s="18"/>
      <c r="FD48" s="18"/>
      <c r="FE48" s="18"/>
      <c r="FF48" s="18"/>
      <c r="FG48" s="18"/>
      <c r="FH48" s="18"/>
      <c r="FI48" s="18"/>
      <c r="FJ48" s="18"/>
      <c r="FK48" s="18"/>
      <c r="FL48" s="18"/>
      <c r="FM48" s="18"/>
      <c r="FN48" s="18"/>
      <c r="FO48" s="18"/>
      <c r="FP48" s="18"/>
      <c r="FQ48" s="18"/>
      <c r="FR48" s="18"/>
      <c r="FS48" s="18"/>
      <c r="FT48" s="18"/>
      <c r="FU48" s="18"/>
      <c r="FV48" s="18"/>
      <c r="FW48" s="18"/>
      <c r="FX48" s="18"/>
      <c r="FY48" s="18"/>
      <c r="FZ48" s="18"/>
      <c r="GA48" s="18"/>
      <c r="GB48" s="18"/>
      <c r="GC48" s="18"/>
      <c r="GD48" s="18"/>
      <c r="GE48" s="18"/>
      <c r="GF48" s="18"/>
      <c r="GG48" s="18"/>
      <c r="GH48" s="18"/>
      <c r="GI48" s="18"/>
      <c r="GJ48" s="18"/>
      <c r="GK48" s="18"/>
      <c r="GL48" s="18"/>
      <c r="GM48" s="18"/>
      <c r="GN48" s="18"/>
      <c r="GO48" s="18"/>
      <c r="GP48" s="18"/>
      <c r="GQ48" s="18"/>
      <c r="GR48" s="18"/>
      <c r="GS48" s="18"/>
      <c r="GT48" s="18"/>
      <c r="GU48" s="18"/>
      <c r="GV48" s="18"/>
      <c r="GW48" s="18"/>
      <c r="GX48" s="18"/>
      <c r="GY48" s="18"/>
      <c r="GZ48" s="18"/>
      <c r="HA48" s="18"/>
      <c r="HB48" s="18"/>
      <c r="HC48" s="18"/>
      <c r="HD48" s="18"/>
      <c r="HE48" s="18"/>
      <c r="HF48" s="18"/>
      <c r="HG48" s="18"/>
      <c r="HH48" s="18"/>
      <c r="HI48" s="18"/>
      <c r="HJ48" s="18"/>
      <c r="HK48" s="18"/>
      <c r="HL48" s="18"/>
      <c r="HM48" s="18"/>
      <c r="HN48" s="18"/>
      <c r="HO48" s="18"/>
      <c r="HP48" s="18"/>
      <c r="HQ48" s="18"/>
      <c r="HR48" s="18"/>
      <c r="HS48" s="18"/>
      <c r="HT48" s="18"/>
      <c r="HU48" s="18"/>
      <c r="HV48" s="18"/>
      <c r="HW48" s="18"/>
      <c r="HX48" s="18"/>
      <c r="HY48" s="18"/>
      <c r="HZ48" s="18"/>
      <c r="IA48" s="18"/>
      <c r="IB48" s="18"/>
      <c r="IC48" s="18"/>
      <c r="ID48" s="18"/>
      <c r="IE48" s="18"/>
      <c r="IF48" s="18"/>
      <c r="IG48" s="18"/>
      <c r="IH48" s="18"/>
      <c r="II48" s="18"/>
      <c r="IJ48" s="18"/>
      <c r="IK48" s="18"/>
      <c r="IL48" s="18"/>
      <c r="IM48" s="18"/>
      <c r="IN48" s="18"/>
      <c r="IO48" s="18"/>
      <c r="IP48" s="18"/>
      <c r="IQ48" s="18"/>
      <c r="IR48" s="18"/>
      <c r="IS48" s="18"/>
      <c r="IT48" s="18"/>
      <c r="IU48" s="18"/>
      <c r="IV48" s="18"/>
      <c r="IW48" s="18"/>
      <c r="IX48" s="18"/>
      <c r="IY48" s="18"/>
      <c r="IZ48" s="18"/>
      <c r="JA48" s="18"/>
      <c r="JB48" s="18"/>
      <c r="JC48" s="18"/>
      <c r="JD48" s="18"/>
      <c r="JE48" s="18"/>
      <c r="JF48" s="18"/>
      <c r="JG48" s="18"/>
      <c r="JH48" s="18"/>
      <c r="JI48" s="18"/>
      <c r="JJ48" s="18"/>
      <c r="JK48" s="18"/>
      <c r="JL48" s="18"/>
      <c r="JM48" s="18"/>
      <c r="JN48" s="18"/>
      <c r="JO48" s="18"/>
      <c r="JP48" s="18"/>
      <c r="JQ48" s="18"/>
      <c r="JR48" s="18"/>
      <c r="JS48" s="18"/>
      <c r="JT48" s="18"/>
      <c r="JU48" s="18"/>
      <c r="JV48" s="18"/>
      <c r="JW48" s="18"/>
      <c r="JX48" s="18"/>
      <c r="JZ48" s="221"/>
      <c r="KA48" s="202"/>
      <c r="KB48" s="20"/>
      <c r="KC48" s="20"/>
      <c r="KD48" s="20"/>
      <c r="KE48" s="82"/>
      <c r="KF48" s="82"/>
      <c r="KG48" s="82"/>
      <c r="KH48" s="82"/>
      <c r="KI48" s="82"/>
      <c r="KJ48" s="82"/>
      <c r="KK48" s="82"/>
      <c r="KL48" s="82"/>
      <c r="KM48" s="82"/>
      <c r="KN48" s="82"/>
      <c r="KO48" s="82"/>
      <c r="KP48" s="82"/>
      <c r="KQ48" s="82"/>
      <c r="KR48" s="82"/>
      <c r="KS48" s="82"/>
      <c r="KT48" s="82"/>
      <c r="KU48" s="82"/>
      <c r="KV48" s="82"/>
      <c r="KW48" s="82"/>
      <c r="KX48" s="82"/>
      <c r="KY48" s="82"/>
      <c r="KZ48" s="82"/>
      <c r="LA48" s="82"/>
      <c r="LB48" s="82"/>
      <c r="LC48" s="82"/>
      <c r="LD48" s="82"/>
      <c r="LE48" s="82"/>
      <c r="LF48" s="82"/>
      <c r="LG48" s="82"/>
      <c r="LH48" s="82"/>
      <c r="LI48" s="82"/>
      <c r="LJ48" s="82"/>
      <c r="LK48" s="82"/>
      <c r="LL48" s="82"/>
      <c r="LM48" s="82"/>
      <c r="LN48" s="82"/>
      <c r="LO48" s="82"/>
      <c r="LP48" s="82"/>
      <c r="LQ48" s="82"/>
      <c r="LR48" s="82"/>
      <c r="LS48" s="82"/>
      <c r="LT48" s="82"/>
      <c r="LU48" s="82"/>
      <c r="LV48" s="82"/>
      <c r="LW48" s="82"/>
      <c r="LX48" s="82"/>
      <c r="LY48" s="82"/>
      <c r="LZ48" s="82"/>
      <c r="MA48" s="82"/>
      <c r="MB48" s="82"/>
      <c r="MC48" s="82"/>
      <c r="MD48" s="82"/>
      <c r="ME48" s="82"/>
      <c r="MF48" s="82"/>
      <c r="MG48" s="82"/>
      <c r="MH48" s="82"/>
      <c r="MI48" s="82"/>
      <c r="MJ48" s="82"/>
      <c r="MK48" s="82"/>
      <c r="ML48" s="82"/>
      <c r="MM48" s="82"/>
      <c r="MN48" s="82"/>
      <c r="MO48" s="82"/>
      <c r="MP48" s="82"/>
      <c r="MQ48" s="82"/>
      <c r="MR48" s="82"/>
      <c r="MS48" s="82"/>
      <c r="MT48" s="82"/>
      <c r="MU48" s="82"/>
      <c r="MV48" s="82"/>
      <c r="MW48" s="82"/>
      <c r="MX48" s="82"/>
      <c r="MY48" s="82"/>
      <c r="MZ48" s="82"/>
      <c r="NA48" s="82"/>
      <c r="NB48" s="82"/>
      <c r="NC48" s="82"/>
      <c r="ND48" s="82"/>
      <c r="NE48" s="82"/>
      <c r="NF48" s="82"/>
      <c r="NG48" s="82"/>
      <c r="NH48" s="82"/>
      <c r="NI48" s="82"/>
      <c r="NJ48" s="82"/>
      <c r="NK48" s="82"/>
      <c r="NL48" s="82"/>
      <c r="NM48" s="82"/>
      <c r="NN48" s="82"/>
      <c r="NO48" s="82"/>
      <c r="NP48" s="82"/>
      <c r="NQ48" s="82"/>
      <c r="NR48" s="82"/>
      <c r="NS48" s="82"/>
      <c r="NT48" s="82"/>
      <c r="NU48" s="82"/>
      <c r="NV48" s="82"/>
      <c r="NW48" s="82"/>
      <c r="NX48" s="82"/>
      <c r="NY48" s="82"/>
      <c r="NZ48" s="82"/>
      <c r="OA48" s="82"/>
      <c r="OB48" s="82"/>
      <c r="OC48" s="82"/>
      <c r="OD48" s="82"/>
      <c r="OE48" s="82"/>
      <c r="OF48" s="82"/>
      <c r="OG48" s="82"/>
      <c r="OH48" s="82"/>
      <c r="OI48" s="82"/>
      <c r="OJ48" s="82"/>
      <c r="OK48" s="82"/>
      <c r="OL48" s="82"/>
      <c r="OM48" s="82"/>
      <c r="ON48" s="82"/>
      <c r="OO48" s="82"/>
      <c r="OP48" s="82"/>
      <c r="OQ48" s="82"/>
      <c r="OR48" s="82"/>
      <c r="OS48" s="82"/>
      <c r="OT48" s="82"/>
      <c r="OU48" s="82"/>
      <c r="OV48" s="82"/>
      <c r="OW48" s="82"/>
      <c r="OX48" s="82"/>
      <c r="OY48" s="82"/>
      <c r="OZ48" s="82"/>
      <c r="PA48" s="82"/>
      <c r="PB48" s="82"/>
      <c r="PC48" s="82"/>
      <c r="PD48" s="82"/>
      <c r="PE48" s="82"/>
      <c r="PF48" s="82"/>
      <c r="PG48" s="82"/>
      <c r="PH48" s="82"/>
    </row>
    <row r="49" s="27" customFormat="1">
      <c r="A49" s="142"/>
      <c r="B49" s="427"/>
      <c r="C49" s="434" t="n">
        <f>+H47+H38+H31</f>
        <v>0</v>
      </c>
      <c r="D49" s="47"/>
      <c r="E49" s="433"/>
      <c r="F49" s="47"/>
      <c r="G49" s="139"/>
      <c r="H49" s="434"/>
      <c r="I49" s="49" t="n">
        <f>+I47+I38+I31</f>
        <v>407488551.28460014</v>
      </c>
      <c r="K49" s="367"/>
      <c r="L49" s="435"/>
      <c r="M49" s="435" t="n">
        <f t="shared" ref="M49:AQ49" si="425">+N47+N38+N31</f>
        <v>170317.57335215877</v>
      </c>
      <c r="N49" s="435">
        <f t="shared" si="425"/>
        <v>557650.6541499208</v>
      </c>
      <c r="O49" s="435">
        <f t="shared" si="425"/>
        <v>1094287.4844426755</v>
      </c>
      <c r="P49" s="435">
        <f t="shared" si="425"/>
        <v>1815120.9716493976</v>
      </c>
      <c r="Q49" s="435">
        <f t="shared" si="425"/>
        <v>2753177.670029392</v>
      </c>
      <c r="R49" s="435">
        <f t="shared" si="425"/>
        <v>3934760.112479771</v>
      </c>
      <c r="S49" s="435">
        <f t="shared" si="425"/>
        <v>5373664.2575455848</v>
      </c>
      <c r="T49" s="435">
        <f t="shared" si="425"/>
        <v>7065163.6515838141</v>
      </c>
      <c r="U49" s="435">
        <f t="shared" si="425"/>
        <v>8980751.963331705</v>
      </c>
      <c r="V49" s="435">
        <f t="shared" si="425"/>
        <v>11064805.605489833</v>
      </c>
      <c r="W49" s="435">
        <f t="shared" si="425"/>
        <v>13234281.137995301</v>
      </c>
      <c r="X49" s="435">
        <f t="shared" si="425"/>
        <v>15382246.512724983</v>
      </c>
      <c r="Y49" s="435">
        <f t="shared" si="425"/>
        <v>17385471.482058503</v>
      </c>
      <c r="Z49" s="435">
        <f t="shared" si="425"/>
        <v>19115556.058013067</v>
      </c>
      <c r="AA49" s="435">
        <f t="shared" si="425"/>
        <v>20452308.068071321</v>
      </c>
      <c r="AB49" s="435">
        <f t="shared" si="425"/>
        <v>21297476.217184056</v>
      </c>
      <c r="AC49" s="435">
        <f t="shared" si="425"/>
        <v>21586672.281520337</v>
      </c>
      <c r="AD49" s="435">
        <f t="shared" si="425"/>
        <v>21297476.217184074</v>
      </c>
      <c r="AE49" s="435">
        <f t="shared" si="425"/>
        <v>20452308.068071283</v>
      </c>
      <c r="AF49" s="435">
        <f t="shared" si="425"/>
        <v>19115556.058013104</v>
      </c>
      <c r="AG49" s="435">
        <f t="shared" si="425"/>
        <v>17385471.482058477</v>
      </c>
      <c r="AH49" s="435">
        <f t="shared" si="425"/>
        <v>15382246.512724983</v>
      </c>
      <c r="AI49" s="435">
        <f t="shared" si="425"/>
        <v>13234281.137995327</v>
      </c>
      <c r="AJ49" s="435">
        <f t="shared" si="425"/>
        <v>11064805.605489803</v>
      </c>
      <c r="AK49" s="435">
        <f t="shared" si="425"/>
        <v>8980751.963331705</v>
      </c>
      <c r="AL49" s="435">
        <f t="shared" si="425"/>
        <v>7065163.6515838383</v>
      </c>
      <c r="AM49" s="435">
        <f t="shared" si="425"/>
        <v>5373664.257545568</v>
      </c>
      <c r="AN49" s="435">
        <f t="shared" si="425"/>
        <v>3934760.112479772</v>
      </c>
      <c r="AO49" s="435">
        <f t="shared" si="425"/>
        <v>2753177.670029406</v>
      </c>
      <c r="AP49" s="435">
        <f t="shared" si="425"/>
        <v>1815120.9716493823</v>
      </c>
      <c r="AQ49" s="435">
        <f t="shared" si="425"/>
        <v>1094287.4844426815</v>
      </c>
      <c r="AR49" s="435" t="n">
        <f t="shared" ref="AR49:BW49" si="426">+AR47+AR38+AR31</f>
        <v>1094287.4844426815</v>
      </c>
      <c r="AS49" s="435">
        <f t="shared" si="426"/>
        <v>557650.6541499017</v>
      </c>
      <c r="AT49" s="435">
        <f t="shared" si="426"/>
        <v>170317.57335218112</v>
      </c>
      <c r="AU49" s="435">
        <f t="shared" si="426"/>
        <v>-100892.82373583224</v>
      </c>
      <c r="AV49" s="435">
        <f t="shared" si="426"/>
        <v>-285207.09482578107</v>
      </c>
      <c r="AW49" s="435">
        <f t="shared" si="426"/>
        <v>0</v>
      </c>
      <c r="AX49" s="435">
        <f t="shared" si="426"/>
        <v>0</v>
      </c>
      <c r="AY49" s="435">
        <f t="shared" si="426"/>
        <v>0</v>
      </c>
      <c r="AZ49" s="435">
        <f t="shared" si="426"/>
        <v>0</v>
      </c>
      <c r="BA49" s="435">
        <f t="shared" si="426"/>
        <v>0</v>
      </c>
      <c r="BB49" s="435">
        <f t="shared" si="426"/>
        <v>0</v>
      </c>
      <c r="BC49" s="435">
        <f t="shared" si="426"/>
        <v>0</v>
      </c>
      <c r="BD49" s="435">
        <f t="shared" si="426"/>
        <v>0</v>
      </c>
      <c r="BE49" s="435">
        <f t="shared" si="426"/>
        <v>0</v>
      </c>
      <c r="BF49" s="435">
        <f t="shared" si="426"/>
        <v>0</v>
      </c>
      <c r="BG49" s="435">
        <f t="shared" si="426"/>
        <v>0</v>
      </c>
      <c r="BH49" s="435">
        <f t="shared" si="426"/>
        <v>0</v>
      </c>
      <c r="BI49" s="435">
        <f t="shared" si="426"/>
        <v>0</v>
      </c>
      <c r="BJ49" s="435">
        <f t="shared" si="426"/>
        <v>0</v>
      </c>
      <c r="BK49" s="435">
        <f t="shared" si="426"/>
        <v>0</v>
      </c>
      <c r="BL49" s="435">
        <f t="shared" si="426"/>
        <v>0</v>
      </c>
      <c r="BM49" s="435">
        <f t="shared" si="426"/>
        <v>0</v>
      </c>
      <c r="BN49" s="435">
        <f t="shared" si="426"/>
        <v>0</v>
      </c>
      <c r="BO49" s="435">
        <f t="shared" si="426"/>
        <v>0</v>
      </c>
      <c r="BP49" s="435">
        <f t="shared" si="426"/>
        <v>0</v>
      </c>
      <c r="BQ49" s="435">
        <f t="shared" si="426"/>
        <v>0</v>
      </c>
      <c r="BR49" s="435">
        <f t="shared" si="426"/>
        <v>0</v>
      </c>
      <c r="BS49" s="435">
        <f t="shared" si="426"/>
        <v>0</v>
      </c>
      <c r="BT49" s="435">
        <f t="shared" si="426"/>
        <v>0</v>
      </c>
      <c r="BU49" s="435">
        <f t="shared" si="426"/>
        <v>0</v>
      </c>
      <c r="BV49" s="435">
        <f t="shared" si="426"/>
        <v>0</v>
      </c>
      <c r="BW49" s="435">
        <f t="shared" si="426"/>
        <v>0</v>
      </c>
      <c r="BX49" s="435" t="n">
        <f t="shared" ref="BX49:DC49" si="427">+BX47+BX38+BX31</f>
        <v>0</v>
      </c>
      <c r="BY49" s="435">
        <f t="shared" si="427"/>
        <v>0</v>
      </c>
      <c r="BZ49" s="435">
        <f t="shared" si="427"/>
        <v>0</v>
      </c>
      <c r="CA49" s="435">
        <f t="shared" si="427"/>
        <v>0</v>
      </c>
      <c r="CB49" s="435">
        <f t="shared" si="427"/>
        <v>0</v>
      </c>
      <c r="CC49" s="435">
        <f t="shared" si="427"/>
        <v>0</v>
      </c>
      <c r="CD49" s="435">
        <f t="shared" si="427"/>
        <v>0</v>
      </c>
      <c r="CE49" s="435">
        <f t="shared" si="427"/>
        <v>0</v>
      </c>
      <c r="CF49" s="435">
        <f t="shared" si="427"/>
        <v>0</v>
      </c>
      <c r="CG49" s="435">
        <f t="shared" si="427"/>
        <v>0</v>
      </c>
      <c r="CH49" s="435">
        <f t="shared" si="427"/>
        <v>0</v>
      </c>
      <c r="CI49" s="435">
        <f t="shared" si="427"/>
        <v>0</v>
      </c>
      <c r="CJ49" s="435">
        <f t="shared" si="427"/>
        <v>0</v>
      </c>
      <c r="CK49" s="435">
        <f t="shared" si="427"/>
        <v>0</v>
      </c>
      <c r="CL49" s="435">
        <f t="shared" si="427"/>
        <v>0</v>
      </c>
      <c r="CM49" s="435">
        <f t="shared" si="427"/>
        <v>0</v>
      </c>
      <c r="CN49" s="435">
        <f t="shared" si="427"/>
        <v>0</v>
      </c>
      <c r="CO49" s="435">
        <f t="shared" si="427"/>
        <v>0</v>
      </c>
      <c r="CP49" s="435">
        <f t="shared" si="427"/>
        <v>0</v>
      </c>
      <c r="CQ49" s="435">
        <f t="shared" si="427"/>
        <v>0</v>
      </c>
      <c r="CR49" s="435">
        <f t="shared" si="427"/>
        <v>0</v>
      </c>
      <c r="CS49" s="435">
        <f t="shared" si="427"/>
        <v>0</v>
      </c>
      <c r="CT49" s="435">
        <f t="shared" si="427"/>
        <v>0</v>
      </c>
      <c r="CU49" s="435">
        <f t="shared" si="427"/>
        <v>0</v>
      </c>
      <c r="CV49" s="435">
        <f t="shared" si="427"/>
        <v>0</v>
      </c>
      <c r="CW49" s="435">
        <f t="shared" si="427"/>
        <v>0</v>
      </c>
      <c r="CX49" s="435">
        <f t="shared" si="427"/>
        <v>0</v>
      </c>
      <c r="CY49" s="435">
        <f t="shared" si="427"/>
        <v>0</v>
      </c>
      <c r="CZ49" s="435">
        <f t="shared" si="427"/>
        <v>0</v>
      </c>
      <c r="DA49" s="435">
        <f t="shared" si="427"/>
        <v>0</v>
      </c>
      <c r="DB49" s="435">
        <f t="shared" si="427"/>
        <v>0</v>
      </c>
      <c r="DC49" s="435">
        <f t="shared" si="427"/>
        <v>0</v>
      </c>
      <c r="DD49" s="435" t="n">
        <f t="shared" ref="DD49:EN49" si="428">+DD47+DD38+DD31</f>
        <v>0</v>
      </c>
      <c r="DE49" s="435">
        <f t="shared" si="428"/>
        <v>0</v>
      </c>
      <c r="DF49" s="435">
        <f t="shared" si="428"/>
        <v>0</v>
      </c>
      <c r="DG49" s="435">
        <f t="shared" si="428"/>
        <v>0</v>
      </c>
      <c r="DH49" s="435">
        <f t="shared" si="428"/>
        <v>0</v>
      </c>
      <c r="DI49" s="435">
        <f t="shared" si="428"/>
        <v>0</v>
      </c>
      <c r="DJ49" s="435">
        <f t="shared" si="428"/>
        <v>0</v>
      </c>
      <c r="DK49" s="435">
        <f t="shared" si="428"/>
        <v>0</v>
      </c>
      <c r="DL49" s="435">
        <f t="shared" si="428"/>
        <v>0</v>
      </c>
      <c r="DM49" s="435">
        <f t="shared" si="428"/>
        <v>0</v>
      </c>
      <c r="DN49" s="435">
        <f t="shared" si="428"/>
        <v>0</v>
      </c>
      <c r="DO49" s="435">
        <f t="shared" si="428"/>
        <v>0</v>
      </c>
      <c r="DP49" s="435">
        <f t="shared" si="428"/>
        <v>0</v>
      </c>
      <c r="DQ49" s="435">
        <f t="shared" si="428"/>
        <v>0</v>
      </c>
      <c r="DR49" s="435">
        <f t="shared" si="428"/>
        <v>0</v>
      </c>
      <c r="DS49" s="435">
        <f t="shared" si="428"/>
        <v>0</v>
      </c>
      <c r="DT49" s="435">
        <f t="shared" si="428"/>
        <v>0</v>
      </c>
      <c r="DU49" s="435">
        <f t="shared" si="428"/>
        <v>0</v>
      </c>
      <c r="DV49" s="435">
        <f t="shared" si="428"/>
        <v>0</v>
      </c>
      <c r="DW49" s="435">
        <f t="shared" si="428"/>
        <v>0</v>
      </c>
      <c r="DX49" s="435">
        <f t="shared" si="428"/>
        <v>0</v>
      </c>
      <c r="DY49" s="435">
        <f t="shared" si="428"/>
        <v>0</v>
      </c>
      <c r="DZ49" s="435">
        <f t="shared" si="428"/>
        <v>0</v>
      </c>
      <c r="EA49" s="435">
        <f t="shared" si="428"/>
        <v>0</v>
      </c>
      <c r="EB49" s="435">
        <f t="shared" si="428"/>
        <v>0</v>
      </c>
      <c r="EC49" s="435">
        <f t="shared" si="428"/>
        <v>0</v>
      </c>
      <c r="ED49" s="435">
        <f t="shared" si="428"/>
        <v>0</v>
      </c>
      <c r="EE49" s="435">
        <f t="shared" si="428"/>
        <v>0</v>
      </c>
      <c r="EF49" s="435">
        <f t="shared" si="428"/>
        <v>0</v>
      </c>
      <c r="EG49" s="435">
        <f t="shared" si="428"/>
        <v>0</v>
      </c>
      <c r="EH49" s="435">
        <f t="shared" si="428"/>
        <v>0</v>
      </c>
      <c r="EI49" s="435">
        <f t="shared" si="428"/>
        <v>0</v>
      </c>
      <c r="EJ49" s="435">
        <f t="shared" si="428"/>
        <v>0</v>
      </c>
      <c r="EK49" s="435">
        <f t="shared" si="428"/>
        <v>0</v>
      </c>
      <c r="EL49" s="435">
        <f t="shared" si="428"/>
        <v>0</v>
      </c>
      <c r="EM49" s="435">
        <f t="shared" si="428"/>
        <v>0</v>
      </c>
      <c r="EN49" s="435">
        <f t="shared" si="428"/>
        <v>0</v>
      </c>
      <c r="EO49" s="367"/>
      <c r="EP49" s="436"/>
      <c r="EQ49" s="437"/>
      <c r="ER49" s="437"/>
      <c r="ES49" s="437"/>
      <c r="ET49" s="437"/>
      <c r="EU49" s="437"/>
      <c r="EV49" s="437"/>
      <c r="EW49" s="437"/>
      <c r="EX49" s="437"/>
      <c r="EY49" s="437"/>
      <c r="EZ49" s="437"/>
      <c r="FA49" s="437"/>
      <c r="FB49" s="437"/>
      <c r="FC49" s="437"/>
      <c r="FD49" s="437"/>
      <c r="FE49" s="437"/>
      <c r="FF49" s="437"/>
      <c r="FG49" s="437"/>
      <c r="FH49" s="437"/>
      <c r="FI49" s="437"/>
      <c r="FJ49" s="437"/>
      <c r="FK49" s="437"/>
      <c r="FL49" s="437"/>
      <c r="FM49" s="437"/>
      <c r="FN49" s="437"/>
      <c r="FO49" s="437"/>
      <c r="FP49" s="437"/>
      <c r="FQ49" s="437"/>
      <c r="FR49" s="437"/>
      <c r="FS49" s="437"/>
      <c r="FT49" s="437"/>
      <c r="FU49" s="437"/>
      <c r="FV49" s="437"/>
      <c r="FW49" s="437"/>
      <c r="FX49" s="437"/>
      <c r="FY49" s="437"/>
      <c r="FZ49" s="437"/>
      <c r="GA49" s="437"/>
      <c r="GB49" s="437"/>
      <c r="GC49" s="437"/>
      <c r="GD49" s="437"/>
      <c r="GE49" s="437"/>
      <c r="GF49" s="437"/>
      <c r="GG49" s="437"/>
      <c r="GH49" s="437"/>
      <c r="GI49" s="437"/>
      <c r="GJ49" s="437"/>
      <c r="GK49" s="437"/>
      <c r="GL49" s="437"/>
      <c r="GM49" s="437"/>
      <c r="GN49" s="437"/>
      <c r="GO49" s="437"/>
      <c r="GP49" s="437"/>
      <c r="GQ49" s="437"/>
      <c r="GR49" s="437"/>
      <c r="GS49" s="437"/>
      <c r="GT49" s="437"/>
      <c r="GU49" s="437"/>
      <c r="GV49" s="437"/>
      <c r="GW49" s="437"/>
      <c r="GX49" s="437"/>
      <c r="GY49" s="437"/>
      <c r="GZ49" s="437"/>
      <c r="HA49" s="437"/>
      <c r="HB49" s="437"/>
      <c r="HC49" s="437"/>
      <c r="HD49" s="437"/>
      <c r="HE49" s="437"/>
      <c r="HF49" s="437"/>
      <c r="HG49" s="437"/>
      <c r="HH49" s="437"/>
      <c r="HI49" s="437"/>
      <c r="HJ49" s="437"/>
      <c r="HK49" s="437"/>
      <c r="HL49" s="437"/>
      <c r="HM49" s="437"/>
      <c r="HN49" s="437"/>
      <c r="HO49" s="437"/>
      <c r="HP49" s="437"/>
      <c r="HQ49" s="437"/>
      <c r="HR49" s="437"/>
      <c r="HS49" s="437"/>
      <c r="HT49" s="437"/>
      <c r="HU49" s="437"/>
      <c r="HV49" s="437"/>
      <c r="HW49" s="437"/>
      <c r="HX49" s="437"/>
      <c r="HY49" s="437"/>
      <c r="HZ49" s="437"/>
      <c r="IA49" s="437"/>
      <c r="IB49" s="437"/>
      <c r="IC49" s="437"/>
      <c r="ID49" s="437"/>
      <c r="IE49" s="437"/>
      <c r="IF49" s="437"/>
      <c r="IG49" s="437"/>
      <c r="IH49" s="437"/>
      <c r="II49" s="437"/>
      <c r="IJ49" s="437"/>
      <c r="IK49" s="437"/>
      <c r="IL49" s="437"/>
      <c r="IM49" s="437"/>
      <c r="IN49" s="437"/>
      <c r="IO49" s="437"/>
      <c r="IP49" s="437"/>
      <c r="IQ49" s="437"/>
      <c r="IR49" s="437"/>
      <c r="IS49" s="437"/>
      <c r="IT49" s="437"/>
      <c r="IU49" s="437"/>
      <c r="IV49" s="437"/>
      <c r="IW49" s="437"/>
      <c r="IX49" s="437"/>
      <c r="IY49" s="437"/>
      <c r="IZ49" s="437"/>
      <c r="JA49" s="437"/>
      <c r="JB49" s="437"/>
      <c r="JC49" s="437"/>
      <c r="JD49" s="437"/>
      <c r="JE49" s="437"/>
      <c r="JF49" s="437"/>
      <c r="JG49" s="437"/>
      <c r="JH49" s="437"/>
      <c r="JI49" s="437"/>
      <c r="JJ49" s="437"/>
      <c r="JK49" s="437"/>
      <c r="JL49" s="437"/>
      <c r="JM49" s="437"/>
      <c r="JN49" s="437"/>
      <c r="JO49" s="437"/>
      <c r="JP49" s="437"/>
      <c r="JQ49" s="437"/>
      <c r="JR49" s="437"/>
      <c r="JS49" s="437"/>
      <c r="JT49" s="437"/>
      <c r="JU49" s="437"/>
      <c r="JV49" s="437"/>
      <c r="JW49" s="437"/>
      <c r="JX49" s="437"/>
      <c r="JZ49" s="221"/>
      <c r="KA49" s="202"/>
      <c r="KB49" s="20"/>
      <c r="KC49" s="20"/>
      <c r="KD49" s="20"/>
      <c r="KE49" s="82"/>
      <c r="KF49" s="82"/>
      <c r="KG49" s="82"/>
      <c r="KH49" s="82"/>
      <c r="KI49" s="82"/>
      <c r="KJ49" s="82"/>
      <c r="KK49" s="82"/>
      <c r="KL49" s="82"/>
      <c r="KM49" s="82"/>
      <c r="KN49" s="82"/>
      <c r="KO49" s="82"/>
      <c r="KP49" s="82"/>
      <c r="KQ49" s="82"/>
      <c r="KR49" s="82"/>
      <c r="KS49" s="82"/>
      <c r="KT49" s="82"/>
      <c r="KU49" s="82"/>
      <c r="KV49" s="82"/>
      <c r="KW49" s="82"/>
      <c r="KX49" s="82"/>
      <c r="KY49" s="82"/>
      <c r="KZ49" s="82"/>
      <c r="LA49" s="82"/>
      <c r="LB49" s="82"/>
      <c r="LC49" s="82"/>
      <c r="LD49" s="82"/>
      <c r="LE49" s="82"/>
      <c r="LF49" s="82"/>
      <c r="LG49" s="82"/>
      <c r="LH49" s="82"/>
      <c r="LI49" s="82"/>
      <c r="LJ49" s="82"/>
      <c r="LK49" s="82"/>
      <c r="LL49" s="82"/>
      <c r="LM49" s="82"/>
      <c r="LN49" s="82"/>
      <c r="LO49" s="82"/>
      <c r="LP49" s="82"/>
      <c r="LQ49" s="82"/>
      <c r="LR49" s="82"/>
      <c r="LS49" s="82"/>
      <c r="LT49" s="82"/>
      <c r="LU49" s="82"/>
      <c r="LV49" s="82"/>
      <c r="LW49" s="82"/>
      <c r="LX49" s="82"/>
      <c r="LY49" s="82"/>
      <c r="LZ49" s="82"/>
      <c r="MA49" s="82"/>
      <c r="MB49" s="82"/>
      <c r="MC49" s="82"/>
      <c r="MD49" s="82"/>
      <c r="ME49" s="82"/>
      <c r="MF49" s="82"/>
      <c r="MG49" s="82"/>
      <c r="MH49" s="82"/>
      <c r="MI49" s="82"/>
      <c r="MJ49" s="82"/>
      <c r="MK49" s="82"/>
      <c r="ML49" s="82"/>
      <c r="MM49" s="82"/>
      <c r="MN49" s="82"/>
      <c r="MO49" s="82"/>
      <c r="MP49" s="82"/>
      <c r="MQ49" s="82"/>
      <c r="MR49" s="82"/>
      <c r="MS49" s="82"/>
      <c r="MT49" s="82"/>
      <c r="MU49" s="82"/>
      <c r="MV49" s="82"/>
      <c r="MW49" s="82"/>
      <c r="MX49" s="82"/>
      <c r="MY49" s="82"/>
      <c r="MZ49" s="82"/>
      <c r="NA49" s="82"/>
      <c r="NB49" s="82"/>
      <c r="NC49" s="82"/>
      <c r="ND49" s="82"/>
      <c r="NE49" s="82"/>
      <c r="NF49" s="82"/>
      <c r="NG49" s="82"/>
      <c r="NH49" s="82"/>
      <c r="NI49" s="82"/>
      <c r="NJ49" s="82"/>
      <c r="NK49" s="82"/>
      <c r="NL49" s="82"/>
      <c r="NM49" s="82"/>
      <c r="NN49" s="82"/>
      <c r="NO49" s="82"/>
      <c r="NP49" s="82"/>
      <c r="NQ49" s="82"/>
      <c r="NR49" s="82"/>
      <c r="NS49" s="82"/>
      <c r="NT49" s="82"/>
      <c r="NU49" s="82"/>
      <c r="NV49" s="82"/>
      <c r="NW49" s="82"/>
      <c r="NX49" s="82"/>
      <c r="NY49" s="82"/>
      <c r="NZ49" s="82"/>
      <c r="OA49" s="82"/>
      <c r="OB49" s="82"/>
      <c r="OC49" s="82"/>
      <c r="OD49" s="82"/>
      <c r="OE49" s="82"/>
      <c r="OF49" s="82"/>
      <c r="OG49" s="82"/>
      <c r="OH49" s="82"/>
      <c r="OI49" s="82"/>
      <c r="OJ49" s="82"/>
      <c r="OK49" s="82"/>
      <c r="OL49" s="82"/>
      <c r="OM49" s="82"/>
      <c r="ON49" s="82"/>
      <c r="OO49" s="82"/>
      <c r="OP49" s="82"/>
      <c r="OQ49" s="82"/>
      <c r="OR49" s="82"/>
      <c r="OS49" s="82"/>
      <c r="OT49" s="82"/>
      <c r="OU49" s="82"/>
      <c r="OV49" s="82"/>
      <c r="OW49" s="82"/>
      <c r="OX49" s="82"/>
      <c r="OY49" s="82"/>
      <c r="OZ49" s="82"/>
      <c r="PA49" s="82"/>
      <c r="PB49" s="82"/>
      <c r="PC49" s="82"/>
      <c r="PD49" s="82"/>
      <c r="PE49" s="82"/>
      <c r="PF49" s="82"/>
      <c r="PG49" s="82"/>
      <c r="PH49" s="82"/>
    </row>
    <row r="50">
      <c r="B50" s="429"/>
      <c r="C50" s="404"/>
      <c r="D50" s="46"/>
      <c r="E50" s="404"/>
      <c r="F50" s="46"/>
      <c r="G50" s="138"/>
      <c r="H50" s="138"/>
      <c r="I50" s="48"/>
      <c r="EP50" s="220"/>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Z50" s="221"/>
      <c r="KA50" s="202"/>
      <c r="KB50" s="20"/>
      <c r="KC50" s="20"/>
      <c r="KD50" s="20"/>
      <c r="KE50" s="82"/>
      <c r="KF50" s="82"/>
      <c r="KG50" s="82"/>
      <c r="KH50" s="82"/>
      <c r="KI50" s="82"/>
      <c r="KJ50" s="82"/>
      <c r="KK50" s="82"/>
      <c r="KL50" s="82"/>
      <c r="KM50" s="82"/>
      <c r="KN50" s="82"/>
      <c r="KO50" s="82"/>
      <c r="KP50" s="82"/>
      <c r="KQ50" s="82"/>
      <c r="KR50" s="82"/>
      <c r="KS50" s="82"/>
      <c r="KT50" s="82"/>
      <c r="KU50" s="82"/>
      <c r="KV50" s="82"/>
      <c r="KW50" s="82"/>
      <c r="KX50" s="82"/>
      <c r="KY50" s="82"/>
      <c r="KZ50" s="82"/>
      <c r="LA50" s="82"/>
      <c r="LB50" s="82"/>
      <c r="LC50" s="82"/>
      <c r="LD50" s="82"/>
      <c r="LE50" s="82"/>
      <c r="LF50" s="82"/>
      <c r="LG50" s="82"/>
      <c r="LH50" s="82"/>
      <c r="LI50" s="82"/>
      <c r="LJ50" s="82"/>
      <c r="LK50" s="82"/>
      <c r="LL50" s="82"/>
      <c r="LM50" s="82"/>
      <c r="LN50" s="82"/>
      <c r="LO50" s="82"/>
      <c r="LP50" s="82"/>
      <c r="LQ50" s="82"/>
      <c r="LR50" s="82"/>
      <c r="LS50" s="82"/>
      <c r="LT50" s="82"/>
      <c r="LU50" s="82"/>
      <c r="LV50" s="82"/>
      <c r="LW50" s="82"/>
      <c r="LX50" s="82"/>
      <c r="LY50" s="82"/>
      <c r="LZ50" s="82"/>
      <c r="MA50" s="82"/>
      <c r="MB50" s="82"/>
      <c r="MC50" s="82"/>
      <c r="MD50" s="82"/>
      <c r="ME50" s="82"/>
      <c r="MF50" s="82"/>
      <c r="MG50" s="82"/>
      <c r="MH50" s="82"/>
      <c r="MI50" s="82"/>
      <c r="MJ50" s="82"/>
      <c r="MK50" s="82"/>
      <c r="ML50" s="82"/>
      <c r="MM50" s="82"/>
      <c r="MN50" s="82"/>
      <c r="MO50" s="82"/>
      <c r="MP50" s="82"/>
      <c r="MQ50" s="82"/>
      <c r="MR50" s="82"/>
      <c r="MS50" s="82"/>
      <c r="MT50" s="82"/>
      <c r="MU50" s="82"/>
      <c r="MV50" s="82"/>
      <c r="MW50" s="82"/>
      <c r="MX50" s="82"/>
      <c r="MY50" s="82"/>
      <c r="MZ50" s="82"/>
      <c r="NA50" s="82"/>
      <c r="NB50" s="82"/>
      <c r="NC50" s="82"/>
      <c r="ND50" s="82"/>
      <c r="NE50" s="82"/>
      <c r="NF50" s="82"/>
      <c r="NG50" s="82"/>
      <c r="NH50" s="82"/>
      <c r="NI50" s="82"/>
      <c r="NJ50" s="82"/>
      <c r="NK50" s="82"/>
      <c r="NL50" s="82"/>
      <c r="NM50" s="82"/>
      <c r="NN50" s="82"/>
      <c r="NO50" s="82"/>
      <c r="NP50" s="82"/>
      <c r="NQ50" s="82"/>
      <c r="NR50" s="82"/>
      <c r="NS50" s="82"/>
      <c r="NT50" s="82"/>
      <c r="NU50" s="82"/>
      <c r="NV50" s="82"/>
      <c r="NW50" s="82"/>
      <c r="NX50" s="82"/>
      <c r="NY50" s="82"/>
      <c r="NZ50" s="82"/>
      <c r="OA50" s="82"/>
      <c r="OB50" s="82"/>
      <c r="OC50" s="82"/>
      <c r="OD50" s="82"/>
      <c r="OE50" s="82"/>
      <c r="OF50" s="82"/>
      <c r="OG50" s="82"/>
      <c r="OH50" s="82"/>
      <c r="OI50" s="82"/>
      <c r="OJ50" s="82"/>
      <c r="OK50" s="82"/>
      <c r="OL50" s="82"/>
      <c r="OM50" s="82"/>
      <c r="ON50" s="82"/>
      <c r="OO50" s="82"/>
      <c r="OP50" s="82"/>
      <c r="OQ50" s="82"/>
      <c r="OR50" s="82"/>
      <c r="OS50" s="82"/>
      <c r="OT50" s="82"/>
      <c r="OU50" s="82"/>
      <c r="OV50" s="82"/>
      <c r="OW50" s="82"/>
      <c r="OX50" s="82"/>
      <c r="OY50" s="82"/>
      <c r="OZ50" s="82"/>
      <c r="PA50" s="82"/>
      <c r="PB50" s="82"/>
      <c r="PC50" s="82"/>
      <c r="PD50" s="82"/>
      <c r="PE50" s="82"/>
      <c r="PF50" s="82"/>
      <c r="PG50" s="82"/>
      <c r="PH50" s="82"/>
    </row>
    <row r="51">
      <c r="B51" s="427"/>
      <c r="C51" s="404">
        <v>124</v>
      </c>
      <c r="D51" s="46"/>
      <c r="E51" s="404"/>
      <c r="F51" s="259"/>
      <c r="G51" s="138">
        <v>125</v>
      </c>
      <c r="H51" s="138"/>
      <c r="I51" s="48"/>
      <c r="EP51" s="222" t="s">
        <v>152</v>
      </c>
      <c r="EQ51" s="18"/>
      <c r="ER51" s="18"/>
      <c r="ES51" s="18"/>
      <c r="ET51" s="18"/>
      <c r="EU51" s="414" t="s">
        <v>153</v>
      </c>
      <c r="EV51" s="204" t="n">
        <f t="shared" ref="EV51:GA51" si="429">EV3</f>
        <v>0</v>
      </c>
      <c r="EW51" s="204">
        <f t="shared" si="429"/>
        <v>1</v>
      </c>
      <c r="EX51" s="204">
        <f t="shared" si="429"/>
        <v>2</v>
      </c>
      <c r="EY51" s="204">
        <f t="shared" si="429"/>
        <v>3</v>
      </c>
      <c r="EZ51" s="204">
        <f t="shared" si="429"/>
        <v>4</v>
      </c>
      <c r="FA51" s="204">
        <f t="shared" si="429"/>
        <v>5</v>
      </c>
      <c r="FB51" s="204">
        <f t="shared" si="429"/>
        <v>6</v>
      </c>
      <c r="FC51" s="204">
        <f t="shared" si="429"/>
        <v>7</v>
      </c>
      <c r="FD51" s="204">
        <f t="shared" si="429"/>
        <v>8</v>
      </c>
      <c r="FE51" s="204">
        <f t="shared" si="429"/>
        <v>9</v>
      </c>
      <c r="FF51" s="204">
        <f t="shared" si="429"/>
        <v>10</v>
      </c>
      <c r="FG51" s="204">
        <f t="shared" si="429"/>
        <v>11</v>
      </c>
      <c r="FH51" s="204">
        <f t="shared" si="429"/>
        <v>12</v>
      </c>
      <c r="FI51" s="204">
        <f t="shared" si="429"/>
        <v>13</v>
      </c>
      <c r="FJ51" s="204">
        <f t="shared" si="429"/>
        <v>14</v>
      </c>
      <c r="FK51" s="204">
        <f t="shared" si="429"/>
        <v>15</v>
      </c>
      <c r="FL51" s="204">
        <f t="shared" si="429"/>
        <v>16</v>
      </c>
      <c r="FM51" s="204">
        <f t="shared" si="429"/>
        <v>17</v>
      </c>
      <c r="FN51" s="204">
        <f t="shared" si="429"/>
        <v>18</v>
      </c>
      <c r="FO51" s="204">
        <f t="shared" si="429"/>
        <v>19</v>
      </c>
      <c r="FP51" s="204">
        <f t="shared" si="429"/>
        <v>20</v>
      </c>
      <c r="FQ51" s="204">
        <f t="shared" si="429"/>
        <v>21</v>
      </c>
      <c r="FR51" s="204">
        <f t="shared" si="429"/>
        <v>22</v>
      </c>
      <c r="FS51" s="204">
        <f t="shared" si="429"/>
        <v>23</v>
      </c>
      <c r="FT51" s="204">
        <f t="shared" si="429"/>
        <v>24</v>
      </c>
      <c r="FU51" s="204">
        <f t="shared" si="429"/>
        <v>25</v>
      </c>
      <c r="FV51" s="204">
        <f t="shared" si="429"/>
        <v>26</v>
      </c>
      <c r="FW51" s="204">
        <f t="shared" si="429"/>
        <v>27</v>
      </c>
      <c r="FX51" s="204">
        <f t="shared" si="429"/>
        <v>28</v>
      </c>
      <c r="FY51" s="204">
        <f t="shared" si="429"/>
        <v>29</v>
      </c>
      <c r="FZ51" s="204">
        <f t="shared" si="429"/>
        <v>30</v>
      </c>
      <c r="GA51" s="204">
        <f t="shared" si="429"/>
        <v>31</v>
      </c>
      <c r="GB51" s="204" t="n">
        <f t="shared" ref="GB51:HG51" si="430">GB3</f>
        <v>32</v>
      </c>
      <c r="GC51" s="204">
        <f t="shared" si="430"/>
        <v>33</v>
      </c>
      <c r="GD51" s="204">
        <f t="shared" si="430"/>
        <v>34</v>
      </c>
      <c r="GE51" s="204">
        <f t="shared" si="430"/>
        <v>35</v>
      </c>
      <c r="GF51" s="204">
        <f t="shared" si="430"/>
        <v>36</v>
      </c>
      <c r="GG51" s="204">
        <f t="shared" si="430"/>
        <v>37</v>
      </c>
      <c r="GH51" s="204">
        <f t="shared" si="430"/>
        <v>38</v>
      </c>
      <c r="GI51" s="204">
        <f t="shared" si="430"/>
        <v>39</v>
      </c>
      <c r="GJ51" s="204">
        <f t="shared" si="430"/>
        <v>40</v>
      </c>
      <c r="GK51" s="204">
        <f t="shared" si="430"/>
        <v>41</v>
      </c>
      <c r="GL51" s="204">
        <f t="shared" si="430"/>
        <v>42</v>
      </c>
      <c r="GM51" s="204">
        <f t="shared" si="430"/>
        <v>43</v>
      </c>
      <c r="GN51" s="204">
        <f t="shared" si="430"/>
        <v>44</v>
      </c>
      <c r="GO51" s="204">
        <f t="shared" si="430"/>
        <v>45</v>
      </c>
      <c r="GP51" s="204">
        <f t="shared" si="430"/>
        <v>46</v>
      </c>
      <c r="GQ51" s="204">
        <f t="shared" si="430"/>
        <v>47</v>
      </c>
      <c r="GR51" s="204">
        <f t="shared" si="430"/>
        <v>48</v>
      </c>
      <c r="GS51" s="204">
        <f t="shared" si="430"/>
        <v>49</v>
      </c>
      <c r="GT51" s="204">
        <f t="shared" si="430"/>
        <v>50</v>
      </c>
      <c r="GU51" s="204">
        <f t="shared" si="430"/>
        <v>51</v>
      </c>
      <c r="GV51" s="204">
        <f t="shared" si="430"/>
        <v>52</v>
      </c>
      <c r="GW51" s="204">
        <f t="shared" si="430"/>
        <v>53</v>
      </c>
      <c r="GX51" s="204">
        <f t="shared" si="430"/>
        <v>54</v>
      </c>
      <c r="GY51" s="204">
        <f t="shared" si="430"/>
        <v>55</v>
      </c>
      <c r="GZ51" s="204">
        <f t="shared" si="430"/>
        <v>56</v>
      </c>
      <c r="HA51" s="204">
        <f t="shared" si="430"/>
        <v>57</v>
      </c>
      <c r="HB51" s="204">
        <f t="shared" si="430"/>
        <v>58</v>
      </c>
      <c r="HC51" s="204">
        <f t="shared" si="430"/>
        <v>59</v>
      </c>
      <c r="HD51" s="204">
        <f t="shared" si="430"/>
        <v>60</v>
      </c>
      <c r="HE51" s="204">
        <f t="shared" si="430"/>
        <v>61</v>
      </c>
      <c r="HF51" s="204">
        <f t="shared" si="430"/>
        <v>62</v>
      </c>
      <c r="HG51" s="204">
        <f t="shared" si="430"/>
        <v>63</v>
      </c>
      <c r="HH51" s="204" t="n">
        <f t="shared" ref="HH51:IM51" si="431">HH3</f>
        <v>64</v>
      </c>
      <c r="HI51" s="204">
        <f t="shared" si="431"/>
        <v>65</v>
      </c>
      <c r="HJ51" s="204">
        <f t="shared" si="431"/>
        <v>66</v>
      </c>
      <c r="HK51" s="204">
        <f t="shared" si="431"/>
        <v>67</v>
      </c>
      <c r="HL51" s="204">
        <f t="shared" si="431"/>
        <v>68</v>
      </c>
      <c r="HM51" s="204">
        <f t="shared" si="431"/>
        <v>69</v>
      </c>
      <c r="HN51" s="204">
        <f t="shared" si="431"/>
        <v>70</v>
      </c>
      <c r="HO51" s="204">
        <f t="shared" si="431"/>
        <v>71</v>
      </c>
      <c r="HP51" s="204">
        <f t="shared" si="431"/>
        <v>72</v>
      </c>
      <c r="HQ51" s="204">
        <f t="shared" si="431"/>
        <v>73</v>
      </c>
      <c r="HR51" s="204">
        <f t="shared" si="431"/>
        <v>74</v>
      </c>
      <c r="HS51" s="204">
        <f t="shared" si="431"/>
        <v>75</v>
      </c>
      <c r="HT51" s="204">
        <f t="shared" si="431"/>
        <v>76</v>
      </c>
      <c r="HU51" s="204">
        <f t="shared" si="431"/>
        <v>77</v>
      </c>
      <c r="HV51" s="204">
        <f t="shared" si="431"/>
        <v>78</v>
      </c>
      <c r="HW51" s="204">
        <f t="shared" si="431"/>
        <v>79</v>
      </c>
      <c r="HX51" s="204">
        <f t="shared" si="431"/>
        <v>80</v>
      </c>
      <c r="HY51" s="204">
        <f t="shared" si="431"/>
        <v>81</v>
      </c>
      <c r="HZ51" s="204">
        <f t="shared" si="431"/>
        <v>82</v>
      </c>
      <c r="IA51" s="204">
        <f t="shared" si="431"/>
        <v>83</v>
      </c>
      <c r="IB51" s="204">
        <f t="shared" si="431"/>
        <v>84</v>
      </c>
      <c r="IC51" s="204">
        <f t="shared" si="431"/>
        <v>85</v>
      </c>
      <c r="ID51" s="204">
        <f t="shared" si="431"/>
        <v>86</v>
      </c>
      <c r="IE51" s="204">
        <f t="shared" si="431"/>
        <v>87</v>
      </c>
      <c r="IF51" s="204">
        <f t="shared" si="431"/>
        <v>88</v>
      </c>
      <c r="IG51" s="204">
        <f t="shared" si="431"/>
        <v>89</v>
      </c>
      <c r="IH51" s="204">
        <f t="shared" si="431"/>
        <v>90</v>
      </c>
      <c r="II51" s="204">
        <f t="shared" si="431"/>
        <v>91</v>
      </c>
      <c r="IJ51" s="204">
        <f t="shared" si="431"/>
        <v>92</v>
      </c>
      <c r="IK51" s="204">
        <f t="shared" si="431"/>
        <v>93</v>
      </c>
      <c r="IL51" s="204">
        <f t="shared" si="431"/>
        <v>94</v>
      </c>
      <c r="IM51" s="204">
        <f t="shared" si="431"/>
        <v>95</v>
      </c>
      <c r="IN51" s="204" t="n">
        <f t="shared" ref="IN51:JX51" si="432">IN3</f>
        <v>96</v>
      </c>
      <c r="IO51" s="204">
        <f t="shared" si="432"/>
        <v>97</v>
      </c>
      <c r="IP51" s="204">
        <f t="shared" si="432"/>
        <v>98</v>
      </c>
      <c r="IQ51" s="204">
        <f t="shared" si="432"/>
        <v>99</v>
      </c>
      <c r="IR51" s="204">
        <f t="shared" si="432"/>
        <v>100</v>
      </c>
      <c r="IS51" s="204">
        <f t="shared" si="432"/>
        <v>101</v>
      </c>
      <c r="IT51" s="204">
        <f t="shared" si="432"/>
        <v>102</v>
      </c>
      <c r="IU51" s="204">
        <f t="shared" si="432"/>
        <v>103</v>
      </c>
      <c r="IV51" s="204">
        <f t="shared" si="432"/>
        <v>104</v>
      </c>
      <c r="IW51" s="204">
        <f t="shared" si="432"/>
        <v>105</v>
      </c>
      <c r="IX51" s="204">
        <f t="shared" si="432"/>
        <v>106</v>
      </c>
      <c r="IY51" s="204">
        <f t="shared" si="432"/>
        <v>107</v>
      </c>
      <c r="IZ51" s="204">
        <f t="shared" si="432"/>
        <v>108</v>
      </c>
      <c r="JA51" s="204">
        <f t="shared" si="432"/>
        <v>109</v>
      </c>
      <c r="JB51" s="204">
        <f t="shared" si="432"/>
        <v>110</v>
      </c>
      <c r="JC51" s="204">
        <f t="shared" si="432"/>
        <v>111</v>
      </c>
      <c r="JD51" s="204">
        <f t="shared" si="432"/>
        <v>112</v>
      </c>
      <c r="JE51" s="204">
        <f t="shared" si="432"/>
        <v>113</v>
      </c>
      <c r="JF51" s="204">
        <f t="shared" si="432"/>
        <v>114</v>
      </c>
      <c r="JG51" s="204">
        <f t="shared" si="432"/>
        <v>115</v>
      </c>
      <c r="JH51" s="204">
        <f t="shared" si="432"/>
        <v>116</v>
      </c>
      <c r="JI51" s="204">
        <f t="shared" si="432"/>
        <v>117</v>
      </c>
      <c r="JJ51" s="204">
        <f t="shared" si="432"/>
        <v>118</v>
      </c>
      <c r="JK51" s="204">
        <f t="shared" si="432"/>
        <v>119</v>
      </c>
      <c r="JL51" s="204">
        <f t="shared" si="432"/>
        <v>120</v>
      </c>
      <c r="JM51" s="204">
        <f t="shared" si="432"/>
        <v>121</v>
      </c>
      <c r="JN51" s="204">
        <f t="shared" si="432"/>
        <v>122</v>
      </c>
      <c r="JO51" s="204">
        <f t="shared" si="432"/>
        <v>123</v>
      </c>
      <c r="JP51" s="204">
        <f t="shared" si="432"/>
        <v>124</v>
      </c>
      <c r="JQ51" s="204">
        <f t="shared" si="432"/>
        <v>125</v>
      </c>
      <c r="JR51" s="204">
        <f t="shared" si="432"/>
        <v>126</v>
      </c>
      <c r="JS51" s="204">
        <f t="shared" si="432"/>
        <v>127</v>
      </c>
      <c r="JT51" s="204">
        <f t="shared" si="432"/>
        <v>128</v>
      </c>
      <c r="JU51" s="204">
        <f t="shared" si="432"/>
        <v>129</v>
      </c>
      <c r="JV51" s="204">
        <f t="shared" si="432"/>
        <v>130</v>
      </c>
      <c r="JW51" s="204">
        <f t="shared" si="432"/>
        <v>131</v>
      </c>
      <c r="JX51" s="204">
        <f t="shared" si="432"/>
        <v>132</v>
      </c>
      <c r="JZ51" s="221"/>
      <c r="KA51" s="202"/>
      <c r="KB51" s="20"/>
      <c r="KC51" s="20"/>
      <c r="KD51" s="20"/>
      <c r="KE51" s="82"/>
      <c r="KF51" s="82"/>
      <c r="KG51" s="82"/>
      <c r="KH51" s="82"/>
      <c r="KI51" s="82"/>
      <c r="KJ51" s="82"/>
      <c r="KK51" s="82"/>
      <c r="KL51" s="82"/>
      <c r="KM51" s="82"/>
      <c r="KN51" s="82"/>
      <c r="KO51" s="82"/>
      <c r="KP51" s="82"/>
      <c r="KQ51" s="82"/>
      <c r="KR51" s="82"/>
      <c r="KS51" s="82"/>
      <c r="KT51" s="82"/>
      <c r="KU51" s="82"/>
      <c r="KV51" s="82"/>
      <c r="KW51" s="82"/>
      <c r="KX51" s="82"/>
      <c r="KY51" s="82"/>
      <c r="KZ51" s="82"/>
      <c r="LA51" s="82"/>
      <c r="LB51" s="82"/>
      <c r="LC51" s="82"/>
      <c r="LD51" s="82"/>
      <c r="LE51" s="82"/>
      <c r="LF51" s="82"/>
      <c r="LG51" s="82"/>
      <c r="LH51" s="82"/>
      <c r="LI51" s="82"/>
      <c r="LJ51" s="82"/>
      <c r="LK51" s="82"/>
      <c r="LL51" s="82"/>
      <c r="LM51" s="82"/>
      <c r="LN51" s="82"/>
      <c r="LO51" s="82"/>
      <c r="LP51" s="82"/>
      <c r="LQ51" s="82"/>
      <c r="LR51" s="82"/>
      <c r="LS51" s="82"/>
      <c r="LT51" s="82"/>
      <c r="LU51" s="82"/>
      <c r="LV51" s="82"/>
      <c r="LW51" s="82"/>
      <c r="LX51" s="82"/>
      <c r="LY51" s="82"/>
      <c r="LZ51" s="82"/>
      <c r="MA51" s="82"/>
      <c r="MB51" s="82"/>
      <c r="MC51" s="82"/>
      <c r="MD51" s="82"/>
      <c r="ME51" s="82"/>
      <c r="MF51" s="82"/>
      <c r="MG51" s="82"/>
      <c r="MH51" s="82"/>
      <c r="MI51" s="82"/>
      <c r="MJ51" s="82"/>
      <c r="MK51" s="82"/>
      <c r="ML51" s="82"/>
      <c r="MM51" s="82"/>
      <c r="MN51" s="82"/>
      <c r="MO51" s="82"/>
      <c r="MP51" s="82"/>
      <c r="MQ51" s="82"/>
      <c r="MR51" s="82"/>
      <c r="MS51" s="82"/>
      <c r="MT51" s="82"/>
      <c r="MU51" s="82"/>
      <c r="MV51" s="82"/>
      <c r="MW51" s="82"/>
      <c r="MX51" s="82"/>
      <c r="MY51" s="82"/>
      <c r="MZ51" s="82"/>
      <c r="NA51" s="82"/>
      <c r="NB51" s="82"/>
      <c r="NC51" s="82"/>
      <c r="ND51" s="82"/>
      <c r="NE51" s="82"/>
      <c r="NF51" s="82"/>
      <c r="NG51" s="82"/>
      <c r="NH51" s="82"/>
      <c r="NI51" s="82"/>
      <c r="NJ51" s="82"/>
      <c r="NK51" s="82"/>
      <c r="NL51" s="82"/>
      <c r="NM51" s="82"/>
      <c r="NN51" s="82"/>
      <c r="NO51" s="82"/>
      <c r="NP51" s="82"/>
      <c r="NQ51" s="82"/>
      <c r="NR51" s="82"/>
      <c r="NS51" s="82"/>
      <c r="NT51" s="82"/>
      <c r="NU51" s="82"/>
      <c r="NV51" s="82"/>
      <c r="NW51" s="82"/>
      <c r="NX51" s="82"/>
      <c r="NY51" s="82"/>
      <c r="NZ51" s="82"/>
      <c r="OA51" s="82"/>
      <c r="OB51" s="82"/>
      <c r="OC51" s="82"/>
      <c r="OD51" s="82"/>
      <c r="OE51" s="82"/>
      <c r="OF51" s="82"/>
      <c r="OG51" s="82"/>
      <c r="OH51" s="82"/>
      <c r="OI51" s="82"/>
      <c r="OJ51" s="82"/>
      <c r="OK51" s="82"/>
      <c r="OL51" s="82"/>
      <c r="OM51" s="82"/>
      <c r="ON51" s="82"/>
      <c r="OO51" s="82"/>
      <c r="OP51" s="82"/>
      <c r="OQ51" s="82"/>
      <c r="OR51" s="82"/>
      <c r="OS51" s="82"/>
      <c r="OT51" s="82"/>
      <c r="OU51" s="82"/>
      <c r="OV51" s="82"/>
      <c r="OW51" s="82"/>
      <c r="OX51" s="82"/>
      <c r="OY51" s="82"/>
      <c r="OZ51" s="82"/>
      <c r="PA51" s="82"/>
      <c r="PB51" s="82"/>
      <c r="PC51" s="82"/>
      <c r="PD51" s="82"/>
      <c r="PE51" s="82"/>
      <c r="PF51" s="82"/>
      <c r="PG51" s="82"/>
      <c r="PH51" s="82"/>
    </row>
    <row r="52">
      <c r="B52" s="431"/>
      <c r="C52" s="404">
        <v>1</v>
      </c>
      <c r="D52" s="46"/>
      <c r="E52" s="404"/>
      <c r="F52" s="54"/>
      <c r="G52" s="139" t="n">
        <f>I52/Units_SF_M2</f>
        <v>143.91083504293968</v>
      </c>
      <c r="H52" s="434"/>
      <c r="I52" s="428" t="n">
        <f>SUM(L52:EN52)</f>
        <v>11270000.00000001</v>
      </c>
      <c r="L52" s="421" t="n">
        <f>IF(AND(L$23&gt;=1,L$23&lt;=36),PROJECTS!$AP$206*1000000/36,0)</f>
        <v>0</v>
      </c>
      <c r="M52" s="421" t="n">
        <f>IF(AND(M$23&gt;=1,M$23&lt;=36),PROJECTS!$AP$206*1000000/36,0)</f>
        <v>313055.55555555556</v>
      </c>
      <c r="N52" s="421" t="n">
        <f>IF(AND(N$23&gt;=1,N$23&lt;=36),PROJECTS!$AP$206*1000000/36,0)</f>
        <v>313055.55555555556</v>
      </c>
      <c r="O52" s="421" t="n">
        <f>IF(AND(O$23&gt;=1,O$23&lt;=36),PROJECTS!$AP$206*1000000/36,0)</f>
        <v>313055.55555555556</v>
      </c>
      <c r="P52" s="421" t="n">
        <f>IF(AND(P$23&gt;=1,P$23&lt;=36),PROJECTS!$AP$206*1000000/36,0)</f>
        <v>313055.55555555556</v>
      </c>
      <c r="Q52" s="421" t="n">
        <f>IF(AND(Q$23&gt;=1,Q$23&lt;=36),PROJECTS!$AP$206*1000000/36,0)</f>
        <v>313055.55555555556</v>
      </c>
      <c r="R52" s="421" t="n">
        <f>IF(AND(R$23&gt;=1,R$23&lt;=36),PROJECTS!$AP$206*1000000/36,0)</f>
        <v>313055.55555555556</v>
      </c>
      <c r="S52" s="421" t="n">
        <f>IF(AND(S$23&gt;=1,S$23&lt;=36),PROJECTS!$AP$206*1000000/36,0)</f>
        <v>313055.55555555556</v>
      </c>
      <c r="T52" s="421" t="n">
        <f>IF(AND(T$23&gt;=1,T$23&lt;=36),PROJECTS!$AP$206*1000000/36,0)</f>
        <v>313055.55555555556</v>
      </c>
      <c r="U52" s="421" t="n">
        <f>IF(AND(U$23&gt;=1,U$23&lt;=36),PROJECTS!$AP$206*1000000/36,0)</f>
        <v>313055.55555555556</v>
      </c>
      <c r="V52" s="421" t="n">
        <f>IF(AND(V$23&gt;=1,V$23&lt;=36),PROJECTS!$AP$206*1000000/36,0)</f>
        <v>313055.55555555556</v>
      </c>
      <c r="W52" s="421" t="n">
        <f>IF(AND(W$23&gt;=1,W$23&lt;=36),PROJECTS!$AP$206*1000000/36,0)</f>
        <v>313055.55555555556</v>
      </c>
      <c r="X52" s="421" t="n">
        <f>IF(AND(X$23&gt;=1,X$23&lt;=36),PROJECTS!$AP$206*1000000/36,0)</f>
        <v>313055.55555555556</v>
      </c>
      <c r="Y52" s="421" t="n">
        <f>IF(AND(Y$23&gt;=1,Y$23&lt;=36),PROJECTS!$AP$206*1000000/36,0)</f>
        <v>313055.55555555556</v>
      </c>
      <c r="Z52" s="421" t="n">
        <f>IF(AND(Z$23&gt;=1,Z$23&lt;=36),PROJECTS!$AP$206*1000000/36,0)</f>
        <v>313055.55555555556</v>
      </c>
      <c r="AA52" s="421" t="n">
        <f>IF(AND(AA$23&gt;=1,AA$23&lt;=36),PROJECTS!$AP$206*1000000/36,0)</f>
        <v>313055.55555555556</v>
      </c>
      <c r="AB52" s="421" t="n">
        <f>IF(AND(AB$23&gt;=1,AB$23&lt;=36),PROJECTS!$AP$206*1000000/36,0)</f>
        <v>313055.55555555556</v>
      </c>
      <c r="AC52" s="421" t="n">
        <f>IF(AND(AC$23&gt;=1,AC$23&lt;=36),PROJECTS!$AP$206*1000000/36,0)</f>
        <v>313055.55555555556</v>
      </c>
      <c r="AD52" s="421" t="n">
        <f>IF(AND(AD$23&gt;=1,AD$23&lt;=36),PROJECTS!$AP$206*1000000/36,0)</f>
        <v>313055.55555555556</v>
      </c>
      <c r="AE52" s="421" t="n">
        <f>IF(AND(AE$23&gt;=1,AE$23&lt;=36),PROJECTS!$AP$206*1000000/36,0)</f>
        <v>313055.55555555556</v>
      </c>
      <c r="AF52" s="421" t="n">
        <f>IF(AND(AF$23&gt;=1,AF$23&lt;=36),PROJECTS!$AP$206*1000000/36,0)</f>
        <v>313055.55555555556</v>
      </c>
      <c r="AG52" s="421" t="n">
        <f>IF(AND(AG$23&gt;=1,AG$23&lt;=36),PROJECTS!$AP$206*1000000/36,0)</f>
        <v>313055.55555555556</v>
      </c>
      <c r="AH52" s="421" t="n">
        <f>IF(AND(AH$23&gt;=1,AH$23&lt;=36),PROJECTS!$AP$206*1000000/36,0)</f>
        <v>313055.55555555556</v>
      </c>
      <c r="AI52" s="421" t="n">
        <f>IF(AND(AI$23&gt;=1,AI$23&lt;=36),PROJECTS!$AP$206*1000000/36,0)</f>
        <v>313055.55555555556</v>
      </c>
      <c r="AJ52" s="421" t="n">
        <f>IF(AND(AJ$23&gt;=1,AJ$23&lt;=36),PROJECTS!$AP$206*1000000/36,0)</f>
        <v>313055.55555555556</v>
      </c>
      <c r="AK52" s="421" t="n">
        <f>IF(AND(AK$23&gt;=1,AK$23&lt;=36),PROJECTS!$AP$206*1000000/36,0)</f>
        <v>313055.55555555556</v>
      </c>
      <c r="AL52" s="421" t="n">
        <f>IF(AND(AL$23&gt;=1,AL$23&lt;=36),PROJECTS!$AP$206*1000000/36,0)</f>
        <v>313055.55555555556</v>
      </c>
      <c r="AM52" s="421" t="n">
        <f>IF(AND(AM$23&gt;=1,AM$23&lt;=36),PROJECTS!$AP$206*1000000/36,0)</f>
        <v>313055.55555555556</v>
      </c>
      <c r="AN52" s="421" t="n">
        <f>IF(AND(AN$23&gt;=1,AN$23&lt;=36),PROJECTS!$AP$206*1000000/36,0)</f>
        <v>313055.55555555556</v>
      </c>
      <c r="AO52" s="421" t="n">
        <f>IF(AND(AO$23&gt;=1,AO$23&lt;=36),PROJECTS!$AP$206*1000000/36,0)</f>
        <v>313055.55555555556</v>
      </c>
      <c r="AP52" s="421" t="n">
        <f>IF(AND(AP$23&gt;=1,AP$23&lt;=36),PROJECTS!$AP$206*1000000/36,0)</f>
        <v>313055.55555555556</v>
      </c>
      <c r="AQ52" s="421" t="n">
        <f>IF(AND(AQ$23&gt;=1,AQ$23&lt;=36),PROJECTS!$AP$206*1000000/36,0)</f>
        <v>313055.55555555556</v>
      </c>
      <c r="AR52" s="421" t="n">
        <f>IF(AND(AR$23&gt;=1,AR$23&lt;=36),PROJECTS!$AP$206*1000000/36,0)</f>
        <v>313055.55555555556</v>
      </c>
      <c r="AS52" s="421" t="n">
        <f>IF(AND(AS$23&gt;=1,AS$23&lt;=36),PROJECTS!$AP$206*1000000/36,0)</f>
        <v>313055.55555555556</v>
      </c>
      <c r="AT52" s="421" t="n">
        <f>IF(AND(AT$23&gt;=1,AT$23&lt;=36),PROJECTS!$AP$206*1000000/36,0)</f>
        <v>313055.55555555556</v>
      </c>
      <c r="AU52" s="421" t="n">
        <f>IF(AND(AU$23&gt;=1,AU$23&lt;=36),PROJECTS!$AP$206*1000000/36,0)</f>
        <v>313055.55555555556</v>
      </c>
      <c r="AV52" s="421" t="n">
        <f>IF(AND(AV$23&gt;=1,AV$23&lt;=36),PROJECTS!$AP$206*1000000/36,0)</f>
        <v>313055.55555555556</v>
      </c>
      <c r="AW52" s="421" t="n">
        <f>IF(AND(AW$23&gt;=1,AW$23&lt;=36),PROJECTS!$AP$206*1000000/36,0)</f>
        <v>0</v>
      </c>
      <c r="AX52" s="421" t="n">
        <f>IF(AND(AX$23&gt;=1,AX$23&lt;=36),PROJECTS!$AP$206*1000000/36,0)</f>
        <v>0</v>
      </c>
      <c r="AY52" s="421" t="n">
        <f>IF(AND(AY$23&gt;=1,AY$23&lt;=36),PROJECTS!$AP$206*1000000/36,0)</f>
        <v>0</v>
      </c>
      <c r="AZ52" s="421" t="n">
        <f>IF(AND(AZ$23&gt;=1,AZ$23&lt;=36),PROJECTS!$AP$206*1000000/36,0)</f>
        <v>0</v>
      </c>
      <c r="BA52" s="421" t="n">
        <f>IF(AND(BA$23&gt;=1,BA$23&lt;=36),PROJECTS!$AP$206*1000000/36,0)</f>
        <v>0</v>
      </c>
      <c r="BB52" s="421" t="n">
        <f>IF(AND(BB$23&gt;=1,BB$23&lt;=36),PROJECTS!$AP$206*1000000/36,0)</f>
        <v>0</v>
      </c>
      <c r="BC52" s="421" t="n">
        <f>IF(AND(BC$23&gt;=1,BC$23&lt;=36),PROJECTS!$AP$206*1000000/36,0)</f>
        <v>0</v>
      </c>
      <c r="BD52" s="421" t="n">
        <f>IF(AND(BD$23&gt;=1,BD$23&lt;=36),PROJECTS!$AP$206*1000000/36,0)</f>
        <v>0</v>
      </c>
      <c r="BE52" s="421" t="n">
        <f>IF(AND(BE$23&gt;=1,BE$23&lt;=36),PROJECTS!$AP$206*1000000/36,0)</f>
        <v>0</v>
      </c>
      <c r="BF52" s="421" t="n">
        <f>IF(AND(BF$23&gt;=1,BF$23&lt;=36),PROJECTS!$AP$206*1000000/36,0)</f>
        <v>0</v>
      </c>
      <c r="BG52" s="421" t="n">
        <f>IF(AND(BG$23&gt;=1,BG$23&lt;=36),PROJECTS!$AP$206*1000000/36,0)</f>
        <v>0</v>
      </c>
      <c r="BH52" s="421" t="n">
        <f>IF(AND(BH$23&gt;=1,BH$23&lt;=36),PROJECTS!$AP$206*1000000/36,0)</f>
        <v>0</v>
      </c>
      <c r="BI52" s="421" t="n">
        <f>IF(AND(BI$23&gt;=1,BI$23&lt;=36),PROJECTS!$AP$206*1000000/36,0)</f>
        <v>0</v>
      </c>
      <c r="BJ52" s="421" t="n">
        <f>IF(AND(BJ$23&gt;=1,BJ$23&lt;=36),PROJECTS!$AP$206*1000000/36,0)</f>
        <v>0</v>
      </c>
      <c r="BK52" s="421" t="n">
        <f>IF(AND(BK$23&gt;=1,BK$23&lt;=36),PROJECTS!$AP$206*1000000/36,0)</f>
        <v>0</v>
      </c>
      <c r="BL52" s="421" t="n">
        <f>IF(AND(BL$23&gt;=1,BL$23&lt;=36),PROJECTS!$AP$206*1000000/36,0)</f>
        <v>0</v>
      </c>
      <c r="BM52" s="421" t="n">
        <f>IF(AND(BM$23&gt;=1,BM$23&lt;=36),PROJECTS!$AP$206*1000000/36,0)</f>
        <v>0</v>
      </c>
      <c r="BN52" s="421" t="n">
        <f>IF(AND(BN$23&gt;=1,BN$23&lt;=36),PROJECTS!$AP$206*1000000/36,0)</f>
        <v>0</v>
      </c>
      <c r="BO52" s="421" t="n">
        <f>IF(AND(BO$23&gt;=1,BO$23&lt;=36),PROJECTS!$AP$206*1000000/36,0)</f>
        <v>0</v>
      </c>
      <c r="BP52" s="421" t="n">
        <f>IF(AND(BP$23&gt;=1,BP$23&lt;=36),PROJECTS!$AP$206*1000000/36,0)</f>
        <v>0</v>
      </c>
      <c r="BQ52" s="421" t="n">
        <f>IF(AND(BQ$23&gt;=1,BQ$23&lt;=36),PROJECTS!$AP$206*1000000/36,0)</f>
        <v>0</v>
      </c>
      <c r="BR52" s="421" t="n">
        <f>IF(AND(BR$23&gt;=1,BR$23&lt;=36),PROJECTS!$AP$206*1000000/36,0)</f>
        <v>0</v>
      </c>
      <c r="BS52" s="421" t="n">
        <f>IF(AND(BS$23&gt;=1,BS$23&lt;=36),PROJECTS!$AP$206*1000000/36,0)</f>
        <v>0</v>
      </c>
      <c r="BT52" s="421" t="n">
        <f>IF(AND(BT$23&gt;=1,BT$23&lt;=36),PROJECTS!$AP$206*1000000/36,0)</f>
        <v>0</v>
      </c>
      <c r="BU52" s="421" t="n">
        <f>IF(AND(BU$23&gt;=1,BU$23&lt;=36),PROJECTS!$AP$206*1000000/36,0)</f>
        <v>0</v>
      </c>
      <c r="BV52" s="421" t="n">
        <f>IF(AND(BV$23&gt;=1,BV$23&lt;=36),PROJECTS!$AP$206*1000000/36,0)</f>
        <v>0</v>
      </c>
      <c r="BW52" s="421" t="n">
        <f>IF(AND(BW$23&gt;=1,BW$23&lt;=36),PROJECTS!$AP$206*1000000/36,0)</f>
        <v>0</v>
      </c>
      <c r="BX52" s="421" t="n">
        <f>IF(AND(BX$23&gt;=1,BX$23&lt;=36),PROJECTS!$AP$206*1000000/36,0)</f>
        <v>0</v>
      </c>
      <c r="BY52" s="421" t="n">
        <f>IF(AND(BY$23&gt;=1,BY$23&lt;=36),PROJECTS!$AP$206*1000000/36,0)</f>
        <v>0</v>
      </c>
      <c r="BZ52" s="421" t="n">
        <f>IF(AND(BZ$23&gt;=1,BZ$23&lt;=36),PROJECTS!$AP$206*1000000/36,0)</f>
        <v>0</v>
      </c>
      <c r="CA52" s="421" t="n">
        <f>IF(AND(CA$23&gt;=1,CA$23&lt;=36),PROJECTS!$AP$206*1000000/36,0)</f>
        <v>0</v>
      </c>
      <c r="CB52" s="421" t="n">
        <f>IF(AND(CB$23&gt;=1,CB$23&lt;=36),PROJECTS!$AP$206*1000000/36,0)</f>
        <v>0</v>
      </c>
      <c r="CC52" s="421" t="n">
        <f>IF(AND(CC$23&gt;=1,CC$23&lt;=36),PROJECTS!$AP$206*1000000/36,0)</f>
        <v>0</v>
      </c>
      <c r="CD52" s="421" t="n">
        <f>IF(AND(CD$23&gt;=1,CD$23&lt;=36),PROJECTS!$AP$206*1000000/36,0)</f>
        <v>0</v>
      </c>
      <c r="CE52" s="421" t="n">
        <f>IF(AND(CE$23&gt;=1,CE$23&lt;=36),PROJECTS!$AP$206*1000000/36,0)</f>
        <v>0</v>
      </c>
      <c r="CF52" s="421" t="n">
        <f>IF(AND(CF$23&gt;=1,CF$23&lt;=36),PROJECTS!$AP$206*1000000/36,0)</f>
        <v>0</v>
      </c>
      <c r="CG52" s="421" t="n">
        <f>IF(AND(CG$23&gt;=1,CG$23&lt;=36),PROJECTS!$AP$206*1000000/36,0)</f>
        <v>0</v>
      </c>
      <c r="CH52" s="421" t="n">
        <f>IF(AND(CH$23&gt;=1,CH$23&lt;=36),PROJECTS!$AP$206*1000000/36,0)</f>
        <v>0</v>
      </c>
      <c r="CI52" s="421" t="n">
        <f>IF(AND(CI$23&gt;=1,CI$23&lt;=36),PROJECTS!$AP$206*1000000/36,0)</f>
        <v>0</v>
      </c>
      <c r="CJ52" s="421" t="n">
        <f>IF(AND(CJ$23&gt;=1,CJ$23&lt;=36),PROJECTS!$AP$206*1000000/36,0)</f>
        <v>0</v>
      </c>
      <c r="CK52" s="421" t="n">
        <f>IF(AND(CK$23&gt;=1,CK$23&lt;=36),PROJECTS!$AP$206*1000000/36,0)</f>
        <v>0</v>
      </c>
      <c r="CL52" s="421" t="n">
        <f>IF(AND(CL$23&gt;=1,CL$23&lt;=36),PROJECTS!$AP$206*1000000/36,0)</f>
        <v>0</v>
      </c>
      <c r="CM52" s="421" t="n">
        <f>IF(AND(CM$23&gt;=1,CM$23&lt;=36),PROJECTS!$AP$206*1000000/36,0)</f>
        <v>0</v>
      </c>
      <c r="CN52" s="421" t="n">
        <f>IF(AND(CN$23&gt;=1,CN$23&lt;=36),PROJECTS!$AP$206*1000000/36,0)</f>
        <v>0</v>
      </c>
      <c r="CO52" s="421" t="n">
        <f>IF(AND(CO$23&gt;=1,CO$23&lt;=36),PROJECTS!$AP$206*1000000/36,0)</f>
        <v>0</v>
      </c>
      <c r="CP52" s="421" t="n">
        <f>IF(AND(CP$23&gt;=1,CP$23&lt;=36),PROJECTS!$AP$206*1000000/36,0)</f>
        <v>0</v>
      </c>
      <c r="CQ52" s="421" t="n">
        <f>IF(AND(CQ$23&gt;=1,CQ$23&lt;=36),PROJECTS!$AP$206*1000000/36,0)</f>
        <v>0</v>
      </c>
      <c r="CR52" s="421" t="n">
        <f>IF(AND(CR$23&gt;=1,CR$23&lt;=36),PROJECTS!$AP$206*1000000/36,0)</f>
        <v>0</v>
      </c>
      <c r="CS52" s="421" t="n">
        <f>IF(AND(CS$23&gt;=1,CS$23&lt;=36),PROJECTS!$AP$206*1000000/36,0)</f>
        <v>0</v>
      </c>
      <c r="CT52" s="421" t="n">
        <f>IF(AND(CT$23&gt;=1,CT$23&lt;=36),PROJECTS!$AP$206*1000000/36,0)</f>
        <v>0</v>
      </c>
      <c r="CU52" s="421" t="n">
        <f>IF(AND(CU$23&gt;=1,CU$23&lt;=36),PROJECTS!$AP$206*1000000/36,0)</f>
        <v>0</v>
      </c>
      <c r="CV52" s="421" t="n">
        <f>IF(AND(CV$23&gt;=1,CV$23&lt;=36),PROJECTS!$AP$206*1000000/36,0)</f>
        <v>0</v>
      </c>
      <c r="CW52" s="421" t="n">
        <f>IF(AND(CW$23&gt;=1,CW$23&lt;=36),PROJECTS!$AP$206*1000000/36,0)</f>
        <v>0</v>
      </c>
      <c r="CX52" s="421" t="n">
        <f>IF(AND(CX$23&gt;=1,CX$23&lt;=36),PROJECTS!$AP$206*1000000/36,0)</f>
        <v>0</v>
      </c>
      <c r="CY52" s="421" t="n">
        <f>IF(AND(CY$23&gt;=1,CY$23&lt;=36),PROJECTS!$AP$206*1000000/36,0)</f>
        <v>0</v>
      </c>
      <c r="CZ52" s="421" t="n">
        <f>IF(AND(CZ$23&gt;=1,CZ$23&lt;=36),PROJECTS!$AP$206*1000000/36,0)</f>
        <v>0</v>
      </c>
      <c r="DA52" s="421" t="n">
        <f>IF(AND(DA$23&gt;=1,DA$23&lt;=36),PROJECTS!$AP$206*1000000/36,0)</f>
        <v>0</v>
      </c>
      <c r="DB52" s="421" t="n">
        <f>IF(AND(DB$23&gt;=1,DB$23&lt;=36),PROJECTS!$AP$206*1000000/36,0)</f>
        <v>0</v>
      </c>
      <c r="DC52" s="421" t="n">
        <f>IF(AND(DC$23&gt;=1,DC$23&lt;=36),PROJECTS!$AP$206*1000000/36,0)</f>
        <v>0</v>
      </c>
      <c r="DD52" s="421" t="n">
        <f>IF(AND(DD$23&gt;=1,DD$23&lt;=36),PROJECTS!$AP$206*1000000/36,0)</f>
        <v>0</v>
      </c>
      <c r="DE52" s="421" t="n">
        <f>IF(AND(DE$23&gt;=1,DE$23&lt;=36),PROJECTS!$AP$206*1000000/36,0)</f>
        <v>0</v>
      </c>
      <c r="DF52" s="421" t="n">
        <f>IF(AND(DF$23&gt;=1,DF$23&lt;=36),PROJECTS!$AP$206*1000000/36,0)</f>
        <v>0</v>
      </c>
      <c r="DG52" s="421" t="n">
        <f>IF(AND(DG$23&gt;=1,DG$23&lt;=36),PROJECTS!$AP$206*1000000/36,0)</f>
        <v>0</v>
      </c>
      <c r="DH52" s="421" t="n">
        <f>IF(AND(DH$23&gt;=1,DH$23&lt;=36),PROJECTS!$AP$206*1000000/36,0)</f>
        <v>0</v>
      </c>
      <c r="DI52" s="421" t="n">
        <f>IF(AND(DI$23&gt;=1,DI$23&lt;=36),PROJECTS!$AP$206*1000000/36,0)</f>
        <v>0</v>
      </c>
      <c r="DJ52" s="421" t="n">
        <f>IF(AND(DJ$23&gt;=1,DJ$23&lt;=36),PROJECTS!$AP$206*1000000/36,0)</f>
        <v>0</v>
      </c>
      <c r="DK52" s="421" t="n">
        <f>IF(AND(DK$23&gt;=1,DK$23&lt;=36),PROJECTS!$AP$206*1000000/36,0)</f>
        <v>0</v>
      </c>
      <c r="DL52" s="421" t="n">
        <f>IF(AND(DL$23&gt;=1,DL$23&lt;=36),PROJECTS!$AP$206*1000000/36,0)</f>
        <v>0</v>
      </c>
      <c r="DM52" s="421" t="n">
        <f>IF(AND(DM$23&gt;=1,DM$23&lt;=36),PROJECTS!$AP$206*1000000/36,0)</f>
        <v>0</v>
      </c>
      <c r="DN52" s="421" t="n">
        <f>IF(AND(DN$23&gt;=1,DN$23&lt;=36),PROJECTS!$AP$206*1000000/36,0)</f>
        <v>0</v>
      </c>
      <c r="DO52" s="421" t="n">
        <f>IF(AND(DO$23&gt;=1,DO$23&lt;=36),PROJECTS!$AP$206*1000000/36,0)</f>
        <v>0</v>
      </c>
      <c r="DP52" s="421" t="n">
        <f>IF(AND(DP$23&gt;=1,DP$23&lt;=36),PROJECTS!$AP$206*1000000/36,0)</f>
        <v>0</v>
      </c>
      <c r="DQ52" s="421" t="n">
        <f>IF(AND(DQ$23&gt;=1,DQ$23&lt;=36),PROJECTS!$AP$206*1000000/36,0)</f>
        <v>0</v>
      </c>
      <c r="DR52" s="421" t="n">
        <f>IF(AND(DR$23&gt;=1,DR$23&lt;=36),PROJECTS!$AP$206*1000000/36,0)</f>
        <v>0</v>
      </c>
      <c r="DS52" s="421" t="n">
        <f>IF(AND(DS$23&gt;=1,DS$23&lt;=36),PROJECTS!$AP$206*1000000/36,0)</f>
        <v>0</v>
      </c>
      <c r="DT52" s="421" t="n">
        <f>IF(AND(DT$23&gt;=1,DT$23&lt;=36),PROJECTS!$AP$206*1000000/36,0)</f>
        <v>0</v>
      </c>
      <c r="DU52" s="421" t="n">
        <f>IF(AND(DU$23&gt;=1,DU$23&lt;=36),PROJECTS!$AP$206*1000000/36,0)</f>
        <v>0</v>
      </c>
      <c r="DV52" s="421" t="n">
        <f>IF(AND(DV$23&gt;=1,DV$23&lt;=36),PROJECTS!$AP$206*1000000/36,0)</f>
        <v>0</v>
      </c>
      <c r="DW52" s="421" t="n">
        <f>IF(AND(DW$23&gt;=1,DW$23&lt;=36),PROJECTS!$AP$206*1000000/36,0)</f>
        <v>0</v>
      </c>
      <c r="DX52" s="421" t="n">
        <f>IF(AND(DX$23&gt;=1,DX$23&lt;=36),PROJECTS!$AP$206*1000000/36,0)</f>
        <v>0</v>
      </c>
      <c r="DY52" s="421" t="n">
        <f>IF(AND(DY$23&gt;=1,DY$23&lt;=36),PROJECTS!$AP$206*1000000/36,0)</f>
        <v>0</v>
      </c>
      <c r="DZ52" s="421" t="n">
        <f>IF(AND(DZ$23&gt;=1,DZ$23&lt;=36),PROJECTS!$AP$206*1000000/36,0)</f>
        <v>0</v>
      </c>
      <c r="EA52" s="421" t="n">
        <f>IF(AND(EA$23&gt;=1,EA$23&lt;=36),PROJECTS!$AP$206*1000000/36,0)</f>
        <v>0</v>
      </c>
      <c r="EB52" s="421" t="n">
        <f>IF(AND(EB$23&gt;=1,EB$23&lt;=36),PROJECTS!$AP$206*1000000/36,0)</f>
        <v>0</v>
      </c>
      <c r="EC52" s="421" t="n">
        <f>IF(AND(EC$23&gt;=1,EC$23&lt;=36),PROJECTS!$AP$206*1000000/36,0)</f>
        <v>0</v>
      </c>
      <c r="ED52" s="421" t="n">
        <f>IF(AND(ED$23&gt;=1,ED$23&lt;=36),PROJECTS!$AP$206*1000000/36,0)</f>
        <v>0</v>
      </c>
      <c r="EE52" s="421" t="n">
        <f>IF(AND(EE$23&gt;=1,EE$23&lt;=36),PROJECTS!$AP$206*1000000/36,0)</f>
        <v>0</v>
      </c>
      <c r="EF52" s="421" t="n">
        <f>IF(AND(EF$23&gt;=1,EF$23&lt;=36),PROJECTS!$AP$206*1000000/36,0)</f>
        <v>0</v>
      </c>
      <c r="EG52" s="421" t="n">
        <f>IF(AND(EG$23&gt;=1,EG$23&lt;=36),PROJECTS!$AP$206*1000000/36,0)</f>
        <v>0</v>
      </c>
      <c r="EH52" s="421" t="n">
        <f>IF(AND(EH$23&gt;=1,EH$23&lt;=36),PROJECTS!$AP$206*1000000/36,0)</f>
        <v>0</v>
      </c>
      <c r="EI52" s="421" t="n">
        <f>IF(AND(EI$23&gt;=1,EI$23&lt;=36),PROJECTS!$AP$206*1000000/36,0)</f>
        <v>0</v>
      </c>
      <c r="EJ52" s="421" t="n">
        <f>IF(AND(EJ$23&gt;=1,EJ$23&lt;=36),PROJECTS!$AP$206*1000000/36,0)</f>
        <v>0</v>
      </c>
      <c r="EK52" s="421" t="n">
        <f>IF(AND(EK$23&gt;=1,EK$23&lt;=36),PROJECTS!$AP$206*1000000/36,0)</f>
        <v>0</v>
      </c>
      <c r="EL52" s="421" t="n">
        <f>IF(AND(EL$23&gt;=1,EL$23&lt;=36),PROJECTS!$AP$206*1000000/36,0)</f>
        <v>0</v>
      </c>
      <c r="EM52" s="421" t="n">
        <f>IF(AND(EM$23&gt;=1,EM$23&lt;=36),PROJECTS!$AP$206*1000000/36,0)</f>
        <v>0</v>
      </c>
      <c r="EN52" s="421" t="n">
        <f>IF(AND(EN$23&gt;=1,EN$23&lt;=36),PROJECTS!$AP$206*1000000/36,0)</f>
        <v>0</v>
      </c>
      <c r="EP52" s="220" t="s">
        <v>154</v>
      </c>
      <c r="EQ52" s="18"/>
      <c r="ER52" s="18"/>
      <c r="ES52" s="18"/>
      <c r="ET52" s="18"/>
      <c r="EU52" s="20" t="n">
        <f>SUM(EV52:JX52)</f>
        <v>407488551.2846001</v>
      </c>
      <c r="EV52" s="20" t="n">
        <f t="shared" ref="EV52:GA52" si="433">L47+L38+L31</f>
        <v>87034792.90517423</v>
      </c>
      <c r="EW52" s="20">
        <f t="shared" si="433"/>
        <v>-100892.8237358164</v>
      </c>
      <c r="EX52" s="20">
        <f t="shared" si="433"/>
        <v>170317.57335215877</v>
      </c>
      <c r="EY52" s="20">
        <f t="shared" si="433"/>
        <v>557650.6541499208</v>
      </c>
      <c r="EZ52" s="20">
        <f t="shared" si="433"/>
        <v>1094287.4844426755</v>
      </c>
      <c r="FA52" s="20">
        <f t="shared" si="433"/>
        <v>1815120.9716493976</v>
      </c>
      <c r="FB52" s="20">
        <f t="shared" si="433"/>
        <v>2753177.670029392</v>
      </c>
      <c r="FC52" s="20">
        <f t="shared" si="433"/>
        <v>3934760.112479771</v>
      </c>
      <c r="FD52" s="20">
        <f t="shared" si="433"/>
        <v>5373664.2575455848</v>
      </c>
      <c r="FE52" s="20">
        <f t="shared" si="433"/>
        <v>7065163.6515838141</v>
      </c>
      <c r="FF52" s="20">
        <f t="shared" si="433"/>
        <v>8980751.963331705</v>
      </c>
      <c r="FG52" s="20">
        <f t="shared" si="433"/>
        <v>11064805.605489833</v>
      </c>
      <c r="FH52" s="20">
        <f t="shared" si="433"/>
        <v>13234281.137995301</v>
      </c>
      <c r="FI52" s="20">
        <f t="shared" si="433"/>
        <v>15382246.512724983</v>
      </c>
      <c r="FJ52" s="20">
        <f t="shared" si="433"/>
        <v>17385471.482058503</v>
      </c>
      <c r="FK52" s="20">
        <f t="shared" si="433"/>
        <v>19115556.058013067</v>
      </c>
      <c r="FL52" s="20">
        <f t="shared" si="433"/>
        <v>20452308.068071321</v>
      </c>
      <c r="FM52" s="20">
        <f t="shared" si="433"/>
        <v>21297476.217184056</v>
      </c>
      <c r="FN52" s="20">
        <f t="shared" si="433"/>
        <v>21586672.281520337</v>
      </c>
      <c r="FO52" s="20">
        <f t="shared" si="433"/>
        <v>21297476.217184074</v>
      </c>
      <c r="FP52" s="20">
        <f t="shared" si="433"/>
        <v>20452308.068071283</v>
      </c>
      <c r="FQ52" s="20">
        <f t="shared" si="433"/>
        <v>19115556.058013104</v>
      </c>
      <c r="FR52" s="20">
        <f t="shared" si="433"/>
        <v>17385471.482058477</v>
      </c>
      <c r="FS52" s="20">
        <f t="shared" si="433"/>
        <v>15382246.512724983</v>
      </c>
      <c r="FT52" s="20">
        <f t="shared" si="433"/>
        <v>13234281.137995327</v>
      </c>
      <c r="FU52" s="20">
        <f t="shared" si="433"/>
        <v>11064805.605489803</v>
      </c>
      <c r="FV52" s="20">
        <f t="shared" si="433"/>
        <v>8980751.963331705</v>
      </c>
      <c r="FW52" s="20">
        <f t="shared" si="433"/>
        <v>7065163.6515838383</v>
      </c>
      <c r="FX52" s="20">
        <f t="shared" si="433"/>
        <v>5373664.257545568</v>
      </c>
      <c r="FY52" s="20">
        <f t="shared" si="433"/>
        <v>3934760.112479772</v>
      </c>
      <c r="FZ52" s="20">
        <f t="shared" si="433"/>
        <v>2753177.670029406</v>
      </c>
      <c r="GA52" s="20">
        <f t="shared" si="433"/>
        <v>1815120.9716493823</v>
      </c>
      <c r="GB52" s="20" t="n">
        <f t="shared" ref="GB52:HG52" si="434">AR47+AR38+AR31</f>
        <v>1094287.4844426815</v>
      </c>
      <c r="GC52" s="20">
        <f t="shared" si="434"/>
        <v>557650.6541499017</v>
      </c>
      <c r="GD52" s="20">
        <f t="shared" si="434"/>
        <v>170317.57335218112</v>
      </c>
      <c r="GE52" s="20">
        <f t="shared" si="434"/>
        <v>-100892.82373583224</v>
      </c>
      <c r="GF52" s="20">
        <f t="shared" si="434"/>
        <v>-285207.09482578107</v>
      </c>
      <c r="GG52" s="20">
        <f t="shared" si="434"/>
        <v>0</v>
      </c>
      <c r="GH52" s="20">
        <f t="shared" si="434"/>
        <v>0</v>
      </c>
      <c r="GI52" s="20">
        <f t="shared" si="434"/>
        <v>0</v>
      </c>
      <c r="GJ52" s="20">
        <f t="shared" si="434"/>
        <v>0</v>
      </c>
      <c r="GK52" s="20">
        <f t="shared" si="434"/>
        <v>0</v>
      </c>
      <c r="GL52" s="20">
        <f t="shared" si="434"/>
        <v>0</v>
      </c>
      <c r="GM52" s="20">
        <f t="shared" si="434"/>
        <v>0</v>
      </c>
      <c r="GN52" s="20">
        <f t="shared" si="434"/>
        <v>0</v>
      </c>
      <c r="GO52" s="20">
        <f t="shared" si="434"/>
        <v>0</v>
      </c>
      <c r="GP52" s="20">
        <f t="shared" si="434"/>
        <v>0</v>
      </c>
      <c r="GQ52" s="20">
        <f t="shared" si="434"/>
        <v>0</v>
      </c>
      <c r="GR52" s="20">
        <f t="shared" si="434"/>
        <v>0</v>
      </c>
      <c r="GS52" s="20">
        <f t="shared" si="434"/>
        <v>0</v>
      </c>
      <c r="GT52" s="20">
        <f t="shared" si="434"/>
        <v>0</v>
      </c>
      <c r="GU52" s="20">
        <f t="shared" si="434"/>
        <v>0</v>
      </c>
      <c r="GV52" s="20">
        <f t="shared" si="434"/>
        <v>0</v>
      </c>
      <c r="GW52" s="20">
        <f t="shared" si="434"/>
        <v>0</v>
      </c>
      <c r="GX52" s="20">
        <f t="shared" si="434"/>
        <v>0</v>
      </c>
      <c r="GY52" s="20">
        <f t="shared" si="434"/>
        <v>0</v>
      </c>
      <c r="GZ52" s="20">
        <f t="shared" si="434"/>
        <v>0</v>
      </c>
      <c r="HA52" s="20">
        <f t="shared" si="434"/>
        <v>0</v>
      </c>
      <c r="HB52" s="20">
        <f t="shared" si="434"/>
        <v>0</v>
      </c>
      <c r="HC52" s="20">
        <f t="shared" si="434"/>
        <v>0</v>
      </c>
      <c r="HD52" s="20">
        <f t="shared" si="434"/>
        <v>0</v>
      </c>
      <c r="HE52" s="20">
        <f t="shared" si="434"/>
        <v>0</v>
      </c>
      <c r="HF52" s="20">
        <f t="shared" si="434"/>
        <v>0</v>
      </c>
      <c r="HG52" s="20">
        <f t="shared" si="434"/>
        <v>0</v>
      </c>
      <c r="HH52" s="20" t="n">
        <f t="shared" ref="HH52:IM52" si="435">BX47+BX38+BX31</f>
        <v>0</v>
      </c>
      <c r="HI52" s="20">
        <f t="shared" si="435"/>
        <v>0</v>
      </c>
      <c r="HJ52" s="20">
        <f t="shared" si="435"/>
        <v>0</v>
      </c>
      <c r="HK52" s="20">
        <f t="shared" si="435"/>
        <v>0</v>
      </c>
      <c r="HL52" s="20">
        <f t="shared" si="435"/>
        <v>0</v>
      </c>
      <c r="HM52" s="20">
        <f t="shared" si="435"/>
        <v>0</v>
      </c>
      <c r="HN52" s="20">
        <f t="shared" si="435"/>
        <v>0</v>
      </c>
      <c r="HO52" s="20">
        <f t="shared" si="435"/>
        <v>0</v>
      </c>
      <c r="HP52" s="20">
        <f t="shared" si="435"/>
        <v>0</v>
      </c>
      <c r="HQ52" s="20">
        <f t="shared" si="435"/>
        <v>0</v>
      </c>
      <c r="HR52" s="20">
        <f t="shared" si="435"/>
        <v>0</v>
      </c>
      <c r="HS52" s="20">
        <f t="shared" si="435"/>
        <v>0</v>
      </c>
      <c r="HT52" s="20">
        <f t="shared" si="435"/>
        <v>0</v>
      </c>
      <c r="HU52" s="20">
        <f t="shared" si="435"/>
        <v>0</v>
      </c>
      <c r="HV52" s="20">
        <f t="shared" si="435"/>
        <v>0</v>
      </c>
      <c r="HW52" s="20">
        <f t="shared" si="435"/>
        <v>0</v>
      </c>
      <c r="HX52" s="20">
        <f t="shared" si="435"/>
        <v>0</v>
      </c>
      <c r="HY52" s="20">
        <f t="shared" si="435"/>
        <v>0</v>
      </c>
      <c r="HZ52" s="20">
        <f t="shared" si="435"/>
        <v>0</v>
      </c>
      <c r="IA52" s="20">
        <f t="shared" si="435"/>
        <v>0</v>
      </c>
      <c r="IB52" s="20">
        <f t="shared" si="435"/>
        <v>0</v>
      </c>
      <c r="IC52" s="20">
        <f t="shared" si="435"/>
        <v>0</v>
      </c>
      <c r="ID52" s="20">
        <f t="shared" si="435"/>
        <v>0</v>
      </c>
      <c r="IE52" s="20">
        <f t="shared" si="435"/>
        <v>0</v>
      </c>
      <c r="IF52" s="20">
        <f t="shared" si="435"/>
        <v>0</v>
      </c>
      <c r="IG52" s="20">
        <f t="shared" si="435"/>
        <v>0</v>
      </c>
      <c r="IH52" s="20">
        <f t="shared" si="435"/>
        <v>0</v>
      </c>
      <c r="II52" s="20">
        <f t="shared" si="435"/>
        <v>0</v>
      </c>
      <c r="IJ52" s="20">
        <f t="shared" si="435"/>
        <v>0</v>
      </c>
      <c r="IK52" s="20">
        <f t="shared" si="435"/>
        <v>0</v>
      </c>
      <c r="IL52" s="20">
        <f t="shared" si="435"/>
        <v>0</v>
      </c>
      <c r="IM52" s="20">
        <f t="shared" si="435"/>
        <v>0</v>
      </c>
      <c r="IN52" s="20" t="n">
        <f t="shared" ref="IN52:JS52" si="436">DD47+DD38+DD31</f>
        <v>0</v>
      </c>
      <c r="IO52" s="20">
        <f t="shared" si="436"/>
        <v>0</v>
      </c>
      <c r="IP52" s="20">
        <f t="shared" si="436"/>
        <v>0</v>
      </c>
      <c r="IQ52" s="20">
        <f t="shared" si="436"/>
        <v>0</v>
      </c>
      <c r="IR52" s="20">
        <f t="shared" si="436"/>
        <v>0</v>
      </c>
      <c r="IS52" s="20">
        <f t="shared" si="436"/>
        <v>0</v>
      </c>
      <c r="IT52" s="20">
        <f t="shared" si="436"/>
        <v>0</v>
      </c>
      <c r="IU52" s="20">
        <f t="shared" si="436"/>
        <v>0</v>
      </c>
      <c r="IV52" s="20">
        <f t="shared" si="436"/>
        <v>0</v>
      </c>
      <c r="IW52" s="20">
        <f t="shared" si="436"/>
        <v>0</v>
      </c>
      <c r="IX52" s="20">
        <f t="shared" si="436"/>
        <v>0</v>
      </c>
      <c r="IY52" s="20">
        <f t="shared" si="436"/>
        <v>0</v>
      </c>
      <c r="IZ52" s="20">
        <f t="shared" si="436"/>
        <v>0</v>
      </c>
      <c r="JA52" s="20">
        <f t="shared" si="436"/>
        <v>0</v>
      </c>
      <c r="JB52" s="20">
        <f t="shared" si="436"/>
        <v>0</v>
      </c>
      <c r="JC52" s="20">
        <f t="shared" si="436"/>
        <v>0</v>
      </c>
      <c r="JD52" s="20">
        <f t="shared" si="436"/>
        <v>0</v>
      </c>
      <c r="JE52" s="20">
        <f t="shared" si="436"/>
        <v>0</v>
      </c>
      <c r="JF52" s="20">
        <f t="shared" si="436"/>
        <v>0</v>
      </c>
      <c r="JG52" s="20">
        <f t="shared" si="436"/>
        <v>0</v>
      </c>
      <c r="JH52" s="20">
        <f t="shared" si="436"/>
        <v>0</v>
      </c>
      <c r="JI52" s="20">
        <f t="shared" si="436"/>
        <v>0</v>
      </c>
      <c r="JJ52" s="20">
        <f t="shared" si="436"/>
        <v>0</v>
      </c>
      <c r="JK52" s="20">
        <f t="shared" si="436"/>
        <v>0</v>
      </c>
      <c r="JL52" s="20">
        <f t="shared" si="436"/>
        <v>0</v>
      </c>
      <c r="JM52" s="20">
        <f t="shared" si="436"/>
        <v>0</v>
      </c>
      <c r="JN52" s="20">
        <f t="shared" si="436"/>
        <v>0</v>
      </c>
      <c r="JO52" s="20">
        <f t="shared" si="436"/>
        <v>0</v>
      </c>
      <c r="JP52" s="20">
        <f t="shared" si="436"/>
        <v>0</v>
      </c>
      <c r="JQ52" s="20">
        <f t="shared" si="436"/>
        <v>0</v>
      </c>
      <c r="JR52" s="20">
        <f t="shared" si="436"/>
        <v>0</v>
      </c>
      <c r="JS52" s="20">
        <f t="shared" si="436"/>
        <v>0</v>
      </c>
      <c r="JT52" s="20" t="n">
        <f t="shared" ref="JT52:JX52" si="437">EJ47+EJ38+EJ31</f>
        <v>0</v>
      </c>
      <c r="JU52" s="20">
        <f t="shared" si="437"/>
        <v>0</v>
      </c>
      <c r="JV52" s="20">
        <f t="shared" si="437"/>
        <v>0</v>
      </c>
      <c r="JW52" s="20">
        <f t="shared" si="437"/>
        <v>0</v>
      </c>
      <c r="JX52" s="20">
        <f t="shared" si="437"/>
        <v>0</v>
      </c>
      <c r="JZ52" s="221"/>
      <c r="KA52" s="202"/>
      <c r="KB52" s="20"/>
      <c r="KC52" s="20"/>
      <c r="KD52" s="20"/>
      <c r="KE52" s="82"/>
      <c r="KF52" s="82"/>
      <c r="KG52" s="82"/>
      <c r="KH52" s="82"/>
      <c r="KI52" s="82"/>
      <c r="KJ52" s="82"/>
      <c r="KK52" s="82"/>
      <c r="KL52" s="82"/>
      <c r="KM52" s="82"/>
      <c r="KN52" s="82"/>
      <c r="KO52" s="82"/>
      <c r="KP52" s="82"/>
      <c r="KQ52" s="82"/>
      <c r="KR52" s="82"/>
      <c r="KS52" s="82"/>
      <c r="KT52" s="82"/>
      <c r="KU52" s="82"/>
      <c r="KV52" s="82"/>
      <c r="KW52" s="82"/>
      <c r="KX52" s="82"/>
      <c r="KY52" s="82"/>
      <c r="KZ52" s="82"/>
      <c r="LA52" s="82"/>
      <c r="LB52" s="82"/>
      <c r="LC52" s="82"/>
      <c r="LD52" s="82"/>
      <c r="LE52" s="82"/>
      <c r="LF52" s="82"/>
      <c r="LG52" s="82"/>
      <c r="LH52" s="82"/>
      <c r="LI52" s="82"/>
      <c r="LJ52" s="82"/>
      <c r="LK52" s="82"/>
      <c r="LL52" s="82"/>
      <c r="LM52" s="82"/>
      <c r="LN52" s="82"/>
      <c r="LO52" s="82"/>
      <c r="LP52" s="82"/>
      <c r="LQ52" s="82"/>
      <c r="LR52" s="82"/>
      <c r="LS52" s="82"/>
      <c r="LT52" s="82"/>
      <c r="LU52" s="82"/>
      <c r="LV52" s="82"/>
      <c r="LW52" s="82"/>
      <c r="LX52" s="82"/>
      <c r="LY52" s="82"/>
      <c r="LZ52" s="82"/>
      <c r="MA52" s="82"/>
      <c r="MB52" s="82"/>
      <c r="MC52" s="82"/>
      <c r="MD52" s="82"/>
      <c r="ME52" s="82"/>
      <c r="MF52" s="82"/>
      <c r="MG52" s="82"/>
      <c r="MH52" s="82"/>
      <c r="MI52" s="82"/>
      <c r="MJ52" s="82"/>
      <c r="MK52" s="82"/>
      <c r="ML52" s="82"/>
      <c r="MM52" s="82"/>
      <c r="MN52" s="82"/>
      <c r="MO52" s="82"/>
      <c r="MP52" s="82"/>
      <c r="MQ52" s="82"/>
      <c r="MR52" s="82"/>
      <c r="MS52" s="82"/>
      <c r="MT52" s="82"/>
      <c r="MU52" s="82"/>
      <c r="MV52" s="82"/>
      <c r="MW52" s="82"/>
      <c r="MX52" s="82"/>
      <c r="MY52" s="82"/>
      <c r="MZ52" s="82"/>
      <c r="NA52" s="82"/>
      <c r="NB52" s="82"/>
      <c r="NC52" s="82"/>
      <c r="ND52" s="82"/>
      <c r="NE52" s="82"/>
      <c r="NF52" s="82"/>
      <c r="NG52" s="82"/>
      <c r="NH52" s="82"/>
      <c r="NI52" s="82"/>
      <c r="NJ52" s="82"/>
      <c r="NK52" s="82"/>
      <c r="NL52" s="82"/>
      <c r="NM52" s="82"/>
      <c r="NN52" s="82"/>
      <c r="NO52" s="82"/>
      <c r="NP52" s="82"/>
      <c r="NQ52" s="82"/>
      <c r="NR52" s="82"/>
      <c r="NS52" s="82"/>
      <c r="NT52" s="82"/>
      <c r="NU52" s="82"/>
      <c r="NV52" s="82"/>
      <c r="NW52" s="82"/>
      <c r="NX52" s="82"/>
      <c r="NY52" s="82"/>
      <c r="NZ52" s="82"/>
      <c r="OA52" s="82"/>
      <c r="OB52" s="82"/>
      <c r="OC52" s="82"/>
      <c r="OD52" s="82"/>
      <c r="OE52" s="82"/>
      <c r="OF52" s="82"/>
      <c r="OG52" s="82"/>
      <c r="OH52" s="82"/>
      <c r="OI52" s="82"/>
      <c r="OJ52" s="82"/>
      <c r="OK52" s="82"/>
      <c r="OL52" s="82"/>
      <c r="OM52" s="82"/>
      <c r="ON52" s="82"/>
      <c r="OO52" s="82"/>
      <c r="OP52" s="82"/>
      <c r="OQ52" s="82"/>
      <c r="OR52" s="82"/>
      <c r="OS52" s="82"/>
      <c r="OT52" s="82"/>
      <c r="OU52" s="82"/>
      <c r="OV52" s="82"/>
      <c r="OW52" s="82"/>
      <c r="OX52" s="82"/>
      <c r="OY52" s="82"/>
      <c r="OZ52" s="82"/>
      <c r="PA52" s="82"/>
      <c r="PB52" s="82"/>
      <c r="PC52" s="82"/>
      <c r="PD52" s="82"/>
      <c r="PE52" s="82"/>
      <c r="PF52" s="82"/>
      <c r="PG52" s="82"/>
      <c r="PH52" s="82"/>
    </row>
    <row r="53">
      <c r="B53" s="430"/>
      <c r="C53" s="404">
        <v>0</v>
      </c>
      <c r="D53" s="46"/>
      <c r="E53" s="46">
        <v>0</v>
      </c>
      <c r="F53" s="433" t="s">
        <v>137</v>
      </c>
      <c r="G53" s="135" t="n">
        <f>I53/Units_SF_M2</f>
        <v>0</v>
      </c>
      <c r="H53" s="419"/>
      <c r="I53" s="420">
        <v>0</v>
      </c>
      <c r="K53" s="22" t="str">
        <f>IF(ROUND(SUM(L53:EN53),0)=ROUND(I53,0),"","Incomplete")</f>
      </c>
      <c r="L53" s="421" t="n">
        <f t="shared" ref="L53:AQ53" si="438">AND(L$23&gt;=$D53,L$23&lt;=$E53)*$I53/($E$53-$D$53+1)</f>
        <v>0</v>
      </c>
      <c r="M53" s="421">
        <f t="shared" si="438"/>
        <v>0</v>
      </c>
      <c r="N53" s="421">
        <f t="shared" si="438"/>
        <v>0</v>
      </c>
      <c r="O53" s="421">
        <f t="shared" si="438"/>
        <v>0</v>
      </c>
      <c r="P53" s="421">
        <f t="shared" si="438"/>
        <v>0</v>
      </c>
      <c r="Q53" s="421">
        <f t="shared" si="438"/>
        <v>0</v>
      </c>
      <c r="R53" s="421">
        <f t="shared" si="438"/>
        <v>0</v>
      </c>
      <c r="S53" s="421">
        <f t="shared" si="438"/>
        <v>0</v>
      </c>
      <c r="T53" s="421">
        <f t="shared" si="438"/>
        <v>0</v>
      </c>
      <c r="U53" s="421">
        <f t="shared" si="438"/>
        <v>0</v>
      </c>
      <c r="V53" s="421">
        <f t="shared" si="438"/>
        <v>0</v>
      </c>
      <c r="W53" s="421">
        <f t="shared" si="438"/>
        <v>0</v>
      </c>
      <c r="X53" s="421">
        <f t="shared" si="438"/>
        <v>0</v>
      </c>
      <c r="Y53" s="421">
        <f t="shared" si="438"/>
        <v>0</v>
      </c>
      <c r="Z53" s="421">
        <f t="shared" si="438"/>
        <v>0</v>
      </c>
      <c r="AA53" s="421">
        <f t="shared" si="438"/>
        <v>0</v>
      </c>
      <c r="AB53" s="421">
        <f t="shared" si="438"/>
        <v>0</v>
      </c>
      <c r="AC53" s="421">
        <f t="shared" si="438"/>
        <v>0</v>
      </c>
      <c r="AD53" s="421">
        <f t="shared" si="438"/>
        <v>0</v>
      </c>
      <c r="AE53" s="421">
        <f t="shared" si="438"/>
        <v>0</v>
      </c>
      <c r="AF53" s="421">
        <f t="shared" si="438"/>
        <v>0</v>
      </c>
      <c r="AG53" s="421">
        <f t="shared" si="438"/>
        <v>0</v>
      </c>
      <c r="AH53" s="421">
        <f t="shared" si="438"/>
        <v>0</v>
      </c>
      <c r="AI53" s="421">
        <f t="shared" si="438"/>
        <v>0</v>
      </c>
      <c r="AJ53" s="421">
        <f t="shared" si="438"/>
        <v>0</v>
      </c>
      <c r="AK53" s="421">
        <f t="shared" si="438"/>
        <v>0</v>
      </c>
      <c r="AL53" s="421">
        <f t="shared" si="438"/>
        <v>0</v>
      </c>
      <c r="AM53" s="421">
        <f t="shared" si="438"/>
        <v>0</v>
      </c>
      <c r="AN53" s="421">
        <f t="shared" si="438"/>
        <v>0</v>
      </c>
      <c r="AO53" s="421">
        <f t="shared" si="438"/>
        <v>0</v>
      </c>
      <c r="AP53" s="421">
        <f t="shared" si="438"/>
        <v>0</v>
      </c>
      <c r="AQ53" s="421">
        <f t="shared" si="438"/>
        <v>0</v>
      </c>
      <c r="AR53" s="421" t="n">
        <f t="shared" ref="AR53:BW53" si="439">AND(AR$23&gt;=$D53,AR$23&lt;=$E53)*$I53/($E$53-$D$53+1)</f>
        <v>0</v>
      </c>
      <c r="AS53" s="421">
        <f t="shared" si="439"/>
        <v>0</v>
      </c>
      <c r="AT53" s="421">
        <f t="shared" si="439"/>
        <v>0</v>
      </c>
      <c r="AU53" s="421">
        <f t="shared" si="439"/>
        <v>0</v>
      </c>
      <c r="AV53" s="421">
        <f t="shared" si="439"/>
        <v>0</v>
      </c>
      <c r="AW53" s="421">
        <f t="shared" si="439"/>
        <v>0</v>
      </c>
      <c r="AX53" s="421">
        <f t="shared" si="439"/>
        <v>0</v>
      </c>
      <c r="AY53" s="421">
        <f t="shared" si="439"/>
        <v>0</v>
      </c>
      <c r="AZ53" s="421">
        <f t="shared" si="439"/>
        <v>0</v>
      </c>
      <c r="BA53" s="421">
        <f t="shared" si="439"/>
        <v>0</v>
      </c>
      <c r="BB53" s="421">
        <f t="shared" si="439"/>
        <v>0</v>
      </c>
      <c r="BC53" s="421">
        <f t="shared" si="439"/>
        <v>0</v>
      </c>
      <c r="BD53" s="421">
        <f t="shared" si="439"/>
        <v>0</v>
      </c>
      <c r="BE53" s="421">
        <f t="shared" si="439"/>
        <v>0</v>
      </c>
      <c r="BF53" s="421">
        <f t="shared" si="439"/>
        <v>0</v>
      </c>
      <c r="BG53" s="421">
        <f t="shared" si="439"/>
        <v>0</v>
      </c>
      <c r="BH53" s="421">
        <f t="shared" si="439"/>
        <v>0</v>
      </c>
      <c r="BI53" s="421">
        <f t="shared" si="439"/>
        <v>0</v>
      </c>
      <c r="BJ53" s="421">
        <f t="shared" si="439"/>
        <v>0</v>
      </c>
      <c r="BK53" s="421">
        <f t="shared" si="439"/>
        <v>0</v>
      </c>
      <c r="BL53" s="421">
        <f t="shared" si="439"/>
        <v>0</v>
      </c>
      <c r="BM53" s="421">
        <f t="shared" si="439"/>
        <v>0</v>
      </c>
      <c r="BN53" s="421">
        <f t="shared" si="439"/>
        <v>0</v>
      </c>
      <c r="BO53" s="421">
        <f t="shared" si="439"/>
        <v>0</v>
      </c>
      <c r="BP53" s="421">
        <f t="shared" si="439"/>
        <v>0</v>
      </c>
      <c r="BQ53" s="421">
        <f t="shared" si="439"/>
        <v>0</v>
      </c>
      <c r="BR53" s="421">
        <f t="shared" si="439"/>
        <v>0</v>
      </c>
      <c r="BS53" s="421">
        <f t="shared" si="439"/>
        <v>0</v>
      </c>
      <c r="BT53" s="421">
        <f t="shared" si="439"/>
        <v>0</v>
      </c>
      <c r="BU53" s="421">
        <f t="shared" si="439"/>
        <v>0</v>
      </c>
      <c r="BV53" s="421">
        <f t="shared" si="439"/>
        <v>0</v>
      </c>
      <c r="BW53" s="421">
        <f t="shared" si="439"/>
        <v>0</v>
      </c>
      <c r="BX53" s="421" t="n">
        <f t="shared" ref="BX53:DC53" si="440">AND(BX$23&gt;=$D53,BX$23&lt;=$E53)*$I53/($E$53-$D$53+1)</f>
        <v>0</v>
      </c>
      <c r="BY53" s="421">
        <f t="shared" si="440"/>
        <v>0</v>
      </c>
      <c r="BZ53" s="421">
        <f t="shared" si="440"/>
        <v>0</v>
      </c>
      <c r="CA53" s="421">
        <f t="shared" si="440"/>
        <v>0</v>
      </c>
      <c r="CB53" s="421">
        <f t="shared" si="440"/>
        <v>0</v>
      </c>
      <c r="CC53" s="421">
        <f t="shared" si="440"/>
        <v>0</v>
      </c>
      <c r="CD53" s="421">
        <f t="shared" si="440"/>
        <v>0</v>
      </c>
      <c r="CE53" s="421">
        <f t="shared" si="440"/>
        <v>0</v>
      </c>
      <c r="CF53" s="421">
        <f t="shared" si="440"/>
        <v>0</v>
      </c>
      <c r="CG53" s="421">
        <f t="shared" si="440"/>
        <v>0</v>
      </c>
      <c r="CH53" s="421">
        <f t="shared" si="440"/>
        <v>0</v>
      </c>
      <c r="CI53" s="421">
        <f t="shared" si="440"/>
        <v>0</v>
      </c>
      <c r="CJ53" s="421">
        <f t="shared" si="440"/>
        <v>0</v>
      </c>
      <c r="CK53" s="421">
        <f t="shared" si="440"/>
        <v>0</v>
      </c>
      <c r="CL53" s="421">
        <f t="shared" si="440"/>
        <v>0</v>
      </c>
      <c r="CM53" s="421">
        <f t="shared" si="440"/>
        <v>0</v>
      </c>
      <c r="CN53" s="421">
        <f t="shared" si="440"/>
        <v>0</v>
      </c>
      <c r="CO53" s="421">
        <f t="shared" si="440"/>
        <v>0</v>
      </c>
      <c r="CP53" s="421">
        <f t="shared" si="440"/>
        <v>0</v>
      </c>
      <c r="CQ53" s="421">
        <f t="shared" si="440"/>
        <v>0</v>
      </c>
      <c r="CR53" s="421">
        <f t="shared" si="440"/>
        <v>0</v>
      </c>
      <c r="CS53" s="421">
        <f t="shared" si="440"/>
        <v>0</v>
      </c>
      <c r="CT53" s="421">
        <f t="shared" si="440"/>
        <v>0</v>
      </c>
      <c r="CU53" s="421">
        <f t="shared" si="440"/>
        <v>0</v>
      </c>
      <c r="CV53" s="421">
        <f t="shared" si="440"/>
        <v>0</v>
      </c>
      <c r="CW53" s="421">
        <f t="shared" si="440"/>
        <v>0</v>
      </c>
      <c r="CX53" s="421">
        <f t="shared" si="440"/>
        <v>0</v>
      </c>
      <c r="CY53" s="421">
        <f t="shared" si="440"/>
        <v>0</v>
      </c>
      <c r="CZ53" s="421">
        <f t="shared" si="440"/>
        <v>0</v>
      </c>
      <c r="DA53" s="421">
        <f t="shared" si="440"/>
        <v>0</v>
      </c>
      <c r="DB53" s="421">
        <f t="shared" si="440"/>
        <v>0</v>
      </c>
      <c r="DC53" s="421">
        <f t="shared" si="440"/>
        <v>0</v>
      </c>
      <c r="DD53" s="421" t="n">
        <f t="shared" ref="DD53:EN53" si="441">AND(DD$23&gt;=$D53,DD$23&lt;=$E53)*$I53/($E$53-$D$53+1)</f>
        <v>0</v>
      </c>
      <c r="DE53" s="421">
        <f t="shared" si="441"/>
        <v>0</v>
      </c>
      <c r="DF53" s="421">
        <f t="shared" si="441"/>
        <v>0</v>
      </c>
      <c r="DG53" s="421">
        <f t="shared" si="441"/>
        <v>0</v>
      </c>
      <c r="DH53" s="421">
        <f t="shared" si="441"/>
        <v>0</v>
      </c>
      <c r="DI53" s="421">
        <f t="shared" si="441"/>
        <v>0</v>
      </c>
      <c r="DJ53" s="421">
        <f t="shared" si="441"/>
        <v>0</v>
      </c>
      <c r="DK53" s="421">
        <f t="shared" si="441"/>
        <v>0</v>
      </c>
      <c r="DL53" s="421">
        <f t="shared" si="441"/>
        <v>0</v>
      </c>
      <c r="DM53" s="421">
        <f t="shared" si="441"/>
        <v>0</v>
      </c>
      <c r="DN53" s="421">
        <f t="shared" si="441"/>
        <v>0</v>
      </c>
      <c r="DO53" s="421">
        <f t="shared" si="441"/>
        <v>0</v>
      </c>
      <c r="DP53" s="421">
        <f t="shared" si="441"/>
        <v>0</v>
      </c>
      <c r="DQ53" s="421">
        <f t="shared" si="441"/>
        <v>0</v>
      </c>
      <c r="DR53" s="421">
        <f t="shared" si="441"/>
        <v>0</v>
      </c>
      <c r="DS53" s="421">
        <f t="shared" si="441"/>
        <v>0</v>
      </c>
      <c r="DT53" s="421">
        <f t="shared" si="441"/>
        <v>0</v>
      </c>
      <c r="DU53" s="421">
        <f t="shared" si="441"/>
        <v>0</v>
      </c>
      <c r="DV53" s="421">
        <f t="shared" si="441"/>
        <v>0</v>
      </c>
      <c r="DW53" s="421">
        <f t="shared" si="441"/>
        <v>0</v>
      </c>
      <c r="DX53" s="421">
        <f t="shared" si="441"/>
        <v>0</v>
      </c>
      <c r="DY53" s="421">
        <f t="shared" si="441"/>
        <v>0</v>
      </c>
      <c r="DZ53" s="421">
        <f t="shared" si="441"/>
        <v>0</v>
      </c>
      <c r="EA53" s="421">
        <f t="shared" si="441"/>
        <v>0</v>
      </c>
      <c r="EB53" s="421">
        <f t="shared" si="441"/>
        <v>0</v>
      </c>
      <c r="EC53" s="421">
        <f t="shared" si="441"/>
        <v>0</v>
      </c>
      <c r="ED53" s="421">
        <f t="shared" si="441"/>
        <v>0</v>
      </c>
      <c r="EE53" s="421">
        <f t="shared" si="441"/>
        <v>0</v>
      </c>
      <c r="EF53" s="421">
        <f t="shared" si="441"/>
        <v>0</v>
      </c>
      <c r="EG53" s="421">
        <f t="shared" si="441"/>
        <v>0</v>
      </c>
      <c r="EH53" s="421">
        <f t="shared" si="441"/>
        <v>0</v>
      </c>
      <c r="EI53" s="421">
        <f t="shared" si="441"/>
        <v>0</v>
      </c>
      <c r="EJ53" s="421">
        <f t="shared" si="441"/>
        <v>0</v>
      </c>
      <c r="EK53" s="421">
        <f t="shared" si="441"/>
        <v>0</v>
      </c>
      <c r="EL53" s="421">
        <f t="shared" si="441"/>
        <v>0</v>
      </c>
      <c r="EM53" s="421">
        <f t="shared" si="441"/>
        <v>0</v>
      </c>
      <c r="EN53" s="421">
        <f t="shared" si="441"/>
        <v>0</v>
      </c>
      <c r="EP53" s="221" t="s">
        <v>155</v>
      </c>
      <c r="EQ53" s="202"/>
      <c r="ER53" s="202"/>
      <c r="ES53" s="20"/>
      <c r="ET53" s="18"/>
      <c r="EU53" s="26" t="n">
        <f>SUM(EV53:JX53)</f>
        <v>11384338.889635915</v>
      </c>
      <c r="EV53" s="26" t="n">
        <f>SUM(L52:L54)</f>
        <v>0</v>
      </c>
      <c r="EW53" s="26" t="n">
        <f t="shared" ref="EW53:HH53" si="442">SUM(M52:M54)</f>
        <v>313055.55555555556</v>
      </c>
      <c r="EX53" s="26">
        <f t="shared" si="442"/>
        <v>313055.55555555556</v>
      </c>
      <c r="EY53" s="26">
        <f t="shared" si="442"/>
        <v>313055.55555555556</v>
      </c>
      <c r="EZ53" s="26">
        <f t="shared" si="442"/>
        <v>313055.55555555556</v>
      </c>
      <c r="FA53" s="26">
        <f t="shared" si="442"/>
        <v>427394.44519146113</v>
      </c>
      <c r="FB53" s="26">
        <f t="shared" si="442"/>
        <v>313055.55555555556</v>
      </c>
      <c r="FC53" s="26">
        <f t="shared" si="442"/>
        <v>313055.55555555556</v>
      </c>
      <c r="FD53" s="26">
        <f t="shared" si="442"/>
        <v>313055.55555555556</v>
      </c>
      <c r="FE53" s="26">
        <f t="shared" si="442"/>
        <v>313055.55555555556</v>
      </c>
      <c r="FF53" s="26">
        <f t="shared" si="442"/>
        <v>313055.55555555556</v>
      </c>
      <c r="FG53" s="26">
        <f t="shared" si="442"/>
        <v>313055.55555555556</v>
      </c>
      <c r="FH53" s="26">
        <f t="shared" si="442"/>
        <v>313055.55555555556</v>
      </c>
      <c r="FI53" s="26">
        <f t="shared" si="442"/>
        <v>313055.55555555556</v>
      </c>
      <c r="FJ53" s="26">
        <f t="shared" si="442"/>
        <v>313055.55555555556</v>
      </c>
      <c r="FK53" s="26">
        <f t="shared" si="442"/>
        <v>313055.55555555556</v>
      </c>
      <c r="FL53" s="26">
        <f t="shared" si="442"/>
        <v>313055.55555555556</v>
      </c>
      <c r="FM53" s="26">
        <f t="shared" si="442"/>
        <v>313055.55555555556</v>
      </c>
      <c r="FN53" s="26">
        <f t="shared" si="442"/>
        <v>313055.55555555556</v>
      </c>
      <c r="FO53" s="26">
        <f t="shared" si="442"/>
        <v>313055.55555555556</v>
      </c>
      <c r="FP53" s="26">
        <f t="shared" si="442"/>
        <v>313055.55555555556</v>
      </c>
      <c r="FQ53" s="26">
        <f t="shared" si="442"/>
        <v>313055.55555555556</v>
      </c>
      <c r="FR53" s="26">
        <f t="shared" si="442"/>
        <v>313055.55555555556</v>
      </c>
      <c r="FS53" s="26">
        <f t="shared" si="442"/>
        <v>313055.55555555556</v>
      </c>
      <c r="FT53" s="26">
        <f t="shared" si="442"/>
        <v>313055.55555555556</v>
      </c>
      <c r="FU53" s="26">
        <f t="shared" si="442"/>
        <v>313055.55555555556</v>
      </c>
      <c r="FV53" s="26">
        <f t="shared" si="442"/>
        <v>313055.55555555556</v>
      </c>
      <c r="FW53" s="26">
        <f t="shared" si="442"/>
        <v>313055.55555555556</v>
      </c>
      <c r="FX53" s="26">
        <f t="shared" si="442"/>
        <v>313055.55555555556</v>
      </c>
      <c r="FY53" s="26">
        <f t="shared" si="442"/>
        <v>313055.55555555556</v>
      </c>
      <c r="FZ53" s="26">
        <f t="shared" si="442"/>
        <v>313055.55555555556</v>
      </c>
      <c r="GA53" s="26">
        <f t="shared" si="442"/>
        <v>313055.55555555556</v>
      </c>
      <c r="GB53" s="26">
        <f t="shared" si="442"/>
        <v>313055.55555555556</v>
      </c>
      <c r="GC53" s="26">
        <f t="shared" si="442"/>
        <v>313055.55555555556</v>
      </c>
      <c r="GD53" s="26">
        <f t="shared" si="442"/>
        <v>313055.55555555556</v>
      </c>
      <c r="GE53" s="26">
        <f t="shared" si="442"/>
        <v>313055.55555555556</v>
      </c>
      <c r="GF53" s="26">
        <f t="shared" si="442"/>
        <v>313055.55555555556</v>
      </c>
      <c r="GG53" s="26">
        <f t="shared" si="442"/>
        <v>0</v>
      </c>
      <c r="GH53" s="26">
        <f t="shared" si="442"/>
        <v>0</v>
      </c>
      <c r="GI53" s="26">
        <f t="shared" si="442"/>
        <v>0</v>
      </c>
      <c r="GJ53" s="26">
        <f t="shared" si="442"/>
        <v>0</v>
      </c>
      <c r="GK53" s="26">
        <f t="shared" si="442"/>
        <v>0</v>
      </c>
      <c r="GL53" s="26">
        <f t="shared" si="442"/>
        <v>0</v>
      </c>
      <c r="GM53" s="26">
        <f t="shared" si="442"/>
        <v>0</v>
      </c>
      <c r="GN53" s="26">
        <f t="shared" si="442"/>
        <v>0</v>
      </c>
      <c r="GO53" s="26">
        <f t="shared" si="442"/>
        <v>0</v>
      </c>
      <c r="GP53" s="26">
        <f t="shared" si="442"/>
        <v>0</v>
      </c>
      <c r="GQ53" s="26">
        <f t="shared" si="442"/>
        <v>0</v>
      </c>
      <c r="GR53" s="26">
        <f t="shared" si="442"/>
        <v>0</v>
      </c>
      <c r="GS53" s="26">
        <f t="shared" si="442"/>
        <v>0</v>
      </c>
      <c r="GT53" s="26">
        <f t="shared" si="442"/>
        <v>0</v>
      </c>
      <c r="GU53" s="26">
        <f t="shared" si="442"/>
        <v>0</v>
      </c>
      <c r="GV53" s="26">
        <f t="shared" si="442"/>
        <v>0</v>
      </c>
      <c r="GW53" s="26">
        <f t="shared" si="442"/>
        <v>0</v>
      </c>
      <c r="GX53" s="26">
        <f t="shared" si="442"/>
        <v>0</v>
      </c>
      <c r="GY53" s="26">
        <f t="shared" si="442"/>
        <v>0</v>
      </c>
      <c r="GZ53" s="26">
        <f t="shared" si="442"/>
        <v>0</v>
      </c>
      <c r="HA53" s="26">
        <f t="shared" si="442"/>
        <v>0</v>
      </c>
      <c r="HB53" s="26">
        <f t="shared" si="442"/>
        <v>0</v>
      </c>
      <c r="HC53" s="26">
        <f t="shared" si="442"/>
        <v>0</v>
      </c>
      <c r="HD53" s="26">
        <f t="shared" si="442"/>
        <v>0</v>
      </c>
      <c r="HE53" s="26">
        <f t="shared" si="442"/>
        <v>0</v>
      </c>
      <c r="HF53" s="26">
        <f t="shared" si="442"/>
        <v>0</v>
      </c>
      <c r="HG53" s="26">
        <f t="shared" si="442"/>
        <v>0</v>
      </c>
      <c r="HH53" s="26">
        <f t="shared" si="442"/>
        <v>0</v>
      </c>
      <c r="HI53" s="26" t="n">
        <f t="shared" ref="HI53:JT53" si="443">SUM(BY52:BY54)</f>
        <v>0</v>
      </c>
      <c r="HJ53" s="26">
        <f t="shared" si="443"/>
        <v>0</v>
      </c>
      <c r="HK53" s="26">
        <f t="shared" si="443"/>
        <v>0</v>
      </c>
      <c r="HL53" s="26">
        <f t="shared" si="443"/>
        <v>0</v>
      </c>
      <c r="HM53" s="26">
        <f t="shared" si="443"/>
        <v>0</v>
      </c>
      <c r="HN53" s="26">
        <f t="shared" si="443"/>
        <v>0</v>
      </c>
      <c r="HO53" s="26">
        <f t="shared" si="443"/>
        <v>0</v>
      </c>
      <c r="HP53" s="26">
        <f t="shared" si="443"/>
        <v>0</v>
      </c>
      <c r="HQ53" s="26">
        <f t="shared" si="443"/>
        <v>0</v>
      </c>
      <c r="HR53" s="26">
        <f t="shared" si="443"/>
        <v>0</v>
      </c>
      <c r="HS53" s="26">
        <f t="shared" si="443"/>
        <v>0</v>
      </c>
      <c r="HT53" s="26">
        <f t="shared" si="443"/>
        <v>0</v>
      </c>
      <c r="HU53" s="26">
        <f t="shared" si="443"/>
        <v>0</v>
      </c>
      <c r="HV53" s="26">
        <f t="shared" si="443"/>
        <v>0</v>
      </c>
      <c r="HW53" s="26">
        <f t="shared" si="443"/>
        <v>0</v>
      </c>
      <c r="HX53" s="26">
        <f t="shared" si="443"/>
        <v>0</v>
      </c>
      <c r="HY53" s="26">
        <f t="shared" si="443"/>
        <v>0</v>
      </c>
      <c r="HZ53" s="26">
        <f t="shared" si="443"/>
        <v>0</v>
      </c>
      <c r="IA53" s="26">
        <f t="shared" si="443"/>
        <v>0</v>
      </c>
      <c r="IB53" s="26">
        <f t="shared" si="443"/>
        <v>0</v>
      </c>
      <c r="IC53" s="26">
        <f t="shared" si="443"/>
        <v>0</v>
      </c>
      <c r="ID53" s="26">
        <f t="shared" si="443"/>
        <v>0</v>
      </c>
      <c r="IE53" s="26">
        <f t="shared" si="443"/>
        <v>0</v>
      </c>
      <c r="IF53" s="26">
        <f t="shared" si="443"/>
        <v>0</v>
      </c>
      <c r="IG53" s="26">
        <f t="shared" si="443"/>
        <v>0</v>
      </c>
      <c r="IH53" s="26">
        <f t="shared" si="443"/>
        <v>0</v>
      </c>
      <c r="II53" s="26">
        <f t="shared" si="443"/>
        <v>0</v>
      </c>
      <c r="IJ53" s="26">
        <f t="shared" si="443"/>
        <v>0</v>
      </c>
      <c r="IK53" s="26">
        <f t="shared" si="443"/>
        <v>0</v>
      </c>
      <c r="IL53" s="26">
        <f t="shared" si="443"/>
        <v>0</v>
      </c>
      <c r="IM53" s="26">
        <f t="shared" si="443"/>
        <v>0</v>
      </c>
      <c r="IN53" s="26">
        <f t="shared" si="443"/>
        <v>0</v>
      </c>
      <c r="IO53" s="26">
        <f t="shared" si="443"/>
        <v>0</v>
      </c>
      <c r="IP53" s="26">
        <f t="shared" si="443"/>
        <v>0</v>
      </c>
      <c r="IQ53" s="26">
        <f t="shared" si="443"/>
        <v>0</v>
      </c>
      <c r="IR53" s="26">
        <f t="shared" si="443"/>
        <v>0</v>
      </c>
      <c r="IS53" s="26">
        <f t="shared" si="443"/>
        <v>0</v>
      </c>
      <c r="IT53" s="26">
        <f t="shared" si="443"/>
        <v>0</v>
      </c>
      <c r="IU53" s="26">
        <f t="shared" si="443"/>
        <v>0</v>
      </c>
      <c r="IV53" s="26">
        <f t="shared" si="443"/>
        <v>0</v>
      </c>
      <c r="IW53" s="26">
        <f t="shared" si="443"/>
        <v>0</v>
      </c>
      <c r="IX53" s="26">
        <f t="shared" si="443"/>
        <v>0</v>
      </c>
      <c r="IY53" s="26">
        <f t="shared" si="443"/>
        <v>0</v>
      </c>
      <c r="IZ53" s="26">
        <f t="shared" si="443"/>
        <v>0</v>
      </c>
      <c r="JA53" s="26">
        <f t="shared" si="443"/>
        <v>0</v>
      </c>
      <c r="JB53" s="26">
        <f t="shared" si="443"/>
        <v>0</v>
      </c>
      <c r="JC53" s="26">
        <f t="shared" si="443"/>
        <v>0</v>
      </c>
      <c r="JD53" s="26">
        <f t="shared" si="443"/>
        <v>0</v>
      </c>
      <c r="JE53" s="26">
        <f t="shared" si="443"/>
        <v>0</v>
      </c>
      <c r="JF53" s="26">
        <f t="shared" si="443"/>
        <v>0</v>
      </c>
      <c r="JG53" s="26">
        <f t="shared" si="443"/>
        <v>0</v>
      </c>
      <c r="JH53" s="26">
        <f t="shared" si="443"/>
        <v>0</v>
      </c>
      <c r="JI53" s="26">
        <f t="shared" si="443"/>
        <v>0</v>
      </c>
      <c r="JJ53" s="26">
        <f t="shared" si="443"/>
        <v>0</v>
      </c>
      <c r="JK53" s="26">
        <f t="shared" si="443"/>
        <v>0</v>
      </c>
      <c r="JL53" s="26">
        <f t="shared" si="443"/>
        <v>0</v>
      </c>
      <c r="JM53" s="26">
        <f t="shared" si="443"/>
        <v>0</v>
      </c>
      <c r="JN53" s="26">
        <f t="shared" si="443"/>
        <v>0</v>
      </c>
      <c r="JO53" s="26">
        <f t="shared" si="443"/>
        <v>0</v>
      </c>
      <c r="JP53" s="26">
        <f t="shared" si="443"/>
        <v>0</v>
      </c>
      <c r="JQ53" s="26">
        <f t="shared" si="443"/>
        <v>0</v>
      </c>
      <c r="JR53" s="26">
        <f t="shared" si="443"/>
        <v>0</v>
      </c>
      <c r="JS53" s="26">
        <f t="shared" si="443"/>
        <v>0</v>
      </c>
      <c r="JT53" s="26">
        <f t="shared" si="443"/>
        <v>0</v>
      </c>
      <c r="JU53" s="26" t="n">
        <f>SUM(EK52:EK54)</f>
        <v>0</v>
      </c>
      <c r="JV53" s="26" t="n">
        <f>SUM(EL52:EL54)</f>
        <v>0</v>
      </c>
      <c r="JW53" s="26" t="n">
        <f>SUM(EM52:EM54)</f>
        <v>0</v>
      </c>
      <c r="JX53" s="26" t="n">
        <f>SUM(EN52:EN54)</f>
        <v>0</v>
      </c>
      <c r="JZ53" s="221"/>
      <c r="KA53" s="202"/>
      <c r="KB53" s="20"/>
      <c r="KC53" s="20"/>
      <c r="KD53" s="20"/>
      <c r="KE53" s="82"/>
      <c r="KF53" s="82"/>
      <c r="KG53" s="82"/>
      <c r="KH53" s="82"/>
      <c r="KI53" s="82"/>
      <c r="KJ53" s="82"/>
      <c r="KK53" s="82"/>
      <c r="KL53" s="82"/>
      <c r="KM53" s="82"/>
      <c r="KN53" s="82"/>
      <c r="KO53" s="82"/>
      <c r="KP53" s="82"/>
      <c r="KQ53" s="82"/>
      <c r="KR53" s="82"/>
      <c r="KS53" s="82"/>
      <c r="KT53" s="82"/>
      <c r="KU53" s="82"/>
      <c r="KV53" s="82"/>
      <c r="KW53" s="82"/>
      <c r="KX53" s="82"/>
      <c r="KY53" s="82"/>
      <c r="KZ53" s="82"/>
      <c r="LA53" s="82"/>
      <c r="LB53" s="82"/>
      <c r="LC53" s="82"/>
      <c r="LD53" s="82"/>
      <c r="LE53" s="82"/>
      <c r="LF53" s="82"/>
      <c r="LG53" s="82"/>
      <c r="LH53" s="82"/>
      <c r="LI53" s="82"/>
      <c r="LJ53" s="82"/>
      <c r="LK53" s="82"/>
      <c r="LL53" s="82"/>
      <c r="LM53" s="82"/>
      <c r="LN53" s="82"/>
      <c r="LO53" s="82"/>
      <c r="LP53" s="82"/>
      <c r="LQ53" s="82"/>
      <c r="LR53" s="82"/>
      <c r="LS53" s="82"/>
      <c r="LT53" s="82"/>
      <c r="LU53" s="82"/>
      <c r="LV53" s="82"/>
      <c r="LW53" s="82"/>
      <c r="LX53" s="82"/>
      <c r="LY53" s="82"/>
      <c r="LZ53" s="82"/>
      <c r="MA53" s="82"/>
      <c r="MB53" s="82"/>
      <c r="MC53" s="82"/>
      <c r="MD53" s="82"/>
      <c r="ME53" s="82"/>
      <c r="MF53" s="82"/>
      <c r="MG53" s="82"/>
      <c r="MH53" s="82"/>
      <c r="MI53" s="82"/>
      <c r="MJ53" s="82"/>
      <c r="MK53" s="82"/>
      <c r="ML53" s="82"/>
      <c r="MM53" s="82"/>
      <c r="MN53" s="82"/>
      <c r="MO53" s="82"/>
      <c r="MP53" s="82"/>
      <c r="MQ53" s="82"/>
      <c r="MR53" s="82"/>
      <c r="MS53" s="82"/>
      <c r="MT53" s="82"/>
      <c r="MU53" s="82"/>
      <c r="MV53" s="82"/>
      <c r="MW53" s="82"/>
      <c r="MX53" s="82"/>
      <c r="MY53" s="82"/>
      <c r="MZ53" s="82"/>
      <c r="NA53" s="82"/>
      <c r="NB53" s="82"/>
      <c r="NC53" s="82"/>
      <c r="ND53" s="82"/>
      <c r="NE53" s="82"/>
      <c r="NF53" s="82"/>
      <c r="NG53" s="82"/>
      <c r="NH53" s="82"/>
      <c r="NI53" s="82"/>
      <c r="NJ53" s="82"/>
      <c r="NK53" s="82"/>
      <c r="NL53" s="82"/>
      <c r="NM53" s="82"/>
      <c r="NN53" s="82"/>
      <c r="NO53" s="82"/>
      <c r="NP53" s="82"/>
      <c r="NQ53" s="82"/>
      <c r="NR53" s="82"/>
      <c r="NS53" s="82"/>
      <c r="NT53" s="82"/>
      <c r="NU53" s="82"/>
      <c r="NV53" s="82"/>
      <c r="NW53" s="82"/>
      <c r="NX53" s="82"/>
      <c r="NY53" s="82"/>
      <c r="NZ53" s="82"/>
      <c r="OA53" s="82"/>
      <c r="OB53" s="82"/>
      <c r="OC53" s="82"/>
      <c r="OD53" s="82"/>
      <c r="OE53" s="82"/>
      <c r="OF53" s="82"/>
      <c r="OG53" s="82"/>
      <c r="OH53" s="82"/>
      <c r="OI53" s="82"/>
      <c r="OJ53" s="82"/>
      <c r="OK53" s="82"/>
      <c r="OL53" s="82"/>
      <c r="OM53" s="82"/>
      <c r="ON53" s="82"/>
      <c r="OO53" s="82"/>
      <c r="OP53" s="82"/>
      <c r="OQ53" s="82"/>
      <c r="OR53" s="82"/>
      <c r="OS53" s="82"/>
      <c r="OT53" s="82"/>
      <c r="OU53" s="82"/>
      <c r="OV53" s="82"/>
      <c r="OW53" s="82"/>
      <c r="OX53" s="82"/>
      <c r="OY53" s="82"/>
      <c r="OZ53" s="82"/>
      <c r="PA53" s="82"/>
      <c r="PB53" s="82"/>
      <c r="PC53" s="82"/>
      <c r="PD53" s="82"/>
      <c r="PE53" s="82"/>
      <c r="PF53" s="82"/>
      <c r="PG53" s="82"/>
      <c r="PH53" s="82"/>
    </row>
    <row r="54">
      <c r="B54" s="431"/>
      <c r="C54" s="404" t="n">
        <f>I54/Units_SF_M2</f>
        <v>0</v>
      </c>
      <c r="D54" s="46"/>
      <c r="E54" s="404"/>
      <c r="F54" s="404"/>
      <c r="G54" s="140"/>
      <c r="H54" s="438"/>
      <c r="I54" s="439">
        <v>0</v>
      </c>
      <c r="K54" s="22" t="str">
        <f>IF(ROUND(SUM(L54:EN54),0)=ROUND(I54,0),"","Incomplete")</f>
        <v>Incomplete</v>
      </c>
      <c r="L54" s="440">
        <v>0</v>
      </c>
      <c r="M54" s="440" t="n">
        <f t="shared" ref="M54:AR54" si="444">EW59</f>
        <v>0</v>
      </c>
      <c r="N54" s="440">
        <f t="shared" si="444"/>
        <v>0</v>
      </c>
      <c r="O54" s="440">
        <f t="shared" si="444"/>
        <v>0</v>
      </c>
      <c r="P54" s="440">
        <f t="shared" si="444"/>
        <v>0</v>
      </c>
      <c r="Q54" s="440">
        <f t="shared" si="444"/>
        <v>114338.88963590557</v>
      </c>
      <c r="R54" s="440">
        <f t="shared" si="444"/>
        <v>0</v>
      </c>
      <c r="S54" s="440">
        <f t="shared" si="444"/>
        <v>0</v>
      </c>
      <c r="T54" s="440">
        <f t="shared" si="444"/>
        <v>0</v>
      </c>
      <c r="U54" s="440">
        <f t="shared" si="444"/>
        <v>0</v>
      </c>
      <c r="V54" s="440">
        <f t="shared" si="444"/>
        <v>0</v>
      </c>
      <c r="W54" s="440">
        <f t="shared" si="444"/>
        <v>0</v>
      </c>
      <c r="X54" s="440">
        <f t="shared" si="444"/>
        <v>0</v>
      </c>
      <c r="Y54" s="440">
        <f t="shared" si="444"/>
        <v>0</v>
      </c>
      <c r="Z54" s="440">
        <f t="shared" si="444"/>
        <v>0</v>
      </c>
      <c r="AA54" s="440">
        <f t="shared" si="444"/>
        <v>0</v>
      </c>
      <c r="AB54" s="440">
        <f t="shared" si="444"/>
        <v>0</v>
      </c>
      <c r="AC54" s="440">
        <f t="shared" si="444"/>
        <v>0</v>
      </c>
      <c r="AD54" s="440">
        <f t="shared" si="444"/>
        <v>0</v>
      </c>
      <c r="AE54" s="440">
        <f t="shared" si="444"/>
        <v>0</v>
      </c>
      <c r="AF54" s="440">
        <f t="shared" si="444"/>
        <v>0</v>
      </c>
      <c r="AG54" s="440">
        <f t="shared" si="444"/>
        <v>0</v>
      </c>
      <c r="AH54" s="440">
        <f t="shared" si="444"/>
        <v>0</v>
      </c>
      <c r="AI54" s="440">
        <f t="shared" si="444"/>
        <v>0</v>
      </c>
      <c r="AJ54" s="440">
        <f t="shared" si="444"/>
        <v>0</v>
      </c>
      <c r="AK54" s="440">
        <f t="shared" si="444"/>
        <v>0</v>
      </c>
      <c r="AL54" s="440">
        <f t="shared" si="444"/>
        <v>0</v>
      </c>
      <c r="AM54" s="440">
        <f t="shared" si="444"/>
        <v>0</v>
      </c>
      <c r="AN54" s="440">
        <f t="shared" si="444"/>
        <v>0</v>
      </c>
      <c r="AO54" s="440">
        <f t="shared" si="444"/>
        <v>0</v>
      </c>
      <c r="AP54" s="440">
        <f t="shared" si="444"/>
        <v>0</v>
      </c>
      <c r="AQ54" s="440">
        <f t="shared" si="444"/>
        <v>0</v>
      </c>
      <c r="AR54" s="440">
        <f t="shared" si="444"/>
        <v>0</v>
      </c>
      <c r="AS54" s="440" t="n">
        <f t="shared" ref="AS54:BX54" si="445">GC59</f>
        <v>0</v>
      </c>
      <c r="AT54" s="440">
        <f t="shared" si="445"/>
        <v>0</v>
      </c>
      <c r="AU54" s="440">
        <f t="shared" si="445"/>
        <v>0</v>
      </c>
      <c r="AV54" s="440">
        <f t="shared" si="445"/>
        <v>0</v>
      </c>
      <c r="AW54" s="440">
        <f t="shared" si="445"/>
        <v>0</v>
      </c>
      <c r="AX54" s="440">
        <f t="shared" si="445"/>
        <v>0</v>
      </c>
      <c r="AY54" s="440">
        <f t="shared" si="445"/>
        <v>0</v>
      </c>
      <c r="AZ54" s="440">
        <f t="shared" si="445"/>
        <v>0</v>
      </c>
      <c r="BA54" s="440">
        <f t="shared" si="445"/>
        <v>0</v>
      </c>
      <c r="BB54" s="440">
        <f t="shared" si="445"/>
        <v>0</v>
      </c>
      <c r="BC54" s="440">
        <f t="shared" si="445"/>
        <v>0</v>
      </c>
      <c r="BD54" s="440">
        <f t="shared" si="445"/>
        <v>0</v>
      </c>
      <c r="BE54" s="440">
        <f t="shared" si="445"/>
        <v>0</v>
      </c>
      <c r="BF54" s="440">
        <f t="shared" si="445"/>
        <v>0</v>
      </c>
      <c r="BG54" s="440">
        <f t="shared" si="445"/>
        <v>0</v>
      </c>
      <c r="BH54" s="440">
        <f t="shared" si="445"/>
        <v>0</v>
      </c>
      <c r="BI54" s="440">
        <f t="shared" si="445"/>
        <v>0</v>
      </c>
      <c r="BJ54" s="440">
        <f t="shared" si="445"/>
        <v>0</v>
      </c>
      <c r="BK54" s="440">
        <f t="shared" si="445"/>
        <v>0</v>
      </c>
      <c r="BL54" s="440">
        <f t="shared" si="445"/>
        <v>0</v>
      </c>
      <c r="BM54" s="440">
        <f t="shared" si="445"/>
        <v>0</v>
      </c>
      <c r="BN54" s="440">
        <f t="shared" si="445"/>
        <v>0</v>
      </c>
      <c r="BO54" s="440">
        <f t="shared" si="445"/>
        <v>0</v>
      </c>
      <c r="BP54" s="440">
        <f t="shared" si="445"/>
        <v>0</v>
      </c>
      <c r="BQ54" s="440">
        <f t="shared" si="445"/>
        <v>0</v>
      </c>
      <c r="BR54" s="440">
        <f t="shared" si="445"/>
        <v>0</v>
      </c>
      <c r="BS54" s="440">
        <f t="shared" si="445"/>
        <v>0</v>
      </c>
      <c r="BT54" s="440">
        <f t="shared" si="445"/>
        <v>0</v>
      </c>
      <c r="BU54" s="440">
        <f t="shared" si="445"/>
        <v>0</v>
      </c>
      <c r="BV54" s="440">
        <f t="shared" si="445"/>
        <v>0</v>
      </c>
      <c r="BW54" s="440">
        <f t="shared" si="445"/>
        <v>0</v>
      </c>
      <c r="BX54" s="440">
        <f t="shared" si="445"/>
        <v>0</v>
      </c>
      <c r="BY54" s="440" t="n">
        <f t="shared" ref="BY54:DD54" si="446">HI59</f>
        <v>0</v>
      </c>
      <c r="BZ54" s="440">
        <f t="shared" si="446"/>
        <v>0</v>
      </c>
      <c r="CA54" s="440">
        <f t="shared" si="446"/>
        <v>0</v>
      </c>
      <c r="CB54" s="440">
        <f t="shared" si="446"/>
        <v>0</v>
      </c>
      <c r="CC54" s="440">
        <f t="shared" si="446"/>
        <v>0</v>
      </c>
      <c r="CD54" s="440">
        <f t="shared" si="446"/>
        <v>0</v>
      </c>
      <c r="CE54" s="440">
        <f t="shared" si="446"/>
        <v>0</v>
      </c>
      <c r="CF54" s="440">
        <f t="shared" si="446"/>
        <v>0</v>
      </c>
      <c r="CG54" s="440">
        <f t="shared" si="446"/>
        <v>0</v>
      </c>
      <c r="CH54" s="440">
        <f t="shared" si="446"/>
        <v>0</v>
      </c>
      <c r="CI54" s="440">
        <f t="shared" si="446"/>
        <v>0</v>
      </c>
      <c r="CJ54" s="440">
        <f t="shared" si="446"/>
        <v>0</v>
      </c>
      <c r="CK54" s="440">
        <f t="shared" si="446"/>
        <v>0</v>
      </c>
      <c r="CL54" s="440">
        <f t="shared" si="446"/>
        <v>0</v>
      </c>
      <c r="CM54" s="440">
        <f t="shared" si="446"/>
        <v>0</v>
      </c>
      <c r="CN54" s="440">
        <f t="shared" si="446"/>
        <v>0</v>
      </c>
      <c r="CO54" s="440">
        <f t="shared" si="446"/>
        <v>0</v>
      </c>
      <c r="CP54" s="440">
        <f t="shared" si="446"/>
        <v>0</v>
      </c>
      <c r="CQ54" s="440">
        <f t="shared" si="446"/>
        <v>0</v>
      </c>
      <c r="CR54" s="440">
        <f t="shared" si="446"/>
        <v>0</v>
      </c>
      <c r="CS54" s="440">
        <f t="shared" si="446"/>
        <v>0</v>
      </c>
      <c r="CT54" s="440">
        <f t="shared" si="446"/>
        <v>0</v>
      </c>
      <c r="CU54" s="440">
        <f t="shared" si="446"/>
        <v>0</v>
      </c>
      <c r="CV54" s="440">
        <f t="shared" si="446"/>
        <v>0</v>
      </c>
      <c r="CW54" s="440">
        <f t="shared" si="446"/>
        <v>0</v>
      </c>
      <c r="CX54" s="440">
        <f t="shared" si="446"/>
        <v>0</v>
      </c>
      <c r="CY54" s="440">
        <f t="shared" si="446"/>
        <v>0</v>
      </c>
      <c r="CZ54" s="440">
        <f t="shared" si="446"/>
        <v>0</v>
      </c>
      <c r="DA54" s="440">
        <f t="shared" si="446"/>
        <v>0</v>
      </c>
      <c r="DB54" s="440">
        <f t="shared" si="446"/>
        <v>0</v>
      </c>
      <c r="DC54" s="440">
        <f t="shared" si="446"/>
        <v>0</v>
      </c>
      <c r="DD54" s="440">
        <f t="shared" si="446"/>
        <v>0</v>
      </c>
      <c r="DE54" s="440" t="n">
        <f t="shared" ref="DE54:EJ54" si="447">IO59</f>
        <v>0</v>
      </c>
      <c r="DF54" s="440">
        <f t="shared" si="447"/>
        <v>0</v>
      </c>
      <c r="DG54" s="440">
        <f t="shared" si="447"/>
        <v>0</v>
      </c>
      <c r="DH54" s="440">
        <f t="shared" si="447"/>
        <v>0</v>
      </c>
      <c r="DI54" s="440">
        <f t="shared" si="447"/>
        <v>0</v>
      </c>
      <c r="DJ54" s="440">
        <f t="shared" si="447"/>
        <v>0</v>
      </c>
      <c r="DK54" s="440">
        <f t="shared" si="447"/>
        <v>0</v>
      </c>
      <c r="DL54" s="440">
        <f t="shared" si="447"/>
        <v>0</v>
      </c>
      <c r="DM54" s="440">
        <f t="shared" si="447"/>
        <v>0</v>
      </c>
      <c r="DN54" s="440">
        <f t="shared" si="447"/>
        <v>0</v>
      </c>
      <c r="DO54" s="440">
        <f t="shared" si="447"/>
        <v>0</v>
      </c>
      <c r="DP54" s="440">
        <f t="shared" si="447"/>
        <v>0</v>
      </c>
      <c r="DQ54" s="440">
        <f t="shared" si="447"/>
        <v>0</v>
      </c>
      <c r="DR54" s="440">
        <f t="shared" si="447"/>
        <v>0</v>
      </c>
      <c r="DS54" s="440">
        <f t="shared" si="447"/>
        <v>0</v>
      </c>
      <c r="DT54" s="440">
        <f t="shared" si="447"/>
        <v>0</v>
      </c>
      <c r="DU54" s="440">
        <f t="shared" si="447"/>
        <v>0</v>
      </c>
      <c r="DV54" s="440">
        <f t="shared" si="447"/>
        <v>0</v>
      </c>
      <c r="DW54" s="440">
        <f t="shared" si="447"/>
        <v>0</v>
      </c>
      <c r="DX54" s="440">
        <f t="shared" si="447"/>
        <v>0</v>
      </c>
      <c r="DY54" s="440">
        <f t="shared" si="447"/>
        <v>0</v>
      </c>
      <c r="DZ54" s="440">
        <f t="shared" si="447"/>
        <v>0</v>
      </c>
      <c r="EA54" s="440">
        <f t="shared" si="447"/>
        <v>0</v>
      </c>
      <c r="EB54" s="440">
        <f t="shared" si="447"/>
        <v>0</v>
      </c>
      <c r="EC54" s="440">
        <f t="shared" si="447"/>
        <v>0</v>
      </c>
      <c r="ED54" s="440">
        <f t="shared" si="447"/>
        <v>0</v>
      </c>
      <c r="EE54" s="440">
        <f t="shared" si="447"/>
        <v>0</v>
      </c>
      <c r="EF54" s="440">
        <f t="shared" si="447"/>
        <v>0</v>
      </c>
      <c r="EG54" s="440">
        <f t="shared" si="447"/>
        <v>0</v>
      </c>
      <c r="EH54" s="440">
        <f t="shared" si="447"/>
        <v>0</v>
      </c>
      <c r="EI54" s="440">
        <f t="shared" si="447"/>
        <v>0</v>
      </c>
      <c r="EJ54" s="440">
        <f t="shared" si="447"/>
        <v>0</v>
      </c>
      <c r="EK54" s="440">
        <v>0</v>
      </c>
      <c r="EL54" s="440">
        <v>0</v>
      </c>
      <c r="EM54" s="440">
        <v>0</v>
      </c>
      <c r="EN54" s="440">
        <v>0</v>
      </c>
      <c r="EP54" s="220" t="n">
        <f>B57</f>
        <v>0</v>
      </c>
      <c r="EQ54" s="18"/>
      <c r="ER54" s="18"/>
      <c r="ES54" s="18"/>
      <c r="ET54" s="18"/>
      <c r="EU54" s="20" t="n">
        <f>SUM(EV54:JX54)</f>
        <v>418872890.1742361</v>
      </c>
      <c r="EV54" s="20" t="n">
        <f t="shared" ref="EV54:GA54" si="448">L57</f>
        <v>87034792.90517423</v>
      </c>
      <c r="EW54" s="20">
        <f t="shared" si="448"/>
        <v>212162.73181973916</v>
      </c>
      <c r="EX54" s="20">
        <f t="shared" si="448"/>
        <v>483373.12890771433</v>
      </c>
      <c r="EY54" s="20">
        <f t="shared" si="448"/>
        <v>870706.20970547642</v>
      </c>
      <c r="EZ54" s="20">
        <f t="shared" si="448"/>
        <v>1407343.039998231</v>
      </c>
      <c r="FA54" s="20">
        <f t="shared" si="448"/>
        <v>2242515.4168408588</v>
      </c>
      <c r="FB54" s="20">
        <f t="shared" si="448"/>
        <v>3066233.2255849475</v>
      </c>
      <c r="FC54" s="20">
        <f t="shared" si="448"/>
        <v>4247815.6680353265</v>
      </c>
      <c r="FD54" s="20">
        <f t="shared" si="448"/>
        <v>5686719.8131011408</v>
      </c>
      <c r="FE54" s="20">
        <f t="shared" si="448"/>
        <v>7378219.20713937</v>
      </c>
      <c r="FF54" s="20">
        <f t="shared" si="448"/>
        <v>9293807.5188872609</v>
      </c>
      <c r="FG54" s="20">
        <f t="shared" si="448"/>
        <v>11377861.161045389</v>
      </c>
      <c r="FH54" s="20">
        <f t="shared" si="448"/>
        <v>13547336.693550857</v>
      </c>
      <c r="FI54" s="20">
        <f t="shared" si="448"/>
        <v>15695302.068280539</v>
      </c>
      <c r="FJ54" s="20">
        <f t="shared" si="448"/>
        <v>17698527.037614059</v>
      </c>
      <c r="FK54" s="20">
        <f t="shared" si="448"/>
        <v>19428611.613568623</v>
      </c>
      <c r="FL54" s="20">
        <f t="shared" si="448"/>
        <v>20765363.623626877</v>
      </c>
      <c r="FM54" s="20">
        <f t="shared" si="448"/>
        <v>21610531.772739612</v>
      </c>
      <c r="FN54" s="20">
        <f t="shared" si="448"/>
        <v>21899727.837075893</v>
      </c>
      <c r="FO54" s="20">
        <f t="shared" si="448"/>
        <v>21610531.77273963</v>
      </c>
      <c r="FP54" s="20">
        <f t="shared" si="448"/>
        <v>20765363.623626839</v>
      </c>
      <c r="FQ54" s="20">
        <f t="shared" si="448"/>
        <v>19428611.61356866</v>
      </c>
      <c r="FR54" s="20">
        <f t="shared" si="448"/>
        <v>17698527.037614033</v>
      </c>
      <c r="FS54" s="20">
        <f t="shared" si="448"/>
        <v>15695302.068280539</v>
      </c>
      <c r="FT54" s="20">
        <f t="shared" si="448"/>
        <v>13547336.693550883</v>
      </c>
      <c r="FU54" s="20">
        <f t="shared" si="448"/>
        <v>11377861.161045359</v>
      </c>
      <c r="FV54" s="20">
        <f t="shared" si="448"/>
        <v>9293807.5188872609</v>
      </c>
      <c r="FW54" s="20">
        <f t="shared" si="448"/>
        <v>7378219.2071393942</v>
      </c>
      <c r="FX54" s="20">
        <f t="shared" si="448"/>
        <v>5686719.813101124</v>
      </c>
      <c r="FY54" s="20">
        <f t="shared" si="448"/>
        <v>4247815.6680353275</v>
      </c>
      <c r="FZ54" s="20">
        <f t="shared" si="448"/>
        <v>3066233.2255849615</v>
      </c>
      <c r="GA54" s="20">
        <f t="shared" si="448"/>
        <v>2128176.5272049378</v>
      </c>
      <c r="GB54" s="20" t="n">
        <f t="shared" ref="GB54:HG54" si="449">AR57</f>
        <v>1407343.039998237</v>
      </c>
      <c r="GC54" s="20">
        <f t="shared" si="449"/>
        <v>870706.20970545732</v>
      </c>
      <c r="GD54" s="20">
        <f t="shared" si="449"/>
        <v>483373.12890773668</v>
      </c>
      <c r="GE54" s="20">
        <f t="shared" si="449"/>
        <v>212162.73181972333</v>
      </c>
      <c r="GF54" s="20">
        <f t="shared" si="449"/>
        <v>27848.460729774495</v>
      </c>
      <c r="GG54" s="20">
        <f t="shared" si="449"/>
        <v>0</v>
      </c>
      <c r="GH54" s="20">
        <f t="shared" si="449"/>
        <v>0</v>
      </c>
      <c r="GI54" s="20">
        <f t="shared" si="449"/>
        <v>0</v>
      </c>
      <c r="GJ54" s="20">
        <f t="shared" si="449"/>
        <v>0</v>
      </c>
      <c r="GK54" s="20">
        <f t="shared" si="449"/>
        <v>0</v>
      </c>
      <c r="GL54" s="20">
        <f t="shared" si="449"/>
        <v>0</v>
      </c>
      <c r="GM54" s="20">
        <f t="shared" si="449"/>
        <v>0</v>
      </c>
      <c r="GN54" s="20">
        <f t="shared" si="449"/>
        <v>0</v>
      </c>
      <c r="GO54" s="20">
        <f t="shared" si="449"/>
        <v>0</v>
      </c>
      <c r="GP54" s="20">
        <f t="shared" si="449"/>
        <v>0</v>
      </c>
      <c r="GQ54" s="20">
        <f t="shared" si="449"/>
        <v>0</v>
      </c>
      <c r="GR54" s="20">
        <f t="shared" si="449"/>
        <v>0</v>
      </c>
      <c r="GS54" s="20">
        <f t="shared" si="449"/>
        <v>0</v>
      </c>
      <c r="GT54" s="20">
        <f t="shared" si="449"/>
        <v>0</v>
      </c>
      <c r="GU54" s="20">
        <f t="shared" si="449"/>
        <v>0</v>
      </c>
      <c r="GV54" s="20">
        <f t="shared" si="449"/>
        <v>0</v>
      </c>
      <c r="GW54" s="20">
        <f t="shared" si="449"/>
        <v>0</v>
      </c>
      <c r="GX54" s="20">
        <f t="shared" si="449"/>
        <v>0</v>
      </c>
      <c r="GY54" s="20">
        <f t="shared" si="449"/>
        <v>0</v>
      </c>
      <c r="GZ54" s="20">
        <f t="shared" si="449"/>
        <v>0</v>
      </c>
      <c r="HA54" s="20">
        <f t="shared" si="449"/>
        <v>0</v>
      </c>
      <c r="HB54" s="20">
        <f t="shared" si="449"/>
        <v>0</v>
      </c>
      <c r="HC54" s="20">
        <f t="shared" si="449"/>
        <v>0</v>
      </c>
      <c r="HD54" s="20">
        <f t="shared" si="449"/>
        <v>0</v>
      </c>
      <c r="HE54" s="20">
        <f t="shared" si="449"/>
        <v>0</v>
      </c>
      <c r="HF54" s="20">
        <f t="shared" si="449"/>
        <v>0</v>
      </c>
      <c r="HG54" s="20">
        <f t="shared" si="449"/>
        <v>0</v>
      </c>
      <c r="HH54" s="20" t="n">
        <f t="shared" ref="HH54:IM54" si="450">BX57</f>
        <v>0</v>
      </c>
      <c r="HI54" s="20">
        <f t="shared" si="450"/>
        <v>0</v>
      </c>
      <c r="HJ54" s="20">
        <f t="shared" si="450"/>
        <v>0</v>
      </c>
      <c r="HK54" s="20">
        <f t="shared" si="450"/>
        <v>0</v>
      </c>
      <c r="HL54" s="20">
        <f t="shared" si="450"/>
        <v>0</v>
      </c>
      <c r="HM54" s="20">
        <f t="shared" si="450"/>
        <v>0</v>
      </c>
      <c r="HN54" s="20">
        <f t="shared" si="450"/>
        <v>0</v>
      </c>
      <c r="HO54" s="20">
        <f t="shared" si="450"/>
        <v>0</v>
      </c>
      <c r="HP54" s="20">
        <f t="shared" si="450"/>
        <v>0</v>
      </c>
      <c r="HQ54" s="20">
        <f t="shared" si="450"/>
        <v>0</v>
      </c>
      <c r="HR54" s="20">
        <f t="shared" si="450"/>
        <v>0</v>
      </c>
      <c r="HS54" s="20">
        <f t="shared" si="450"/>
        <v>0</v>
      </c>
      <c r="HT54" s="20">
        <f t="shared" si="450"/>
        <v>0</v>
      </c>
      <c r="HU54" s="20">
        <f t="shared" si="450"/>
        <v>0</v>
      </c>
      <c r="HV54" s="20">
        <f t="shared" si="450"/>
        <v>0</v>
      </c>
      <c r="HW54" s="20">
        <f t="shared" si="450"/>
        <v>0</v>
      </c>
      <c r="HX54" s="20">
        <f t="shared" si="450"/>
        <v>0</v>
      </c>
      <c r="HY54" s="20">
        <f t="shared" si="450"/>
        <v>0</v>
      </c>
      <c r="HZ54" s="20">
        <f t="shared" si="450"/>
        <v>0</v>
      </c>
      <c r="IA54" s="20">
        <f t="shared" si="450"/>
        <v>0</v>
      </c>
      <c r="IB54" s="20">
        <f t="shared" si="450"/>
        <v>0</v>
      </c>
      <c r="IC54" s="20">
        <f t="shared" si="450"/>
        <v>0</v>
      </c>
      <c r="ID54" s="20">
        <f t="shared" si="450"/>
        <v>0</v>
      </c>
      <c r="IE54" s="20">
        <f t="shared" si="450"/>
        <v>0</v>
      </c>
      <c r="IF54" s="20">
        <f t="shared" si="450"/>
        <v>0</v>
      </c>
      <c r="IG54" s="20">
        <f t="shared" si="450"/>
        <v>0</v>
      </c>
      <c r="IH54" s="20">
        <f t="shared" si="450"/>
        <v>0</v>
      </c>
      <c r="II54" s="20">
        <f t="shared" si="450"/>
        <v>0</v>
      </c>
      <c r="IJ54" s="20">
        <f t="shared" si="450"/>
        <v>0</v>
      </c>
      <c r="IK54" s="20">
        <f t="shared" si="450"/>
        <v>0</v>
      </c>
      <c r="IL54" s="20">
        <f t="shared" si="450"/>
        <v>0</v>
      </c>
      <c r="IM54" s="20">
        <f t="shared" si="450"/>
        <v>0</v>
      </c>
      <c r="IN54" s="20" t="n">
        <f t="shared" ref="IN54:JS54" si="451">DD57</f>
        <v>0</v>
      </c>
      <c r="IO54" s="20">
        <f t="shared" si="451"/>
        <v>0</v>
      </c>
      <c r="IP54" s="20">
        <f t="shared" si="451"/>
        <v>0</v>
      </c>
      <c r="IQ54" s="20">
        <f t="shared" si="451"/>
        <v>0</v>
      </c>
      <c r="IR54" s="20">
        <f t="shared" si="451"/>
        <v>0</v>
      </c>
      <c r="IS54" s="20">
        <f t="shared" si="451"/>
        <v>0</v>
      </c>
      <c r="IT54" s="20">
        <f t="shared" si="451"/>
        <v>0</v>
      </c>
      <c r="IU54" s="20">
        <f t="shared" si="451"/>
        <v>0</v>
      </c>
      <c r="IV54" s="20">
        <f t="shared" si="451"/>
        <v>0</v>
      </c>
      <c r="IW54" s="20">
        <f t="shared" si="451"/>
        <v>0</v>
      </c>
      <c r="IX54" s="20">
        <f t="shared" si="451"/>
        <v>0</v>
      </c>
      <c r="IY54" s="20">
        <f t="shared" si="451"/>
        <v>0</v>
      </c>
      <c r="IZ54" s="20">
        <f t="shared" si="451"/>
        <v>0</v>
      </c>
      <c r="JA54" s="20">
        <f t="shared" si="451"/>
        <v>0</v>
      </c>
      <c r="JB54" s="20">
        <f t="shared" si="451"/>
        <v>0</v>
      </c>
      <c r="JC54" s="20">
        <f t="shared" si="451"/>
        <v>0</v>
      </c>
      <c r="JD54" s="20">
        <f t="shared" si="451"/>
        <v>0</v>
      </c>
      <c r="JE54" s="20">
        <f t="shared" si="451"/>
        <v>0</v>
      </c>
      <c r="JF54" s="20">
        <f t="shared" si="451"/>
        <v>0</v>
      </c>
      <c r="JG54" s="20">
        <f t="shared" si="451"/>
        <v>0</v>
      </c>
      <c r="JH54" s="20">
        <f t="shared" si="451"/>
        <v>0</v>
      </c>
      <c r="JI54" s="20">
        <f t="shared" si="451"/>
        <v>0</v>
      </c>
      <c r="JJ54" s="20">
        <f t="shared" si="451"/>
        <v>0</v>
      </c>
      <c r="JK54" s="20">
        <f t="shared" si="451"/>
        <v>0</v>
      </c>
      <c r="JL54" s="20">
        <f t="shared" si="451"/>
        <v>0</v>
      </c>
      <c r="JM54" s="20">
        <f t="shared" si="451"/>
        <v>0</v>
      </c>
      <c r="JN54" s="20">
        <f t="shared" si="451"/>
        <v>0</v>
      </c>
      <c r="JO54" s="20">
        <f t="shared" si="451"/>
        <v>0</v>
      </c>
      <c r="JP54" s="20">
        <f t="shared" si="451"/>
        <v>0</v>
      </c>
      <c r="JQ54" s="20">
        <f t="shared" si="451"/>
        <v>0</v>
      </c>
      <c r="JR54" s="20">
        <f t="shared" si="451"/>
        <v>0</v>
      </c>
      <c r="JS54" s="20">
        <f t="shared" si="451"/>
        <v>0</v>
      </c>
      <c r="JT54" s="20" t="n">
        <f>EJ57</f>
        <v>0</v>
      </c>
      <c r="JU54" s="20" t="n">
        <f>EK57</f>
        <v>0</v>
      </c>
      <c r="JV54" s="20" t="n">
        <f>EL57</f>
        <v>0</v>
      </c>
      <c r="JW54" s="20" t="n">
        <f>EM57</f>
        <v>0</v>
      </c>
      <c r="JX54" s="20" t="n">
        <f>EN57</f>
        <v>0</v>
      </c>
      <c r="JZ54" s="221"/>
      <c r="KA54" s="202"/>
      <c r="KB54" s="20"/>
      <c r="KC54" s="20"/>
      <c r="KD54" s="20"/>
      <c r="KE54" s="82"/>
      <c r="KF54" s="82"/>
      <c r="KG54" s="82"/>
      <c r="KH54" s="82"/>
      <c r="KI54" s="82"/>
      <c r="KJ54" s="82"/>
      <c r="KK54" s="82"/>
      <c r="KL54" s="82"/>
      <c r="KM54" s="82"/>
      <c r="KN54" s="82"/>
      <c r="KO54" s="82"/>
      <c r="KP54" s="82"/>
      <c r="KQ54" s="82"/>
      <c r="KR54" s="82"/>
      <c r="KS54" s="82"/>
      <c r="KT54" s="82"/>
      <c r="KU54" s="82"/>
      <c r="KV54" s="82"/>
      <c r="KW54" s="82"/>
      <c r="KX54" s="82"/>
      <c r="KY54" s="82"/>
      <c r="KZ54" s="82"/>
      <c r="LA54" s="82"/>
      <c r="LB54" s="82"/>
      <c r="LC54" s="82"/>
      <c r="LD54" s="82"/>
      <c r="LE54" s="82"/>
      <c r="LF54" s="82"/>
      <c r="LG54" s="82"/>
      <c r="LH54" s="82"/>
      <c r="LI54" s="82"/>
      <c r="LJ54" s="82"/>
      <c r="LK54" s="82"/>
      <c r="LL54" s="82"/>
      <c r="LM54" s="82"/>
      <c r="LN54" s="82"/>
      <c r="LO54" s="82"/>
      <c r="LP54" s="82"/>
      <c r="LQ54" s="82"/>
      <c r="LR54" s="82"/>
      <c r="LS54" s="82"/>
      <c r="LT54" s="82"/>
      <c r="LU54" s="82"/>
      <c r="LV54" s="82"/>
      <c r="LW54" s="82"/>
      <c r="LX54" s="82"/>
      <c r="LY54" s="82"/>
      <c r="LZ54" s="82"/>
      <c r="MA54" s="82"/>
      <c r="MB54" s="82"/>
      <c r="MC54" s="82"/>
      <c r="MD54" s="82"/>
      <c r="ME54" s="82"/>
      <c r="MF54" s="82"/>
      <c r="MG54" s="82"/>
      <c r="MH54" s="82"/>
      <c r="MI54" s="82"/>
      <c r="MJ54" s="82"/>
      <c r="MK54" s="82"/>
      <c r="ML54" s="82"/>
      <c r="MM54" s="82"/>
      <c r="MN54" s="82"/>
      <c r="MO54" s="82"/>
      <c r="MP54" s="82"/>
      <c r="MQ54" s="82"/>
      <c r="MR54" s="82"/>
      <c r="MS54" s="82"/>
      <c r="MT54" s="82"/>
      <c r="MU54" s="82"/>
      <c r="MV54" s="82"/>
      <c r="MW54" s="82"/>
      <c r="MX54" s="82"/>
      <c r="MY54" s="82"/>
      <c r="MZ54" s="82"/>
      <c r="NA54" s="82"/>
      <c r="NB54" s="82"/>
      <c r="NC54" s="82"/>
      <c r="ND54" s="82"/>
      <c r="NE54" s="82"/>
      <c r="NF54" s="82"/>
      <c r="NG54" s="82"/>
      <c r="NH54" s="82"/>
      <c r="NI54" s="82"/>
      <c r="NJ54" s="82"/>
      <c r="NK54" s="82"/>
      <c r="NL54" s="82"/>
      <c r="NM54" s="82"/>
      <c r="NN54" s="82"/>
      <c r="NO54" s="82"/>
      <c r="NP54" s="82"/>
      <c r="NQ54" s="82"/>
      <c r="NR54" s="82"/>
      <c r="NS54" s="82"/>
      <c r="NT54" s="82"/>
      <c r="NU54" s="82"/>
      <c r="NV54" s="82"/>
      <c r="NW54" s="82"/>
      <c r="NX54" s="82"/>
      <c r="NY54" s="82"/>
      <c r="NZ54" s="82"/>
      <c r="OA54" s="82"/>
      <c r="OB54" s="82"/>
      <c r="OC54" s="82"/>
      <c r="OD54" s="82"/>
      <c r="OE54" s="82"/>
      <c r="OF54" s="82"/>
      <c r="OG54" s="82"/>
      <c r="OH54" s="82"/>
      <c r="OI54" s="82"/>
      <c r="OJ54" s="82"/>
      <c r="OK54" s="82"/>
      <c r="OL54" s="82"/>
      <c r="OM54" s="82"/>
      <c r="ON54" s="82"/>
      <c r="OO54" s="82"/>
      <c r="OP54" s="82"/>
      <c r="OQ54" s="82"/>
      <c r="OR54" s="82"/>
      <c r="OS54" s="82"/>
      <c r="OT54" s="82"/>
      <c r="OU54" s="82"/>
      <c r="OV54" s="82"/>
      <c r="OW54" s="82"/>
      <c r="OX54" s="82"/>
      <c r="OY54" s="82"/>
      <c r="OZ54" s="82"/>
      <c r="PA54" s="82"/>
      <c r="PB54" s="82"/>
      <c r="PC54" s="82"/>
      <c r="PD54" s="82"/>
      <c r="PE54" s="82"/>
      <c r="PF54" s="82"/>
      <c r="PG54" s="82"/>
      <c r="PH54" s="82"/>
    </row>
    <row r="55">
      <c r="B55" s="427"/>
      <c r="C55" s="419" t="n">
        <f>SUM(H52:H54)</f>
        <v>0</v>
      </c>
      <c r="D55" s="47"/>
      <c r="E55" s="404"/>
      <c r="F55" s="404"/>
      <c r="G55" s="139"/>
      <c r="H55" s="434"/>
      <c r="I55" s="428" t="n">
        <f>SUM(I52:I54)</f>
        <v>11270000.00000001</v>
      </c>
      <c r="K55" s="22" t="str">
        <f>IF(ROUND(SUM(L55:EN55),0)=ROUND(I55,0),"","Incomplete")</f>
        <v>Incomplete</v>
      </c>
      <c r="L55" s="421" t="n">
        <f t="shared" ref="L55:BW55" si="452">SUM(L52:L54)</f>
        <v>0</v>
      </c>
      <c r="M55" s="421">
        <f t="shared" si="452"/>
        <v>313055.55555555556</v>
      </c>
      <c r="N55" s="421">
        <f t="shared" si="452"/>
        <v>313055.55555555556</v>
      </c>
      <c r="O55" s="421">
        <f t="shared" si="452"/>
        <v>313055.55555555556</v>
      </c>
      <c r="P55" s="421">
        <f t="shared" si="452"/>
        <v>313055.55555555556</v>
      </c>
      <c r="Q55" s="421">
        <f t="shared" si="452"/>
        <v>427394.44519146113</v>
      </c>
      <c r="R55" s="421">
        <f t="shared" si="452"/>
        <v>313055.55555555556</v>
      </c>
      <c r="S55" s="421">
        <f t="shared" si="452"/>
        <v>313055.55555555556</v>
      </c>
      <c r="T55" s="421">
        <f t="shared" si="452"/>
        <v>313055.55555555556</v>
      </c>
      <c r="U55" s="421">
        <f t="shared" si="452"/>
        <v>313055.55555555556</v>
      </c>
      <c r="V55" s="421">
        <f t="shared" si="452"/>
        <v>313055.55555555556</v>
      </c>
      <c r="W55" s="421">
        <f t="shared" si="452"/>
        <v>313055.55555555556</v>
      </c>
      <c r="X55" s="421">
        <f t="shared" si="452"/>
        <v>313055.55555555556</v>
      </c>
      <c r="Y55" s="421">
        <f t="shared" si="452"/>
        <v>313055.55555555556</v>
      </c>
      <c r="Z55" s="421">
        <f t="shared" si="452"/>
        <v>313055.55555555556</v>
      </c>
      <c r="AA55" s="421">
        <f t="shared" si="452"/>
        <v>313055.55555555556</v>
      </c>
      <c r="AB55" s="421">
        <f t="shared" si="452"/>
        <v>313055.55555555556</v>
      </c>
      <c r="AC55" s="421">
        <f t="shared" si="452"/>
        <v>313055.55555555556</v>
      </c>
      <c r="AD55" s="421">
        <f t="shared" si="452"/>
        <v>313055.55555555556</v>
      </c>
      <c r="AE55" s="421">
        <f t="shared" si="452"/>
        <v>313055.55555555556</v>
      </c>
      <c r="AF55" s="421">
        <f t="shared" si="452"/>
        <v>313055.55555555556</v>
      </c>
      <c r="AG55" s="421">
        <f t="shared" si="452"/>
        <v>313055.55555555556</v>
      </c>
      <c r="AH55" s="421">
        <f t="shared" si="452"/>
        <v>313055.55555555556</v>
      </c>
      <c r="AI55" s="421">
        <f t="shared" si="452"/>
        <v>313055.55555555556</v>
      </c>
      <c r="AJ55" s="421">
        <f t="shared" si="452"/>
        <v>313055.55555555556</v>
      </c>
      <c r="AK55" s="421">
        <f t="shared" si="452"/>
        <v>313055.55555555556</v>
      </c>
      <c r="AL55" s="421">
        <f t="shared" si="452"/>
        <v>313055.55555555556</v>
      </c>
      <c r="AM55" s="421">
        <f t="shared" si="452"/>
        <v>313055.55555555556</v>
      </c>
      <c r="AN55" s="421">
        <f t="shared" si="452"/>
        <v>313055.55555555556</v>
      </c>
      <c r="AO55" s="421">
        <f t="shared" si="452"/>
        <v>313055.55555555556</v>
      </c>
      <c r="AP55" s="421">
        <f t="shared" si="452"/>
        <v>313055.55555555556</v>
      </c>
      <c r="AQ55" s="421">
        <f t="shared" si="452"/>
        <v>313055.55555555556</v>
      </c>
      <c r="AR55" s="421">
        <f t="shared" si="452"/>
        <v>313055.55555555556</v>
      </c>
      <c r="AS55" s="421">
        <f t="shared" si="452"/>
        <v>313055.55555555556</v>
      </c>
      <c r="AT55" s="421">
        <f t="shared" si="452"/>
        <v>313055.55555555556</v>
      </c>
      <c r="AU55" s="421">
        <f t="shared" si="452"/>
        <v>313055.55555555556</v>
      </c>
      <c r="AV55" s="421">
        <f t="shared" si="452"/>
        <v>313055.55555555556</v>
      </c>
      <c r="AW55" s="421">
        <f t="shared" si="452"/>
        <v>0</v>
      </c>
      <c r="AX55" s="421">
        <f t="shared" si="452"/>
        <v>0</v>
      </c>
      <c r="AY55" s="421">
        <f t="shared" si="452"/>
        <v>0</v>
      </c>
      <c r="AZ55" s="421">
        <f t="shared" si="452"/>
        <v>0</v>
      </c>
      <c r="BA55" s="421">
        <f t="shared" si="452"/>
        <v>0</v>
      </c>
      <c r="BB55" s="421">
        <f t="shared" si="452"/>
        <v>0</v>
      </c>
      <c r="BC55" s="421">
        <f t="shared" si="452"/>
        <v>0</v>
      </c>
      <c r="BD55" s="421">
        <f t="shared" si="452"/>
        <v>0</v>
      </c>
      <c r="BE55" s="421">
        <f t="shared" si="452"/>
        <v>0</v>
      </c>
      <c r="BF55" s="421">
        <f t="shared" si="452"/>
        <v>0</v>
      </c>
      <c r="BG55" s="421">
        <f t="shared" si="452"/>
        <v>0</v>
      </c>
      <c r="BH55" s="421">
        <f t="shared" si="452"/>
        <v>0</v>
      </c>
      <c r="BI55" s="421">
        <f t="shared" si="452"/>
        <v>0</v>
      </c>
      <c r="BJ55" s="421">
        <f t="shared" si="452"/>
        <v>0</v>
      </c>
      <c r="BK55" s="421">
        <f t="shared" si="452"/>
        <v>0</v>
      </c>
      <c r="BL55" s="421">
        <f t="shared" si="452"/>
        <v>0</v>
      </c>
      <c r="BM55" s="421">
        <f t="shared" si="452"/>
        <v>0</v>
      </c>
      <c r="BN55" s="421">
        <f t="shared" si="452"/>
        <v>0</v>
      </c>
      <c r="BO55" s="421">
        <f t="shared" si="452"/>
        <v>0</v>
      </c>
      <c r="BP55" s="421">
        <f t="shared" si="452"/>
        <v>0</v>
      </c>
      <c r="BQ55" s="421">
        <f t="shared" si="452"/>
        <v>0</v>
      </c>
      <c r="BR55" s="421">
        <f t="shared" si="452"/>
        <v>0</v>
      </c>
      <c r="BS55" s="421">
        <f t="shared" si="452"/>
        <v>0</v>
      </c>
      <c r="BT55" s="421">
        <f t="shared" si="452"/>
        <v>0</v>
      </c>
      <c r="BU55" s="421">
        <f t="shared" si="452"/>
        <v>0</v>
      </c>
      <c r="BV55" s="421">
        <f t="shared" si="452"/>
        <v>0</v>
      </c>
      <c r="BW55" s="421">
        <f t="shared" si="452"/>
        <v>0</v>
      </c>
      <c r="BX55" s="421" t="n">
        <f t="shared" ref="BX55:EI55" si="453">SUM(BX52:BX54)</f>
        <v>0</v>
      </c>
      <c r="BY55" s="421">
        <f t="shared" si="453"/>
        <v>0</v>
      </c>
      <c r="BZ55" s="421">
        <f t="shared" si="453"/>
        <v>0</v>
      </c>
      <c r="CA55" s="421">
        <f t="shared" si="453"/>
        <v>0</v>
      </c>
      <c r="CB55" s="421">
        <f t="shared" si="453"/>
        <v>0</v>
      </c>
      <c r="CC55" s="421">
        <f t="shared" si="453"/>
        <v>0</v>
      </c>
      <c r="CD55" s="421">
        <f t="shared" si="453"/>
        <v>0</v>
      </c>
      <c r="CE55" s="421">
        <f t="shared" si="453"/>
        <v>0</v>
      </c>
      <c r="CF55" s="421">
        <f t="shared" si="453"/>
        <v>0</v>
      </c>
      <c r="CG55" s="421">
        <f t="shared" si="453"/>
        <v>0</v>
      </c>
      <c r="CH55" s="421">
        <f t="shared" si="453"/>
        <v>0</v>
      </c>
      <c r="CI55" s="421">
        <f t="shared" si="453"/>
        <v>0</v>
      </c>
      <c r="CJ55" s="421">
        <f t="shared" si="453"/>
        <v>0</v>
      </c>
      <c r="CK55" s="421">
        <f t="shared" si="453"/>
        <v>0</v>
      </c>
      <c r="CL55" s="421">
        <f t="shared" si="453"/>
        <v>0</v>
      </c>
      <c r="CM55" s="421">
        <f t="shared" si="453"/>
        <v>0</v>
      </c>
      <c r="CN55" s="421">
        <f t="shared" si="453"/>
        <v>0</v>
      </c>
      <c r="CO55" s="421">
        <f t="shared" si="453"/>
        <v>0</v>
      </c>
      <c r="CP55" s="421">
        <f t="shared" si="453"/>
        <v>0</v>
      </c>
      <c r="CQ55" s="421">
        <f t="shared" si="453"/>
        <v>0</v>
      </c>
      <c r="CR55" s="421">
        <f t="shared" si="453"/>
        <v>0</v>
      </c>
      <c r="CS55" s="421">
        <f t="shared" si="453"/>
        <v>0</v>
      </c>
      <c r="CT55" s="421">
        <f t="shared" si="453"/>
        <v>0</v>
      </c>
      <c r="CU55" s="421">
        <f t="shared" si="453"/>
        <v>0</v>
      </c>
      <c r="CV55" s="421">
        <f t="shared" si="453"/>
        <v>0</v>
      </c>
      <c r="CW55" s="421">
        <f t="shared" si="453"/>
        <v>0</v>
      </c>
      <c r="CX55" s="421">
        <f t="shared" si="453"/>
        <v>0</v>
      </c>
      <c r="CY55" s="421">
        <f t="shared" si="453"/>
        <v>0</v>
      </c>
      <c r="CZ55" s="421">
        <f t="shared" si="453"/>
        <v>0</v>
      </c>
      <c r="DA55" s="421">
        <f t="shared" si="453"/>
        <v>0</v>
      </c>
      <c r="DB55" s="421">
        <f t="shared" si="453"/>
        <v>0</v>
      </c>
      <c r="DC55" s="421">
        <f t="shared" si="453"/>
        <v>0</v>
      </c>
      <c r="DD55" s="421">
        <f t="shared" si="453"/>
        <v>0</v>
      </c>
      <c r="DE55" s="421">
        <f t="shared" si="453"/>
        <v>0</v>
      </c>
      <c r="DF55" s="421">
        <f t="shared" si="453"/>
        <v>0</v>
      </c>
      <c r="DG55" s="421">
        <f t="shared" si="453"/>
        <v>0</v>
      </c>
      <c r="DH55" s="421">
        <f t="shared" si="453"/>
        <v>0</v>
      </c>
      <c r="DI55" s="421">
        <f t="shared" si="453"/>
        <v>0</v>
      </c>
      <c r="DJ55" s="421">
        <f t="shared" si="453"/>
        <v>0</v>
      </c>
      <c r="DK55" s="421">
        <f t="shared" si="453"/>
        <v>0</v>
      </c>
      <c r="DL55" s="421">
        <f t="shared" si="453"/>
        <v>0</v>
      </c>
      <c r="DM55" s="421">
        <f t="shared" si="453"/>
        <v>0</v>
      </c>
      <c r="DN55" s="421">
        <f t="shared" si="453"/>
        <v>0</v>
      </c>
      <c r="DO55" s="421">
        <f t="shared" si="453"/>
        <v>0</v>
      </c>
      <c r="DP55" s="421">
        <f t="shared" si="453"/>
        <v>0</v>
      </c>
      <c r="DQ55" s="421">
        <f t="shared" si="453"/>
        <v>0</v>
      </c>
      <c r="DR55" s="421">
        <f t="shared" si="453"/>
        <v>0</v>
      </c>
      <c r="DS55" s="421">
        <f t="shared" si="453"/>
        <v>0</v>
      </c>
      <c r="DT55" s="421">
        <f t="shared" si="453"/>
        <v>0</v>
      </c>
      <c r="DU55" s="421">
        <f t="shared" si="453"/>
        <v>0</v>
      </c>
      <c r="DV55" s="421">
        <f t="shared" si="453"/>
        <v>0</v>
      </c>
      <c r="DW55" s="421">
        <f t="shared" si="453"/>
        <v>0</v>
      </c>
      <c r="DX55" s="421">
        <f t="shared" si="453"/>
        <v>0</v>
      </c>
      <c r="DY55" s="421">
        <f t="shared" si="453"/>
        <v>0</v>
      </c>
      <c r="DZ55" s="421">
        <f t="shared" si="453"/>
        <v>0</v>
      </c>
      <c r="EA55" s="421">
        <f t="shared" si="453"/>
        <v>0</v>
      </c>
      <c r="EB55" s="421">
        <f t="shared" si="453"/>
        <v>0</v>
      </c>
      <c r="EC55" s="421">
        <f t="shared" si="453"/>
        <v>0</v>
      </c>
      <c r="ED55" s="421">
        <f t="shared" si="453"/>
        <v>0</v>
      </c>
      <c r="EE55" s="421">
        <f t="shared" si="453"/>
        <v>0</v>
      </c>
      <c r="EF55" s="421">
        <f t="shared" si="453"/>
        <v>0</v>
      </c>
      <c r="EG55" s="421">
        <f t="shared" si="453"/>
        <v>0</v>
      </c>
      <c r="EH55" s="421">
        <f t="shared" si="453"/>
        <v>0</v>
      </c>
      <c r="EI55" s="421">
        <f t="shared" si="453"/>
        <v>0</v>
      </c>
      <c r="EJ55" s="421" t="n">
        <f>SUM(EJ52:EJ54)</f>
        <v>0</v>
      </c>
      <c r="EK55" s="421" t="n">
        <f>SUM(EK52:EK54)</f>
        <v>0</v>
      </c>
      <c r="EL55" s="421" t="n">
        <f>SUM(EL52:EL54)</f>
        <v>0</v>
      </c>
      <c r="EM55" s="421" t="n">
        <f>SUM(EM52:EM54)</f>
        <v>0</v>
      </c>
      <c r="EN55" s="421" t="n">
        <f>SUM(EN52:EN54)</f>
        <v>0</v>
      </c>
      <c r="EP55" s="413" t="s">
        <v>156</v>
      </c>
      <c r="EQ55" s="18"/>
      <c r="ER55" s="18"/>
      <c r="ES55" s="18"/>
      <c r="ET55" s="18"/>
      <c r="EU55" s="414" t="s">
        <v>153</v>
      </c>
      <c r="EV55" s="204" t="n">
        <f t="shared" ref="EV55:GA55" si="454">EV3</f>
        <v>0</v>
      </c>
      <c r="EW55" s="204">
        <f t="shared" si="454"/>
        <v>1</v>
      </c>
      <c r="EX55" s="204">
        <f t="shared" si="454"/>
        <v>2</v>
      </c>
      <c r="EY55" s="204">
        <f t="shared" si="454"/>
        <v>3</v>
      </c>
      <c r="EZ55" s="204">
        <f t="shared" si="454"/>
        <v>4</v>
      </c>
      <c r="FA55" s="204">
        <f t="shared" si="454"/>
        <v>5</v>
      </c>
      <c r="FB55" s="204">
        <f t="shared" si="454"/>
        <v>6</v>
      </c>
      <c r="FC55" s="204">
        <f t="shared" si="454"/>
        <v>7</v>
      </c>
      <c r="FD55" s="204">
        <f t="shared" si="454"/>
        <v>8</v>
      </c>
      <c r="FE55" s="204">
        <f t="shared" si="454"/>
        <v>9</v>
      </c>
      <c r="FF55" s="204">
        <f t="shared" si="454"/>
        <v>10</v>
      </c>
      <c r="FG55" s="204">
        <f t="shared" si="454"/>
        <v>11</v>
      </c>
      <c r="FH55" s="204">
        <f t="shared" si="454"/>
        <v>12</v>
      </c>
      <c r="FI55" s="204">
        <f t="shared" si="454"/>
        <v>13</v>
      </c>
      <c r="FJ55" s="204">
        <f t="shared" si="454"/>
        <v>14</v>
      </c>
      <c r="FK55" s="204">
        <f t="shared" si="454"/>
        <v>15</v>
      </c>
      <c r="FL55" s="204">
        <f t="shared" si="454"/>
        <v>16</v>
      </c>
      <c r="FM55" s="204">
        <f t="shared" si="454"/>
        <v>17</v>
      </c>
      <c r="FN55" s="204">
        <f t="shared" si="454"/>
        <v>18</v>
      </c>
      <c r="FO55" s="204">
        <f t="shared" si="454"/>
        <v>19</v>
      </c>
      <c r="FP55" s="204">
        <f t="shared" si="454"/>
        <v>20</v>
      </c>
      <c r="FQ55" s="204">
        <f t="shared" si="454"/>
        <v>21</v>
      </c>
      <c r="FR55" s="204">
        <f t="shared" si="454"/>
        <v>22</v>
      </c>
      <c r="FS55" s="204">
        <f t="shared" si="454"/>
        <v>23</v>
      </c>
      <c r="FT55" s="204">
        <f t="shared" si="454"/>
        <v>24</v>
      </c>
      <c r="FU55" s="204">
        <f t="shared" si="454"/>
        <v>25</v>
      </c>
      <c r="FV55" s="204">
        <f t="shared" si="454"/>
        <v>26</v>
      </c>
      <c r="FW55" s="204">
        <f t="shared" si="454"/>
        <v>27</v>
      </c>
      <c r="FX55" s="204">
        <f t="shared" si="454"/>
        <v>28</v>
      </c>
      <c r="FY55" s="204">
        <f t="shared" si="454"/>
        <v>29</v>
      </c>
      <c r="FZ55" s="204">
        <f t="shared" si="454"/>
        <v>30</v>
      </c>
      <c r="GA55" s="204">
        <f t="shared" si="454"/>
        <v>31</v>
      </c>
      <c r="GB55" s="204" t="n">
        <f t="shared" ref="GB55:HG55" si="455">GB3</f>
        <v>32</v>
      </c>
      <c r="GC55" s="204">
        <f t="shared" si="455"/>
        <v>33</v>
      </c>
      <c r="GD55" s="204">
        <f t="shared" si="455"/>
        <v>34</v>
      </c>
      <c r="GE55" s="204">
        <f t="shared" si="455"/>
        <v>35</v>
      </c>
      <c r="GF55" s="204">
        <f t="shared" si="455"/>
        <v>36</v>
      </c>
      <c r="GG55" s="204">
        <f t="shared" si="455"/>
        <v>37</v>
      </c>
      <c r="GH55" s="204">
        <f t="shared" si="455"/>
        <v>38</v>
      </c>
      <c r="GI55" s="204">
        <f t="shared" si="455"/>
        <v>39</v>
      </c>
      <c r="GJ55" s="204">
        <f t="shared" si="455"/>
        <v>40</v>
      </c>
      <c r="GK55" s="204">
        <f t="shared" si="455"/>
        <v>41</v>
      </c>
      <c r="GL55" s="204">
        <f t="shared" si="455"/>
        <v>42</v>
      </c>
      <c r="GM55" s="204">
        <f t="shared" si="455"/>
        <v>43</v>
      </c>
      <c r="GN55" s="204">
        <f t="shared" si="455"/>
        <v>44</v>
      </c>
      <c r="GO55" s="204">
        <f t="shared" si="455"/>
        <v>45</v>
      </c>
      <c r="GP55" s="204">
        <f t="shared" si="455"/>
        <v>46</v>
      </c>
      <c r="GQ55" s="204">
        <f t="shared" si="455"/>
        <v>47</v>
      </c>
      <c r="GR55" s="204">
        <f t="shared" si="455"/>
        <v>48</v>
      </c>
      <c r="GS55" s="204">
        <f t="shared" si="455"/>
        <v>49</v>
      </c>
      <c r="GT55" s="204">
        <f t="shared" si="455"/>
        <v>50</v>
      </c>
      <c r="GU55" s="204">
        <f t="shared" si="455"/>
        <v>51</v>
      </c>
      <c r="GV55" s="204">
        <f t="shared" si="455"/>
        <v>52</v>
      </c>
      <c r="GW55" s="204">
        <f t="shared" si="455"/>
        <v>53</v>
      </c>
      <c r="GX55" s="204">
        <f t="shared" si="455"/>
        <v>54</v>
      </c>
      <c r="GY55" s="204">
        <f t="shared" si="455"/>
        <v>55</v>
      </c>
      <c r="GZ55" s="204">
        <f t="shared" si="455"/>
        <v>56</v>
      </c>
      <c r="HA55" s="204">
        <f t="shared" si="455"/>
        <v>57</v>
      </c>
      <c r="HB55" s="204">
        <f t="shared" si="455"/>
        <v>58</v>
      </c>
      <c r="HC55" s="204">
        <f t="shared" si="455"/>
        <v>59</v>
      </c>
      <c r="HD55" s="204">
        <f t="shared" si="455"/>
        <v>60</v>
      </c>
      <c r="HE55" s="204">
        <f t="shared" si="455"/>
        <v>61</v>
      </c>
      <c r="HF55" s="204">
        <f t="shared" si="455"/>
        <v>62</v>
      </c>
      <c r="HG55" s="204">
        <f t="shared" si="455"/>
        <v>63</v>
      </c>
      <c r="HH55" s="204" t="n">
        <f t="shared" ref="HH55:IM55" si="456">HH3</f>
        <v>64</v>
      </c>
      <c r="HI55" s="204">
        <f t="shared" si="456"/>
        <v>65</v>
      </c>
      <c r="HJ55" s="204">
        <f t="shared" si="456"/>
        <v>66</v>
      </c>
      <c r="HK55" s="204">
        <f t="shared" si="456"/>
        <v>67</v>
      </c>
      <c r="HL55" s="204">
        <f t="shared" si="456"/>
        <v>68</v>
      </c>
      <c r="HM55" s="204">
        <f t="shared" si="456"/>
        <v>69</v>
      </c>
      <c r="HN55" s="204">
        <f t="shared" si="456"/>
        <v>70</v>
      </c>
      <c r="HO55" s="204">
        <f t="shared" si="456"/>
        <v>71</v>
      </c>
      <c r="HP55" s="204">
        <f t="shared" si="456"/>
        <v>72</v>
      </c>
      <c r="HQ55" s="204">
        <f t="shared" si="456"/>
        <v>73</v>
      </c>
      <c r="HR55" s="204">
        <f t="shared" si="456"/>
        <v>74</v>
      </c>
      <c r="HS55" s="204">
        <f t="shared" si="456"/>
        <v>75</v>
      </c>
      <c r="HT55" s="204">
        <f t="shared" si="456"/>
        <v>76</v>
      </c>
      <c r="HU55" s="204">
        <f t="shared" si="456"/>
        <v>77</v>
      </c>
      <c r="HV55" s="204">
        <f t="shared" si="456"/>
        <v>78</v>
      </c>
      <c r="HW55" s="204">
        <f t="shared" si="456"/>
        <v>79</v>
      </c>
      <c r="HX55" s="204">
        <f t="shared" si="456"/>
        <v>80</v>
      </c>
      <c r="HY55" s="204">
        <f t="shared" si="456"/>
        <v>81</v>
      </c>
      <c r="HZ55" s="204">
        <f t="shared" si="456"/>
        <v>82</v>
      </c>
      <c r="IA55" s="204">
        <f t="shared" si="456"/>
        <v>83</v>
      </c>
      <c r="IB55" s="204">
        <f t="shared" si="456"/>
        <v>84</v>
      </c>
      <c r="IC55" s="204">
        <f t="shared" si="456"/>
        <v>85</v>
      </c>
      <c r="ID55" s="204">
        <f t="shared" si="456"/>
        <v>86</v>
      </c>
      <c r="IE55" s="204">
        <f t="shared" si="456"/>
        <v>87</v>
      </c>
      <c r="IF55" s="204">
        <f t="shared" si="456"/>
        <v>88</v>
      </c>
      <c r="IG55" s="204">
        <f t="shared" si="456"/>
        <v>89</v>
      </c>
      <c r="IH55" s="204">
        <f t="shared" si="456"/>
        <v>90</v>
      </c>
      <c r="II55" s="204">
        <f t="shared" si="456"/>
        <v>91</v>
      </c>
      <c r="IJ55" s="204">
        <f t="shared" si="456"/>
        <v>92</v>
      </c>
      <c r="IK55" s="204">
        <f t="shared" si="456"/>
        <v>93</v>
      </c>
      <c r="IL55" s="204">
        <f t="shared" si="456"/>
        <v>94</v>
      </c>
      <c r="IM55" s="204">
        <f t="shared" si="456"/>
        <v>95</v>
      </c>
      <c r="IN55" s="204" t="n">
        <f t="shared" ref="IN55:JX55" si="457">IN3</f>
        <v>96</v>
      </c>
      <c r="IO55" s="204">
        <f t="shared" si="457"/>
        <v>97</v>
      </c>
      <c r="IP55" s="204">
        <f t="shared" si="457"/>
        <v>98</v>
      </c>
      <c r="IQ55" s="204">
        <f t="shared" si="457"/>
        <v>99</v>
      </c>
      <c r="IR55" s="204">
        <f t="shared" si="457"/>
        <v>100</v>
      </c>
      <c r="IS55" s="204">
        <f t="shared" si="457"/>
        <v>101</v>
      </c>
      <c r="IT55" s="204">
        <f t="shared" si="457"/>
        <v>102</v>
      </c>
      <c r="IU55" s="204">
        <f t="shared" si="457"/>
        <v>103</v>
      </c>
      <c r="IV55" s="204">
        <f t="shared" si="457"/>
        <v>104</v>
      </c>
      <c r="IW55" s="204">
        <f t="shared" si="457"/>
        <v>105</v>
      </c>
      <c r="IX55" s="204">
        <f t="shared" si="457"/>
        <v>106</v>
      </c>
      <c r="IY55" s="204">
        <f t="shared" si="457"/>
        <v>107</v>
      </c>
      <c r="IZ55" s="204">
        <f t="shared" si="457"/>
        <v>108</v>
      </c>
      <c r="JA55" s="204">
        <f t="shared" si="457"/>
        <v>109</v>
      </c>
      <c r="JB55" s="204">
        <f t="shared" si="457"/>
        <v>110</v>
      </c>
      <c r="JC55" s="204">
        <f t="shared" si="457"/>
        <v>111</v>
      </c>
      <c r="JD55" s="204">
        <f t="shared" si="457"/>
        <v>112</v>
      </c>
      <c r="JE55" s="204">
        <f t="shared" si="457"/>
        <v>113</v>
      </c>
      <c r="JF55" s="204">
        <f t="shared" si="457"/>
        <v>114</v>
      </c>
      <c r="JG55" s="204">
        <f t="shared" si="457"/>
        <v>115</v>
      </c>
      <c r="JH55" s="204">
        <f t="shared" si="457"/>
        <v>116</v>
      </c>
      <c r="JI55" s="204">
        <f t="shared" si="457"/>
        <v>117</v>
      </c>
      <c r="JJ55" s="204">
        <f t="shared" si="457"/>
        <v>118</v>
      </c>
      <c r="JK55" s="204">
        <f t="shared" si="457"/>
        <v>119</v>
      </c>
      <c r="JL55" s="204">
        <f t="shared" si="457"/>
        <v>120</v>
      </c>
      <c r="JM55" s="204">
        <f t="shared" si="457"/>
        <v>121</v>
      </c>
      <c r="JN55" s="204">
        <f t="shared" si="457"/>
        <v>122</v>
      </c>
      <c r="JO55" s="204">
        <f t="shared" si="457"/>
        <v>123</v>
      </c>
      <c r="JP55" s="204">
        <f t="shared" si="457"/>
        <v>124</v>
      </c>
      <c r="JQ55" s="204">
        <f t="shared" si="457"/>
        <v>125</v>
      </c>
      <c r="JR55" s="204">
        <f t="shared" si="457"/>
        <v>126</v>
      </c>
      <c r="JS55" s="204">
        <f t="shared" si="457"/>
        <v>127</v>
      </c>
      <c r="JT55" s="204">
        <f t="shared" si="457"/>
        <v>128</v>
      </c>
      <c r="JU55" s="204">
        <f t="shared" si="457"/>
        <v>129</v>
      </c>
      <c r="JV55" s="204">
        <f t="shared" si="457"/>
        <v>130</v>
      </c>
      <c r="JW55" s="204">
        <f t="shared" si="457"/>
        <v>131</v>
      </c>
      <c r="JX55" s="204">
        <f t="shared" si="457"/>
        <v>132</v>
      </c>
      <c r="JZ55" s="221"/>
      <c r="KA55" s="202"/>
      <c r="KB55" s="20"/>
      <c r="KC55" s="20"/>
      <c r="KD55" s="20"/>
      <c r="KE55" s="82"/>
      <c r="KF55" s="82"/>
      <c r="KG55" s="82"/>
      <c r="KH55" s="82"/>
      <c r="KI55" s="82"/>
      <c r="KJ55" s="82"/>
      <c r="KK55" s="82"/>
      <c r="KL55" s="82"/>
      <c r="KM55" s="82"/>
      <c r="KN55" s="82"/>
      <c r="KO55" s="82"/>
      <c r="KP55" s="82"/>
      <c r="KQ55" s="82"/>
      <c r="KR55" s="82"/>
      <c r="KS55" s="82"/>
      <c r="KT55" s="82"/>
      <c r="KU55" s="82"/>
      <c r="KV55" s="82"/>
      <c r="KW55" s="82"/>
      <c r="KX55" s="82"/>
      <c r="KY55" s="82"/>
      <c r="KZ55" s="82"/>
      <c r="LA55" s="82"/>
      <c r="LB55" s="82"/>
      <c r="LC55" s="82"/>
      <c r="LD55" s="82"/>
      <c r="LE55" s="82"/>
      <c r="LF55" s="82"/>
      <c r="LG55" s="82"/>
      <c r="LH55" s="82"/>
      <c r="LI55" s="82"/>
      <c r="LJ55" s="82"/>
      <c r="LK55" s="82"/>
      <c r="LL55" s="82"/>
      <c r="LM55" s="82"/>
      <c r="LN55" s="82"/>
      <c r="LO55" s="82"/>
      <c r="LP55" s="82"/>
      <c r="LQ55" s="82"/>
      <c r="LR55" s="82"/>
      <c r="LS55" s="82"/>
      <c r="LT55" s="82"/>
      <c r="LU55" s="82"/>
      <c r="LV55" s="82"/>
      <c r="LW55" s="82"/>
      <c r="LX55" s="82"/>
      <c r="LY55" s="82"/>
      <c r="LZ55" s="82"/>
      <c r="MA55" s="82"/>
      <c r="MB55" s="82"/>
      <c r="MC55" s="82"/>
      <c r="MD55" s="82"/>
      <c r="ME55" s="82"/>
      <c r="MF55" s="82"/>
      <c r="MG55" s="82"/>
      <c r="MH55" s="82"/>
      <c r="MI55" s="82"/>
      <c r="MJ55" s="82"/>
      <c r="MK55" s="82"/>
      <c r="ML55" s="82"/>
      <c r="MM55" s="82"/>
      <c r="MN55" s="82"/>
      <c r="MO55" s="82"/>
      <c r="MP55" s="82"/>
      <c r="MQ55" s="82"/>
      <c r="MR55" s="82"/>
      <c r="MS55" s="82"/>
      <c r="MT55" s="82"/>
      <c r="MU55" s="82"/>
      <c r="MV55" s="82"/>
      <c r="MW55" s="82"/>
      <c r="MX55" s="82"/>
      <c r="MY55" s="82"/>
      <c r="MZ55" s="82"/>
      <c r="NA55" s="82"/>
      <c r="NB55" s="82"/>
      <c r="NC55" s="82"/>
      <c r="ND55" s="82"/>
      <c r="NE55" s="82"/>
      <c r="NF55" s="82"/>
      <c r="NG55" s="82"/>
      <c r="NH55" s="82"/>
      <c r="NI55" s="82"/>
      <c r="NJ55" s="82"/>
      <c r="NK55" s="82"/>
      <c r="NL55" s="82"/>
      <c r="NM55" s="82"/>
      <c r="NN55" s="82"/>
      <c r="NO55" s="82"/>
      <c r="NP55" s="82"/>
      <c r="NQ55" s="82"/>
      <c r="NR55" s="82"/>
      <c r="NS55" s="82"/>
      <c r="NT55" s="82"/>
      <c r="NU55" s="82"/>
      <c r="NV55" s="82"/>
      <c r="NW55" s="82"/>
      <c r="NX55" s="82"/>
      <c r="NY55" s="82"/>
      <c r="NZ55" s="82"/>
      <c r="OA55" s="82"/>
      <c r="OB55" s="82"/>
      <c r="OC55" s="82"/>
      <c r="OD55" s="82"/>
      <c r="OE55" s="82"/>
      <c r="OF55" s="82"/>
      <c r="OG55" s="82"/>
      <c r="OH55" s="82"/>
      <c r="OI55" s="82"/>
      <c r="OJ55" s="82"/>
      <c r="OK55" s="82"/>
      <c r="OL55" s="82"/>
      <c r="OM55" s="82"/>
      <c r="ON55" s="82"/>
      <c r="OO55" s="82"/>
      <c r="OP55" s="82"/>
      <c r="OQ55" s="82"/>
      <c r="OR55" s="82"/>
      <c r="OS55" s="82"/>
      <c r="OT55" s="82"/>
      <c r="OU55" s="82"/>
      <c r="OV55" s="82"/>
      <c r="OW55" s="82"/>
      <c r="OX55" s="82"/>
      <c r="OY55" s="82"/>
      <c r="OZ55" s="82"/>
      <c r="PA55" s="82"/>
      <c r="PB55" s="82"/>
      <c r="PC55" s="82"/>
      <c r="PD55" s="82"/>
      <c r="PE55" s="82"/>
      <c r="PF55" s="82"/>
      <c r="PG55" s="82"/>
      <c r="PH55" s="82"/>
    </row>
    <row r="56">
      <c r="B56" s="429"/>
      <c r="C56" s="404"/>
      <c r="D56" s="46"/>
      <c r="E56" s="404"/>
      <c r="F56" s="404"/>
      <c r="G56" s="139"/>
      <c r="H56" s="139"/>
      <c r="I56" s="49"/>
      <c r="EP56" s="220" t="s">
        <v>157</v>
      </c>
      <c r="EQ56" s="18"/>
      <c r="ER56" s="18"/>
      <c r="ES56" s="18"/>
      <c r="ET56" s="18"/>
      <c r="EU56" s="20" t="n">
        <f>SUM(EV56:JX56)</f>
        <v>205447256.19338262</v>
      </c>
      <c r="EV56" s="20" t="n">
        <f t="shared" ref="EV56:GA56" si="458">MIN(EU69,EV52+L53)</f>
        <v>87034792.90517423</v>
      </c>
      <c r="EW56" s="20">
        <f t="shared" si="458"/>
        <v>-100892.8237358164</v>
      </c>
      <c r="EX56" s="20">
        <f t="shared" si="458"/>
        <v>170317.57335215877</v>
      </c>
      <c r="EY56" s="20">
        <f t="shared" si="458"/>
        <v>557650.6541499208</v>
      </c>
      <c r="EZ56" s="20">
        <f t="shared" si="458"/>
        <v>1094287.4844426755</v>
      </c>
      <c r="FA56" s="20">
        <f t="shared" si="458"/>
        <v>1815120.9716493976</v>
      </c>
      <c r="FB56" s="20">
        <f t="shared" si="458"/>
        <v>2753177.670029392</v>
      </c>
      <c r="FC56" s="20">
        <f t="shared" si="458"/>
        <v>3934760.112479771</v>
      </c>
      <c r="FD56" s="20">
        <f t="shared" si="458"/>
        <v>5373664.2575455848</v>
      </c>
      <c r="FE56" s="20">
        <f t="shared" si="458"/>
        <v>7065163.6515838141</v>
      </c>
      <c r="FF56" s="20">
        <f t="shared" si="458"/>
        <v>8980751.963331705</v>
      </c>
      <c r="FG56" s="20">
        <f t="shared" si="458"/>
        <v>11064805.605489833</v>
      </c>
      <c r="FH56" s="20">
        <f t="shared" si="458"/>
        <v>13234281.137995301</v>
      </c>
      <c r="FI56" s="20">
        <f t="shared" si="458"/>
        <v>15382246.512724983</v>
      </c>
      <c r="FJ56" s="20">
        <f t="shared" si="458"/>
        <v>17385471.482058503</v>
      </c>
      <c r="FK56" s="20">
        <f t="shared" si="458"/>
        <v>19115556.058013067</v>
      </c>
      <c r="FL56" s="20">
        <f t="shared" si="458"/>
        <v>10972200.895659722</v>
      </c>
      <c r="FM56" s="20">
        <f t="shared" si="458"/>
        <v>0</v>
      </c>
      <c r="FN56" s="20">
        <f t="shared" si="458"/>
        <v>0</v>
      </c>
      <c r="FO56" s="20">
        <f t="shared" si="458"/>
        <v>0</v>
      </c>
      <c r="FP56" s="20">
        <f t="shared" si="458"/>
        <v>0</v>
      </c>
      <c r="FQ56" s="20">
        <f t="shared" si="458"/>
        <v>0</v>
      </c>
      <c r="FR56" s="20">
        <f t="shared" si="458"/>
        <v>0</v>
      </c>
      <c r="FS56" s="20">
        <f t="shared" si="458"/>
        <v>0</v>
      </c>
      <c r="FT56" s="20">
        <f t="shared" si="458"/>
        <v>0</v>
      </c>
      <c r="FU56" s="20">
        <f t="shared" si="458"/>
        <v>0</v>
      </c>
      <c r="FV56" s="20">
        <f t="shared" si="458"/>
        <v>0</v>
      </c>
      <c r="FW56" s="20">
        <f t="shared" si="458"/>
        <v>0</v>
      </c>
      <c r="FX56" s="20">
        <f t="shared" si="458"/>
        <v>0</v>
      </c>
      <c r="FY56" s="20">
        <f t="shared" si="458"/>
        <v>0</v>
      </c>
      <c r="FZ56" s="20">
        <f t="shared" si="458"/>
        <v>0</v>
      </c>
      <c r="GA56" s="20">
        <f t="shared" si="458"/>
        <v>0</v>
      </c>
      <c r="GB56" s="20" t="n">
        <f t="shared" ref="GB56:HG56" si="459">MIN(GA69,GB52+AR53)</f>
        <v>0</v>
      </c>
      <c r="GC56" s="20">
        <f t="shared" si="459"/>
        <v>0</v>
      </c>
      <c r="GD56" s="20">
        <f t="shared" si="459"/>
        <v>0</v>
      </c>
      <c r="GE56" s="20">
        <f t="shared" si="459"/>
        <v>-100892.82373583224</v>
      </c>
      <c r="GF56" s="20">
        <f t="shared" si="459"/>
        <v>-285207.09482578107</v>
      </c>
      <c r="GG56" s="20">
        <f t="shared" si="459"/>
        <v>0</v>
      </c>
      <c r="GH56" s="20">
        <f t="shared" si="459"/>
        <v>0</v>
      </c>
      <c r="GI56" s="20">
        <f t="shared" si="459"/>
        <v>0</v>
      </c>
      <c r="GJ56" s="20">
        <f t="shared" si="459"/>
        <v>0</v>
      </c>
      <c r="GK56" s="20">
        <f t="shared" si="459"/>
        <v>0</v>
      </c>
      <c r="GL56" s="20">
        <f t="shared" si="459"/>
        <v>0</v>
      </c>
      <c r="GM56" s="20">
        <f t="shared" si="459"/>
        <v>0</v>
      </c>
      <c r="GN56" s="20">
        <f t="shared" si="459"/>
        <v>0</v>
      </c>
      <c r="GO56" s="20">
        <f t="shared" si="459"/>
        <v>0</v>
      </c>
      <c r="GP56" s="20">
        <f t="shared" si="459"/>
        <v>0</v>
      </c>
      <c r="GQ56" s="20">
        <f t="shared" si="459"/>
        <v>0</v>
      </c>
      <c r="GR56" s="20">
        <f t="shared" si="459"/>
        <v>0</v>
      </c>
      <c r="GS56" s="20">
        <f t="shared" si="459"/>
        <v>0</v>
      </c>
      <c r="GT56" s="20">
        <f t="shared" si="459"/>
        <v>0</v>
      </c>
      <c r="GU56" s="20">
        <f t="shared" si="459"/>
        <v>0</v>
      </c>
      <c r="GV56" s="20">
        <f t="shared" si="459"/>
        <v>0</v>
      </c>
      <c r="GW56" s="20">
        <f t="shared" si="459"/>
        <v>0</v>
      </c>
      <c r="GX56" s="20">
        <f t="shared" si="459"/>
        <v>0</v>
      </c>
      <c r="GY56" s="20">
        <f t="shared" si="459"/>
        <v>0</v>
      </c>
      <c r="GZ56" s="20">
        <f t="shared" si="459"/>
        <v>0</v>
      </c>
      <c r="HA56" s="20">
        <f t="shared" si="459"/>
        <v>0</v>
      </c>
      <c r="HB56" s="20">
        <f t="shared" si="459"/>
        <v>0</v>
      </c>
      <c r="HC56" s="20">
        <f t="shared" si="459"/>
        <v>0</v>
      </c>
      <c r="HD56" s="20">
        <f t="shared" si="459"/>
        <v>0</v>
      </c>
      <c r="HE56" s="20">
        <f t="shared" si="459"/>
        <v>0</v>
      </c>
      <c r="HF56" s="20">
        <f t="shared" si="459"/>
        <v>0</v>
      </c>
      <c r="HG56" s="20">
        <f t="shared" si="459"/>
        <v>0</v>
      </c>
      <c r="HH56" s="20" t="n">
        <f t="shared" ref="HH56:IM56" si="460">MIN(HG69,HH52+BX53)</f>
        <v>0</v>
      </c>
      <c r="HI56" s="20">
        <f t="shared" si="460"/>
        <v>0</v>
      </c>
      <c r="HJ56" s="20">
        <f t="shared" si="460"/>
        <v>0</v>
      </c>
      <c r="HK56" s="20">
        <f t="shared" si="460"/>
        <v>0</v>
      </c>
      <c r="HL56" s="20">
        <f t="shared" si="460"/>
        <v>0</v>
      </c>
      <c r="HM56" s="20">
        <f t="shared" si="460"/>
        <v>0</v>
      </c>
      <c r="HN56" s="20">
        <f t="shared" si="460"/>
        <v>0</v>
      </c>
      <c r="HO56" s="20">
        <f t="shared" si="460"/>
        <v>0</v>
      </c>
      <c r="HP56" s="20">
        <f t="shared" si="460"/>
        <v>0</v>
      </c>
      <c r="HQ56" s="20">
        <f t="shared" si="460"/>
        <v>0</v>
      </c>
      <c r="HR56" s="20">
        <f t="shared" si="460"/>
        <v>0</v>
      </c>
      <c r="HS56" s="20">
        <f t="shared" si="460"/>
        <v>0</v>
      </c>
      <c r="HT56" s="20">
        <f t="shared" si="460"/>
        <v>0</v>
      </c>
      <c r="HU56" s="20">
        <f t="shared" si="460"/>
        <v>0</v>
      </c>
      <c r="HV56" s="20">
        <f t="shared" si="460"/>
        <v>0</v>
      </c>
      <c r="HW56" s="20">
        <f t="shared" si="460"/>
        <v>0</v>
      </c>
      <c r="HX56" s="20">
        <f t="shared" si="460"/>
        <v>0</v>
      </c>
      <c r="HY56" s="20">
        <f t="shared" si="460"/>
        <v>0</v>
      </c>
      <c r="HZ56" s="20">
        <f t="shared" si="460"/>
        <v>0</v>
      </c>
      <c r="IA56" s="20">
        <f t="shared" si="460"/>
        <v>0</v>
      </c>
      <c r="IB56" s="20">
        <f t="shared" si="460"/>
        <v>0</v>
      </c>
      <c r="IC56" s="20">
        <f t="shared" si="460"/>
        <v>0</v>
      </c>
      <c r="ID56" s="20">
        <f t="shared" si="460"/>
        <v>0</v>
      </c>
      <c r="IE56" s="20">
        <f t="shared" si="460"/>
        <v>0</v>
      </c>
      <c r="IF56" s="20">
        <f t="shared" si="460"/>
        <v>0</v>
      </c>
      <c r="IG56" s="20">
        <f t="shared" si="460"/>
        <v>0</v>
      </c>
      <c r="IH56" s="20">
        <f t="shared" si="460"/>
        <v>0</v>
      </c>
      <c r="II56" s="20">
        <f t="shared" si="460"/>
        <v>0</v>
      </c>
      <c r="IJ56" s="20">
        <f t="shared" si="460"/>
        <v>0</v>
      </c>
      <c r="IK56" s="20">
        <f t="shared" si="460"/>
        <v>0</v>
      </c>
      <c r="IL56" s="20">
        <f t="shared" si="460"/>
        <v>0</v>
      </c>
      <c r="IM56" s="20">
        <f t="shared" si="460"/>
        <v>0</v>
      </c>
      <c r="IN56" s="20" t="n">
        <f t="shared" ref="IN56:JS56" si="461">MIN(IM69,IN52+DD53)</f>
        <v>0</v>
      </c>
      <c r="IO56" s="20">
        <f t="shared" si="461"/>
        <v>0</v>
      </c>
      <c r="IP56" s="20">
        <f t="shared" si="461"/>
        <v>0</v>
      </c>
      <c r="IQ56" s="20">
        <f t="shared" si="461"/>
        <v>0</v>
      </c>
      <c r="IR56" s="20">
        <f t="shared" si="461"/>
        <v>0</v>
      </c>
      <c r="IS56" s="20">
        <f t="shared" si="461"/>
        <v>0</v>
      </c>
      <c r="IT56" s="20">
        <f t="shared" si="461"/>
        <v>0</v>
      </c>
      <c r="IU56" s="20">
        <f t="shared" si="461"/>
        <v>0</v>
      </c>
      <c r="IV56" s="20">
        <f t="shared" si="461"/>
        <v>0</v>
      </c>
      <c r="IW56" s="20">
        <f t="shared" si="461"/>
        <v>0</v>
      </c>
      <c r="IX56" s="20">
        <f t="shared" si="461"/>
        <v>0</v>
      </c>
      <c r="IY56" s="20">
        <f t="shared" si="461"/>
        <v>0</v>
      </c>
      <c r="IZ56" s="20">
        <f t="shared" si="461"/>
        <v>0</v>
      </c>
      <c r="JA56" s="20">
        <f t="shared" si="461"/>
        <v>0</v>
      </c>
      <c r="JB56" s="20">
        <f t="shared" si="461"/>
        <v>0</v>
      </c>
      <c r="JC56" s="20">
        <f t="shared" si="461"/>
        <v>0</v>
      </c>
      <c r="JD56" s="20">
        <f t="shared" si="461"/>
        <v>0</v>
      </c>
      <c r="JE56" s="20">
        <f t="shared" si="461"/>
        <v>0</v>
      </c>
      <c r="JF56" s="20">
        <f t="shared" si="461"/>
        <v>0</v>
      </c>
      <c r="JG56" s="20">
        <f t="shared" si="461"/>
        <v>0</v>
      </c>
      <c r="JH56" s="20">
        <f t="shared" si="461"/>
        <v>0</v>
      </c>
      <c r="JI56" s="20">
        <f t="shared" si="461"/>
        <v>0</v>
      </c>
      <c r="JJ56" s="20">
        <f t="shared" si="461"/>
        <v>0</v>
      </c>
      <c r="JK56" s="20">
        <f t="shared" si="461"/>
        <v>0</v>
      </c>
      <c r="JL56" s="20">
        <f t="shared" si="461"/>
        <v>0</v>
      </c>
      <c r="JM56" s="20">
        <f t="shared" si="461"/>
        <v>0</v>
      </c>
      <c r="JN56" s="20">
        <f t="shared" si="461"/>
        <v>0</v>
      </c>
      <c r="JO56" s="20">
        <f t="shared" si="461"/>
        <v>0</v>
      </c>
      <c r="JP56" s="20">
        <f t="shared" si="461"/>
        <v>0</v>
      </c>
      <c r="JQ56" s="20">
        <f t="shared" si="461"/>
        <v>0</v>
      </c>
      <c r="JR56" s="20">
        <f t="shared" si="461"/>
        <v>0</v>
      </c>
      <c r="JS56" s="20">
        <f t="shared" si="461"/>
        <v>0</v>
      </c>
      <c r="JT56" s="20" t="n">
        <f t="shared" ref="JT56:JX56" si="462">MIN(JS69,JT52+EJ53)</f>
        <v>0</v>
      </c>
      <c r="JU56" s="20">
        <f t="shared" si="462"/>
        <v>0</v>
      </c>
      <c r="JV56" s="20">
        <f t="shared" si="462"/>
        <v>0</v>
      </c>
      <c r="JW56" s="20">
        <f t="shared" si="462"/>
        <v>0</v>
      </c>
      <c r="JX56" s="20">
        <f t="shared" si="462"/>
        <v>0</v>
      </c>
      <c r="JZ56" s="263"/>
      <c r="KA56" s="263"/>
      <c r="KB56" s="263"/>
      <c r="KC56" s="263"/>
      <c r="KD56" s="263"/>
      <c r="KE56" s="264"/>
      <c r="KF56" s="264"/>
      <c r="KG56" s="264"/>
      <c r="KH56" s="264"/>
      <c r="KI56" s="264"/>
      <c r="KJ56" s="264"/>
      <c r="KK56" s="264"/>
      <c r="KL56" s="264"/>
      <c r="KM56" s="264"/>
      <c r="KN56" s="264"/>
      <c r="KO56" s="264"/>
      <c r="KP56" s="264"/>
      <c r="KQ56" s="264"/>
      <c r="KR56" s="264"/>
      <c r="KS56" s="264"/>
      <c r="KT56" s="264"/>
      <c r="KU56" s="264"/>
      <c r="KV56" s="264"/>
      <c r="KW56" s="264"/>
      <c r="KX56" s="264"/>
      <c r="KY56" s="264"/>
      <c r="KZ56" s="264"/>
      <c r="LA56" s="264"/>
      <c r="LB56" s="264"/>
      <c r="LC56" s="264"/>
      <c r="LD56" s="264"/>
      <c r="LE56" s="264"/>
      <c r="LF56" s="264"/>
      <c r="LG56" s="264"/>
      <c r="LH56" s="264"/>
      <c r="LI56" s="264"/>
      <c r="LJ56" s="264"/>
      <c r="LK56" s="264"/>
      <c r="LL56" s="264"/>
      <c r="LM56" s="264"/>
      <c r="LN56" s="264"/>
      <c r="LO56" s="264"/>
      <c r="LP56" s="264"/>
      <c r="LQ56" s="264"/>
      <c r="LR56" s="264"/>
      <c r="LS56" s="264"/>
      <c r="LT56" s="264"/>
      <c r="LU56" s="264"/>
      <c r="LV56" s="264"/>
      <c r="LW56" s="264"/>
      <c r="LX56" s="264"/>
      <c r="LY56" s="264"/>
      <c r="LZ56" s="264"/>
      <c r="MA56" s="264"/>
      <c r="MB56" s="264"/>
      <c r="MC56" s="264"/>
      <c r="MD56" s="264"/>
      <c r="ME56" s="264"/>
      <c r="MF56" s="264"/>
      <c r="MG56" s="264"/>
      <c r="MH56" s="264"/>
      <c r="MI56" s="264"/>
      <c r="MJ56" s="264"/>
      <c r="MK56" s="264"/>
      <c r="ML56" s="264"/>
      <c r="MM56" s="264"/>
      <c r="MN56" s="264"/>
      <c r="MO56" s="264"/>
      <c r="MP56" s="264"/>
      <c r="MQ56" s="264"/>
      <c r="MR56" s="264"/>
      <c r="MS56" s="264"/>
      <c r="MT56" s="264"/>
      <c r="MU56" s="264"/>
      <c r="MV56" s="264"/>
      <c r="MW56" s="264"/>
      <c r="MX56" s="264"/>
      <c r="MY56" s="264"/>
      <c r="MZ56" s="264"/>
      <c r="NA56" s="264"/>
      <c r="NB56" s="264"/>
      <c r="NC56" s="264"/>
      <c r="ND56" s="264"/>
      <c r="NE56" s="264"/>
      <c r="NF56" s="264"/>
      <c r="NG56" s="264"/>
      <c r="NH56" s="264"/>
      <c r="NI56" s="264"/>
      <c r="NJ56" s="264"/>
      <c r="NK56" s="264"/>
      <c r="NL56" s="264"/>
      <c r="NM56" s="264"/>
      <c r="NN56" s="264"/>
      <c r="NO56" s="264"/>
      <c r="NP56" s="264"/>
      <c r="NQ56" s="264"/>
      <c r="NR56" s="264"/>
      <c r="NS56" s="264"/>
      <c r="NT56" s="264"/>
      <c r="NU56" s="264"/>
      <c r="NV56" s="264"/>
      <c r="NW56" s="264"/>
      <c r="NX56" s="264"/>
      <c r="NY56" s="264"/>
      <c r="NZ56" s="264"/>
      <c r="OA56" s="264"/>
      <c r="OB56" s="264"/>
      <c r="OC56" s="264"/>
      <c r="OD56" s="264"/>
      <c r="OE56" s="264"/>
      <c r="OF56" s="264"/>
      <c r="OG56" s="264"/>
      <c r="OH56" s="264"/>
      <c r="OI56" s="264"/>
      <c r="OJ56" s="264"/>
      <c r="OK56" s="264"/>
      <c r="OL56" s="264"/>
      <c r="OM56" s="264"/>
      <c r="ON56" s="264"/>
      <c r="OO56" s="264"/>
      <c r="OP56" s="264"/>
      <c r="OQ56" s="264"/>
      <c r="OR56" s="264"/>
      <c r="OS56" s="264"/>
      <c r="OT56" s="264"/>
      <c r="OU56" s="264"/>
      <c r="OV56" s="264"/>
      <c r="OW56" s="264"/>
      <c r="OX56" s="264"/>
      <c r="OY56" s="264"/>
      <c r="OZ56" s="264"/>
      <c r="PA56" s="264"/>
      <c r="PB56" s="264"/>
      <c r="PC56" s="264"/>
      <c r="PD56" s="264"/>
      <c r="PE56" s="264"/>
      <c r="PF56" s="264"/>
      <c r="PG56" s="264"/>
      <c r="PH56" s="264"/>
    </row>
    <row r="57" s="24" customFormat="1">
      <c r="A57" s="441"/>
      <c r="B57" s="442"/>
      <c r="C57" s="51" t="n">
        <f>MIN(D53,D47,D38,D31)</f>
        <v>0</v>
      </c>
      <c r="D57" s="51"/>
      <c r="E57" s="51" t="n">
        <f>MAX(E53,E47,E38,E31)</f>
        <v>36</v>
      </c>
      <c r="F57" s="51" t="n">
        <f>H55+H47+H38+H31</f>
        <v>0</v>
      </c>
      <c r="G57" s="141"/>
      <c r="H57" s="443"/>
      <c r="I57" s="52" t="n">
        <f>I55+I47+I38+I31</f>
        <v>418758551.28460014</v>
      </c>
      <c r="K57" s="444" t="str">
        <f>IF(ROUND(SUM(L57:EN57),0)=ROUND(I57,0),"","Incomplete")</f>
        <v>Incomplete</v>
      </c>
      <c r="L57" s="445" t="n">
        <f t="shared" ref="L57:AQ57" si="463">+L55+L47+L38+L31</f>
        <v>87034792.90517423</v>
      </c>
      <c r="M57" s="445">
        <f t="shared" si="463"/>
        <v>212162.73181973916</v>
      </c>
      <c r="N57" s="445">
        <f t="shared" si="463"/>
        <v>483373.12890771433</v>
      </c>
      <c r="O57" s="445">
        <f t="shared" si="463"/>
        <v>870706.20970547642</v>
      </c>
      <c r="P57" s="445">
        <f t="shared" si="463"/>
        <v>1407343.039998231</v>
      </c>
      <c r="Q57" s="445">
        <f t="shared" si="463"/>
        <v>2242515.4168408588</v>
      </c>
      <c r="R57" s="445">
        <f t="shared" si="463"/>
        <v>3066233.2255849475</v>
      </c>
      <c r="S57" s="445">
        <f t="shared" si="463"/>
        <v>4247815.6680353265</v>
      </c>
      <c r="T57" s="445">
        <f t="shared" si="463"/>
        <v>5686719.8131011408</v>
      </c>
      <c r="U57" s="445">
        <f t="shared" si="463"/>
        <v>7378219.20713937</v>
      </c>
      <c r="V57" s="445">
        <f t="shared" si="463"/>
        <v>9293807.5188872609</v>
      </c>
      <c r="W57" s="445">
        <f t="shared" si="463"/>
        <v>11377861.161045389</v>
      </c>
      <c r="X57" s="445">
        <f t="shared" si="463"/>
        <v>13547336.693550857</v>
      </c>
      <c r="Y57" s="445">
        <f t="shared" si="463"/>
        <v>15695302.068280539</v>
      </c>
      <c r="Z57" s="445">
        <f t="shared" si="463"/>
        <v>17698527.037614059</v>
      </c>
      <c r="AA57" s="445">
        <f t="shared" si="463"/>
        <v>19428611.613568623</v>
      </c>
      <c r="AB57" s="445">
        <f t="shared" si="463"/>
        <v>20765363.623626877</v>
      </c>
      <c r="AC57" s="445">
        <f t="shared" si="463"/>
        <v>21610531.772739612</v>
      </c>
      <c r="AD57" s="445">
        <f t="shared" si="463"/>
        <v>21899727.837075893</v>
      </c>
      <c r="AE57" s="445">
        <f t="shared" si="463"/>
        <v>21610531.77273963</v>
      </c>
      <c r="AF57" s="445">
        <f t="shared" si="463"/>
        <v>20765363.623626839</v>
      </c>
      <c r="AG57" s="445">
        <f t="shared" si="463"/>
        <v>19428611.61356866</v>
      </c>
      <c r="AH57" s="445">
        <f t="shared" si="463"/>
        <v>17698527.037614033</v>
      </c>
      <c r="AI57" s="445">
        <f t="shared" si="463"/>
        <v>15695302.068280539</v>
      </c>
      <c r="AJ57" s="445">
        <f t="shared" si="463"/>
        <v>13547336.693550883</v>
      </c>
      <c r="AK57" s="445">
        <f t="shared" si="463"/>
        <v>11377861.161045359</v>
      </c>
      <c r="AL57" s="445">
        <f t="shared" si="463"/>
        <v>9293807.5188872609</v>
      </c>
      <c r="AM57" s="445">
        <f t="shared" si="463"/>
        <v>7378219.2071393942</v>
      </c>
      <c r="AN57" s="445">
        <f t="shared" si="463"/>
        <v>5686719.813101124</v>
      </c>
      <c r="AO57" s="445">
        <f t="shared" si="463"/>
        <v>4247815.6680353275</v>
      </c>
      <c r="AP57" s="445">
        <f t="shared" si="463"/>
        <v>3066233.2255849615</v>
      </c>
      <c r="AQ57" s="445">
        <f t="shared" si="463"/>
        <v>2128176.5272049378</v>
      </c>
      <c r="AR57" s="445" t="n">
        <f t="shared" ref="AR57:BW57" si="464">+AR55+AR47+AR38+AR31</f>
        <v>1407343.039998237</v>
      </c>
      <c r="AS57" s="445">
        <f t="shared" si="464"/>
        <v>870706.20970545732</v>
      </c>
      <c r="AT57" s="445">
        <f t="shared" si="464"/>
        <v>483373.12890773668</v>
      </c>
      <c r="AU57" s="445">
        <f t="shared" si="464"/>
        <v>212162.73181972333</v>
      </c>
      <c r="AV57" s="445">
        <f t="shared" si="464"/>
        <v>27848.460729774495</v>
      </c>
      <c r="AW57" s="445">
        <f t="shared" si="464"/>
        <v>0</v>
      </c>
      <c r="AX57" s="445">
        <f t="shared" si="464"/>
        <v>0</v>
      </c>
      <c r="AY57" s="445">
        <f t="shared" si="464"/>
        <v>0</v>
      </c>
      <c r="AZ57" s="445">
        <f t="shared" si="464"/>
        <v>0</v>
      </c>
      <c r="BA57" s="445">
        <f t="shared" si="464"/>
        <v>0</v>
      </c>
      <c r="BB57" s="445">
        <f t="shared" si="464"/>
        <v>0</v>
      </c>
      <c r="BC57" s="445">
        <f t="shared" si="464"/>
        <v>0</v>
      </c>
      <c r="BD57" s="445">
        <f t="shared" si="464"/>
        <v>0</v>
      </c>
      <c r="BE57" s="445">
        <f t="shared" si="464"/>
        <v>0</v>
      </c>
      <c r="BF57" s="445">
        <f t="shared" si="464"/>
        <v>0</v>
      </c>
      <c r="BG57" s="445">
        <f t="shared" si="464"/>
        <v>0</v>
      </c>
      <c r="BH57" s="445">
        <f t="shared" si="464"/>
        <v>0</v>
      </c>
      <c r="BI57" s="445">
        <f t="shared" si="464"/>
        <v>0</v>
      </c>
      <c r="BJ57" s="445">
        <f t="shared" si="464"/>
        <v>0</v>
      </c>
      <c r="BK57" s="445">
        <f t="shared" si="464"/>
        <v>0</v>
      </c>
      <c r="BL57" s="445">
        <f t="shared" si="464"/>
        <v>0</v>
      </c>
      <c r="BM57" s="445">
        <f t="shared" si="464"/>
        <v>0</v>
      </c>
      <c r="BN57" s="445">
        <f t="shared" si="464"/>
        <v>0</v>
      </c>
      <c r="BO57" s="445">
        <f t="shared" si="464"/>
        <v>0</v>
      </c>
      <c r="BP57" s="445">
        <f t="shared" si="464"/>
        <v>0</v>
      </c>
      <c r="BQ57" s="445">
        <f t="shared" si="464"/>
        <v>0</v>
      </c>
      <c r="BR57" s="445">
        <f t="shared" si="464"/>
        <v>0</v>
      </c>
      <c r="BS57" s="445">
        <f t="shared" si="464"/>
        <v>0</v>
      </c>
      <c r="BT57" s="445">
        <f t="shared" si="464"/>
        <v>0</v>
      </c>
      <c r="BU57" s="445">
        <f t="shared" si="464"/>
        <v>0</v>
      </c>
      <c r="BV57" s="445">
        <f t="shared" si="464"/>
        <v>0</v>
      </c>
      <c r="BW57" s="445">
        <f t="shared" si="464"/>
        <v>0</v>
      </c>
      <c r="BX57" s="445" t="n">
        <f t="shared" ref="BX57:DC57" si="465">+BX55+BX47+BX38+BX31</f>
        <v>0</v>
      </c>
      <c r="BY57" s="445">
        <f t="shared" si="465"/>
        <v>0</v>
      </c>
      <c r="BZ57" s="445">
        <f t="shared" si="465"/>
        <v>0</v>
      </c>
      <c r="CA57" s="445">
        <f t="shared" si="465"/>
        <v>0</v>
      </c>
      <c r="CB57" s="445">
        <f t="shared" si="465"/>
        <v>0</v>
      </c>
      <c r="CC57" s="445">
        <f t="shared" si="465"/>
        <v>0</v>
      </c>
      <c r="CD57" s="445">
        <f t="shared" si="465"/>
        <v>0</v>
      </c>
      <c r="CE57" s="445">
        <f t="shared" si="465"/>
        <v>0</v>
      </c>
      <c r="CF57" s="445">
        <f t="shared" si="465"/>
        <v>0</v>
      </c>
      <c r="CG57" s="445">
        <f t="shared" si="465"/>
        <v>0</v>
      </c>
      <c r="CH57" s="445">
        <f t="shared" si="465"/>
        <v>0</v>
      </c>
      <c r="CI57" s="445">
        <f t="shared" si="465"/>
        <v>0</v>
      </c>
      <c r="CJ57" s="445">
        <f t="shared" si="465"/>
        <v>0</v>
      </c>
      <c r="CK57" s="445">
        <f t="shared" si="465"/>
        <v>0</v>
      </c>
      <c r="CL57" s="445">
        <f t="shared" si="465"/>
        <v>0</v>
      </c>
      <c r="CM57" s="445">
        <f t="shared" si="465"/>
        <v>0</v>
      </c>
      <c r="CN57" s="445">
        <f t="shared" si="465"/>
        <v>0</v>
      </c>
      <c r="CO57" s="445">
        <f t="shared" si="465"/>
        <v>0</v>
      </c>
      <c r="CP57" s="445">
        <f t="shared" si="465"/>
        <v>0</v>
      </c>
      <c r="CQ57" s="445">
        <f t="shared" si="465"/>
        <v>0</v>
      </c>
      <c r="CR57" s="445">
        <f t="shared" si="465"/>
        <v>0</v>
      </c>
      <c r="CS57" s="445">
        <f t="shared" si="465"/>
        <v>0</v>
      </c>
      <c r="CT57" s="445">
        <f t="shared" si="465"/>
        <v>0</v>
      </c>
      <c r="CU57" s="445">
        <f t="shared" si="465"/>
        <v>0</v>
      </c>
      <c r="CV57" s="445">
        <f t="shared" si="465"/>
        <v>0</v>
      </c>
      <c r="CW57" s="445">
        <f t="shared" si="465"/>
        <v>0</v>
      </c>
      <c r="CX57" s="445">
        <f t="shared" si="465"/>
        <v>0</v>
      </c>
      <c r="CY57" s="445">
        <f t="shared" si="465"/>
        <v>0</v>
      </c>
      <c r="CZ57" s="445">
        <f t="shared" si="465"/>
        <v>0</v>
      </c>
      <c r="DA57" s="445">
        <f t="shared" si="465"/>
        <v>0</v>
      </c>
      <c r="DB57" s="445">
        <f t="shared" si="465"/>
        <v>0</v>
      </c>
      <c r="DC57" s="445">
        <f t="shared" si="465"/>
        <v>0</v>
      </c>
      <c r="DD57" s="445" t="n">
        <f t="shared" ref="DD57:EN57" si="466">+DD55+DD47+DD38+DD31</f>
        <v>0</v>
      </c>
      <c r="DE57" s="445">
        <f t="shared" si="466"/>
        <v>0</v>
      </c>
      <c r="DF57" s="445">
        <f t="shared" si="466"/>
        <v>0</v>
      </c>
      <c r="DG57" s="445">
        <f t="shared" si="466"/>
        <v>0</v>
      </c>
      <c r="DH57" s="445">
        <f t="shared" si="466"/>
        <v>0</v>
      </c>
      <c r="DI57" s="445">
        <f t="shared" si="466"/>
        <v>0</v>
      </c>
      <c r="DJ57" s="445">
        <f t="shared" si="466"/>
        <v>0</v>
      </c>
      <c r="DK57" s="445">
        <f t="shared" si="466"/>
        <v>0</v>
      </c>
      <c r="DL57" s="445">
        <f t="shared" si="466"/>
        <v>0</v>
      </c>
      <c r="DM57" s="445">
        <f t="shared" si="466"/>
        <v>0</v>
      </c>
      <c r="DN57" s="445">
        <f t="shared" si="466"/>
        <v>0</v>
      </c>
      <c r="DO57" s="445">
        <f t="shared" si="466"/>
        <v>0</v>
      </c>
      <c r="DP57" s="445">
        <f t="shared" si="466"/>
        <v>0</v>
      </c>
      <c r="DQ57" s="445">
        <f t="shared" si="466"/>
        <v>0</v>
      </c>
      <c r="DR57" s="445">
        <f t="shared" si="466"/>
        <v>0</v>
      </c>
      <c r="DS57" s="445">
        <f t="shared" si="466"/>
        <v>0</v>
      </c>
      <c r="DT57" s="445">
        <f t="shared" si="466"/>
        <v>0</v>
      </c>
      <c r="DU57" s="445">
        <f t="shared" si="466"/>
        <v>0</v>
      </c>
      <c r="DV57" s="445">
        <f t="shared" si="466"/>
        <v>0</v>
      </c>
      <c r="DW57" s="445">
        <f t="shared" si="466"/>
        <v>0</v>
      </c>
      <c r="DX57" s="445">
        <f t="shared" si="466"/>
        <v>0</v>
      </c>
      <c r="DY57" s="445">
        <f t="shared" si="466"/>
        <v>0</v>
      </c>
      <c r="DZ57" s="445">
        <f t="shared" si="466"/>
        <v>0</v>
      </c>
      <c r="EA57" s="445">
        <f t="shared" si="466"/>
        <v>0</v>
      </c>
      <c r="EB57" s="445">
        <f t="shared" si="466"/>
        <v>0</v>
      </c>
      <c r="EC57" s="445">
        <f t="shared" si="466"/>
        <v>0</v>
      </c>
      <c r="ED57" s="445">
        <f t="shared" si="466"/>
        <v>0</v>
      </c>
      <c r="EE57" s="445">
        <f t="shared" si="466"/>
        <v>0</v>
      </c>
      <c r="EF57" s="445">
        <f t="shared" si="466"/>
        <v>0</v>
      </c>
      <c r="EG57" s="445">
        <f t="shared" si="466"/>
        <v>0</v>
      </c>
      <c r="EH57" s="445">
        <f t="shared" si="466"/>
        <v>0</v>
      </c>
      <c r="EI57" s="445">
        <f t="shared" si="466"/>
        <v>0</v>
      </c>
      <c r="EJ57" s="445">
        <f t="shared" si="466"/>
        <v>0</v>
      </c>
      <c r="EK57" s="445">
        <f t="shared" si="466"/>
        <v>0</v>
      </c>
      <c r="EL57" s="445">
        <f t="shared" si="466"/>
        <v>0</v>
      </c>
      <c r="EM57" s="445">
        <f t="shared" si="466"/>
        <v>0</v>
      </c>
      <c r="EN57" s="445">
        <f t="shared" si="466"/>
        <v>0</v>
      </c>
      <c r="EO57" s="444"/>
      <c r="EP57" s="220" t="s">
        <v>158</v>
      </c>
      <c r="EQ57" s="18"/>
      <c r="ER57" s="18"/>
      <c r="ES57" s="18"/>
      <c r="ET57" s="18"/>
      <c r="EU57" s="20" t="n">
        <f>EU70</f>
        <v>202041295.09121746</v>
      </c>
      <c r="EV57" s="20" t="n">
        <f t="shared" ref="EV57:GA57" si="467">MIN(EU70,EV52+L53-EV56)</f>
        <v>0</v>
      </c>
      <c r="EW57" s="20">
        <f t="shared" si="467"/>
        <v>0</v>
      </c>
      <c r="EX57" s="20">
        <f t="shared" si="467"/>
        <v>0</v>
      </c>
      <c r="EY57" s="20">
        <f t="shared" si="467"/>
        <v>0</v>
      </c>
      <c r="EZ57" s="20">
        <f t="shared" si="467"/>
        <v>0</v>
      </c>
      <c r="FA57" s="20">
        <f t="shared" si="467"/>
        <v>0</v>
      </c>
      <c r="FB57" s="20">
        <f t="shared" si="467"/>
        <v>0</v>
      </c>
      <c r="FC57" s="20">
        <f t="shared" si="467"/>
        <v>0</v>
      </c>
      <c r="FD57" s="20">
        <f t="shared" si="467"/>
        <v>0</v>
      </c>
      <c r="FE57" s="20">
        <f t="shared" si="467"/>
        <v>0</v>
      </c>
      <c r="FF57" s="20">
        <f t="shared" si="467"/>
        <v>0</v>
      </c>
      <c r="FG57" s="20">
        <f t="shared" si="467"/>
        <v>0</v>
      </c>
      <c r="FH57" s="20">
        <f t="shared" si="467"/>
        <v>0</v>
      </c>
      <c r="FI57" s="20">
        <f t="shared" si="467"/>
        <v>0</v>
      </c>
      <c r="FJ57" s="20">
        <f t="shared" si="467"/>
        <v>0</v>
      </c>
      <c r="FK57" s="20">
        <f t="shared" si="467"/>
        <v>0</v>
      </c>
      <c r="FL57" s="20">
        <f t="shared" si="467"/>
        <v>9480107.1724115983</v>
      </c>
      <c r="FM57" s="20">
        <f t="shared" si="467"/>
        <v>21297476.217184056</v>
      </c>
      <c r="FN57" s="20">
        <f t="shared" si="467"/>
        <v>21586672.281520337</v>
      </c>
      <c r="FO57" s="20">
        <f t="shared" si="467"/>
        <v>21297476.217184074</v>
      </c>
      <c r="FP57" s="20">
        <f t="shared" si="467"/>
        <v>20452308.068071283</v>
      </c>
      <c r="FQ57" s="20">
        <f t="shared" si="467"/>
        <v>19115556.058013104</v>
      </c>
      <c r="FR57" s="20">
        <f t="shared" si="467"/>
        <v>17385471.482058477</v>
      </c>
      <c r="FS57" s="20">
        <f t="shared" si="467"/>
        <v>15382246.512724983</v>
      </c>
      <c r="FT57" s="20">
        <f t="shared" si="467"/>
        <v>13234281.137995327</v>
      </c>
      <c r="FU57" s="20">
        <f t="shared" si="467"/>
        <v>11064805.605489803</v>
      </c>
      <c r="FV57" s="20">
        <f t="shared" si="467"/>
        <v>8980751.963331705</v>
      </c>
      <c r="FW57" s="20">
        <f t="shared" si="467"/>
        <v>7065163.6515838383</v>
      </c>
      <c r="FX57" s="20">
        <f t="shared" si="467"/>
        <v>5373664.257545568</v>
      </c>
      <c r="FY57" s="20">
        <f t="shared" si="467"/>
        <v>3934760.112479772</v>
      </c>
      <c r="FZ57" s="20">
        <f t="shared" si="467"/>
        <v>2753177.670029406</v>
      </c>
      <c r="GA57" s="20">
        <f t="shared" si="467"/>
        <v>1815120.9716493823</v>
      </c>
      <c r="GB57" s="20" t="n">
        <f t="shared" ref="GB57:HG57" si="468">MIN(GA70,GB52+AR53-GB56)</f>
        <v>1094287.4844426815</v>
      </c>
      <c r="GC57" s="20">
        <f t="shared" si="468"/>
        <v>557650.6541499017</v>
      </c>
      <c r="GD57" s="20">
        <f t="shared" si="468"/>
        <v>170317.57335216028</v>
      </c>
      <c r="GE57" s="20">
        <f t="shared" si="468"/>
        <v>0</v>
      </c>
      <c r="GF57" s="20">
        <f t="shared" si="468"/>
        <v>0</v>
      </c>
      <c r="GG57" s="20">
        <f t="shared" si="468"/>
        <v>0</v>
      </c>
      <c r="GH57" s="20">
        <f t="shared" si="468"/>
        <v>0</v>
      </c>
      <c r="GI57" s="20">
        <f t="shared" si="468"/>
        <v>0</v>
      </c>
      <c r="GJ57" s="20">
        <f t="shared" si="468"/>
        <v>0</v>
      </c>
      <c r="GK57" s="20">
        <f t="shared" si="468"/>
        <v>0</v>
      </c>
      <c r="GL57" s="20">
        <f t="shared" si="468"/>
        <v>0</v>
      </c>
      <c r="GM57" s="20">
        <f t="shared" si="468"/>
        <v>0</v>
      </c>
      <c r="GN57" s="20">
        <f t="shared" si="468"/>
        <v>0</v>
      </c>
      <c r="GO57" s="20">
        <f t="shared" si="468"/>
        <v>0</v>
      </c>
      <c r="GP57" s="20">
        <f t="shared" si="468"/>
        <v>0</v>
      </c>
      <c r="GQ57" s="20">
        <f t="shared" si="468"/>
        <v>0</v>
      </c>
      <c r="GR57" s="20">
        <f t="shared" si="468"/>
        <v>0</v>
      </c>
      <c r="GS57" s="20">
        <f t="shared" si="468"/>
        <v>0</v>
      </c>
      <c r="GT57" s="20">
        <f t="shared" si="468"/>
        <v>0</v>
      </c>
      <c r="GU57" s="20">
        <f t="shared" si="468"/>
        <v>0</v>
      </c>
      <c r="GV57" s="20">
        <f t="shared" si="468"/>
        <v>0</v>
      </c>
      <c r="GW57" s="20">
        <f t="shared" si="468"/>
        <v>0</v>
      </c>
      <c r="GX57" s="20">
        <f t="shared" si="468"/>
        <v>0</v>
      </c>
      <c r="GY57" s="20">
        <f t="shared" si="468"/>
        <v>0</v>
      </c>
      <c r="GZ57" s="20">
        <f t="shared" si="468"/>
        <v>0</v>
      </c>
      <c r="HA57" s="20">
        <f t="shared" si="468"/>
        <v>0</v>
      </c>
      <c r="HB57" s="20">
        <f t="shared" si="468"/>
        <v>0</v>
      </c>
      <c r="HC57" s="20">
        <f t="shared" si="468"/>
        <v>0</v>
      </c>
      <c r="HD57" s="20">
        <f t="shared" si="468"/>
        <v>0</v>
      </c>
      <c r="HE57" s="20">
        <f t="shared" si="468"/>
        <v>0</v>
      </c>
      <c r="HF57" s="20">
        <f t="shared" si="468"/>
        <v>0</v>
      </c>
      <c r="HG57" s="20">
        <f t="shared" si="468"/>
        <v>0</v>
      </c>
      <c r="HH57" s="20" t="n">
        <f t="shared" ref="HH57:IM57" si="469">MIN(HG70,HH52+BX53-HH56)</f>
        <v>0</v>
      </c>
      <c r="HI57" s="20">
        <f t="shared" si="469"/>
        <v>0</v>
      </c>
      <c r="HJ57" s="20">
        <f t="shared" si="469"/>
        <v>0</v>
      </c>
      <c r="HK57" s="20">
        <f t="shared" si="469"/>
        <v>0</v>
      </c>
      <c r="HL57" s="20">
        <f t="shared" si="469"/>
        <v>0</v>
      </c>
      <c r="HM57" s="20">
        <f t="shared" si="469"/>
        <v>0</v>
      </c>
      <c r="HN57" s="20">
        <f t="shared" si="469"/>
        <v>0</v>
      </c>
      <c r="HO57" s="20">
        <f t="shared" si="469"/>
        <v>0</v>
      </c>
      <c r="HP57" s="20">
        <f t="shared" si="469"/>
        <v>0</v>
      </c>
      <c r="HQ57" s="20">
        <f t="shared" si="469"/>
        <v>0</v>
      </c>
      <c r="HR57" s="20">
        <f t="shared" si="469"/>
        <v>0</v>
      </c>
      <c r="HS57" s="20">
        <f t="shared" si="469"/>
        <v>0</v>
      </c>
      <c r="HT57" s="20">
        <f t="shared" si="469"/>
        <v>0</v>
      </c>
      <c r="HU57" s="20">
        <f t="shared" si="469"/>
        <v>0</v>
      </c>
      <c r="HV57" s="20">
        <f t="shared" si="469"/>
        <v>0</v>
      </c>
      <c r="HW57" s="20">
        <f t="shared" si="469"/>
        <v>0</v>
      </c>
      <c r="HX57" s="20">
        <f t="shared" si="469"/>
        <v>0</v>
      </c>
      <c r="HY57" s="20">
        <f t="shared" si="469"/>
        <v>0</v>
      </c>
      <c r="HZ57" s="20">
        <f t="shared" si="469"/>
        <v>0</v>
      </c>
      <c r="IA57" s="20">
        <f t="shared" si="469"/>
        <v>0</v>
      </c>
      <c r="IB57" s="20">
        <f t="shared" si="469"/>
        <v>0</v>
      </c>
      <c r="IC57" s="20">
        <f t="shared" si="469"/>
        <v>0</v>
      </c>
      <c r="ID57" s="20">
        <f t="shared" si="469"/>
        <v>0</v>
      </c>
      <c r="IE57" s="20">
        <f t="shared" si="469"/>
        <v>0</v>
      </c>
      <c r="IF57" s="20">
        <f t="shared" si="469"/>
        <v>0</v>
      </c>
      <c r="IG57" s="20">
        <f t="shared" si="469"/>
        <v>0</v>
      </c>
      <c r="IH57" s="20">
        <f t="shared" si="469"/>
        <v>0</v>
      </c>
      <c r="II57" s="20">
        <f t="shared" si="469"/>
        <v>0</v>
      </c>
      <c r="IJ57" s="20">
        <f t="shared" si="469"/>
        <v>0</v>
      </c>
      <c r="IK57" s="20">
        <f t="shared" si="469"/>
        <v>0</v>
      </c>
      <c r="IL57" s="20">
        <f t="shared" si="469"/>
        <v>0</v>
      </c>
      <c r="IM57" s="20">
        <f t="shared" si="469"/>
        <v>0</v>
      </c>
      <c r="IN57" s="20" t="n">
        <f t="shared" ref="IN57:JS57" si="470">MIN(IM70,IN52+DD53-IN56)</f>
        <v>0</v>
      </c>
      <c r="IO57" s="20">
        <f t="shared" si="470"/>
        <v>0</v>
      </c>
      <c r="IP57" s="20">
        <f t="shared" si="470"/>
        <v>0</v>
      </c>
      <c r="IQ57" s="20">
        <f t="shared" si="470"/>
        <v>0</v>
      </c>
      <c r="IR57" s="20">
        <f t="shared" si="470"/>
        <v>0</v>
      </c>
      <c r="IS57" s="20">
        <f t="shared" si="470"/>
        <v>0</v>
      </c>
      <c r="IT57" s="20">
        <f t="shared" si="470"/>
        <v>0</v>
      </c>
      <c r="IU57" s="20">
        <f t="shared" si="470"/>
        <v>0</v>
      </c>
      <c r="IV57" s="20">
        <f t="shared" si="470"/>
        <v>0</v>
      </c>
      <c r="IW57" s="20">
        <f t="shared" si="470"/>
        <v>0</v>
      </c>
      <c r="IX57" s="20">
        <f t="shared" si="470"/>
        <v>0</v>
      </c>
      <c r="IY57" s="20">
        <f t="shared" si="470"/>
        <v>0</v>
      </c>
      <c r="IZ57" s="20">
        <f t="shared" si="470"/>
        <v>0</v>
      </c>
      <c r="JA57" s="20">
        <f t="shared" si="470"/>
        <v>0</v>
      </c>
      <c r="JB57" s="20">
        <f t="shared" si="470"/>
        <v>0</v>
      </c>
      <c r="JC57" s="20">
        <f t="shared" si="470"/>
        <v>0</v>
      </c>
      <c r="JD57" s="20">
        <f t="shared" si="470"/>
        <v>0</v>
      </c>
      <c r="JE57" s="20">
        <f t="shared" si="470"/>
        <v>0</v>
      </c>
      <c r="JF57" s="20">
        <f t="shared" si="470"/>
        <v>0</v>
      </c>
      <c r="JG57" s="20">
        <f t="shared" si="470"/>
        <v>0</v>
      </c>
      <c r="JH57" s="20">
        <f t="shared" si="470"/>
        <v>0</v>
      </c>
      <c r="JI57" s="20">
        <f t="shared" si="470"/>
        <v>0</v>
      </c>
      <c r="JJ57" s="20">
        <f t="shared" si="470"/>
        <v>0</v>
      </c>
      <c r="JK57" s="20">
        <f t="shared" si="470"/>
        <v>0</v>
      </c>
      <c r="JL57" s="20">
        <f t="shared" si="470"/>
        <v>0</v>
      </c>
      <c r="JM57" s="20">
        <f t="shared" si="470"/>
        <v>0</v>
      </c>
      <c r="JN57" s="20">
        <f t="shared" si="470"/>
        <v>0</v>
      </c>
      <c r="JO57" s="20">
        <f t="shared" si="470"/>
        <v>0</v>
      </c>
      <c r="JP57" s="20">
        <f t="shared" si="470"/>
        <v>0</v>
      </c>
      <c r="JQ57" s="20">
        <f t="shared" si="470"/>
        <v>0</v>
      </c>
      <c r="JR57" s="20">
        <f t="shared" si="470"/>
        <v>0</v>
      </c>
      <c r="JS57" s="20">
        <f t="shared" si="470"/>
        <v>0</v>
      </c>
      <c r="JT57" s="20" t="n">
        <f t="shared" ref="JT57:JX57" si="471">MIN(JS70,JT52+EJ53-JT56)</f>
        <v>0</v>
      </c>
      <c r="JU57" s="20">
        <f t="shared" si="471"/>
        <v>0</v>
      </c>
      <c r="JV57" s="20">
        <f t="shared" si="471"/>
        <v>0</v>
      </c>
      <c r="JW57" s="20">
        <f t="shared" si="471"/>
        <v>0</v>
      </c>
      <c r="JX57" s="20">
        <f t="shared" si="471"/>
        <v>0</v>
      </c>
      <c r="JZ57" s="446"/>
      <c r="KA57" s="446"/>
      <c r="KB57" s="446"/>
      <c r="KC57" s="446"/>
      <c r="KD57" s="446"/>
      <c r="KE57" s="265"/>
      <c r="KF57" s="265"/>
      <c r="KG57" s="265"/>
      <c r="KH57" s="265"/>
      <c r="KI57" s="265"/>
      <c r="KJ57" s="265"/>
      <c r="KK57" s="265"/>
      <c r="KL57" s="265"/>
      <c r="KM57" s="265"/>
      <c r="KN57" s="265"/>
      <c r="KO57" s="265"/>
      <c r="KP57" s="265"/>
      <c r="KQ57" s="265"/>
      <c r="KR57" s="265"/>
      <c r="KS57" s="265"/>
      <c r="KT57" s="265"/>
      <c r="KU57" s="265"/>
      <c r="KV57" s="265"/>
      <c r="KW57" s="265"/>
      <c r="KX57" s="265"/>
      <c r="KY57" s="265"/>
      <c r="KZ57" s="265"/>
      <c r="LA57" s="265"/>
      <c r="LB57" s="265"/>
      <c r="LC57" s="265"/>
      <c r="LD57" s="265"/>
      <c r="LE57" s="265"/>
      <c r="LF57" s="265"/>
      <c r="LG57" s="265"/>
      <c r="LH57" s="265"/>
      <c r="LI57" s="265"/>
      <c r="LJ57" s="265"/>
      <c r="LK57" s="265"/>
      <c r="LL57" s="265"/>
      <c r="LM57" s="265"/>
      <c r="LN57" s="265"/>
      <c r="LO57" s="265"/>
      <c r="LP57" s="265"/>
      <c r="LQ57" s="265"/>
      <c r="LR57" s="265"/>
      <c r="LS57" s="265"/>
      <c r="LT57" s="265"/>
      <c r="LU57" s="265"/>
      <c r="LV57" s="265"/>
      <c r="LW57" s="265"/>
      <c r="LX57" s="265"/>
      <c r="LY57" s="265"/>
      <c r="LZ57" s="265"/>
      <c r="MA57" s="265"/>
      <c r="MB57" s="265"/>
      <c r="MC57" s="265"/>
      <c r="MD57" s="265"/>
      <c r="ME57" s="265"/>
      <c r="MF57" s="265"/>
      <c r="MG57" s="265"/>
      <c r="MH57" s="265"/>
      <c r="MI57" s="265"/>
      <c r="MJ57" s="265"/>
      <c r="MK57" s="265"/>
      <c r="ML57" s="265"/>
      <c r="MM57" s="265"/>
      <c r="MN57" s="265"/>
      <c r="MO57" s="265"/>
      <c r="MP57" s="265"/>
      <c r="MQ57" s="265"/>
      <c r="MR57" s="265"/>
      <c r="MS57" s="265"/>
      <c r="MT57" s="265"/>
      <c r="MU57" s="265"/>
      <c r="MV57" s="265"/>
      <c r="MW57" s="265"/>
      <c r="MX57" s="265"/>
      <c r="MY57" s="265"/>
      <c r="MZ57" s="265"/>
      <c r="NA57" s="265"/>
      <c r="NB57" s="265"/>
      <c r="NC57" s="265"/>
      <c r="ND57" s="265"/>
      <c r="NE57" s="265"/>
      <c r="NF57" s="265"/>
      <c r="NG57" s="265"/>
      <c r="NH57" s="265"/>
      <c r="NI57" s="265"/>
      <c r="NJ57" s="265"/>
      <c r="NK57" s="265"/>
      <c r="NL57" s="265"/>
      <c r="NM57" s="265"/>
      <c r="NN57" s="265"/>
      <c r="NO57" s="265"/>
      <c r="NP57" s="265"/>
      <c r="NQ57" s="265"/>
      <c r="NR57" s="265"/>
      <c r="NS57" s="265"/>
      <c r="NT57" s="265"/>
      <c r="NU57" s="265"/>
      <c r="NV57" s="265"/>
      <c r="NW57" s="265"/>
      <c r="NX57" s="265"/>
      <c r="NY57" s="265"/>
      <c r="NZ57" s="265"/>
      <c r="OA57" s="265"/>
      <c r="OB57" s="265"/>
      <c r="OC57" s="265"/>
      <c r="OD57" s="265"/>
      <c r="OE57" s="265"/>
      <c r="OF57" s="265"/>
      <c r="OG57" s="265"/>
      <c r="OH57" s="265"/>
      <c r="OI57" s="265"/>
      <c r="OJ57" s="265"/>
      <c r="OK57" s="265"/>
      <c r="OL57" s="265"/>
      <c r="OM57" s="265"/>
      <c r="ON57" s="265"/>
      <c r="OO57" s="265"/>
      <c r="OP57" s="265"/>
      <c r="OQ57" s="265"/>
      <c r="OR57" s="265"/>
      <c r="OS57" s="265"/>
      <c r="OT57" s="265"/>
      <c r="OU57" s="265"/>
      <c r="OV57" s="265"/>
      <c r="OW57" s="265"/>
      <c r="OX57" s="265"/>
      <c r="OY57" s="265"/>
      <c r="OZ57" s="265"/>
      <c r="PA57" s="265"/>
      <c r="PB57" s="265"/>
      <c r="PC57" s="265"/>
      <c r="PD57" s="265"/>
      <c r="PE57" s="265"/>
      <c r="PF57" s="265"/>
      <c r="PG57" s="265"/>
      <c r="PH57" s="265"/>
    </row>
    <row r="58">
      <c r="B58" s="34"/>
      <c r="C58" s="401"/>
      <c r="D58" s="401"/>
      <c r="E58" s="401"/>
      <c r="F58" s="401"/>
      <c r="G58" s="404"/>
      <c r="H58" s="404"/>
      <c r="I58" s="401"/>
      <c r="EP58" s="220" t="s">
        <v>159</v>
      </c>
      <c r="EQ58" s="18"/>
      <c r="ER58" s="18"/>
      <c r="ES58" s="18"/>
      <c r="ET58" s="414"/>
      <c r="EU58" s="20" t="n">
        <f>SUM(EV58:JX58)</f>
        <v>69621442.15219094</v>
      </c>
      <c r="EV58" s="20" t="n">
        <f t="shared" ref="EV58:GA58" si="472">EV61-EV62</f>
        <v>0</v>
      </c>
      <c r="EW58" s="20">
        <f t="shared" si="472"/>
        <v>0</v>
      </c>
      <c r="EX58" s="20">
        <f t="shared" si="472"/>
        <v>0</v>
      </c>
      <c r="EY58" s="20">
        <f t="shared" si="472"/>
        <v>0</v>
      </c>
      <c r="EZ58" s="20">
        <f t="shared" si="472"/>
        <v>0</v>
      </c>
      <c r="FA58" s="20">
        <f t="shared" si="472"/>
        <v>0</v>
      </c>
      <c r="FB58" s="20">
        <f t="shared" si="472"/>
        <v>857.54167226929167</v>
      </c>
      <c r="FC58" s="20">
        <f t="shared" si="472"/>
        <v>863.97323481131127</v>
      </c>
      <c r="FD58" s="20">
        <f t="shared" si="472"/>
        <v>870.45303407239624</v>
      </c>
      <c r="FE58" s="20">
        <f t="shared" si="472"/>
        <v>876.9814318279391</v>
      </c>
      <c r="FF58" s="20">
        <f t="shared" si="472"/>
        <v>883.55879256664866</v>
      </c>
      <c r="FG58" s="20">
        <f t="shared" si="472"/>
        <v>890.18548351089851</v>
      </c>
      <c r="FH58" s="20">
        <f t="shared" si="472"/>
        <v>896.86187463723036</v>
      </c>
      <c r="FI58" s="20">
        <f t="shared" si="472"/>
        <v>903.58833869700959</v>
      </c>
      <c r="FJ58" s="20">
        <f t="shared" si="472"/>
        <v>910.3652512372372</v>
      </c>
      <c r="FK58" s="20">
        <f t="shared" si="472"/>
        <v>917.1929906215164</v>
      </c>
      <c r="FL58" s="20">
        <f t="shared" si="472"/>
        <v>924.07193805117777</v>
      </c>
      <c r="FM58" s="20">
        <f t="shared" si="472"/>
        <v>72031.806270673565</v>
      </c>
      <c r="FN58" s="20">
        <f t="shared" si="472"/>
        <v>232303.11644658397</v>
      </c>
      <c r="FO58" s="20">
        <f t="shared" si="472"/>
        <v>395945.43193133594</v>
      </c>
      <c r="FP58" s="20">
        <f t="shared" si="472"/>
        <v>558646.09429970162</v>
      </c>
      <c r="FQ58" s="20">
        <f t="shared" si="472"/>
        <v>716228.25051748392</v>
      </c>
      <c r="FR58" s="20">
        <f t="shared" si="472"/>
        <v>864966.63283146347</v>
      </c>
      <c r="FS58" s="20">
        <f t="shared" si="472"/>
        <v>1001844.9186931379</v>
      </c>
      <c r="FT58" s="20">
        <f t="shared" si="472"/>
        <v>1124725.6044287735</v>
      </c>
      <c r="FU58" s="20">
        <f t="shared" si="472"/>
        <v>1232418.1549969541</v>
      </c>
      <c r="FV58" s="20">
        <f t="shared" si="472"/>
        <v>1324647.3332006049</v>
      </c>
      <c r="FW58" s="20">
        <f t="shared" si="472"/>
        <v>1401937.8279245971</v>
      </c>
      <c r="FX58" s="20">
        <f t="shared" si="472"/>
        <v>1465441.0890209107</v>
      </c>
      <c r="FY58" s="20">
        <f t="shared" si="472"/>
        <v>1516734.379120159</v>
      </c>
      <c r="FZ58" s="20">
        <f t="shared" si="472"/>
        <v>1557620.5878071587</v>
      </c>
      <c r="GA58" s="20">
        <f t="shared" si="472"/>
        <v>1589951.574740933</v>
      </c>
      <c r="GB58" s="20" t="n">
        <f t="shared" ref="GB58:HG58" si="473">GB61-GB62</f>
        <v>1615489.6188388604</v>
      </c>
      <c r="GC58" s="20">
        <f t="shared" si="473"/>
        <v>1635812.9471134718</v>
      </c>
      <c r="GD58" s="20">
        <f t="shared" si="473"/>
        <v>1652263.924122947</v>
      </c>
      <c r="GE58" s="20">
        <f t="shared" si="473"/>
        <v>1665933.2853540105</v>
      </c>
      <c r="GF58" s="20">
        <f t="shared" si="473"/>
        <v>1678427.7849941654</v>
      </c>
      <c r="GG58" s="20">
        <f t="shared" si="473"/>
        <v>1691015.9933816215</v>
      </c>
      <c r="GH58" s="20">
        <f t="shared" si="473"/>
        <v>1703698.6133319838</v>
      </c>
      <c r="GI58" s="20">
        <f t="shared" si="473"/>
        <v>1716476.3529319735</v>
      </c>
      <c r="GJ58" s="20">
        <f t="shared" si="473"/>
        <v>1729349.9255789632</v>
      </c>
      <c r="GK58" s="20">
        <f t="shared" si="473"/>
        <v>1742320.0500208056</v>
      </c>
      <c r="GL58" s="20">
        <f t="shared" si="473"/>
        <v>1755387.4503959615</v>
      </c>
      <c r="GM58" s="20">
        <f t="shared" si="473"/>
        <v>1768552.8562739315</v>
      </c>
      <c r="GN58" s="20">
        <f t="shared" si="473"/>
        <v>1781817.0026959858</v>
      </c>
      <c r="GO58" s="20">
        <f t="shared" si="473"/>
        <v>1795180.6302162057</v>
      </c>
      <c r="GP58" s="20">
        <f t="shared" si="473"/>
        <v>1808644.4849428274</v>
      </c>
      <c r="GQ58" s="20">
        <f t="shared" si="473"/>
        <v>1822209.3185798984</v>
      </c>
      <c r="GR58" s="20">
        <f t="shared" si="473"/>
        <v>1835875.8884692478</v>
      </c>
      <c r="GS58" s="20">
        <f t="shared" si="473"/>
        <v>1849644.957632767</v>
      </c>
      <c r="GT58" s="20">
        <f t="shared" si="473"/>
        <v>1863517.2948150132</v>
      </c>
      <c r="GU58" s="20">
        <f t="shared" si="473"/>
        <v>1877493.6745261254</v>
      </c>
      <c r="GV58" s="20">
        <f t="shared" si="473"/>
        <v>1891574.8770850713</v>
      </c>
      <c r="GW58" s="20">
        <f t="shared" si="473"/>
        <v>1905761.6886632096</v>
      </c>
      <c r="GX58" s="20">
        <f t="shared" si="473"/>
        <v>1920054.9013281837</v>
      </c>
      <c r="GY58" s="20">
        <f t="shared" si="473"/>
        <v>1934455.3130881449</v>
      </c>
      <c r="GZ58" s="20">
        <f t="shared" si="473"/>
        <v>1948963.727936306</v>
      </c>
      <c r="HA58" s="20">
        <f t="shared" si="473"/>
        <v>1963580.9558958281</v>
      </c>
      <c r="HB58" s="20">
        <f t="shared" si="473"/>
        <v>1978307.8130650471</v>
      </c>
      <c r="HC58" s="20">
        <f t="shared" si="473"/>
        <v>1993145.1216630349</v>
      </c>
      <c r="HD58" s="20">
        <f t="shared" si="473"/>
        <v>2008093.7100755076</v>
      </c>
      <c r="HE58" s="20">
        <f t="shared" si="473"/>
        <v>2023154.4129010744</v>
      </c>
      <c r="HF58" s="20">
        <f t="shared" si="473"/>
        <v>0</v>
      </c>
      <c r="HG58" s="20">
        <f t="shared" si="473"/>
        <v>0</v>
      </c>
      <c r="HH58" s="20" t="n">
        <f t="shared" ref="HH58:IM58" si="474">HH61-HH62</f>
        <v>0</v>
      </c>
      <c r="HI58" s="20">
        <f t="shared" si="474"/>
        <v>0</v>
      </c>
      <c r="HJ58" s="20">
        <f t="shared" si="474"/>
        <v>0</v>
      </c>
      <c r="HK58" s="20">
        <f t="shared" si="474"/>
        <v>0</v>
      </c>
      <c r="HL58" s="20">
        <f t="shared" si="474"/>
        <v>0</v>
      </c>
      <c r="HM58" s="20">
        <f t="shared" si="474"/>
        <v>0</v>
      </c>
      <c r="HN58" s="20">
        <f t="shared" si="474"/>
        <v>0</v>
      </c>
      <c r="HO58" s="20">
        <f t="shared" si="474"/>
        <v>0</v>
      </c>
      <c r="HP58" s="20">
        <f t="shared" si="474"/>
        <v>0</v>
      </c>
      <c r="HQ58" s="20">
        <f t="shared" si="474"/>
        <v>0</v>
      </c>
      <c r="HR58" s="20">
        <f t="shared" si="474"/>
        <v>0</v>
      </c>
      <c r="HS58" s="20">
        <f t="shared" si="474"/>
        <v>0</v>
      </c>
      <c r="HT58" s="20">
        <f t="shared" si="474"/>
        <v>0</v>
      </c>
      <c r="HU58" s="20">
        <f t="shared" si="474"/>
        <v>0</v>
      </c>
      <c r="HV58" s="20">
        <f t="shared" si="474"/>
        <v>0</v>
      </c>
      <c r="HW58" s="20">
        <f t="shared" si="474"/>
        <v>0</v>
      </c>
      <c r="HX58" s="20">
        <f t="shared" si="474"/>
        <v>0</v>
      </c>
      <c r="HY58" s="20">
        <f t="shared" si="474"/>
        <v>0</v>
      </c>
      <c r="HZ58" s="20">
        <f t="shared" si="474"/>
        <v>0</v>
      </c>
      <c r="IA58" s="20">
        <f t="shared" si="474"/>
        <v>0</v>
      </c>
      <c r="IB58" s="20">
        <f t="shared" si="474"/>
        <v>0</v>
      </c>
      <c r="IC58" s="20">
        <f t="shared" si="474"/>
        <v>0</v>
      </c>
      <c r="ID58" s="20">
        <f t="shared" si="474"/>
        <v>0</v>
      </c>
      <c r="IE58" s="20">
        <f t="shared" si="474"/>
        <v>0</v>
      </c>
      <c r="IF58" s="20">
        <f t="shared" si="474"/>
        <v>0</v>
      </c>
      <c r="IG58" s="20">
        <f t="shared" si="474"/>
        <v>0</v>
      </c>
      <c r="IH58" s="20">
        <f t="shared" si="474"/>
        <v>0</v>
      </c>
      <c r="II58" s="20">
        <f t="shared" si="474"/>
        <v>0</v>
      </c>
      <c r="IJ58" s="20">
        <f t="shared" si="474"/>
        <v>0</v>
      </c>
      <c r="IK58" s="20">
        <f t="shared" si="474"/>
        <v>0</v>
      </c>
      <c r="IL58" s="20">
        <f t="shared" si="474"/>
        <v>0</v>
      </c>
      <c r="IM58" s="20">
        <f t="shared" si="474"/>
        <v>0</v>
      </c>
      <c r="IN58" s="20" t="n">
        <f t="shared" ref="IN58:JX58" si="475">IN61-IN62</f>
        <v>0</v>
      </c>
      <c r="IO58" s="20">
        <f t="shared" si="475"/>
        <v>0</v>
      </c>
      <c r="IP58" s="20">
        <f t="shared" si="475"/>
        <v>0</v>
      </c>
      <c r="IQ58" s="20">
        <f t="shared" si="475"/>
        <v>0</v>
      </c>
      <c r="IR58" s="20">
        <f t="shared" si="475"/>
        <v>0</v>
      </c>
      <c r="IS58" s="20">
        <f t="shared" si="475"/>
        <v>0</v>
      </c>
      <c r="IT58" s="20">
        <f t="shared" si="475"/>
        <v>0</v>
      </c>
      <c r="IU58" s="20">
        <f t="shared" si="475"/>
        <v>0</v>
      </c>
      <c r="IV58" s="20">
        <f t="shared" si="475"/>
        <v>0</v>
      </c>
      <c r="IW58" s="20">
        <f t="shared" si="475"/>
        <v>0</v>
      </c>
      <c r="IX58" s="20">
        <f t="shared" si="475"/>
        <v>0</v>
      </c>
      <c r="IY58" s="20">
        <f t="shared" si="475"/>
        <v>0</v>
      </c>
      <c r="IZ58" s="20">
        <f t="shared" si="475"/>
        <v>0</v>
      </c>
      <c r="JA58" s="20">
        <f t="shared" si="475"/>
        <v>0</v>
      </c>
      <c r="JB58" s="20">
        <f t="shared" si="475"/>
        <v>0</v>
      </c>
      <c r="JC58" s="20">
        <f t="shared" si="475"/>
        <v>0</v>
      </c>
      <c r="JD58" s="20">
        <f t="shared" si="475"/>
        <v>0</v>
      </c>
      <c r="JE58" s="20">
        <f t="shared" si="475"/>
        <v>0</v>
      </c>
      <c r="JF58" s="20">
        <f t="shared" si="475"/>
        <v>0</v>
      </c>
      <c r="JG58" s="20">
        <f t="shared" si="475"/>
        <v>0</v>
      </c>
      <c r="JH58" s="20">
        <f t="shared" si="475"/>
        <v>0</v>
      </c>
      <c r="JI58" s="20">
        <f t="shared" si="475"/>
        <v>0</v>
      </c>
      <c r="JJ58" s="20">
        <f t="shared" si="475"/>
        <v>0</v>
      </c>
      <c r="JK58" s="20">
        <f t="shared" si="475"/>
        <v>0</v>
      </c>
      <c r="JL58" s="20">
        <f t="shared" si="475"/>
        <v>0</v>
      </c>
      <c r="JM58" s="20">
        <f t="shared" si="475"/>
        <v>0</v>
      </c>
      <c r="JN58" s="20">
        <f t="shared" si="475"/>
        <v>0</v>
      </c>
      <c r="JO58" s="20">
        <f t="shared" si="475"/>
        <v>0</v>
      </c>
      <c r="JP58" s="20">
        <f t="shared" si="475"/>
        <v>0</v>
      </c>
      <c r="JQ58" s="20">
        <f t="shared" si="475"/>
        <v>0</v>
      </c>
      <c r="JR58" s="20">
        <f t="shared" si="475"/>
        <v>0</v>
      </c>
      <c r="JS58" s="20">
        <f t="shared" si="475"/>
        <v>0</v>
      </c>
      <c r="JT58" s="20">
        <f t="shared" si="475"/>
        <v>0</v>
      </c>
      <c r="JU58" s="20">
        <f t="shared" si="475"/>
        <v>0</v>
      </c>
      <c r="JV58" s="20">
        <f t="shared" si="475"/>
        <v>0</v>
      </c>
      <c r="JW58" s="20">
        <f t="shared" si="475"/>
        <v>0</v>
      </c>
      <c r="JX58" s="20">
        <f t="shared" si="475"/>
        <v>0</v>
      </c>
      <c r="JZ58" s="263"/>
      <c r="KA58" s="263"/>
      <c r="KB58" s="263"/>
      <c r="KC58" s="263"/>
      <c r="KD58" s="263"/>
      <c r="KE58" s="263"/>
      <c r="KF58" s="263"/>
      <c r="KG58" s="263"/>
      <c r="KH58" s="263"/>
      <c r="KI58" s="263"/>
      <c r="KJ58" s="263"/>
      <c r="KK58" s="263"/>
      <c r="KL58" s="263"/>
      <c r="KM58" s="263"/>
      <c r="KN58" s="263"/>
      <c r="KO58" s="263"/>
      <c r="KP58" s="263"/>
      <c r="KQ58" s="263"/>
      <c r="KR58" s="263"/>
      <c r="KS58" s="263"/>
      <c r="KT58" s="263"/>
      <c r="KU58" s="263"/>
      <c r="KV58" s="263"/>
      <c r="KW58" s="263"/>
      <c r="KX58" s="263"/>
      <c r="KY58" s="263"/>
      <c r="KZ58" s="263"/>
      <c r="LA58" s="263"/>
      <c r="LB58" s="263"/>
      <c r="LC58" s="263"/>
      <c r="LD58" s="263"/>
      <c r="LE58" s="263"/>
      <c r="LF58" s="263"/>
      <c r="LG58" s="263"/>
      <c r="LH58" s="263"/>
      <c r="LI58" s="263"/>
      <c r="LJ58" s="263"/>
      <c r="LK58" s="263"/>
      <c r="LL58" s="263"/>
      <c r="LM58" s="263"/>
      <c r="LN58" s="263"/>
      <c r="LO58" s="263"/>
      <c r="LP58" s="263"/>
      <c r="LQ58" s="263"/>
      <c r="LR58" s="263"/>
      <c r="LS58" s="263"/>
      <c r="LT58" s="263"/>
      <c r="LU58" s="263"/>
      <c r="LV58" s="263"/>
      <c r="LW58" s="263"/>
      <c r="LX58" s="263"/>
      <c r="LY58" s="263"/>
      <c r="LZ58" s="263"/>
      <c r="MA58" s="263"/>
      <c r="MB58" s="263"/>
      <c r="MC58" s="263"/>
      <c r="MD58" s="263"/>
      <c r="ME58" s="263"/>
      <c r="MF58" s="263"/>
      <c r="MG58" s="263"/>
      <c r="MH58" s="263"/>
      <c r="MI58" s="263"/>
      <c r="MJ58" s="263"/>
      <c r="MK58" s="263"/>
      <c r="ML58" s="263"/>
      <c r="MM58" s="263"/>
      <c r="MN58" s="263"/>
      <c r="MO58" s="263"/>
      <c r="MP58" s="263"/>
      <c r="MQ58" s="263"/>
      <c r="MR58" s="263"/>
      <c r="MS58" s="263"/>
      <c r="MT58" s="263"/>
      <c r="MU58" s="263"/>
      <c r="MV58" s="263"/>
      <c r="MW58" s="263"/>
      <c r="MX58" s="263"/>
      <c r="MY58" s="263"/>
      <c r="MZ58" s="263"/>
      <c r="NA58" s="263"/>
      <c r="NB58" s="263"/>
      <c r="NC58" s="263"/>
      <c r="ND58" s="263"/>
      <c r="NE58" s="263"/>
      <c r="NF58" s="263"/>
      <c r="NG58" s="263"/>
      <c r="NH58" s="263"/>
      <c r="NI58" s="263"/>
      <c r="NJ58" s="263"/>
      <c r="NK58" s="263"/>
      <c r="NL58" s="263"/>
      <c r="NM58" s="263"/>
      <c r="NN58" s="263"/>
      <c r="NO58" s="263"/>
      <c r="NP58" s="263"/>
      <c r="NQ58" s="263"/>
      <c r="NR58" s="263"/>
      <c r="NS58" s="263"/>
      <c r="NT58" s="263"/>
      <c r="NU58" s="263"/>
      <c r="NV58" s="263"/>
      <c r="NW58" s="263"/>
      <c r="NX58" s="263"/>
      <c r="NY58" s="263"/>
      <c r="NZ58" s="263"/>
      <c r="OA58" s="263"/>
      <c r="OB58" s="263"/>
      <c r="OC58" s="263"/>
      <c r="OD58" s="263"/>
      <c r="OE58" s="263"/>
      <c r="OF58" s="263"/>
      <c r="OG58" s="263"/>
      <c r="OH58" s="263"/>
      <c r="OI58" s="263"/>
      <c r="OJ58" s="263"/>
      <c r="OK58" s="263"/>
      <c r="OL58" s="263"/>
      <c r="OM58" s="263"/>
      <c r="ON58" s="263"/>
      <c r="OO58" s="263"/>
      <c r="OP58" s="263"/>
      <c r="OQ58" s="263"/>
      <c r="OR58" s="263"/>
      <c r="OS58" s="263"/>
      <c r="OT58" s="263"/>
      <c r="OU58" s="263"/>
      <c r="OV58" s="263"/>
      <c r="OW58" s="263"/>
      <c r="OX58" s="263"/>
      <c r="OY58" s="263"/>
      <c r="OZ58" s="263"/>
      <c r="PA58" s="263"/>
      <c r="PB58" s="263"/>
      <c r="PC58" s="263"/>
      <c r="PD58" s="263"/>
      <c r="PE58" s="263"/>
      <c r="PF58" s="263"/>
      <c r="PG58" s="263"/>
      <c r="PH58" s="263"/>
    </row>
    <row r="59">
      <c r="B59" s="415"/>
      <c r="C59" s="416" t="s">
        <v>160</v>
      </c>
      <c r="D59" s="416" t="s">
        <v>161</v>
      </c>
      <c r="E59" s="416" t="s">
        <v>162</v>
      </c>
      <c r="F59" s="416" t="s">
        <v>163</v>
      </c>
      <c r="G59" s="136" t="str">
        <f>H25</f>
        <v>/RENTABLE M2</v>
      </c>
      <c r="H59" s="136"/>
      <c r="I59" s="416" t="s">
        <v>130</v>
      </c>
      <c r="L59" s="447"/>
      <c r="EP59" s="220" t="s">
        <v>164</v>
      </c>
      <c r="EQ59" s="18"/>
      <c r="ER59" s="18"/>
      <c r="ES59" s="18"/>
      <c r="ET59" s="414" t="s">
        <v>165</v>
      </c>
      <c r="EU59" s="26" t="n">
        <f>SUM(EV59:JX59)</f>
        <v>114338.88963590557</v>
      </c>
      <c r="EV59" s="20" t="n">
        <f>-MIN(L155,0)</f>
        <v>0</v>
      </c>
      <c r="EW59" s="20" t="n">
        <f t="shared" ref="EW59:HH59" si="476">-MIN(M155,0)</f>
        <v>0</v>
      </c>
      <c r="EX59" s="20">
        <f t="shared" si="476"/>
        <v>0</v>
      </c>
      <c r="EY59" s="20">
        <f t="shared" si="476"/>
        <v>0</v>
      </c>
      <c r="EZ59" s="20">
        <f t="shared" si="476"/>
        <v>0</v>
      </c>
      <c r="FA59" s="20">
        <f t="shared" si="476"/>
        <v>114338.88963590557</v>
      </c>
      <c r="FB59" s="20">
        <f t="shared" si="476"/>
        <v>0</v>
      </c>
      <c r="FC59" s="20">
        <f t="shared" si="476"/>
        <v>0</v>
      </c>
      <c r="FD59" s="20">
        <f t="shared" si="476"/>
        <v>0</v>
      </c>
      <c r="FE59" s="20">
        <f t="shared" si="476"/>
        <v>0</v>
      </c>
      <c r="FF59" s="20">
        <f t="shared" si="476"/>
        <v>0</v>
      </c>
      <c r="FG59" s="20">
        <f t="shared" si="476"/>
        <v>0</v>
      </c>
      <c r="FH59" s="20">
        <f t="shared" si="476"/>
        <v>0</v>
      </c>
      <c r="FI59" s="20">
        <f t="shared" si="476"/>
        <v>0</v>
      </c>
      <c r="FJ59" s="20">
        <f t="shared" si="476"/>
        <v>0</v>
      </c>
      <c r="FK59" s="20">
        <f t="shared" si="476"/>
        <v>0</v>
      </c>
      <c r="FL59" s="20">
        <f t="shared" si="476"/>
        <v>0</v>
      </c>
      <c r="FM59" s="20">
        <f t="shared" si="476"/>
        <v>0</v>
      </c>
      <c r="FN59" s="20">
        <f t="shared" si="476"/>
        <v>0</v>
      </c>
      <c r="FO59" s="20">
        <f t="shared" si="476"/>
        <v>0</v>
      </c>
      <c r="FP59" s="20">
        <f t="shared" si="476"/>
        <v>0</v>
      </c>
      <c r="FQ59" s="20">
        <f t="shared" si="476"/>
        <v>0</v>
      </c>
      <c r="FR59" s="20">
        <f t="shared" si="476"/>
        <v>0</v>
      </c>
      <c r="FS59" s="20">
        <f t="shared" si="476"/>
        <v>0</v>
      </c>
      <c r="FT59" s="20">
        <f t="shared" si="476"/>
        <v>0</v>
      </c>
      <c r="FU59" s="20">
        <f t="shared" si="476"/>
        <v>0</v>
      </c>
      <c r="FV59" s="20">
        <f t="shared" si="476"/>
        <v>0</v>
      </c>
      <c r="FW59" s="20">
        <f t="shared" si="476"/>
        <v>0</v>
      </c>
      <c r="FX59" s="20">
        <f t="shared" si="476"/>
        <v>0</v>
      </c>
      <c r="FY59" s="20">
        <f t="shared" si="476"/>
        <v>0</v>
      </c>
      <c r="FZ59" s="20">
        <f t="shared" si="476"/>
        <v>0</v>
      </c>
      <c r="GA59" s="20">
        <f t="shared" si="476"/>
        <v>0</v>
      </c>
      <c r="GB59" s="20">
        <f t="shared" si="476"/>
        <v>0</v>
      </c>
      <c r="GC59" s="20">
        <f t="shared" si="476"/>
        <v>0</v>
      </c>
      <c r="GD59" s="20">
        <f t="shared" si="476"/>
        <v>0</v>
      </c>
      <c r="GE59" s="20">
        <f t="shared" si="476"/>
        <v>0</v>
      </c>
      <c r="GF59" s="20">
        <f t="shared" si="476"/>
        <v>0</v>
      </c>
      <c r="GG59" s="20">
        <f t="shared" si="476"/>
        <v>0</v>
      </c>
      <c r="GH59" s="20">
        <f t="shared" si="476"/>
        <v>0</v>
      </c>
      <c r="GI59" s="20">
        <f t="shared" si="476"/>
        <v>0</v>
      </c>
      <c r="GJ59" s="20">
        <f t="shared" si="476"/>
        <v>0</v>
      </c>
      <c r="GK59" s="20">
        <f t="shared" si="476"/>
        <v>0</v>
      </c>
      <c r="GL59" s="20">
        <f t="shared" si="476"/>
        <v>0</v>
      </c>
      <c r="GM59" s="20">
        <f t="shared" si="476"/>
        <v>0</v>
      </c>
      <c r="GN59" s="20">
        <f t="shared" si="476"/>
        <v>0</v>
      </c>
      <c r="GO59" s="20">
        <f t="shared" si="476"/>
        <v>0</v>
      </c>
      <c r="GP59" s="20">
        <f t="shared" si="476"/>
        <v>0</v>
      </c>
      <c r="GQ59" s="20">
        <f t="shared" si="476"/>
        <v>0</v>
      </c>
      <c r="GR59" s="20">
        <f t="shared" si="476"/>
        <v>0</v>
      </c>
      <c r="GS59" s="20">
        <f t="shared" si="476"/>
        <v>0</v>
      </c>
      <c r="GT59" s="20">
        <f t="shared" si="476"/>
        <v>0</v>
      </c>
      <c r="GU59" s="20">
        <f t="shared" si="476"/>
        <v>0</v>
      </c>
      <c r="GV59" s="20">
        <f t="shared" si="476"/>
        <v>0</v>
      </c>
      <c r="GW59" s="20">
        <f t="shared" si="476"/>
        <v>0</v>
      </c>
      <c r="GX59" s="20">
        <f t="shared" si="476"/>
        <v>0</v>
      </c>
      <c r="GY59" s="20">
        <f t="shared" si="476"/>
        <v>0</v>
      </c>
      <c r="GZ59" s="20">
        <f t="shared" si="476"/>
        <v>0</v>
      </c>
      <c r="HA59" s="20">
        <f t="shared" si="476"/>
        <v>0</v>
      </c>
      <c r="HB59" s="20">
        <f t="shared" si="476"/>
        <v>0</v>
      </c>
      <c r="HC59" s="20">
        <f t="shared" si="476"/>
        <v>0</v>
      </c>
      <c r="HD59" s="20">
        <f t="shared" si="476"/>
        <v>0</v>
      </c>
      <c r="HE59" s="20">
        <f t="shared" si="476"/>
        <v>0</v>
      </c>
      <c r="HF59" s="20">
        <f t="shared" si="476"/>
        <v>0</v>
      </c>
      <c r="HG59" s="20">
        <f t="shared" si="476"/>
        <v>0</v>
      </c>
      <c r="HH59" s="20">
        <f t="shared" si="476"/>
        <v>0</v>
      </c>
      <c r="HI59" s="20" t="n">
        <f t="shared" ref="HI59:JT59" si="477">-MIN(BY155,0)</f>
        <v>0</v>
      </c>
      <c r="HJ59" s="20">
        <f t="shared" si="477"/>
        <v>0</v>
      </c>
      <c r="HK59" s="20">
        <f t="shared" si="477"/>
        <v>0</v>
      </c>
      <c r="HL59" s="20">
        <f t="shared" si="477"/>
        <v>0</v>
      </c>
      <c r="HM59" s="20">
        <f t="shared" si="477"/>
        <v>0</v>
      </c>
      <c r="HN59" s="20">
        <f t="shared" si="477"/>
        <v>0</v>
      </c>
      <c r="HO59" s="20">
        <f t="shared" si="477"/>
        <v>0</v>
      </c>
      <c r="HP59" s="20">
        <f t="shared" si="477"/>
        <v>0</v>
      </c>
      <c r="HQ59" s="20">
        <f t="shared" si="477"/>
        <v>0</v>
      </c>
      <c r="HR59" s="20">
        <f t="shared" si="477"/>
        <v>0</v>
      </c>
      <c r="HS59" s="20">
        <f t="shared" si="477"/>
        <v>0</v>
      </c>
      <c r="HT59" s="20">
        <f t="shared" si="477"/>
        <v>0</v>
      </c>
      <c r="HU59" s="20">
        <f t="shared" si="477"/>
        <v>0</v>
      </c>
      <c r="HV59" s="20">
        <f t="shared" si="477"/>
        <v>0</v>
      </c>
      <c r="HW59" s="20">
        <f t="shared" si="477"/>
        <v>0</v>
      </c>
      <c r="HX59" s="20">
        <f t="shared" si="477"/>
        <v>0</v>
      </c>
      <c r="HY59" s="20">
        <f t="shared" si="477"/>
        <v>0</v>
      </c>
      <c r="HZ59" s="20">
        <f t="shared" si="477"/>
        <v>0</v>
      </c>
      <c r="IA59" s="20">
        <f t="shared" si="477"/>
        <v>0</v>
      </c>
      <c r="IB59" s="20">
        <f t="shared" si="477"/>
        <v>0</v>
      </c>
      <c r="IC59" s="20">
        <f t="shared" si="477"/>
        <v>0</v>
      </c>
      <c r="ID59" s="20">
        <f t="shared" si="477"/>
        <v>0</v>
      </c>
      <c r="IE59" s="20">
        <f t="shared" si="477"/>
        <v>0</v>
      </c>
      <c r="IF59" s="20">
        <f t="shared" si="477"/>
        <v>0</v>
      </c>
      <c r="IG59" s="20">
        <f t="shared" si="477"/>
        <v>0</v>
      </c>
      <c r="IH59" s="20">
        <f t="shared" si="477"/>
        <v>0</v>
      </c>
      <c r="II59" s="20">
        <f t="shared" si="477"/>
        <v>0</v>
      </c>
      <c r="IJ59" s="20">
        <f t="shared" si="477"/>
        <v>0</v>
      </c>
      <c r="IK59" s="20">
        <f t="shared" si="477"/>
        <v>0</v>
      </c>
      <c r="IL59" s="20">
        <f t="shared" si="477"/>
        <v>0</v>
      </c>
      <c r="IM59" s="20">
        <f t="shared" si="477"/>
        <v>0</v>
      </c>
      <c r="IN59" s="20">
        <f t="shared" si="477"/>
        <v>0</v>
      </c>
      <c r="IO59" s="20">
        <f t="shared" si="477"/>
        <v>0</v>
      </c>
      <c r="IP59" s="20">
        <f t="shared" si="477"/>
        <v>0</v>
      </c>
      <c r="IQ59" s="20">
        <f t="shared" si="477"/>
        <v>0</v>
      </c>
      <c r="IR59" s="20">
        <f t="shared" si="477"/>
        <v>0</v>
      </c>
      <c r="IS59" s="20">
        <f t="shared" si="477"/>
        <v>0</v>
      </c>
      <c r="IT59" s="20">
        <f t="shared" si="477"/>
        <v>0</v>
      </c>
      <c r="IU59" s="20">
        <f t="shared" si="477"/>
        <v>0</v>
      </c>
      <c r="IV59" s="20">
        <f t="shared" si="477"/>
        <v>0</v>
      </c>
      <c r="IW59" s="20">
        <f t="shared" si="477"/>
        <v>0</v>
      </c>
      <c r="IX59" s="20">
        <f t="shared" si="477"/>
        <v>0</v>
      </c>
      <c r="IY59" s="20">
        <f t="shared" si="477"/>
        <v>0</v>
      </c>
      <c r="IZ59" s="20">
        <f t="shared" si="477"/>
        <v>0</v>
      </c>
      <c r="JA59" s="20">
        <f t="shared" si="477"/>
        <v>0</v>
      </c>
      <c r="JB59" s="20">
        <f t="shared" si="477"/>
        <v>0</v>
      </c>
      <c r="JC59" s="20">
        <f t="shared" si="477"/>
        <v>0</v>
      </c>
      <c r="JD59" s="20">
        <f t="shared" si="477"/>
        <v>0</v>
      </c>
      <c r="JE59" s="20">
        <f t="shared" si="477"/>
        <v>0</v>
      </c>
      <c r="JF59" s="20">
        <f t="shared" si="477"/>
        <v>0</v>
      </c>
      <c r="JG59" s="20">
        <f t="shared" si="477"/>
        <v>0</v>
      </c>
      <c r="JH59" s="20">
        <f t="shared" si="477"/>
        <v>0</v>
      </c>
      <c r="JI59" s="20">
        <f t="shared" si="477"/>
        <v>0</v>
      </c>
      <c r="JJ59" s="20">
        <f t="shared" si="477"/>
        <v>0</v>
      </c>
      <c r="JK59" s="20">
        <f t="shared" si="477"/>
        <v>0</v>
      </c>
      <c r="JL59" s="20">
        <f t="shared" si="477"/>
        <v>0</v>
      </c>
      <c r="JM59" s="20">
        <f t="shared" si="477"/>
        <v>0</v>
      </c>
      <c r="JN59" s="20">
        <f t="shared" si="477"/>
        <v>0</v>
      </c>
      <c r="JO59" s="20">
        <f t="shared" si="477"/>
        <v>0</v>
      </c>
      <c r="JP59" s="20">
        <f t="shared" si="477"/>
        <v>0</v>
      </c>
      <c r="JQ59" s="20">
        <f t="shared" si="477"/>
        <v>0</v>
      </c>
      <c r="JR59" s="20">
        <f t="shared" si="477"/>
        <v>0</v>
      </c>
      <c r="JS59" s="20">
        <f t="shared" si="477"/>
        <v>0</v>
      </c>
      <c r="JT59" s="20">
        <f t="shared" si="477"/>
        <v>0</v>
      </c>
      <c r="JU59" s="20" t="n">
        <f t="shared" ref="JU59:JX59" si="478">-MIN(EK155,0)</f>
        <v>0</v>
      </c>
      <c r="JV59" s="20">
        <f t="shared" si="478"/>
        <v>0</v>
      </c>
      <c r="JW59" s="20">
        <f t="shared" si="478"/>
        <v>0</v>
      </c>
      <c r="JX59" s="20">
        <f t="shared" si="478"/>
        <v>0</v>
      </c>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c r="MI59" s="263"/>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c r="NO59" s="263"/>
      <c r="NP59" s="263"/>
      <c r="NQ59" s="263"/>
      <c r="NR59" s="263"/>
      <c r="NS59" s="263"/>
      <c r="NT59" s="263"/>
      <c r="NU59" s="263"/>
      <c r="NV59" s="263"/>
      <c r="NW59" s="263"/>
      <c r="NX59" s="263"/>
      <c r="NY59" s="263"/>
      <c r="NZ59" s="263"/>
      <c r="OA59" s="263"/>
      <c r="OB59" s="263"/>
      <c r="OC59" s="263"/>
      <c r="OD59" s="263"/>
      <c r="OE59" s="263"/>
      <c r="OF59" s="263"/>
      <c r="OG59" s="263"/>
      <c r="OH59" s="263"/>
      <c r="OI59" s="263"/>
      <c r="OJ59" s="263"/>
      <c r="OK59" s="263"/>
      <c r="OL59" s="263"/>
      <c r="OM59" s="263"/>
      <c r="ON59" s="263"/>
      <c r="OO59" s="263"/>
      <c r="OP59" s="263"/>
      <c r="OQ59" s="263"/>
      <c r="OR59" s="263"/>
      <c r="OS59" s="263"/>
      <c r="OT59" s="263"/>
      <c r="OU59" s="263"/>
      <c r="OV59" s="263"/>
      <c r="OW59" s="263"/>
      <c r="OX59" s="263"/>
      <c r="OY59" s="263"/>
      <c r="OZ59" s="263"/>
      <c r="PA59" s="263"/>
      <c r="PB59" s="263"/>
      <c r="PC59" s="263"/>
      <c r="PD59" s="263"/>
      <c r="PE59" s="263"/>
      <c r="PF59" s="263"/>
      <c r="PG59" s="263"/>
      <c r="PH59" s="263"/>
    </row>
    <row r="60">
      <c r="B60" s="448"/>
      <c r="C60" s="39">
        <v>1</v>
      </c>
      <c r="D60" s="38"/>
      <c r="E60" s="404" t="s">
        <v>166</v>
      </c>
      <c r="F60" s="53" t="n">
        <f>I60/Project_Cost_Total</f>
        <v>0.28465621098132304</v>
      </c>
      <c r="G60" s="135" t="n">
        <f>I60/Units_SF_M2</f>
        <v>1522.1376559453604</v>
      </c>
      <c r="H60" s="419"/>
      <c r="I60" s="449" t="n">
        <f>SUM(L69:EN69)</f>
        <v>119202222.52470233</v>
      </c>
      <c r="L60" s="447" t="s">
        <v>167</v>
      </c>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c r="DA60" s="76"/>
      <c r="DB60" s="76"/>
      <c r="DC60" s="76"/>
      <c r="DD60" s="76"/>
      <c r="DE60" s="76"/>
      <c r="DF60" s="76"/>
      <c r="DG60" s="76"/>
      <c r="DH60" s="76"/>
      <c r="DI60" s="76"/>
      <c r="DJ60" s="76"/>
      <c r="DK60" s="76"/>
      <c r="DL60" s="76"/>
      <c r="DM60" s="76"/>
      <c r="DN60" s="76"/>
      <c r="DO60" s="76"/>
      <c r="DP60" s="76"/>
      <c r="DQ60" s="76"/>
      <c r="DR60" s="76"/>
      <c r="DS60" s="76"/>
      <c r="DT60" s="76"/>
      <c r="DU60" s="76"/>
      <c r="DV60" s="76"/>
      <c r="DW60" s="76"/>
      <c r="DX60" s="76"/>
      <c r="DY60" s="76"/>
      <c r="DZ60" s="76"/>
      <c r="EA60" s="76"/>
      <c r="EB60" s="76"/>
      <c r="EC60" s="76"/>
      <c r="ED60" s="76"/>
      <c r="EE60" s="76"/>
      <c r="EF60" s="76"/>
      <c r="EG60" s="76"/>
      <c r="EH60" s="76"/>
      <c r="EI60" s="76"/>
      <c r="EJ60" s="76"/>
      <c r="EK60" s="76"/>
      <c r="EL60" s="76"/>
      <c r="EM60" s="76"/>
      <c r="EN60" s="76"/>
      <c r="EO60" s="76"/>
      <c r="EP60" s="220" t="s">
        <v>168</v>
      </c>
      <c r="EQ60" s="18"/>
      <c r="ER60" s="18"/>
      <c r="ES60" s="18"/>
      <c r="ET60" s="20" t="str">
        <f>IF(AND(ROUND(EU60,0)=ROUND(SUM($EV$60:$JX$60),0),ROUND(EU60,0)=ROUND(Project_Cost_Total,0)),"OK","ERR")</f>
        <v>ERR</v>
      </c>
      <c r="EU60" s="20" t="n">
        <f>SUM(EU56:EU59)</f>
        <v>477224332.3264269</v>
      </c>
      <c r="EV60" s="20" t="n">
        <f t="shared" ref="EV60:HG60" si="479">SUM(EV56:EV59)</f>
        <v>87034792.90517423</v>
      </c>
      <c r="EW60" s="20">
        <f t="shared" si="479"/>
        <v>-100892.8237358164</v>
      </c>
      <c r="EX60" s="20">
        <f t="shared" si="479"/>
        <v>170317.57335215877</v>
      </c>
      <c r="EY60" s="20">
        <f t="shared" si="479"/>
        <v>557650.6541499208</v>
      </c>
      <c r="EZ60" s="20">
        <f t="shared" si="479"/>
        <v>1094287.4844426755</v>
      </c>
      <c r="FA60" s="20">
        <f t="shared" si="479"/>
        <v>1929459.8612853033</v>
      </c>
      <c r="FB60" s="20">
        <f t="shared" si="479"/>
        <v>2754035.2117016613</v>
      </c>
      <c r="FC60" s="20">
        <f t="shared" si="479"/>
        <v>3935624.0857145824</v>
      </c>
      <c r="FD60" s="20">
        <f t="shared" si="479"/>
        <v>5374534.710579657</v>
      </c>
      <c r="FE60" s="20">
        <f t="shared" si="479"/>
        <v>7066040.6330156419</v>
      </c>
      <c r="FF60" s="20">
        <f t="shared" si="479"/>
        <v>8981635.5221242718</v>
      </c>
      <c r="FG60" s="20">
        <f t="shared" si="479"/>
        <v>11065695.790973345</v>
      </c>
      <c r="FH60" s="20">
        <f t="shared" si="479"/>
        <v>13235177.999869939</v>
      </c>
      <c r="FI60" s="20">
        <f t="shared" si="479"/>
        <v>15383150.10106368</v>
      </c>
      <c r="FJ60" s="20">
        <f t="shared" si="479"/>
        <v>17386381.847309738</v>
      </c>
      <c r="FK60" s="20">
        <f t="shared" si="479"/>
        <v>19116473.251003686</v>
      </c>
      <c r="FL60" s="20">
        <f t="shared" si="479"/>
        <v>20453232.140009373</v>
      </c>
      <c r="FM60" s="20">
        <f t="shared" si="479"/>
        <v>21369508.023454729</v>
      </c>
      <c r="FN60" s="20">
        <f t="shared" si="479"/>
        <v>21818975.397966921</v>
      </c>
      <c r="FO60" s="20">
        <f t="shared" si="479"/>
        <v>21693421.64911541</v>
      </c>
      <c r="FP60" s="20">
        <f t="shared" si="479"/>
        <v>21010954.162370984</v>
      </c>
      <c r="FQ60" s="20">
        <f t="shared" si="479"/>
        <v>19831784.308530588</v>
      </c>
      <c r="FR60" s="20">
        <f t="shared" si="479"/>
        <v>18250438.114889938</v>
      </c>
      <c r="FS60" s="20">
        <f t="shared" si="479"/>
        <v>16384091.431418121</v>
      </c>
      <c r="FT60" s="20">
        <f t="shared" si="479"/>
        <v>14359006.742424101</v>
      </c>
      <c r="FU60" s="20">
        <f t="shared" si="479"/>
        <v>12297223.760486757</v>
      </c>
      <c r="FV60" s="20">
        <f t="shared" si="479"/>
        <v>10305399.296532311</v>
      </c>
      <c r="FW60" s="20">
        <f t="shared" si="479"/>
        <v>8467101.4795084354</v>
      </c>
      <c r="FX60" s="20">
        <f t="shared" si="479"/>
        <v>6839105.3465664787</v>
      </c>
      <c r="FY60" s="20">
        <f t="shared" si="479"/>
        <v>5451494.4915999305</v>
      </c>
      <c r="FZ60" s="20">
        <f t="shared" si="479"/>
        <v>4310798.2578365644</v>
      </c>
      <c r="GA60" s="20">
        <f t="shared" si="479"/>
        <v>3405072.5463903155</v>
      </c>
      <c r="GB60" s="20">
        <f t="shared" si="479"/>
        <v>2709777.1032815417</v>
      </c>
      <c r="GC60" s="20">
        <f t="shared" si="479"/>
        <v>2193463.6012633736</v>
      </c>
      <c r="GD60" s="20">
        <f t="shared" si="479"/>
        <v>1822581.4974751072</v>
      </c>
      <c r="GE60" s="20">
        <f t="shared" si="479"/>
        <v>1565040.4616181783</v>
      </c>
      <c r="GF60" s="20">
        <f t="shared" si="479"/>
        <v>1393220.6901683845</v>
      </c>
      <c r="GG60" s="20">
        <f t="shared" si="479"/>
        <v>1691015.9933816215</v>
      </c>
      <c r="GH60" s="20">
        <f t="shared" si="479"/>
        <v>1703698.6133319838</v>
      </c>
      <c r="GI60" s="20">
        <f t="shared" si="479"/>
        <v>1716476.3529319735</v>
      </c>
      <c r="GJ60" s="20">
        <f t="shared" si="479"/>
        <v>1729349.9255789632</v>
      </c>
      <c r="GK60" s="20">
        <f t="shared" si="479"/>
        <v>1742320.0500208056</v>
      </c>
      <c r="GL60" s="20">
        <f t="shared" si="479"/>
        <v>1755387.4503959615</v>
      </c>
      <c r="GM60" s="20">
        <f t="shared" si="479"/>
        <v>1768552.8562739315</v>
      </c>
      <c r="GN60" s="20">
        <f t="shared" si="479"/>
        <v>1781817.0026959858</v>
      </c>
      <c r="GO60" s="20">
        <f t="shared" si="479"/>
        <v>1795180.6302162057</v>
      </c>
      <c r="GP60" s="20">
        <f t="shared" si="479"/>
        <v>1808644.4849428274</v>
      </c>
      <c r="GQ60" s="20">
        <f t="shared" si="479"/>
        <v>1822209.3185798984</v>
      </c>
      <c r="GR60" s="20">
        <f t="shared" si="479"/>
        <v>1835875.8884692478</v>
      </c>
      <c r="GS60" s="20">
        <f t="shared" si="479"/>
        <v>1849644.957632767</v>
      </c>
      <c r="GT60" s="20">
        <f t="shared" si="479"/>
        <v>1863517.2948150132</v>
      </c>
      <c r="GU60" s="20">
        <f t="shared" si="479"/>
        <v>1877493.6745261254</v>
      </c>
      <c r="GV60" s="20">
        <f t="shared" si="479"/>
        <v>1891574.8770850713</v>
      </c>
      <c r="GW60" s="20">
        <f t="shared" si="479"/>
        <v>1905761.6886632096</v>
      </c>
      <c r="GX60" s="20">
        <f t="shared" si="479"/>
        <v>1920054.9013281837</v>
      </c>
      <c r="GY60" s="20">
        <f t="shared" si="479"/>
        <v>1934455.3130881449</v>
      </c>
      <c r="GZ60" s="20">
        <f t="shared" si="479"/>
        <v>1948963.727936306</v>
      </c>
      <c r="HA60" s="20">
        <f t="shared" si="479"/>
        <v>1963580.9558958281</v>
      </c>
      <c r="HB60" s="20">
        <f t="shared" si="479"/>
        <v>1978307.8130650471</v>
      </c>
      <c r="HC60" s="20">
        <f t="shared" si="479"/>
        <v>1993145.1216630349</v>
      </c>
      <c r="HD60" s="20">
        <f t="shared" si="479"/>
        <v>2008093.7100755076</v>
      </c>
      <c r="HE60" s="20">
        <f t="shared" si="479"/>
        <v>2023154.4129010744</v>
      </c>
      <c r="HF60" s="20">
        <f t="shared" si="479"/>
        <v>0</v>
      </c>
      <c r="HG60" s="20">
        <f t="shared" si="479"/>
        <v>0</v>
      </c>
      <c r="HH60" s="20" t="n">
        <f t="shared" ref="HH60:JS60" si="480">SUM(HH56:HH59)</f>
        <v>0</v>
      </c>
      <c r="HI60" s="20">
        <f t="shared" si="480"/>
        <v>0</v>
      </c>
      <c r="HJ60" s="20">
        <f t="shared" si="480"/>
        <v>0</v>
      </c>
      <c r="HK60" s="20">
        <f t="shared" si="480"/>
        <v>0</v>
      </c>
      <c r="HL60" s="20">
        <f t="shared" si="480"/>
        <v>0</v>
      </c>
      <c r="HM60" s="20">
        <f t="shared" si="480"/>
        <v>0</v>
      </c>
      <c r="HN60" s="20">
        <f t="shared" si="480"/>
        <v>0</v>
      </c>
      <c r="HO60" s="20">
        <f t="shared" si="480"/>
        <v>0</v>
      </c>
      <c r="HP60" s="20">
        <f t="shared" si="480"/>
        <v>0</v>
      </c>
      <c r="HQ60" s="20">
        <f t="shared" si="480"/>
        <v>0</v>
      </c>
      <c r="HR60" s="20">
        <f t="shared" si="480"/>
        <v>0</v>
      </c>
      <c r="HS60" s="20">
        <f t="shared" si="480"/>
        <v>0</v>
      </c>
      <c r="HT60" s="20">
        <f t="shared" si="480"/>
        <v>0</v>
      </c>
      <c r="HU60" s="20">
        <f t="shared" si="480"/>
        <v>0</v>
      </c>
      <c r="HV60" s="20">
        <f t="shared" si="480"/>
        <v>0</v>
      </c>
      <c r="HW60" s="20">
        <f t="shared" si="480"/>
        <v>0</v>
      </c>
      <c r="HX60" s="20">
        <f t="shared" si="480"/>
        <v>0</v>
      </c>
      <c r="HY60" s="20">
        <f t="shared" si="480"/>
        <v>0</v>
      </c>
      <c r="HZ60" s="20">
        <f t="shared" si="480"/>
        <v>0</v>
      </c>
      <c r="IA60" s="20">
        <f t="shared" si="480"/>
        <v>0</v>
      </c>
      <c r="IB60" s="20">
        <f t="shared" si="480"/>
        <v>0</v>
      </c>
      <c r="IC60" s="20">
        <f t="shared" si="480"/>
        <v>0</v>
      </c>
      <c r="ID60" s="20">
        <f t="shared" si="480"/>
        <v>0</v>
      </c>
      <c r="IE60" s="20">
        <f t="shared" si="480"/>
        <v>0</v>
      </c>
      <c r="IF60" s="20">
        <f t="shared" si="480"/>
        <v>0</v>
      </c>
      <c r="IG60" s="20">
        <f t="shared" si="480"/>
        <v>0</v>
      </c>
      <c r="IH60" s="20">
        <f t="shared" si="480"/>
        <v>0</v>
      </c>
      <c r="II60" s="20">
        <f t="shared" si="480"/>
        <v>0</v>
      </c>
      <c r="IJ60" s="20">
        <f t="shared" si="480"/>
        <v>0</v>
      </c>
      <c r="IK60" s="20">
        <f t="shared" si="480"/>
        <v>0</v>
      </c>
      <c r="IL60" s="20">
        <f t="shared" si="480"/>
        <v>0</v>
      </c>
      <c r="IM60" s="20">
        <f t="shared" si="480"/>
        <v>0</v>
      </c>
      <c r="IN60" s="20">
        <f t="shared" si="480"/>
        <v>0</v>
      </c>
      <c r="IO60" s="20">
        <f t="shared" si="480"/>
        <v>0</v>
      </c>
      <c r="IP60" s="20">
        <f t="shared" si="480"/>
        <v>0</v>
      </c>
      <c r="IQ60" s="20">
        <f t="shared" si="480"/>
        <v>0</v>
      </c>
      <c r="IR60" s="20">
        <f t="shared" si="480"/>
        <v>0</v>
      </c>
      <c r="IS60" s="20">
        <f t="shared" si="480"/>
        <v>0</v>
      </c>
      <c r="IT60" s="20">
        <f t="shared" si="480"/>
        <v>0</v>
      </c>
      <c r="IU60" s="20">
        <f t="shared" si="480"/>
        <v>0</v>
      </c>
      <c r="IV60" s="20">
        <f t="shared" si="480"/>
        <v>0</v>
      </c>
      <c r="IW60" s="20">
        <f t="shared" si="480"/>
        <v>0</v>
      </c>
      <c r="IX60" s="20">
        <f t="shared" si="480"/>
        <v>0</v>
      </c>
      <c r="IY60" s="20">
        <f t="shared" si="480"/>
        <v>0</v>
      </c>
      <c r="IZ60" s="20">
        <f t="shared" si="480"/>
        <v>0</v>
      </c>
      <c r="JA60" s="20">
        <f t="shared" si="480"/>
        <v>0</v>
      </c>
      <c r="JB60" s="20">
        <f t="shared" si="480"/>
        <v>0</v>
      </c>
      <c r="JC60" s="20">
        <f t="shared" si="480"/>
        <v>0</v>
      </c>
      <c r="JD60" s="20">
        <f t="shared" si="480"/>
        <v>0</v>
      </c>
      <c r="JE60" s="20">
        <f t="shared" si="480"/>
        <v>0</v>
      </c>
      <c r="JF60" s="20">
        <f t="shared" si="480"/>
        <v>0</v>
      </c>
      <c r="JG60" s="20">
        <f t="shared" si="480"/>
        <v>0</v>
      </c>
      <c r="JH60" s="20">
        <f t="shared" si="480"/>
        <v>0</v>
      </c>
      <c r="JI60" s="20">
        <f t="shared" si="480"/>
        <v>0</v>
      </c>
      <c r="JJ60" s="20">
        <f t="shared" si="480"/>
        <v>0</v>
      </c>
      <c r="JK60" s="20">
        <f t="shared" si="480"/>
        <v>0</v>
      </c>
      <c r="JL60" s="20">
        <f t="shared" si="480"/>
        <v>0</v>
      </c>
      <c r="JM60" s="20">
        <f t="shared" si="480"/>
        <v>0</v>
      </c>
      <c r="JN60" s="20">
        <f t="shared" si="480"/>
        <v>0</v>
      </c>
      <c r="JO60" s="20">
        <f t="shared" si="480"/>
        <v>0</v>
      </c>
      <c r="JP60" s="20">
        <f t="shared" si="480"/>
        <v>0</v>
      </c>
      <c r="JQ60" s="20">
        <f t="shared" si="480"/>
        <v>0</v>
      </c>
      <c r="JR60" s="20">
        <f t="shared" si="480"/>
        <v>0</v>
      </c>
      <c r="JS60" s="20">
        <f t="shared" si="480"/>
        <v>0</v>
      </c>
      <c r="JT60" s="20" t="n">
        <f>SUM(JT56:JT59)</f>
        <v>0</v>
      </c>
      <c r="JU60" s="20" t="n">
        <f>SUM(JU56:JU59)</f>
        <v>0</v>
      </c>
      <c r="JV60" s="20" t="n">
        <f>SUM(JV56:JV59)</f>
        <v>0</v>
      </c>
      <c r="JW60" s="20" t="n">
        <f>SUM(JW56:JW59)</f>
        <v>0</v>
      </c>
      <c r="JX60" s="20" t="n">
        <f>SUM(JX56:JX59)</f>
        <v>0</v>
      </c>
      <c r="JZ60" s="263"/>
      <c r="KA60" s="263"/>
      <c r="KB60" s="263"/>
      <c r="KC60" s="263"/>
      <c r="KD60" s="263"/>
      <c r="KE60" s="263"/>
      <c r="KF60" s="263"/>
      <c r="KG60" s="263"/>
      <c r="KH60" s="263"/>
      <c r="KI60" s="263"/>
      <c r="KJ60" s="263"/>
      <c r="KK60" s="263"/>
      <c r="KL60" s="263"/>
      <c r="KM60" s="263"/>
      <c r="KN60" s="263"/>
      <c r="KO60" s="263"/>
      <c r="KP60" s="263"/>
      <c r="KQ60" s="263"/>
      <c r="KR60" s="263"/>
      <c r="KS60" s="263"/>
      <c r="KT60" s="263"/>
      <c r="KU60" s="263"/>
      <c r="KV60" s="263"/>
      <c r="KW60" s="263"/>
      <c r="KX60" s="263"/>
      <c r="KY60" s="263"/>
      <c r="KZ60" s="263"/>
      <c r="LA60" s="263"/>
      <c r="LB60" s="263"/>
      <c r="LC60" s="263"/>
      <c r="LD60" s="263"/>
      <c r="LE60" s="263"/>
      <c r="LF60" s="263"/>
      <c r="LG60" s="263"/>
      <c r="LH60" s="263"/>
      <c r="LI60" s="263"/>
      <c r="LJ60" s="263"/>
      <c r="LK60" s="263"/>
      <c r="LL60" s="263"/>
      <c r="LM60" s="263"/>
      <c r="LN60" s="263"/>
      <c r="LO60" s="263"/>
      <c r="LP60" s="263"/>
      <c r="LQ60" s="263"/>
      <c r="LR60" s="263"/>
      <c r="LS60" s="263"/>
      <c r="LT60" s="263"/>
      <c r="LU60" s="263"/>
      <c r="LV60" s="263"/>
      <c r="LW60" s="263"/>
      <c r="LX60" s="263"/>
      <c r="LY60" s="263"/>
      <c r="LZ60" s="263"/>
      <c r="MA60" s="263"/>
      <c r="MB60" s="263"/>
      <c r="MC60" s="263"/>
      <c r="MD60" s="263"/>
      <c r="ME60" s="263"/>
      <c r="MF60" s="263"/>
      <c r="MG60" s="263"/>
      <c r="MH60" s="263"/>
      <c r="MI60" s="263"/>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c r="NO60" s="263"/>
      <c r="NP60" s="263"/>
      <c r="NQ60" s="263"/>
      <c r="NR60" s="263"/>
      <c r="NS60" s="263"/>
      <c r="NT60" s="263"/>
      <c r="NU60" s="263"/>
      <c r="NV60" s="263"/>
      <c r="NW60" s="263"/>
      <c r="NX60" s="263"/>
      <c r="NY60" s="263"/>
      <c r="NZ60" s="263"/>
      <c r="OA60" s="263"/>
      <c r="OB60" s="263"/>
      <c r="OC60" s="263"/>
      <c r="OD60" s="263"/>
      <c r="OE60" s="263"/>
      <c r="OF60" s="263"/>
      <c r="OG60" s="263"/>
      <c r="OH60" s="263"/>
      <c r="OI60" s="263"/>
      <c r="OJ60" s="263"/>
      <c r="OK60" s="263"/>
      <c r="OL60" s="263"/>
      <c r="OM60" s="263"/>
      <c r="ON60" s="263"/>
      <c r="OO60" s="263"/>
      <c r="OP60" s="263"/>
      <c r="OQ60" s="263"/>
      <c r="OR60" s="263"/>
      <c r="OS60" s="263"/>
      <c r="OT60" s="263"/>
      <c r="OU60" s="263"/>
      <c r="OV60" s="263"/>
      <c r="OW60" s="263"/>
      <c r="OX60" s="263"/>
      <c r="OY60" s="263"/>
      <c r="OZ60" s="263"/>
      <c r="PA60" s="263"/>
      <c r="PB60" s="263"/>
      <c r="PC60" s="263"/>
      <c r="PD60" s="263"/>
      <c r="PE60" s="263"/>
      <c r="PF60" s="263"/>
      <c r="PG60" s="263"/>
      <c r="PH60" s="263"/>
    </row>
    <row r="61">
      <c r="B61" s="431" t="s">
        <v>169</v>
      </c>
      <c r="C61" s="54" t="n">
        <f>PROJECTS!$AP$81</f>
        <v>0.5</v>
      </c>
      <c r="D61" s="38">
        <v>2</v>
      </c>
      <c r="E61" s="266" t="n">
        <f>MAX(EV66:JX66)</f>
        <v>0.09000000000000001</v>
      </c>
      <c r="F61" s="55" t="n">
        <f>I61/Project_Cost_Total</f>
        <v>0.5086913049442029</v>
      </c>
      <c r="G61" s="136"/>
      <c r="H61" s="432" t="n">
        <f>I61/Units_SF_M2</f>
        <v>2720.1169714099756</v>
      </c>
      <c r="I61" s="424" t="n">
        <f>SUM(DEBT!F81:DV81,DEBT!F82:DV82)</f>
        <v>213018833.90950716</v>
      </c>
      <c r="K61" s="450" t="str">
        <f>B65</f>
        <v>Construction Loan</v>
      </c>
      <c r="L61" s="451" t="n">
        <f>IF($D$65=$D$66,SUM(L72:L74)*$EP$61,SUM(L72:L74)*EV88)</f>
        <v>0</v>
      </c>
      <c r="M61" s="451" t="n">
        <f t="shared" ref="M61:BX61" si="481">IF($D$65=$D$66,SUM(M72:M74)*$EP$61,SUM(M72:M74)*EW88)</f>
        <v>0</v>
      </c>
      <c r="N61" s="451">
        <f t="shared" si="481"/>
        <v>0</v>
      </c>
      <c r="O61" s="451">
        <f t="shared" si="481"/>
        <v>0</v>
      </c>
      <c r="P61" s="451">
        <f t="shared" si="481"/>
        <v>0</v>
      </c>
      <c r="Q61" s="451">
        <f t="shared" si="481"/>
        <v>0</v>
      </c>
      <c r="R61" s="451">
        <f t="shared" si="481"/>
        <v>0</v>
      </c>
      <c r="S61" s="451">
        <f t="shared" si="481"/>
        <v>0</v>
      </c>
      <c r="T61" s="451">
        <f t="shared" si="481"/>
        <v>0</v>
      </c>
      <c r="U61" s="451">
        <f t="shared" si="481"/>
        <v>0</v>
      </c>
      <c r="V61" s="451">
        <f t="shared" si="481"/>
        <v>0</v>
      </c>
      <c r="W61" s="451">
        <f t="shared" si="481"/>
        <v>0</v>
      </c>
      <c r="X61" s="451">
        <f t="shared" si="481"/>
        <v>0</v>
      </c>
      <c r="Y61" s="451">
        <f t="shared" si="481"/>
        <v>0</v>
      </c>
      <c r="Z61" s="451">
        <f t="shared" si="481"/>
        <v>0</v>
      </c>
      <c r="AA61" s="451">
        <f t="shared" si="481"/>
        <v>0</v>
      </c>
      <c r="AB61" s="451">
        <f t="shared" si="481"/>
        <v>16462723.177979652</v>
      </c>
      <c r="AC61" s="451">
        <f t="shared" si="481"/>
        <v>21785085.385473285</v>
      </c>
      <c r="AD61" s="451">
        <f t="shared" si="481"/>
        <v>21990476.974151816</v>
      </c>
      <c r="AE61" s="451">
        <f t="shared" si="481"/>
        <v>21610531.772739623</v>
      </c>
      <c r="AF61" s="451">
        <f t="shared" si="481"/>
        <v>20765363.623626832</v>
      </c>
      <c r="AG61" s="451">
        <f t="shared" si="481"/>
        <v>19428611.613568667</v>
      </c>
      <c r="AH61" s="451">
        <f t="shared" si="481"/>
        <v>17698527.037614025</v>
      </c>
      <c r="AI61" s="451">
        <f t="shared" si="481"/>
        <v>15695302.068280537</v>
      </c>
      <c r="AJ61" s="451">
        <f t="shared" si="481"/>
        <v>13547336.693550864</v>
      </c>
      <c r="AK61" s="451">
        <f t="shared" si="481"/>
        <v>11377861.161045333</v>
      </c>
      <c r="AL61" s="451">
        <f t="shared" si="481"/>
        <v>9293807.5188872498</v>
      </c>
      <c r="AM61" s="451">
        <f t="shared" si="481"/>
        <v>7378219.2071394073</v>
      </c>
      <c r="AN61" s="451">
        <f t="shared" si="481"/>
        <v>5058549.9080417389</v>
      </c>
      <c r="AO61" s="451">
        <f t="shared" si="481"/>
        <v>2255947.0727027678</v>
      </c>
      <c r="AP61" s="451">
        <f t="shared" si="481"/>
        <v>1627021.1181430195</v>
      </c>
      <c r="AQ61" s="451">
        <f t="shared" si="481"/>
        <v>1117199.4128259993</v>
      </c>
      <c r="AR61" s="451">
        <f t="shared" si="481"/>
        <v>716714.87348780001</v>
      </c>
      <c r="AS61" s="451">
        <f t="shared" si="481"/>
        <v>411536.54192187515</v>
      </c>
      <c r="AT61" s="451">
        <f t="shared" si="481"/>
        <v>313055.55555555149</v>
      </c>
      <c r="AU61" s="451">
        <f t="shared" si="481"/>
        <v>0</v>
      </c>
      <c r="AV61" s="451">
        <f t="shared" si="481"/>
        <v>0</v>
      </c>
      <c r="AW61" s="451">
        <f t="shared" si="481"/>
        <v>0</v>
      </c>
      <c r="AX61" s="451">
        <f t="shared" si="481"/>
        <v>0</v>
      </c>
      <c r="AY61" s="451">
        <f t="shared" si="481"/>
        <v>0</v>
      </c>
      <c r="AZ61" s="451">
        <f t="shared" si="481"/>
        <v>0</v>
      </c>
      <c r="BA61" s="451">
        <f t="shared" si="481"/>
        <v>0</v>
      </c>
      <c r="BB61" s="451">
        <f t="shared" si="481"/>
        <v>0</v>
      </c>
      <c r="BC61" s="451">
        <f t="shared" si="481"/>
        <v>0</v>
      </c>
      <c r="BD61" s="451">
        <f t="shared" si="481"/>
        <v>0</v>
      </c>
      <c r="BE61" s="451">
        <f t="shared" si="481"/>
        <v>0</v>
      </c>
      <c r="BF61" s="451">
        <f t="shared" si="481"/>
        <v>0</v>
      </c>
      <c r="BG61" s="451">
        <f t="shared" si="481"/>
        <v>0</v>
      </c>
      <c r="BH61" s="451">
        <f t="shared" si="481"/>
        <v>0</v>
      </c>
      <c r="BI61" s="451">
        <f t="shared" si="481"/>
        <v>0</v>
      </c>
      <c r="BJ61" s="451">
        <f t="shared" si="481"/>
        <v>0</v>
      </c>
      <c r="BK61" s="451">
        <f t="shared" si="481"/>
        <v>0</v>
      </c>
      <c r="BL61" s="451">
        <f t="shared" si="481"/>
        <v>0</v>
      </c>
      <c r="BM61" s="451">
        <f t="shared" si="481"/>
        <v>0</v>
      </c>
      <c r="BN61" s="451">
        <f t="shared" si="481"/>
        <v>0</v>
      </c>
      <c r="BO61" s="451">
        <f t="shared" si="481"/>
        <v>0</v>
      </c>
      <c r="BP61" s="451">
        <f t="shared" si="481"/>
        <v>0</v>
      </c>
      <c r="BQ61" s="451">
        <f t="shared" si="481"/>
        <v>0</v>
      </c>
      <c r="BR61" s="451">
        <f t="shared" si="481"/>
        <v>0</v>
      </c>
      <c r="BS61" s="451">
        <f t="shared" si="481"/>
        <v>0</v>
      </c>
      <c r="BT61" s="451">
        <f t="shared" si="481"/>
        <v>0</v>
      </c>
      <c r="BU61" s="451">
        <f t="shared" si="481"/>
        <v>0</v>
      </c>
      <c r="BV61" s="451">
        <f t="shared" si="481"/>
        <v>0</v>
      </c>
      <c r="BW61" s="451">
        <f t="shared" si="481"/>
        <v>0</v>
      </c>
      <c r="BX61" s="451">
        <f t="shared" si="481"/>
        <v>0</v>
      </c>
      <c r="BY61" s="451" t="n">
        <f t="shared" ref="BY61:EJ61" si="482">IF($D$65=$D$66,SUM(BY72:BY74)*$EP$61,SUM(BY72:BY74)*HI88)</f>
        <v>0</v>
      </c>
      <c r="BZ61" s="451">
        <f t="shared" si="482"/>
        <v>0</v>
      </c>
      <c r="CA61" s="451">
        <f t="shared" si="482"/>
        <v>0</v>
      </c>
      <c r="CB61" s="451">
        <f t="shared" si="482"/>
        <v>0</v>
      </c>
      <c r="CC61" s="451">
        <f t="shared" si="482"/>
        <v>0</v>
      </c>
      <c r="CD61" s="451">
        <f t="shared" si="482"/>
        <v>0</v>
      </c>
      <c r="CE61" s="451">
        <f t="shared" si="482"/>
        <v>0</v>
      </c>
      <c r="CF61" s="451">
        <f t="shared" si="482"/>
        <v>0</v>
      </c>
      <c r="CG61" s="451">
        <f t="shared" si="482"/>
        <v>0</v>
      </c>
      <c r="CH61" s="451">
        <f t="shared" si="482"/>
        <v>0</v>
      </c>
      <c r="CI61" s="451">
        <f t="shared" si="482"/>
        <v>0</v>
      </c>
      <c r="CJ61" s="451">
        <f t="shared" si="482"/>
        <v>0</v>
      </c>
      <c r="CK61" s="451">
        <f t="shared" si="482"/>
        <v>0</v>
      </c>
      <c r="CL61" s="451">
        <f t="shared" si="482"/>
        <v>0</v>
      </c>
      <c r="CM61" s="451">
        <f t="shared" si="482"/>
        <v>0</v>
      </c>
      <c r="CN61" s="451">
        <f t="shared" si="482"/>
        <v>0</v>
      </c>
      <c r="CO61" s="451">
        <f t="shared" si="482"/>
        <v>0</v>
      </c>
      <c r="CP61" s="451">
        <f t="shared" si="482"/>
        <v>0</v>
      </c>
      <c r="CQ61" s="451">
        <f t="shared" si="482"/>
        <v>0</v>
      </c>
      <c r="CR61" s="451">
        <f t="shared" si="482"/>
        <v>0</v>
      </c>
      <c r="CS61" s="451">
        <f t="shared" si="482"/>
        <v>0</v>
      </c>
      <c r="CT61" s="451">
        <f t="shared" si="482"/>
        <v>0</v>
      </c>
      <c r="CU61" s="451">
        <f t="shared" si="482"/>
        <v>0</v>
      </c>
      <c r="CV61" s="451">
        <f t="shared" si="482"/>
        <v>0</v>
      </c>
      <c r="CW61" s="451">
        <f t="shared" si="482"/>
        <v>0</v>
      </c>
      <c r="CX61" s="451">
        <f t="shared" si="482"/>
        <v>0</v>
      </c>
      <c r="CY61" s="451">
        <f t="shared" si="482"/>
        <v>0</v>
      </c>
      <c r="CZ61" s="451">
        <f t="shared" si="482"/>
        <v>0</v>
      </c>
      <c r="DA61" s="451">
        <f t="shared" si="482"/>
        <v>0</v>
      </c>
      <c r="DB61" s="451">
        <f t="shared" si="482"/>
        <v>0</v>
      </c>
      <c r="DC61" s="451">
        <f t="shared" si="482"/>
        <v>0</v>
      </c>
      <c r="DD61" s="451">
        <f t="shared" si="482"/>
        <v>0</v>
      </c>
      <c r="DE61" s="451">
        <f t="shared" si="482"/>
        <v>0</v>
      </c>
      <c r="DF61" s="451">
        <f t="shared" si="482"/>
        <v>0</v>
      </c>
      <c r="DG61" s="451">
        <f t="shared" si="482"/>
        <v>0</v>
      </c>
      <c r="DH61" s="451">
        <f t="shared" si="482"/>
        <v>0</v>
      </c>
      <c r="DI61" s="451">
        <f t="shared" si="482"/>
        <v>0</v>
      </c>
      <c r="DJ61" s="451">
        <f t="shared" si="482"/>
        <v>0</v>
      </c>
      <c r="DK61" s="451">
        <f t="shared" si="482"/>
        <v>0</v>
      </c>
      <c r="DL61" s="451">
        <f t="shared" si="482"/>
        <v>0</v>
      </c>
      <c r="DM61" s="451">
        <f t="shared" si="482"/>
        <v>0</v>
      </c>
      <c r="DN61" s="451">
        <f t="shared" si="482"/>
        <v>0</v>
      </c>
      <c r="DO61" s="451">
        <f t="shared" si="482"/>
        <v>0</v>
      </c>
      <c r="DP61" s="451">
        <f t="shared" si="482"/>
        <v>0</v>
      </c>
      <c r="DQ61" s="451">
        <f t="shared" si="482"/>
        <v>0</v>
      </c>
      <c r="DR61" s="451">
        <f t="shared" si="482"/>
        <v>0</v>
      </c>
      <c r="DS61" s="451">
        <f t="shared" si="482"/>
        <v>0</v>
      </c>
      <c r="DT61" s="451">
        <f t="shared" si="482"/>
        <v>0</v>
      </c>
      <c r="DU61" s="451">
        <f t="shared" si="482"/>
        <v>0</v>
      </c>
      <c r="DV61" s="451">
        <f t="shared" si="482"/>
        <v>0</v>
      </c>
      <c r="DW61" s="451">
        <f t="shared" si="482"/>
        <v>0</v>
      </c>
      <c r="DX61" s="451">
        <f t="shared" si="482"/>
        <v>0</v>
      </c>
      <c r="DY61" s="451">
        <f t="shared" si="482"/>
        <v>0</v>
      </c>
      <c r="DZ61" s="451">
        <f t="shared" si="482"/>
        <v>0</v>
      </c>
      <c r="EA61" s="451">
        <f t="shared" si="482"/>
        <v>0</v>
      </c>
      <c r="EB61" s="451">
        <f t="shared" si="482"/>
        <v>0</v>
      </c>
      <c r="EC61" s="451">
        <f t="shared" si="482"/>
        <v>0</v>
      </c>
      <c r="ED61" s="451">
        <f t="shared" si="482"/>
        <v>0</v>
      </c>
      <c r="EE61" s="451">
        <f t="shared" si="482"/>
        <v>0</v>
      </c>
      <c r="EF61" s="451">
        <f t="shared" si="482"/>
        <v>0</v>
      </c>
      <c r="EG61" s="451">
        <f t="shared" si="482"/>
        <v>0</v>
      </c>
      <c r="EH61" s="451">
        <f t="shared" si="482"/>
        <v>0</v>
      </c>
      <c r="EI61" s="451">
        <f t="shared" si="482"/>
        <v>0</v>
      </c>
      <c r="EJ61" s="451">
        <f t="shared" si="482"/>
        <v>0</v>
      </c>
      <c r="EK61" s="451" t="n">
        <f t="shared" ref="EK61:EN61" si="483">IF($D$65=$D$66,SUM(EK72:EK74)*$EP$61,SUM(EK72:EK74)*JU88)</f>
        <v>0</v>
      </c>
      <c r="EL61" s="451">
        <f t="shared" si="483"/>
        <v>0</v>
      </c>
      <c r="EM61" s="451">
        <f t="shared" si="483"/>
        <v>0</v>
      </c>
      <c r="EN61" s="451">
        <f t="shared" si="483"/>
        <v>0</v>
      </c>
      <c r="EO61" s="76"/>
      <c r="EP61" s="267" t="n">
        <f>C65/Debt_LTC_Target</f>
        <v>1</v>
      </c>
      <c r="EQ61" s="18"/>
      <c r="ER61" s="18"/>
      <c r="ES61" s="18"/>
      <c r="ET61" s="21" t="s">
        <v>170</v>
      </c>
      <c r="EU61" s="21" t="n">
        <f>SUM(EV61:JX61)</f>
        <v>69621442.15219094</v>
      </c>
      <c r="EV61" s="21"/>
      <c r="EW61" s="21" t="n">
        <f>IF(Perm_Debt?,(M3&lt;=PermDebt_Fund)*SUM($EV57:EV59)*EW66/12,(M3&lt;=Timing_Analysis_End_Month)*SUM($EV57:EV59)*EW66/12)</f>
        <v>0</v>
      </c>
      <c r="EX61" s="21" t="n">
        <f>IF(Perm_Debt?,(N3&lt;=PermDebt_Fund)*SUM($EV57:EW59)*EX66/12,(N3&lt;=Timing_Analysis_End_Month)*SUM($EV57:EW59)*EX66/12)</f>
        <v>0</v>
      </c>
      <c r="EY61" s="21" t="n">
        <f>IF(Perm_Debt?,(O3&lt;=PermDebt_Fund)*SUM($EV57:EX59)*EY66/12,(O3&lt;=Timing_Analysis_End_Month)*SUM($EV57:EX59)*EY66/12)</f>
        <v>0</v>
      </c>
      <c r="EZ61" s="21" t="n">
        <f>IF(Perm_Debt?,(P3&lt;=PermDebt_Fund)*SUM($EV57:EY59)*EZ66/12,(P3&lt;=Timing_Analysis_End_Month)*SUM($EV57:EY59)*EZ66/12)</f>
        <v>0</v>
      </c>
      <c r="FA61" s="21" t="n">
        <f>IF(Perm_Debt?,(Q3&lt;=PermDebt_Fund)*SUM($EV57:EZ59)*FA66/12,(Q3&lt;=Timing_Analysis_End_Month)*SUM($EV57:EZ59)*FA66/12)</f>
        <v>0</v>
      </c>
      <c r="FB61" s="21" t="n">
        <f>IF(Perm_Debt?,(R3&lt;=PermDebt_Fund)*SUM($EV57:FA59)*FB66/12,(R3&lt;=Timing_Analysis_End_Month)*SUM($EV57:FA59)*FB66/12)</f>
        <v>857.5416722692917</v>
      </c>
      <c r="FC61" s="21" t="n">
        <f>IF(Perm_Debt?,(S3&lt;=PermDebt_Fund)*SUM($EV57:FB59)*FC66/12,(S3&lt;=Timing_Analysis_End_Month)*SUM($EV57:FB59)*FC66/12)</f>
        <v>863.9732348113113</v>
      </c>
      <c r="FD61" s="21" t="n">
        <f>IF(Perm_Debt?,(T3&lt;=PermDebt_Fund)*SUM($EV57:FC59)*FD66/12,(T3&lt;=Timing_Analysis_End_Month)*SUM($EV57:FC59)*FD66/12)</f>
        <v>870.4530340723962</v>
      </c>
      <c r="FE61" s="21" t="n">
        <f>IF(Perm_Debt?,(U3&lt;=PermDebt_Fund)*SUM($EV57:FD59)*FE66/12,(U3&lt;=Timing_Analysis_End_Month)*SUM($EV57:FD59)*FE66/12)</f>
        <v>876.9814318279391</v>
      </c>
      <c r="FF61" s="21" t="n">
        <f>IF(Perm_Debt?,(V3&lt;=PermDebt_Fund)*SUM($EV57:FE59)*FF66/12,(V3&lt;=Timing_Analysis_End_Month)*SUM($EV57:FE59)*FF66/12)</f>
        <v>883.5587925666487</v>
      </c>
      <c r="FG61" s="21" t="n">
        <f>IF(Perm_Debt?,(W3&lt;=PermDebt_Fund)*SUM($EV57:FF59)*FG66/12,(W3&lt;=Timing_Analysis_End_Month)*SUM($EV57:FF59)*FG66/12)</f>
        <v>890.1854835108985</v>
      </c>
      <c r="FH61" s="21" t="n">
        <f>IF(Perm_Debt?,(X3&lt;=PermDebt_Fund)*SUM($EV57:FG59)*FH66/12,(X3&lt;=Timing_Analysis_End_Month)*SUM($EV57:FG59)*FH66/12)</f>
        <v>896.8618746372304</v>
      </c>
      <c r="FI61" s="21" t="n">
        <f>IF(Perm_Debt?,(Y3&lt;=PermDebt_Fund)*SUM($EV57:FH59)*FI66/12,(Y3&lt;=Timing_Analysis_End_Month)*SUM($EV57:FH59)*FI66/12)</f>
        <v>903.5883386970096</v>
      </c>
      <c r="FJ61" s="21" t="n">
        <f>IF(Perm_Debt?,(Z3&lt;=PermDebt_Fund)*SUM($EV57:FI59)*FJ66/12,(Z3&lt;=Timing_Analysis_End_Month)*SUM($EV57:FI59)*FJ66/12)</f>
        <v>910.3652512372372</v>
      </c>
      <c r="FK61" s="21" t="n">
        <f>IF(Perm_Debt?,(AA3&lt;=PermDebt_Fund)*SUM($EV57:FJ59)*FK66/12,(AA3&lt;=Timing_Analysis_End_Month)*SUM($EV57:FJ59)*FK66/12)</f>
        <v>917.1929906215164</v>
      </c>
      <c r="FL61" s="21" t="n">
        <f>IF(Perm_Debt?,(AB3&lt;=PermDebt_Fund)*SUM($EV57:FK59)*FL66/12,(AB3&lt;=Timing_Analysis_End_Month)*SUM($EV57:FK59)*FL66/12)</f>
        <v>924.0719380511778</v>
      </c>
      <c r="FM61" s="21" t="n">
        <f>IF(Perm_Debt?,(AC3&lt;=PermDebt_Fund)*SUM($EV57:FL59)*FM66/12,(AC3&lt;=Timing_Analysis_End_Month)*SUM($EV57:FL59)*FM66/12)</f>
        <v>72031.80627067357</v>
      </c>
      <c r="FN61" s="21" t="n">
        <f>IF(Perm_Debt?,(AD3&lt;=PermDebt_Fund)*SUM($EV57:FM59)*FN66/12,(AD3&lt;=Timing_Analysis_End_Month)*SUM($EV57:FM59)*FN66/12)</f>
        <v>232303.11644658397</v>
      </c>
      <c r="FO61" s="21" t="n">
        <f>IF(Perm_Debt?,(AE3&lt;=PermDebt_Fund)*SUM($EV57:FN59)*FO66/12,(AE3&lt;=Timing_Analysis_End_Month)*SUM($EV57:FN59)*FO66/12)</f>
        <v>395945.43193133594</v>
      </c>
      <c r="FP61" s="21" t="n">
        <f>IF(Perm_Debt?,(AF3&lt;=PermDebt_Fund)*SUM($EV57:FO59)*FP66/12,(AF3&lt;=Timing_Analysis_End_Month)*SUM($EV57:FO59)*FP66/12)</f>
        <v>558646.0942997016</v>
      </c>
      <c r="FQ61" s="21" t="n">
        <f>IF(Perm_Debt?,(AG3&lt;=PermDebt_Fund)*SUM($EV57:FP59)*FQ66/12,(AG3&lt;=Timing_Analysis_End_Month)*SUM($EV57:FP59)*FQ66/12)</f>
        <v>716228.2505174839</v>
      </c>
      <c r="FR61" s="21" t="n">
        <f>IF(Perm_Debt?,(AH3&lt;=PermDebt_Fund)*SUM($EV57:FQ59)*FR66/12,(AH3&lt;=Timing_Analysis_End_Month)*SUM($EV57:FQ59)*FR66/12)</f>
        <v>864966.6328314635</v>
      </c>
      <c r="FS61" s="21" t="n">
        <f>IF(Perm_Debt?,(AI3&lt;=PermDebt_Fund)*SUM($EV57:FR59)*FS66/12,(AI3&lt;=Timing_Analysis_End_Month)*SUM($EV57:FR59)*FS66/12)</f>
        <v>1001844.9186931379</v>
      </c>
      <c r="FT61" s="21" t="n">
        <f>IF(Perm_Debt?,(AJ3&lt;=PermDebt_Fund)*SUM($EV57:FS59)*FT66/12,(AJ3&lt;=Timing_Analysis_End_Month)*SUM($EV57:FS59)*FT66/12)</f>
        <v>1124725.6044287735</v>
      </c>
      <c r="FU61" s="21" t="n">
        <f>IF(Perm_Debt?,(AK3&lt;=PermDebt_Fund)*SUM($EV57:FT59)*FU66/12,(AK3&lt;=Timing_Analysis_End_Month)*SUM($EV57:FT59)*FU66/12)</f>
        <v>1232418.1549969541</v>
      </c>
      <c r="FV61" s="21" t="n">
        <f>IF(Perm_Debt?,(AL3&lt;=PermDebt_Fund)*SUM($EV57:FU59)*FV66/12,(AL3&lt;=Timing_Analysis_End_Month)*SUM($EV57:FU59)*FV66/12)</f>
        <v>1324647.333200605</v>
      </c>
      <c r="FW61" s="21" t="n">
        <f>IF(Perm_Debt?,(AM3&lt;=PermDebt_Fund)*SUM($EV57:FV59)*FW66/12,(AM3&lt;=Timing_Analysis_End_Month)*SUM($EV57:FV59)*FW66/12)</f>
        <v>1401937.827924597</v>
      </c>
      <c r="FX61" s="21" t="n">
        <f>IF(Perm_Debt?,(AN3&lt;=PermDebt_Fund)*SUM($EV57:FW59)*FX66/12,(AN3&lt;=Timing_Analysis_End_Month)*SUM($EV57:FW59)*FX66/12)</f>
        <v>1465441.0890209107</v>
      </c>
      <c r="FY61" s="21" t="n">
        <f>IF(Perm_Debt?,(AO3&lt;=PermDebt_Fund)*SUM($EV57:FX59)*FY66/12,(AO3&lt;=Timing_Analysis_End_Month)*SUM($EV57:FX59)*FY66/12)</f>
        <v>1516734.379120159</v>
      </c>
      <c r="FZ61" s="21" t="n">
        <f>IF(Perm_Debt?,(AP3&lt;=PermDebt_Fund)*SUM($EV57:FY59)*FZ66/12,(AP3&lt;=Timing_Analysis_End_Month)*SUM($EV57:FY59)*FZ66/12)</f>
        <v>1557620.5878071587</v>
      </c>
      <c r="GA61" s="21" t="n">
        <f>IF(Perm_Debt?,(AQ3&lt;=PermDebt_Fund)*SUM($EV57:FZ59)*GA66/12,(AQ3&lt;=Timing_Analysis_End_Month)*SUM($EV57:FZ59)*GA66/12)</f>
        <v>1589951.574740933</v>
      </c>
      <c r="GB61" s="21" t="n">
        <f>IF(Perm_Debt?,(AR3&lt;=PermDebt_Fund)*SUM($EV57:GA59)*GB66/12,(AR3&lt;=Timing_Analysis_End_Month)*SUM($EV57:GA59)*GB66/12)</f>
        <v>1615489.6188388604</v>
      </c>
      <c r="GC61" s="21" t="n">
        <f>IF(Perm_Debt?,(AS3&lt;=PermDebt_Fund)*SUM($EV57:GB59)*GC66/12,(AS3&lt;=Timing_Analysis_End_Month)*SUM($EV57:GB59)*GC66/12)</f>
        <v>1635812.9471134718</v>
      </c>
      <c r="GD61" s="21" t="n">
        <f>IF(Perm_Debt?,(AT3&lt;=PermDebt_Fund)*SUM($EV57:GC59)*GD66/12,(AT3&lt;=Timing_Analysis_End_Month)*SUM($EV57:GC59)*GD66/12)</f>
        <v>1652263.924122947</v>
      </c>
      <c r="GE61" s="21" t="n">
        <f>IF(Perm_Debt?,(AU3&lt;=PermDebt_Fund)*SUM($EV57:GD59)*GE66/12,(AU3&lt;=Timing_Analysis_End_Month)*SUM($EV57:GD59)*GE66/12)</f>
        <v>1665933.2853540105</v>
      </c>
      <c r="GF61" s="21" t="n">
        <f>IF(Perm_Debt?,(AV3&lt;=PermDebt_Fund)*SUM($EV57:GE59)*GF66/12,(AV3&lt;=Timing_Analysis_End_Month)*SUM($EV57:GE59)*GF66/12)</f>
        <v>1678427.7849941654</v>
      </c>
      <c r="GG61" s="21" t="n">
        <f>IF(Perm_Debt?,(AW3&lt;=PermDebt_Fund)*SUM($EV57:GF59)*GG66/12,(AW3&lt;=Timing_Analysis_End_Month)*SUM($EV57:GF59)*GG66/12)</f>
        <v>1691015.9933816215</v>
      </c>
      <c r="GH61" s="21" t="n">
        <f>IF(Perm_Debt?,(AX3&lt;=PermDebt_Fund)*SUM($EV57:GG59)*GH66/12,(AX3&lt;=Timing_Analysis_End_Month)*SUM($EV57:GG59)*GH66/12)</f>
        <v>1703698.6133319838</v>
      </c>
      <c r="GI61" s="21" t="n">
        <f>IF(Perm_Debt?,(AY3&lt;=PermDebt_Fund)*SUM($EV57:GH59)*GI66/12,(AY3&lt;=Timing_Analysis_End_Month)*SUM($EV57:GH59)*GI66/12)</f>
        <v>1716476.3529319735</v>
      </c>
      <c r="GJ61" s="21" t="n">
        <f>IF(Perm_Debt?,(AZ3&lt;=PermDebt_Fund)*SUM($EV57:GI59)*GJ66/12,(AZ3&lt;=Timing_Analysis_End_Month)*SUM($EV57:GI59)*GJ66/12)</f>
        <v>1729349.9255789632</v>
      </c>
      <c r="GK61" s="21" t="n">
        <f>IF(Perm_Debt?,(BA3&lt;=PermDebt_Fund)*SUM($EV57:GJ59)*GK66/12,(BA3&lt;=Timing_Analysis_End_Month)*SUM($EV57:GJ59)*GK66/12)</f>
        <v>1742320.0500208056</v>
      </c>
      <c r="GL61" s="21" t="n">
        <f>IF(Perm_Debt?,(BB3&lt;=PermDebt_Fund)*SUM($EV57:GK59)*GL66/12,(BB3&lt;=Timing_Analysis_End_Month)*SUM($EV57:GK59)*GL66/12)</f>
        <v>1755387.4503959615</v>
      </c>
      <c r="GM61" s="21" t="n">
        <f>IF(Perm_Debt?,(BC3&lt;=PermDebt_Fund)*SUM($EV57:GL59)*GM66/12,(BC3&lt;=Timing_Analysis_End_Month)*SUM($EV57:GL59)*GM66/12)</f>
        <v>1768552.8562739315</v>
      </c>
      <c r="GN61" s="21" t="n">
        <f>IF(Perm_Debt?,(BD3&lt;=PermDebt_Fund)*SUM($EV57:GM59)*GN66/12,(BD3&lt;=Timing_Analysis_End_Month)*SUM($EV57:GM59)*GN66/12)</f>
        <v>1781817.0026959858</v>
      </c>
      <c r="GO61" s="21" t="n">
        <f>IF(Perm_Debt?,(BE3&lt;=PermDebt_Fund)*SUM($EV57:GN59)*GO66/12,(BE3&lt;=Timing_Analysis_End_Month)*SUM($EV57:GN59)*GO66/12)</f>
        <v>1795180.6302162057</v>
      </c>
      <c r="GP61" s="21" t="n">
        <f>IF(Perm_Debt?,(BF3&lt;=PermDebt_Fund)*SUM($EV57:GO59)*GP66/12,(BF3&lt;=Timing_Analysis_End_Month)*SUM($EV57:GO59)*GP66/12)</f>
        <v>1808644.4849428274</v>
      </c>
      <c r="GQ61" s="21" t="n">
        <f>IF(Perm_Debt?,(BG3&lt;=PermDebt_Fund)*SUM($EV57:GP59)*GQ66/12,(BG3&lt;=Timing_Analysis_End_Month)*SUM($EV57:GP59)*GQ66/12)</f>
        <v>1822209.3185798984</v>
      </c>
      <c r="GR61" s="21" t="n">
        <f>IF(Perm_Debt?,(BH3&lt;=PermDebt_Fund)*SUM($EV57:GQ59)*GR66/12,(BH3&lt;=Timing_Analysis_End_Month)*SUM($EV57:GQ59)*GR66/12)</f>
        <v>1835875.8884692478</v>
      </c>
      <c r="GS61" s="21" t="n">
        <f>IF(Perm_Debt?,(BI3&lt;=PermDebt_Fund)*SUM($EV57:GR59)*GS66/12,(BI3&lt;=Timing_Analysis_End_Month)*SUM($EV57:GR59)*GS66/12)</f>
        <v>1849644.957632767</v>
      </c>
      <c r="GT61" s="21" t="n">
        <f>IF(Perm_Debt?,(BJ3&lt;=PermDebt_Fund)*SUM($EV57:GS59)*GT66/12,(BJ3&lt;=Timing_Analysis_End_Month)*SUM($EV57:GS59)*GT66/12)</f>
        <v>1863517.2948150132</v>
      </c>
      <c r="GU61" s="21" t="n">
        <f>IF(Perm_Debt?,(BK3&lt;=PermDebt_Fund)*SUM($EV57:GT59)*GU66/12,(BK3&lt;=Timing_Analysis_End_Month)*SUM($EV57:GT59)*GU66/12)</f>
        <v>1877493.6745261254</v>
      </c>
      <c r="GV61" s="21" t="n">
        <f>IF(Perm_Debt?,(BL3&lt;=PermDebt_Fund)*SUM($EV57:GU59)*GV66/12,(BL3&lt;=Timing_Analysis_End_Month)*SUM($EV57:GU59)*GV66/12)</f>
        <v>1891574.8770850713</v>
      </c>
      <c r="GW61" s="21" t="n">
        <f>IF(Perm_Debt?,(BM3&lt;=PermDebt_Fund)*SUM($EV57:GV59)*GW66/12,(BM3&lt;=Timing_Analysis_End_Month)*SUM($EV57:GV59)*GW66/12)</f>
        <v>1905761.6886632096</v>
      </c>
      <c r="GX61" s="21" t="n">
        <f>IF(Perm_Debt?,(BN3&lt;=PermDebt_Fund)*SUM($EV57:GW59)*GX66/12,(BN3&lt;=Timing_Analysis_End_Month)*SUM($EV57:GW59)*GX66/12)</f>
        <v>1920054.9013281837</v>
      </c>
      <c r="GY61" s="21" t="n">
        <f>IF(Perm_Debt?,(BO3&lt;=PermDebt_Fund)*SUM($EV57:GX59)*GY66/12,(BO3&lt;=Timing_Analysis_End_Month)*SUM($EV57:GX59)*GY66/12)</f>
        <v>1934455.3130881449</v>
      </c>
      <c r="GZ61" s="21" t="n">
        <f>IF(Perm_Debt?,(BP3&lt;=PermDebt_Fund)*SUM($EV57:GY59)*GZ66/12,(BP3&lt;=Timing_Analysis_End_Month)*SUM($EV57:GY59)*GZ66/12)</f>
        <v>1948963.727936306</v>
      </c>
      <c r="HA61" s="21" t="n">
        <f>IF(Perm_Debt?,(BQ3&lt;=PermDebt_Fund)*SUM($EV57:GZ59)*HA66/12,(BQ3&lt;=Timing_Analysis_End_Month)*SUM($EV57:GZ59)*HA66/12)</f>
        <v>1963580.955895828</v>
      </c>
      <c r="HB61" s="21" t="n">
        <f>IF(Perm_Debt?,(BR3&lt;=PermDebt_Fund)*SUM($EV57:HA59)*HB66/12,(BR3&lt;=Timing_Analysis_End_Month)*SUM($EV57:HA59)*HB66/12)</f>
        <v>1978307.8130650471</v>
      </c>
      <c r="HC61" s="21" t="n">
        <f>IF(Perm_Debt?,(BS3&lt;=PermDebt_Fund)*SUM($EV57:HB59)*HC66/12,(BS3&lt;=Timing_Analysis_End_Month)*SUM($EV57:HB59)*HC66/12)</f>
        <v>1993145.121663035</v>
      </c>
      <c r="HD61" s="21" t="n">
        <f>IF(Perm_Debt?,(BT3&lt;=PermDebt_Fund)*SUM($EV57:HC59)*HD66/12,(BT3&lt;=Timing_Analysis_End_Month)*SUM($EV57:HC59)*HD66/12)</f>
        <v>2008093.7100755076</v>
      </c>
      <c r="HE61" s="21" t="n">
        <f>IF(Perm_Debt?,(BU3&lt;=PermDebt_Fund)*SUM($EV57:HD59)*HE66/12,(BU3&lt;=Timing_Analysis_End_Month)*SUM($EV57:HD59)*HE66/12)</f>
        <v>2023154.4129010744</v>
      </c>
      <c r="HF61" s="21" t="n">
        <f>IF(Perm_Debt?,(BV3&lt;=PermDebt_Fund)*SUM($EV57:HE59)*HF66/12,(BV3&lt;=Timing_Analysis_End_Month)*SUM($EV57:HE59)*HF66/12)</f>
        <v>0</v>
      </c>
      <c r="HG61" s="21" t="n">
        <f>IF(Perm_Debt?,(BW3&lt;=PermDebt_Fund)*SUM($EV57:HF59)*HG66/12,(BW3&lt;=Timing_Analysis_End_Month)*SUM($EV57:HF59)*HG66/12)</f>
        <v>0</v>
      </c>
      <c r="HH61" s="21" t="n">
        <f>IF(Perm_Debt?,(BX3&lt;=PermDebt_Fund)*SUM($EV57:HG59)*HH66/12,(BX3&lt;=Timing_Analysis_End_Month)*SUM($EV57:HG59)*HH66/12)</f>
        <v>0</v>
      </c>
      <c r="HI61" s="21" t="n">
        <f>IF(Perm_Debt?,(BY3&lt;=PermDebt_Fund)*SUM($EV57:HH59)*HI66/12,(BY3&lt;=Timing_Analysis_End_Month)*SUM($EV57:HH59)*HI66/12)</f>
        <v>0</v>
      </c>
      <c r="HJ61" s="21" t="n">
        <f>IF(Perm_Debt?,(BZ3&lt;=PermDebt_Fund)*SUM($EV57:HI59)*HJ66/12,(BZ3&lt;=Timing_Analysis_End_Month)*SUM($EV57:HI59)*HJ66/12)</f>
        <v>0</v>
      </c>
      <c r="HK61" s="21" t="n">
        <f>IF(Perm_Debt?,(CA3&lt;=PermDebt_Fund)*SUM($EV57:HJ59)*HK66/12,(CA3&lt;=Timing_Analysis_End_Month)*SUM($EV57:HJ59)*HK66/12)</f>
        <v>0</v>
      </c>
      <c r="HL61" s="21" t="n">
        <f>IF(Perm_Debt?,(CB3&lt;=PermDebt_Fund)*SUM($EV57:HK59)*HL66/12,(CB3&lt;=Timing_Analysis_End_Month)*SUM($EV57:HK59)*HL66/12)</f>
        <v>0</v>
      </c>
      <c r="HM61" s="21" t="n">
        <f>IF(Perm_Debt?,(CC3&lt;=PermDebt_Fund)*SUM($EV57:HL59)*HM66/12,(CC3&lt;=Timing_Analysis_End_Month)*SUM($EV57:HL59)*HM66/12)</f>
        <v>0</v>
      </c>
      <c r="HN61" s="21" t="n">
        <f>IF(Perm_Debt?,(CD3&lt;=PermDebt_Fund)*SUM($EV57:HM59)*HN66/12,(CD3&lt;=Timing_Analysis_End_Month)*SUM($EV57:HM59)*HN66/12)</f>
        <v>0</v>
      </c>
      <c r="HO61" s="21" t="n">
        <f>IF(Perm_Debt?,(CE3&lt;=PermDebt_Fund)*SUM($EV57:HN59)*HO66/12,(CE3&lt;=Timing_Analysis_End_Month)*SUM($EV57:HN59)*HO66/12)</f>
        <v>0</v>
      </c>
      <c r="HP61" s="21" t="n">
        <f>IF(Perm_Debt?,(CF3&lt;=PermDebt_Fund)*SUM($EV57:HO59)*HP66/12,(CF3&lt;=Timing_Analysis_End_Month)*SUM($EV57:HO59)*HP66/12)</f>
        <v>0</v>
      </c>
      <c r="HQ61" s="21" t="n">
        <f>IF(Perm_Debt?,(CG3&lt;=PermDebt_Fund)*SUM($EV57:HP59)*HQ66/12,(CG3&lt;=Timing_Analysis_End_Month)*SUM($EV57:HP59)*HQ66/12)</f>
        <v>0</v>
      </c>
      <c r="HR61" s="21" t="n">
        <f>IF(Perm_Debt?,(CH3&lt;=PermDebt_Fund)*SUM($EV57:HQ59)*HR66/12,(CH3&lt;=Timing_Analysis_End_Month)*SUM($EV57:HQ59)*HR66/12)</f>
        <v>0</v>
      </c>
      <c r="HS61" s="21" t="n">
        <f>IF(Perm_Debt?,(CI3&lt;=PermDebt_Fund)*SUM($EV57:HR59)*HS66/12,(CI3&lt;=Timing_Analysis_End_Month)*SUM($EV57:HR59)*HS66/12)</f>
        <v>0</v>
      </c>
      <c r="HT61" s="21" t="n">
        <f>IF(Perm_Debt?,(CJ3&lt;=PermDebt_Fund)*SUM($EV57:HS59)*HT66/12,(CJ3&lt;=Timing_Analysis_End_Month)*SUM($EV57:HS59)*HT66/12)</f>
        <v>0</v>
      </c>
      <c r="HU61" s="21" t="n">
        <f>IF(Perm_Debt?,(CK3&lt;=PermDebt_Fund)*SUM($EV57:HT59)*HU66/12,(CK3&lt;=Timing_Analysis_End_Month)*SUM($EV57:HT59)*HU66/12)</f>
        <v>0</v>
      </c>
      <c r="HV61" s="21" t="n">
        <f>IF(Perm_Debt?,(CL3&lt;=PermDebt_Fund)*SUM($EV57:HU59)*HV66/12,(CL3&lt;=Timing_Analysis_End_Month)*SUM($EV57:HU59)*HV66/12)</f>
        <v>0</v>
      </c>
      <c r="HW61" s="21" t="n">
        <f>IF(Perm_Debt?,(CM3&lt;=PermDebt_Fund)*SUM($EV57:HV59)*HW66/12,(CM3&lt;=Timing_Analysis_End_Month)*SUM($EV57:HV59)*HW66/12)</f>
        <v>0</v>
      </c>
      <c r="HX61" s="21" t="n">
        <f>IF(Perm_Debt?,(CN3&lt;=PermDebt_Fund)*SUM($EV57:HW59)*HX66/12,(CN3&lt;=Timing_Analysis_End_Month)*SUM($EV57:HW59)*HX66/12)</f>
        <v>0</v>
      </c>
      <c r="HY61" s="21" t="n">
        <f>IF(Perm_Debt?,(CO3&lt;=PermDebt_Fund)*SUM($EV57:HX59)*HY66/12,(CO3&lt;=Timing_Analysis_End_Month)*SUM($EV57:HX59)*HY66/12)</f>
        <v>0</v>
      </c>
      <c r="HZ61" s="21" t="n">
        <f>IF(Perm_Debt?,(CP3&lt;=PermDebt_Fund)*SUM($EV57:HY59)*HZ66/12,(CP3&lt;=Timing_Analysis_End_Month)*SUM($EV57:HY59)*HZ66/12)</f>
        <v>0</v>
      </c>
      <c r="IA61" s="21" t="n">
        <f>IF(Perm_Debt?,(CQ3&lt;=PermDebt_Fund)*SUM($EV57:HZ59)*IA66/12,(CQ3&lt;=Timing_Analysis_End_Month)*SUM($EV57:HZ59)*IA66/12)</f>
        <v>0</v>
      </c>
      <c r="IB61" s="21" t="n">
        <f>IF(Perm_Debt?,(CR3&lt;=PermDebt_Fund)*SUM($EV57:IA59)*IB66/12,(CR3&lt;=Timing_Analysis_End_Month)*SUM($EV57:IA59)*IB66/12)</f>
        <v>0</v>
      </c>
      <c r="IC61" s="21" t="n">
        <f>IF(Perm_Debt?,(CS3&lt;=PermDebt_Fund)*SUM($EV57:IB59)*IC66/12,(CS3&lt;=Timing_Analysis_End_Month)*SUM($EV57:IB59)*IC66/12)</f>
        <v>0</v>
      </c>
      <c r="ID61" s="21" t="n">
        <f>IF(Perm_Debt?,(CT3&lt;=PermDebt_Fund)*SUM($EV57:IC59)*ID66/12,(CT3&lt;=Timing_Analysis_End_Month)*SUM($EV57:IC59)*ID66/12)</f>
        <v>0</v>
      </c>
      <c r="IE61" s="21" t="n">
        <f>IF(Perm_Debt?,(CU3&lt;=PermDebt_Fund)*SUM($EV57:ID59)*IE66/12,(CU3&lt;=Timing_Analysis_End_Month)*SUM($EV57:ID59)*IE66/12)</f>
        <v>0</v>
      </c>
      <c r="IF61" s="21" t="n">
        <f>IF(Perm_Debt?,(CV3&lt;=PermDebt_Fund)*SUM($EV57:IE59)*IF66/12,(CV3&lt;=Timing_Analysis_End_Month)*SUM($EV57:IE59)*IF66/12)</f>
        <v>0</v>
      </c>
      <c r="IG61" s="21" t="n">
        <f>IF(Perm_Debt?,(CW3&lt;=PermDebt_Fund)*SUM($EV57:IF59)*IG66/12,(CW3&lt;=Timing_Analysis_End_Month)*SUM($EV57:IF59)*IG66/12)</f>
        <v>0</v>
      </c>
      <c r="IH61" s="21" t="n">
        <f>IF(Perm_Debt?,(CX3&lt;=PermDebt_Fund)*SUM($EV57:IG59)*IH66/12,(CX3&lt;=Timing_Analysis_End_Month)*SUM($EV57:IG59)*IH66/12)</f>
        <v>0</v>
      </c>
      <c r="II61" s="21" t="n">
        <f>IF(Perm_Debt?,(CY3&lt;=PermDebt_Fund)*SUM($EV57:IH59)*II66/12,(CY3&lt;=Timing_Analysis_End_Month)*SUM($EV57:IH59)*II66/12)</f>
        <v>0</v>
      </c>
      <c r="IJ61" s="21" t="n">
        <f>IF(Perm_Debt?,(CZ3&lt;=PermDebt_Fund)*SUM($EV57:II59)*IJ66/12,(CZ3&lt;=Timing_Analysis_End_Month)*SUM($EV57:II59)*IJ66/12)</f>
        <v>0</v>
      </c>
      <c r="IK61" s="21" t="n">
        <f>IF(Perm_Debt?,(DA3&lt;=PermDebt_Fund)*SUM($EV57:IJ59)*IK66/12,(DA3&lt;=Timing_Analysis_End_Month)*SUM($EV57:IJ59)*IK66/12)</f>
        <v>0</v>
      </c>
      <c r="IL61" s="21" t="n">
        <f>IF(Perm_Debt?,(DB3&lt;=PermDebt_Fund)*SUM($EV57:IK59)*IL66/12,(DB3&lt;=Timing_Analysis_End_Month)*SUM($EV57:IK59)*IL66/12)</f>
        <v>0</v>
      </c>
      <c r="IM61" s="21" t="n">
        <f>IF(Perm_Debt?,(DC3&lt;=PermDebt_Fund)*SUM($EV57:IL59)*IM66/12,(DC3&lt;=Timing_Analysis_End_Month)*SUM($EV57:IL59)*IM66/12)</f>
        <v>0</v>
      </c>
      <c r="IN61" s="21" t="n">
        <f>IF(Perm_Debt?,(DD3&lt;=PermDebt_Fund)*SUM($EV57:IM59)*IN66/12,(DD3&lt;=Timing_Analysis_End_Month)*SUM($EV57:IM59)*IN66/12)</f>
        <v>0</v>
      </c>
      <c r="IO61" s="21" t="n">
        <f>IF(Perm_Debt?,(DE3&lt;=PermDebt_Fund)*SUM($EV57:IN59)*IO66/12,(DE3&lt;=Timing_Analysis_End_Month)*SUM($EV57:IN59)*IO66/12)</f>
        <v>0</v>
      </c>
      <c r="IP61" s="21" t="n">
        <f>IF(Perm_Debt?,(DF3&lt;=PermDebt_Fund)*SUM($EV57:IO59)*IP66/12,(DF3&lt;=Timing_Analysis_End_Month)*SUM($EV57:IO59)*IP66/12)</f>
        <v>0</v>
      </c>
      <c r="IQ61" s="21" t="n">
        <f>IF(Perm_Debt?,(DG3&lt;=PermDebt_Fund)*SUM($EV57:IP59)*IQ66/12,(DG3&lt;=Timing_Analysis_End_Month)*SUM($EV57:IP59)*IQ66/12)</f>
        <v>0</v>
      </c>
      <c r="IR61" s="21" t="n">
        <f>IF(Perm_Debt?,(DH3&lt;=PermDebt_Fund)*SUM($EV57:IQ59)*IR66/12,(DH3&lt;=Timing_Analysis_End_Month)*SUM($EV57:IQ59)*IR66/12)</f>
        <v>0</v>
      </c>
      <c r="IS61" s="21" t="n">
        <f>IF(Perm_Debt?,(DI3&lt;=PermDebt_Fund)*SUM($EV57:IR59)*IS66/12,(DI3&lt;=Timing_Analysis_End_Month)*SUM($EV57:IR59)*IS66/12)</f>
        <v>0</v>
      </c>
      <c r="IT61" s="21" t="n">
        <f>IF(Perm_Debt?,(DJ3&lt;=PermDebt_Fund)*SUM($EV57:IS59)*IT66/12,(DJ3&lt;=Timing_Analysis_End_Month)*SUM($EV57:IS59)*IT66/12)</f>
        <v>0</v>
      </c>
      <c r="IU61" s="21" t="n">
        <f>IF(Perm_Debt?,(DK3&lt;=PermDebt_Fund)*SUM($EV57:IT59)*IU66/12,(DK3&lt;=Timing_Analysis_End_Month)*SUM($EV57:IT59)*IU66/12)</f>
        <v>0</v>
      </c>
      <c r="IV61" s="21" t="n">
        <f>IF(Perm_Debt?,(DL3&lt;=PermDebt_Fund)*SUM($EV57:IU59)*IV66/12,(DL3&lt;=Timing_Analysis_End_Month)*SUM($EV57:IU59)*IV66/12)</f>
        <v>0</v>
      </c>
      <c r="IW61" s="21" t="n">
        <f>IF(Perm_Debt?,(DM3&lt;=PermDebt_Fund)*SUM($EV57:IV59)*IW66/12,(DM3&lt;=Timing_Analysis_End_Month)*SUM($EV57:IV59)*IW66/12)</f>
        <v>0</v>
      </c>
      <c r="IX61" s="21" t="n">
        <f>IF(Perm_Debt?,(DN3&lt;=PermDebt_Fund)*SUM($EV57:IW59)*IX66/12,(DN3&lt;=Timing_Analysis_End_Month)*SUM($EV57:IW59)*IX66/12)</f>
        <v>0</v>
      </c>
      <c r="IY61" s="21" t="n">
        <f>IF(Perm_Debt?,(DO3&lt;=PermDebt_Fund)*SUM($EV57:IX59)*IY66/12,(DO3&lt;=Timing_Analysis_End_Month)*SUM($EV57:IX59)*IY66/12)</f>
        <v>0</v>
      </c>
      <c r="IZ61" s="21" t="n">
        <f>IF(Perm_Debt?,(DP3&lt;=PermDebt_Fund)*SUM($EV57:IY59)*IZ66/12,(DP3&lt;=Timing_Analysis_End_Month)*SUM($EV57:IY59)*IZ66/12)</f>
        <v>0</v>
      </c>
      <c r="JA61" s="21" t="n">
        <f>IF(Perm_Debt?,(DQ3&lt;=PermDebt_Fund)*SUM($EV57:IZ59)*JA66/12,(DQ3&lt;=Timing_Analysis_End_Month)*SUM($EV57:IZ59)*JA66/12)</f>
        <v>0</v>
      </c>
      <c r="JB61" s="21" t="n">
        <f>IF(Perm_Debt?,(DR3&lt;=PermDebt_Fund)*SUM($EV57:JA59)*JB66/12,(DR3&lt;=Timing_Analysis_End_Month)*SUM($EV57:JA59)*JB66/12)</f>
        <v>0</v>
      </c>
      <c r="JC61" s="21" t="n">
        <f>IF(Perm_Debt?,(DS3&lt;=PermDebt_Fund)*SUM($EV57:JB59)*JC66/12,(DS3&lt;=Timing_Analysis_End_Month)*SUM($EV57:JB59)*JC66/12)</f>
        <v>0</v>
      </c>
      <c r="JD61" s="21" t="n">
        <f>IF(Perm_Debt?,(DT3&lt;=PermDebt_Fund)*SUM($EV57:JC59)*JD66/12,(DT3&lt;=Timing_Analysis_End_Month)*SUM($EV57:JC59)*JD66/12)</f>
        <v>0</v>
      </c>
      <c r="JE61" s="21" t="n">
        <f>IF(Perm_Debt?,(DU3&lt;=PermDebt_Fund)*SUM($EV57:JD59)*JE66/12,(DU3&lt;=Timing_Analysis_End_Month)*SUM($EV57:JD59)*JE66/12)</f>
        <v>0</v>
      </c>
      <c r="JF61" s="21" t="n">
        <f>IF(Perm_Debt?,(DV3&lt;=PermDebt_Fund)*SUM($EV57:JE59)*JF66/12,(DV3&lt;=Timing_Analysis_End_Month)*SUM($EV57:JE59)*JF66/12)</f>
        <v>0</v>
      </c>
      <c r="JG61" s="21" t="n">
        <f>IF(Perm_Debt?,(DW3&lt;=PermDebt_Fund)*SUM($EV57:JF59)*JG66/12,(DW3&lt;=Timing_Analysis_End_Month)*SUM($EV57:JF59)*JG66/12)</f>
        <v>0</v>
      </c>
      <c r="JH61" s="21" t="n">
        <f>IF(Perm_Debt?,(DX3&lt;=PermDebt_Fund)*SUM($EV57:JG59)*JH66/12,(DX3&lt;=Timing_Analysis_End_Month)*SUM($EV57:JG59)*JH66/12)</f>
        <v>0</v>
      </c>
      <c r="JI61" s="21" t="n">
        <f>IF(Perm_Debt?,(DY3&lt;=PermDebt_Fund)*SUM($EV57:JH59)*JI66/12,(DY3&lt;=Timing_Analysis_End_Month)*SUM($EV57:JH59)*JI66/12)</f>
        <v>0</v>
      </c>
      <c r="JJ61" s="21" t="n">
        <f>IF(Perm_Debt?,(DZ3&lt;=PermDebt_Fund)*SUM($EV57:JI59)*JJ66/12,(DZ3&lt;=Timing_Analysis_End_Month)*SUM($EV57:JI59)*JJ66/12)</f>
        <v>0</v>
      </c>
      <c r="JK61" s="21" t="n">
        <f>IF(Perm_Debt?,(EA3&lt;=PermDebt_Fund)*SUM($EV57:JJ59)*JK66/12,(EA3&lt;=Timing_Analysis_End_Month)*SUM($EV57:JJ59)*JK66/12)</f>
        <v>0</v>
      </c>
      <c r="JL61" s="21" t="n">
        <f>IF(Perm_Debt?,(EB3&lt;=PermDebt_Fund)*SUM($EV57:JK59)*JL66/12,(EB3&lt;=Timing_Analysis_End_Month)*SUM($EV57:JK59)*JL66/12)</f>
        <v>0</v>
      </c>
      <c r="JM61" s="21" t="n">
        <f>IF(Perm_Debt?,(EC3&lt;=PermDebt_Fund)*SUM($EV57:JL59)*JM66/12,(EC3&lt;=Timing_Analysis_End_Month)*SUM($EV57:JL59)*JM66/12)</f>
        <v>0</v>
      </c>
      <c r="JN61" s="21" t="n">
        <f>IF(Perm_Debt?,(ED3&lt;=PermDebt_Fund)*SUM($EV57:JM59)*JN66/12,(ED3&lt;=Timing_Analysis_End_Month)*SUM($EV57:JM59)*JN66/12)</f>
        <v>0</v>
      </c>
      <c r="JO61" s="21" t="n">
        <f>IF(Perm_Debt?,(EE3&lt;=PermDebt_Fund)*SUM($EV57:JN59)*JO66/12,(EE3&lt;=Timing_Analysis_End_Month)*SUM($EV57:JN59)*JO66/12)</f>
        <v>0</v>
      </c>
      <c r="JP61" s="21" t="n">
        <f>IF(Perm_Debt?,(EF3&lt;=PermDebt_Fund)*SUM($EV57:JO59)*JP66/12,(EF3&lt;=Timing_Analysis_End_Month)*SUM($EV57:JO59)*JP66/12)</f>
        <v>0</v>
      </c>
      <c r="JQ61" s="21" t="n">
        <f>IF(Perm_Debt?,(EG3&lt;=PermDebt_Fund)*SUM($EV57:JP59)*JQ66/12,(EG3&lt;=Timing_Analysis_End_Month)*SUM($EV57:JP59)*JQ66/12)</f>
        <v>0</v>
      </c>
      <c r="JR61" s="21" t="n">
        <f>IF(Perm_Debt?,(EH3&lt;=PermDebt_Fund)*SUM($EV57:JQ59)*JR66/12,(EH3&lt;=Timing_Analysis_End_Month)*SUM($EV57:JQ59)*JR66/12)</f>
        <v>0</v>
      </c>
      <c r="JS61" s="21" t="n">
        <f>IF(Perm_Debt?,(EI3&lt;=PermDebt_Fund)*SUM($EV57:JR59)*JS66/12,(EI3&lt;=Timing_Analysis_End_Month)*SUM($EV57:JR59)*JS66/12)</f>
        <v>0</v>
      </c>
      <c r="JT61" s="21" t="n">
        <f>IF(Perm_Debt?,(EJ3&lt;=PermDebt_Fund)*SUM($EV57:JS59)*JT66/12,(EJ3&lt;=Timing_Analysis_End_Month)*SUM($EV57:JS59)*JT66/12)</f>
        <v>0</v>
      </c>
      <c r="JU61" s="21" t="n">
        <f>IF(Perm_Debt?,(EK3&lt;=PermDebt_Fund)*SUM($EV57:JT59)*JU66/12,(EK3&lt;=Timing_Analysis_End_Month)*SUM($EV57:JT59)*JU66/12)</f>
        <v>0</v>
      </c>
      <c r="JV61" s="21" t="n">
        <f>IF(Perm_Debt?,(EL3&lt;=PermDebt_Fund)*SUM($EV57:JU59)*JV66/12,(EL3&lt;=Timing_Analysis_End_Month)*SUM($EV57:JU59)*JV66/12)</f>
        <v>0</v>
      </c>
      <c r="JW61" s="21" t="n">
        <f>IF(Perm_Debt?,(EM3&lt;=PermDebt_Fund)*SUM($EV57:JV59)*JW66/12,(EM3&lt;=Timing_Analysis_End_Month)*SUM($EV57:JV59)*JW66/12)</f>
        <v>0</v>
      </c>
      <c r="JX61" s="21" t="n">
        <f>IF(Perm_Debt?,(EN3&lt;=PermDebt_Fund)*SUM($EV57:JW59)*JX66/12,(EN3&lt;=Timing_Analysis_End_Month)*SUM($EV57:JW59)*JX66/12)</f>
        <v>0</v>
      </c>
      <c r="JZ61" s="263"/>
      <c r="KA61" s="263"/>
      <c r="KB61" s="263"/>
      <c r="KC61" s="263"/>
      <c r="KD61" s="263"/>
      <c r="KE61" s="263"/>
      <c r="KF61" s="263"/>
      <c r="KG61" s="263"/>
      <c r="KH61" s="263"/>
      <c r="KI61" s="263"/>
      <c r="KJ61" s="263"/>
      <c r="KK61" s="263"/>
      <c r="KL61" s="263"/>
      <c r="KM61" s="263"/>
      <c r="KN61" s="263"/>
      <c r="KO61" s="263"/>
      <c r="KP61" s="263"/>
      <c r="KQ61" s="263"/>
      <c r="KR61" s="263"/>
      <c r="KS61" s="263"/>
      <c r="KT61" s="263"/>
      <c r="KU61" s="263"/>
      <c r="KV61" s="263"/>
      <c r="KW61" s="263"/>
      <c r="KX61" s="263"/>
      <c r="KY61" s="263"/>
      <c r="KZ61" s="263"/>
      <c r="LA61" s="263"/>
      <c r="LB61" s="263"/>
      <c r="LC61" s="263"/>
      <c r="LD61" s="263"/>
      <c r="LE61" s="263"/>
      <c r="LF61" s="263"/>
      <c r="LG61" s="263"/>
      <c r="LH61" s="263"/>
      <c r="LI61" s="263"/>
      <c r="LJ61" s="263"/>
      <c r="LK61" s="263"/>
      <c r="LL61" s="263"/>
      <c r="LM61" s="263"/>
      <c r="LN61" s="263"/>
      <c r="LO61" s="263"/>
      <c r="LP61" s="263"/>
      <c r="LQ61" s="263"/>
      <c r="LR61" s="263"/>
      <c r="LS61" s="263"/>
      <c r="LT61" s="263"/>
      <c r="LU61" s="263"/>
      <c r="LV61" s="263"/>
      <c r="LW61" s="263"/>
      <c r="LX61" s="263"/>
      <c r="LY61" s="263"/>
      <c r="LZ61" s="263"/>
      <c r="MA61" s="263"/>
      <c r="MB61" s="263"/>
      <c r="MC61" s="263"/>
      <c r="MD61" s="263"/>
      <c r="ME61" s="263"/>
      <c r="MF61" s="263"/>
      <c r="MG61" s="263"/>
      <c r="MH61" s="263"/>
      <c r="MI61" s="263"/>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c r="NO61" s="263"/>
      <c r="NP61" s="263"/>
      <c r="NQ61" s="263"/>
      <c r="NR61" s="263"/>
      <c r="NS61" s="263"/>
      <c r="NT61" s="263"/>
      <c r="NU61" s="263"/>
      <c r="NV61" s="263"/>
      <c r="NW61" s="263"/>
      <c r="NX61" s="263"/>
      <c r="NY61" s="263"/>
      <c r="NZ61" s="263"/>
      <c r="OA61" s="263"/>
      <c r="OB61" s="263"/>
      <c r="OC61" s="263"/>
      <c r="OD61" s="263"/>
      <c r="OE61" s="263"/>
      <c r="OF61" s="263"/>
      <c r="OG61" s="263"/>
      <c r="OH61" s="263"/>
      <c r="OI61" s="263"/>
      <c r="OJ61" s="263"/>
      <c r="OK61" s="263"/>
      <c r="OL61" s="263"/>
      <c r="OM61" s="263"/>
      <c r="ON61" s="263"/>
      <c r="OO61" s="263"/>
      <c r="OP61" s="263"/>
      <c r="OQ61" s="263"/>
      <c r="OR61" s="263"/>
      <c r="OS61" s="263"/>
      <c r="OT61" s="263"/>
      <c r="OU61" s="263"/>
      <c r="OV61" s="263"/>
      <c r="OW61" s="263"/>
      <c r="OX61" s="263"/>
      <c r="OY61" s="263"/>
      <c r="OZ61" s="263"/>
      <c r="PA61" s="263"/>
      <c r="PB61" s="263"/>
      <c r="PC61" s="263"/>
      <c r="PD61" s="263"/>
      <c r="PE61" s="263"/>
      <c r="PF61" s="263"/>
      <c r="PG61" s="263"/>
      <c r="PH61" s="263"/>
    </row>
    <row r="62">
      <c r="A62" s="452">
        <v>1</v>
      </c>
      <c r="B62" s="34" t="s">
        <v>171</v>
      </c>
      <c r="C62" s="57"/>
      <c r="D62" s="404"/>
      <c r="E62" s="404"/>
      <c r="F62" s="58" t="n">
        <f>SUM(F60:F61)</f>
        <v>0.7933475159255259</v>
      </c>
      <c r="G62" s="135"/>
      <c r="H62" s="419" t="n">
        <f>SUM(H60:H61)</f>
        <v>2720.1169714099756</v>
      </c>
      <c r="I62" s="449" t="n">
        <f>SUM(I60:I61)</f>
        <v>332221056.43420947</v>
      </c>
      <c r="K62" s="450" t="str">
        <f>B66</f>
        <v>Mezzanine Loan</v>
      </c>
      <c r="L62" s="451" t="n">
        <f>IF($D$65=$D$66,L61/$EP$61*$EP$62,SUM(L72:L74)-L61)</f>
        <v>0</v>
      </c>
      <c r="M62" s="451" t="n">
        <f t="shared" ref="M62:BX62" si="484">IF($D$65=$D$66,M61/$EP$61*$EP$62,SUM(M72:M74)-M61)</f>
        <v>313055.55555555556</v>
      </c>
      <c r="N62" s="451">
        <f t="shared" si="484"/>
        <v>313055.55555555556</v>
      </c>
      <c r="O62" s="451">
        <f t="shared" si="484"/>
        <v>313055.55555555556</v>
      </c>
      <c r="P62" s="451">
        <f t="shared" si="484"/>
        <v>313055.55555555556</v>
      </c>
      <c r="Q62" s="451">
        <f t="shared" si="484"/>
        <v>313055.55555555556</v>
      </c>
      <c r="R62" s="451">
        <f t="shared" si="484"/>
        <v>313055.55555555556</v>
      </c>
      <c r="S62" s="451">
        <f t="shared" si="484"/>
        <v>313055.55555555556</v>
      </c>
      <c r="T62" s="451">
        <f t="shared" si="484"/>
        <v>313055.55555555556</v>
      </c>
      <c r="U62" s="451">
        <f t="shared" si="484"/>
        <v>313055.55555555556</v>
      </c>
      <c r="V62" s="451">
        <f t="shared" si="484"/>
        <v>313055.55555555556</v>
      </c>
      <c r="W62" s="451">
        <f t="shared" si="484"/>
        <v>313055.55555555556</v>
      </c>
      <c r="X62" s="451">
        <f t="shared" si="484"/>
        <v>313055.55555555556</v>
      </c>
      <c r="Y62" s="451">
        <f t="shared" si="484"/>
        <v>313055.55555555556</v>
      </c>
      <c r="Z62" s="451">
        <f t="shared" si="484"/>
        <v>313055.55555555556</v>
      </c>
      <c r="AA62" s="451">
        <f t="shared" si="484"/>
        <v>313055.55555555556</v>
      </c>
      <c r="AB62" s="451">
        <f t="shared" si="484"/>
        <v>0</v>
      </c>
      <c r="AC62" s="451">
        <f t="shared" si="484"/>
        <v>0</v>
      </c>
      <c r="AD62" s="451">
        <f t="shared" si="484"/>
        <v>-3.7252902984619141E-9</v>
      </c>
      <c r="AE62" s="451">
        <f t="shared" si="484"/>
        <v>7.4505805969238281E-9</v>
      </c>
      <c r="AF62" s="451">
        <f t="shared" si="484"/>
        <v>7.4505805969238281E-9</v>
      </c>
      <c r="AG62" s="451">
        <f t="shared" si="484"/>
        <v>-7.4505805969238281E-9</v>
      </c>
      <c r="AH62" s="451">
        <f t="shared" si="484"/>
        <v>-3.7252902984619141E-9</v>
      </c>
      <c r="AI62" s="451">
        <f t="shared" si="484"/>
        <v>1.862645149230957E-9</v>
      </c>
      <c r="AJ62" s="451">
        <f t="shared" si="484"/>
        <v>-5.5879354476928711E-9</v>
      </c>
      <c r="AK62" s="451">
        <f t="shared" si="484"/>
        <v>1.3038516044616699E-8</v>
      </c>
      <c r="AL62" s="451">
        <f t="shared" si="484"/>
        <v>5.5879354476928711E-9</v>
      </c>
      <c r="AM62" s="451">
        <f t="shared" si="484"/>
        <v>-1.3038516044616699E-8</v>
      </c>
      <c r="AN62" s="451">
        <f t="shared" si="484"/>
        <v>6.5192580223083496E-9</v>
      </c>
      <c r="AO62" s="451">
        <f t="shared" si="484"/>
        <v>-2.3283064365386963E-9</v>
      </c>
      <c r="AP62" s="451">
        <f t="shared" si="484"/>
        <v>2.5611370801925659E-9</v>
      </c>
      <c r="AQ62" s="451">
        <f t="shared" si="484"/>
        <v>2.3283064365386963E-9</v>
      </c>
      <c r="AR62" s="451">
        <f t="shared" si="484"/>
        <v>3.4924596548080444E-10</v>
      </c>
      <c r="AS62" s="451">
        <f t="shared" si="484"/>
        <v>8.6729414761066437E-9</v>
      </c>
      <c r="AT62" s="451">
        <f t="shared" si="484"/>
        <v>4.0745362639427185E-9</v>
      </c>
      <c r="AU62" s="451">
        <f t="shared" si="484"/>
        <v>148177.12503796816</v>
      </c>
      <c r="AV62" s="451">
        <f t="shared" si="484"/>
        <v>44612.052331984043</v>
      </c>
      <c r="AW62" s="451">
        <f t="shared" si="484"/>
        <v>0</v>
      </c>
      <c r="AX62" s="451">
        <f t="shared" si="484"/>
        <v>0</v>
      </c>
      <c r="AY62" s="451">
        <f t="shared" si="484"/>
        <v>0</v>
      </c>
      <c r="AZ62" s="451">
        <f t="shared" si="484"/>
        <v>0</v>
      </c>
      <c r="BA62" s="451">
        <f t="shared" si="484"/>
        <v>0</v>
      </c>
      <c r="BB62" s="451">
        <f t="shared" si="484"/>
        <v>0</v>
      </c>
      <c r="BC62" s="451">
        <f t="shared" si="484"/>
        <v>0</v>
      </c>
      <c r="BD62" s="451">
        <f t="shared" si="484"/>
        <v>0</v>
      </c>
      <c r="BE62" s="451">
        <f t="shared" si="484"/>
        <v>0</v>
      </c>
      <c r="BF62" s="451">
        <f t="shared" si="484"/>
        <v>0</v>
      </c>
      <c r="BG62" s="451">
        <f t="shared" si="484"/>
        <v>0</v>
      </c>
      <c r="BH62" s="451">
        <f t="shared" si="484"/>
        <v>0</v>
      </c>
      <c r="BI62" s="451">
        <f t="shared" si="484"/>
        <v>0</v>
      </c>
      <c r="BJ62" s="451">
        <f t="shared" si="484"/>
        <v>0</v>
      </c>
      <c r="BK62" s="451">
        <f t="shared" si="484"/>
        <v>0</v>
      </c>
      <c r="BL62" s="451">
        <f t="shared" si="484"/>
        <v>0</v>
      </c>
      <c r="BM62" s="451">
        <f t="shared" si="484"/>
        <v>0</v>
      </c>
      <c r="BN62" s="451">
        <f t="shared" si="484"/>
        <v>0</v>
      </c>
      <c r="BO62" s="451">
        <f t="shared" si="484"/>
        <v>0</v>
      </c>
      <c r="BP62" s="451">
        <f t="shared" si="484"/>
        <v>0</v>
      </c>
      <c r="BQ62" s="451">
        <f t="shared" si="484"/>
        <v>0</v>
      </c>
      <c r="BR62" s="451">
        <f t="shared" si="484"/>
        <v>0</v>
      </c>
      <c r="BS62" s="451">
        <f t="shared" si="484"/>
        <v>0</v>
      </c>
      <c r="BT62" s="451">
        <f t="shared" si="484"/>
        <v>0</v>
      </c>
      <c r="BU62" s="451">
        <f t="shared" si="484"/>
        <v>0</v>
      </c>
      <c r="BV62" s="451">
        <f t="shared" si="484"/>
        <v>0</v>
      </c>
      <c r="BW62" s="451">
        <f t="shared" si="484"/>
        <v>0</v>
      </c>
      <c r="BX62" s="451">
        <f t="shared" si="484"/>
        <v>0</v>
      </c>
      <c r="BY62" s="451" t="n">
        <f t="shared" ref="BY62:EJ62" si="485">IF($D$65=$D$66,BY61/$EP$61*$EP$62,SUM(BY72:BY74)-BY61)</f>
        <v>0</v>
      </c>
      <c r="BZ62" s="451">
        <f t="shared" si="485"/>
        <v>0</v>
      </c>
      <c r="CA62" s="451">
        <f t="shared" si="485"/>
        <v>0</v>
      </c>
      <c r="CB62" s="451">
        <f t="shared" si="485"/>
        <v>0</v>
      </c>
      <c r="CC62" s="451">
        <f t="shared" si="485"/>
        <v>0</v>
      </c>
      <c r="CD62" s="451">
        <f t="shared" si="485"/>
        <v>0</v>
      </c>
      <c r="CE62" s="451">
        <f t="shared" si="485"/>
        <v>0</v>
      </c>
      <c r="CF62" s="451">
        <f t="shared" si="485"/>
        <v>0</v>
      </c>
      <c r="CG62" s="451">
        <f t="shared" si="485"/>
        <v>0</v>
      </c>
      <c r="CH62" s="451">
        <f t="shared" si="485"/>
        <v>0</v>
      </c>
      <c r="CI62" s="451">
        <f t="shared" si="485"/>
        <v>0</v>
      </c>
      <c r="CJ62" s="451">
        <f t="shared" si="485"/>
        <v>0</v>
      </c>
      <c r="CK62" s="451">
        <f t="shared" si="485"/>
        <v>0</v>
      </c>
      <c r="CL62" s="451">
        <f t="shared" si="485"/>
        <v>0</v>
      </c>
      <c r="CM62" s="451">
        <f t="shared" si="485"/>
        <v>0</v>
      </c>
      <c r="CN62" s="451">
        <f t="shared" si="485"/>
        <v>0</v>
      </c>
      <c r="CO62" s="451">
        <f t="shared" si="485"/>
        <v>0</v>
      </c>
      <c r="CP62" s="451">
        <f t="shared" si="485"/>
        <v>0</v>
      </c>
      <c r="CQ62" s="451">
        <f t="shared" si="485"/>
        <v>0</v>
      </c>
      <c r="CR62" s="451">
        <f t="shared" si="485"/>
        <v>0</v>
      </c>
      <c r="CS62" s="451">
        <f t="shared" si="485"/>
        <v>0</v>
      </c>
      <c r="CT62" s="451">
        <f t="shared" si="485"/>
        <v>0</v>
      </c>
      <c r="CU62" s="451">
        <f t="shared" si="485"/>
        <v>0</v>
      </c>
      <c r="CV62" s="451">
        <f t="shared" si="485"/>
        <v>0</v>
      </c>
      <c r="CW62" s="451">
        <f t="shared" si="485"/>
        <v>0</v>
      </c>
      <c r="CX62" s="451">
        <f t="shared" si="485"/>
        <v>0</v>
      </c>
      <c r="CY62" s="451">
        <f t="shared" si="485"/>
        <v>0</v>
      </c>
      <c r="CZ62" s="451">
        <f t="shared" si="485"/>
        <v>0</v>
      </c>
      <c r="DA62" s="451">
        <f t="shared" si="485"/>
        <v>0</v>
      </c>
      <c r="DB62" s="451">
        <f t="shared" si="485"/>
        <v>0</v>
      </c>
      <c r="DC62" s="451">
        <f t="shared" si="485"/>
        <v>0</v>
      </c>
      <c r="DD62" s="451">
        <f t="shared" si="485"/>
        <v>0</v>
      </c>
      <c r="DE62" s="451">
        <f t="shared" si="485"/>
        <v>0</v>
      </c>
      <c r="DF62" s="451">
        <f t="shared" si="485"/>
        <v>0</v>
      </c>
      <c r="DG62" s="451">
        <f t="shared" si="485"/>
        <v>0</v>
      </c>
      <c r="DH62" s="451">
        <f t="shared" si="485"/>
        <v>0</v>
      </c>
      <c r="DI62" s="451">
        <f t="shared" si="485"/>
        <v>0</v>
      </c>
      <c r="DJ62" s="451">
        <f t="shared" si="485"/>
        <v>0</v>
      </c>
      <c r="DK62" s="451">
        <f t="shared" si="485"/>
        <v>0</v>
      </c>
      <c r="DL62" s="451">
        <f t="shared" si="485"/>
        <v>0</v>
      </c>
      <c r="DM62" s="451">
        <f t="shared" si="485"/>
        <v>0</v>
      </c>
      <c r="DN62" s="451">
        <f t="shared" si="485"/>
        <v>0</v>
      </c>
      <c r="DO62" s="451">
        <f t="shared" si="485"/>
        <v>0</v>
      </c>
      <c r="DP62" s="451">
        <f t="shared" si="485"/>
        <v>0</v>
      </c>
      <c r="DQ62" s="451">
        <f t="shared" si="485"/>
        <v>0</v>
      </c>
      <c r="DR62" s="451">
        <f t="shared" si="485"/>
        <v>0</v>
      </c>
      <c r="DS62" s="451">
        <f t="shared" si="485"/>
        <v>0</v>
      </c>
      <c r="DT62" s="451">
        <f t="shared" si="485"/>
        <v>0</v>
      </c>
      <c r="DU62" s="451">
        <f t="shared" si="485"/>
        <v>0</v>
      </c>
      <c r="DV62" s="451">
        <f t="shared" si="485"/>
        <v>0</v>
      </c>
      <c r="DW62" s="451">
        <f t="shared" si="485"/>
        <v>0</v>
      </c>
      <c r="DX62" s="451">
        <f t="shared" si="485"/>
        <v>0</v>
      </c>
      <c r="DY62" s="451">
        <f t="shared" si="485"/>
        <v>0</v>
      </c>
      <c r="DZ62" s="451">
        <f t="shared" si="485"/>
        <v>0</v>
      </c>
      <c r="EA62" s="451">
        <f t="shared" si="485"/>
        <v>0</v>
      </c>
      <c r="EB62" s="451">
        <f t="shared" si="485"/>
        <v>0</v>
      </c>
      <c r="EC62" s="451">
        <f t="shared" si="485"/>
        <v>0</v>
      </c>
      <c r="ED62" s="451">
        <f t="shared" si="485"/>
        <v>0</v>
      </c>
      <c r="EE62" s="451">
        <f t="shared" si="485"/>
        <v>0</v>
      </c>
      <c r="EF62" s="451">
        <f t="shared" si="485"/>
        <v>0</v>
      </c>
      <c r="EG62" s="451">
        <f t="shared" si="485"/>
        <v>0</v>
      </c>
      <c r="EH62" s="451">
        <f t="shared" si="485"/>
        <v>0</v>
      </c>
      <c r="EI62" s="451">
        <f t="shared" si="485"/>
        <v>0</v>
      </c>
      <c r="EJ62" s="451">
        <f t="shared" si="485"/>
        <v>0</v>
      </c>
      <c r="EK62" s="451" t="n">
        <f t="shared" ref="EK62:EN62" si="486">IF($D$65=$D$66,EK61/$EP$61*$EP$62,SUM(EK72:EK74)-EK61)</f>
        <v>0</v>
      </c>
      <c r="EL62" s="451">
        <f t="shared" si="486"/>
        <v>0</v>
      </c>
      <c r="EM62" s="451">
        <f t="shared" si="486"/>
        <v>0</v>
      </c>
      <c r="EN62" s="451">
        <f t="shared" si="486"/>
        <v>0</v>
      </c>
      <c r="EP62" s="267" t="n">
        <f>1-EP61</f>
        <v>0</v>
      </c>
      <c r="EQ62" s="18"/>
      <c r="ER62" s="18"/>
      <c r="ES62" s="18"/>
      <c r="ET62" s="21" t="s">
        <v>172</v>
      </c>
      <c r="EU62" s="21" t="n">
        <f>SUM(EV62:JX62)</f>
        <v>0</v>
      </c>
      <c r="EV62" s="21"/>
      <c r="EW62" s="21" t="n">
        <f t="shared" ref="EW62:GB62" si="487">MIN(EW61,MAX(M155,0))*$F$52</f>
        <v>0</v>
      </c>
      <c r="EX62" s="21">
        <f t="shared" si="487"/>
        <v>0</v>
      </c>
      <c r="EY62" s="21">
        <f t="shared" si="487"/>
        <v>0</v>
      </c>
      <c r="EZ62" s="21">
        <f t="shared" si="487"/>
        <v>0</v>
      </c>
      <c r="FA62" s="21">
        <f t="shared" si="487"/>
        <v>0</v>
      </c>
      <c r="FB62" s="21">
        <f t="shared" si="487"/>
        <v>0</v>
      </c>
      <c r="FC62" s="21">
        <f t="shared" si="487"/>
        <v>0</v>
      </c>
      <c r="FD62" s="21">
        <f t="shared" si="487"/>
        <v>0</v>
      </c>
      <c r="FE62" s="21">
        <f t="shared" si="487"/>
        <v>0</v>
      </c>
      <c r="FF62" s="21">
        <f t="shared" si="487"/>
        <v>0</v>
      </c>
      <c r="FG62" s="21">
        <f t="shared" si="487"/>
        <v>0</v>
      </c>
      <c r="FH62" s="21">
        <f t="shared" si="487"/>
        <v>0</v>
      </c>
      <c r="FI62" s="21">
        <f t="shared" si="487"/>
        <v>0</v>
      </c>
      <c r="FJ62" s="21">
        <f t="shared" si="487"/>
        <v>0</v>
      </c>
      <c r="FK62" s="21">
        <f t="shared" si="487"/>
        <v>0</v>
      </c>
      <c r="FL62" s="21">
        <f t="shared" si="487"/>
        <v>0</v>
      </c>
      <c r="FM62" s="21">
        <f t="shared" si="487"/>
        <v>0</v>
      </c>
      <c r="FN62" s="21">
        <f t="shared" si="487"/>
        <v>0</v>
      </c>
      <c r="FO62" s="21">
        <f t="shared" si="487"/>
        <v>0</v>
      </c>
      <c r="FP62" s="21">
        <f t="shared" si="487"/>
        <v>0</v>
      </c>
      <c r="FQ62" s="21">
        <f t="shared" si="487"/>
        <v>0</v>
      </c>
      <c r="FR62" s="21">
        <f t="shared" si="487"/>
        <v>0</v>
      </c>
      <c r="FS62" s="21">
        <f t="shared" si="487"/>
        <v>0</v>
      </c>
      <c r="FT62" s="21">
        <f t="shared" si="487"/>
        <v>0</v>
      </c>
      <c r="FU62" s="21">
        <f t="shared" si="487"/>
        <v>0</v>
      </c>
      <c r="FV62" s="21">
        <f t="shared" si="487"/>
        <v>0</v>
      </c>
      <c r="FW62" s="21">
        <f t="shared" si="487"/>
        <v>0</v>
      </c>
      <c r="FX62" s="21">
        <f t="shared" si="487"/>
        <v>0</v>
      </c>
      <c r="FY62" s="21">
        <f t="shared" si="487"/>
        <v>0</v>
      </c>
      <c r="FZ62" s="21">
        <f t="shared" si="487"/>
        <v>0</v>
      </c>
      <c r="GA62" s="21">
        <f t="shared" si="487"/>
        <v>0</v>
      </c>
      <c r="GB62" s="21">
        <f t="shared" si="487"/>
        <v>0</v>
      </c>
      <c r="GC62" s="21" t="n">
        <f t="shared" ref="GC62:HH62" si="488">MIN(GC61,MAX(AS155,0))*$F$52</f>
        <v>0</v>
      </c>
      <c r="GD62" s="21">
        <f t="shared" si="488"/>
        <v>0</v>
      </c>
      <c r="GE62" s="21">
        <f t="shared" si="488"/>
        <v>0</v>
      </c>
      <c r="GF62" s="21">
        <f t="shared" si="488"/>
        <v>0</v>
      </c>
      <c r="GG62" s="21">
        <f t="shared" si="488"/>
        <v>0</v>
      </c>
      <c r="GH62" s="21">
        <f t="shared" si="488"/>
        <v>0</v>
      </c>
      <c r="GI62" s="21">
        <f t="shared" si="488"/>
        <v>0</v>
      </c>
      <c r="GJ62" s="21">
        <f t="shared" si="488"/>
        <v>0</v>
      </c>
      <c r="GK62" s="21">
        <f t="shared" si="488"/>
        <v>0</v>
      </c>
      <c r="GL62" s="21">
        <f t="shared" si="488"/>
        <v>0</v>
      </c>
      <c r="GM62" s="21">
        <f t="shared" si="488"/>
        <v>0</v>
      </c>
      <c r="GN62" s="21">
        <f t="shared" si="488"/>
        <v>0</v>
      </c>
      <c r="GO62" s="21">
        <f t="shared" si="488"/>
        <v>0</v>
      </c>
      <c r="GP62" s="21">
        <f t="shared" si="488"/>
        <v>0</v>
      </c>
      <c r="GQ62" s="21">
        <f t="shared" si="488"/>
        <v>0</v>
      </c>
      <c r="GR62" s="21">
        <f t="shared" si="488"/>
        <v>0</v>
      </c>
      <c r="GS62" s="21">
        <f t="shared" si="488"/>
        <v>0</v>
      </c>
      <c r="GT62" s="21">
        <f t="shared" si="488"/>
        <v>0</v>
      </c>
      <c r="GU62" s="21">
        <f t="shared" si="488"/>
        <v>0</v>
      </c>
      <c r="GV62" s="21">
        <f t="shared" si="488"/>
        <v>0</v>
      </c>
      <c r="GW62" s="21">
        <f t="shared" si="488"/>
        <v>0</v>
      </c>
      <c r="GX62" s="21">
        <f t="shared" si="488"/>
        <v>0</v>
      </c>
      <c r="GY62" s="21">
        <f t="shared" si="488"/>
        <v>0</v>
      </c>
      <c r="GZ62" s="21">
        <f t="shared" si="488"/>
        <v>0</v>
      </c>
      <c r="HA62" s="21">
        <f t="shared" si="488"/>
        <v>0</v>
      </c>
      <c r="HB62" s="21">
        <f t="shared" si="488"/>
        <v>0</v>
      </c>
      <c r="HC62" s="21">
        <f t="shared" si="488"/>
        <v>0</v>
      </c>
      <c r="HD62" s="21">
        <f t="shared" si="488"/>
        <v>0</v>
      </c>
      <c r="HE62" s="21">
        <f t="shared" si="488"/>
        <v>0</v>
      </c>
      <c r="HF62" s="21">
        <f t="shared" si="488"/>
        <v>0</v>
      </c>
      <c r="HG62" s="21">
        <f t="shared" si="488"/>
        <v>0</v>
      </c>
      <c r="HH62" s="21">
        <f t="shared" si="488"/>
        <v>0</v>
      </c>
      <c r="HI62" s="21" t="n">
        <f t="shared" ref="HI62:IN62" si="489">MIN(HI61,MAX(BY155,0))*$F$52</f>
        <v>0</v>
      </c>
      <c r="HJ62" s="21">
        <f t="shared" si="489"/>
        <v>0</v>
      </c>
      <c r="HK62" s="21">
        <f t="shared" si="489"/>
        <v>0</v>
      </c>
      <c r="HL62" s="21">
        <f t="shared" si="489"/>
        <v>0</v>
      </c>
      <c r="HM62" s="21">
        <f t="shared" si="489"/>
        <v>0</v>
      </c>
      <c r="HN62" s="21">
        <f t="shared" si="489"/>
        <v>0</v>
      </c>
      <c r="HO62" s="21">
        <f t="shared" si="489"/>
        <v>0</v>
      </c>
      <c r="HP62" s="21">
        <f t="shared" si="489"/>
        <v>0</v>
      </c>
      <c r="HQ62" s="21">
        <f t="shared" si="489"/>
        <v>0</v>
      </c>
      <c r="HR62" s="21">
        <f t="shared" si="489"/>
        <v>0</v>
      </c>
      <c r="HS62" s="21">
        <f t="shared" si="489"/>
        <v>0</v>
      </c>
      <c r="HT62" s="21">
        <f t="shared" si="489"/>
        <v>0</v>
      </c>
      <c r="HU62" s="21">
        <f t="shared" si="489"/>
        <v>0</v>
      </c>
      <c r="HV62" s="21">
        <f t="shared" si="489"/>
        <v>0</v>
      </c>
      <c r="HW62" s="21">
        <f t="shared" si="489"/>
        <v>0</v>
      </c>
      <c r="HX62" s="21">
        <f t="shared" si="489"/>
        <v>0</v>
      </c>
      <c r="HY62" s="21">
        <f t="shared" si="489"/>
        <v>0</v>
      </c>
      <c r="HZ62" s="21">
        <f t="shared" si="489"/>
        <v>0</v>
      </c>
      <c r="IA62" s="21">
        <f t="shared" si="489"/>
        <v>0</v>
      </c>
      <c r="IB62" s="21">
        <f t="shared" si="489"/>
        <v>0</v>
      </c>
      <c r="IC62" s="21">
        <f t="shared" si="489"/>
        <v>0</v>
      </c>
      <c r="ID62" s="21">
        <f t="shared" si="489"/>
        <v>0</v>
      </c>
      <c r="IE62" s="21">
        <f t="shared" si="489"/>
        <v>0</v>
      </c>
      <c r="IF62" s="21">
        <f t="shared" si="489"/>
        <v>0</v>
      </c>
      <c r="IG62" s="21">
        <f t="shared" si="489"/>
        <v>0</v>
      </c>
      <c r="IH62" s="21">
        <f t="shared" si="489"/>
        <v>0</v>
      </c>
      <c r="II62" s="21">
        <f t="shared" si="489"/>
        <v>0</v>
      </c>
      <c r="IJ62" s="21">
        <f t="shared" si="489"/>
        <v>0</v>
      </c>
      <c r="IK62" s="21">
        <f t="shared" si="489"/>
        <v>0</v>
      </c>
      <c r="IL62" s="21">
        <f t="shared" si="489"/>
        <v>0</v>
      </c>
      <c r="IM62" s="21">
        <f t="shared" si="489"/>
        <v>0</v>
      </c>
      <c r="IN62" s="21">
        <f t="shared" si="489"/>
        <v>0</v>
      </c>
      <c r="IO62" s="21" t="n">
        <f t="shared" ref="IO62:JT62" si="490">MIN(IO61,MAX(DE155,0))*$F$52</f>
        <v>0</v>
      </c>
      <c r="IP62" s="21">
        <f t="shared" si="490"/>
        <v>0</v>
      </c>
      <c r="IQ62" s="21">
        <f t="shared" si="490"/>
        <v>0</v>
      </c>
      <c r="IR62" s="21">
        <f t="shared" si="490"/>
        <v>0</v>
      </c>
      <c r="IS62" s="21">
        <f t="shared" si="490"/>
        <v>0</v>
      </c>
      <c r="IT62" s="21">
        <f t="shared" si="490"/>
        <v>0</v>
      </c>
      <c r="IU62" s="21">
        <f t="shared" si="490"/>
        <v>0</v>
      </c>
      <c r="IV62" s="21">
        <f t="shared" si="490"/>
        <v>0</v>
      </c>
      <c r="IW62" s="21">
        <f t="shared" si="490"/>
        <v>0</v>
      </c>
      <c r="IX62" s="21">
        <f t="shared" si="490"/>
        <v>0</v>
      </c>
      <c r="IY62" s="21">
        <f t="shared" si="490"/>
        <v>0</v>
      </c>
      <c r="IZ62" s="21">
        <f t="shared" si="490"/>
        <v>0</v>
      </c>
      <c r="JA62" s="21">
        <f t="shared" si="490"/>
        <v>0</v>
      </c>
      <c r="JB62" s="21">
        <f t="shared" si="490"/>
        <v>0</v>
      </c>
      <c r="JC62" s="21">
        <f t="shared" si="490"/>
        <v>0</v>
      </c>
      <c r="JD62" s="21">
        <f t="shared" si="490"/>
        <v>0</v>
      </c>
      <c r="JE62" s="21">
        <f t="shared" si="490"/>
        <v>0</v>
      </c>
      <c r="JF62" s="21">
        <f t="shared" si="490"/>
        <v>0</v>
      </c>
      <c r="JG62" s="21">
        <f t="shared" si="490"/>
        <v>0</v>
      </c>
      <c r="JH62" s="21">
        <f t="shared" si="490"/>
        <v>0</v>
      </c>
      <c r="JI62" s="21">
        <f t="shared" si="490"/>
        <v>0</v>
      </c>
      <c r="JJ62" s="21">
        <f t="shared" si="490"/>
        <v>0</v>
      </c>
      <c r="JK62" s="21">
        <f t="shared" si="490"/>
        <v>0</v>
      </c>
      <c r="JL62" s="21">
        <f t="shared" si="490"/>
        <v>0</v>
      </c>
      <c r="JM62" s="21">
        <f t="shared" si="490"/>
        <v>0</v>
      </c>
      <c r="JN62" s="21">
        <f t="shared" si="490"/>
        <v>0</v>
      </c>
      <c r="JO62" s="21">
        <f t="shared" si="490"/>
        <v>0</v>
      </c>
      <c r="JP62" s="21">
        <f t="shared" si="490"/>
        <v>0</v>
      </c>
      <c r="JQ62" s="21">
        <f t="shared" si="490"/>
        <v>0</v>
      </c>
      <c r="JR62" s="21">
        <f t="shared" si="490"/>
        <v>0</v>
      </c>
      <c r="JS62" s="21">
        <f t="shared" si="490"/>
        <v>0</v>
      </c>
      <c r="JT62" s="21">
        <f t="shared" si="490"/>
        <v>0</v>
      </c>
      <c r="JU62" s="21" t="n">
        <f t="shared" ref="JU62:JX62" si="491">MIN(JU61,MAX(EK155,0))*$F$52</f>
        <v>0</v>
      </c>
      <c r="JV62" s="21">
        <f t="shared" si="491"/>
        <v>0</v>
      </c>
      <c r="JW62" s="21">
        <f t="shared" si="491"/>
        <v>0</v>
      </c>
      <c r="JX62" s="21">
        <f t="shared" si="491"/>
        <v>0</v>
      </c>
      <c r="JZ62" s="263"/>
      <c r="KA62" s="263"/>
      <c r="KB62" s="263"/>
      <c r="KC62" s="263"/>
      <c r="KD62" s="263"/>
      <c r="KE62" s="263"/>
      <c r="KF62" s="263"/>
      <c r="KG62" s="263"/>
      <c r="KH62" s="263"/>
      <c r="KI62" s="263"/>
      <c r="KJ62" s="263"/>
      <c r="KK62" s="263"/>
      <c r="KL62" s="263"/>
      <c r="KM62" s="263"/>
      <c r="KN62" s="263"/>
      <c r="KO62" s="263"/>
      <c r="KP62" s="263"/>
      <c r="KQ62" s="263"/>
      <c r="KR62" s="263"/>
      <c r="KS62" s="263"/>
      <c r="KT62" s="263"/>
      <c r="KU62" s="263"/>
      <c r="KV62" s="263"/>
      <c r="KW62" s="263"/>
      <c r="KX62" s="263"/>
      <c r="KY62" s="263"/>
      <c r="KZ62" s="263"/>
      <c r="LA62" s="263"/>
      <c r="LB62" s="263"/>
      <c r="LC62" s="263"/>
      <c r="LD62" s="263"/>
      <c r="LE62" s="263"/>
      <c r="LF62" s="263"/>
      <c r="LG62" s="263"/>
      <c r="LH62" s="263"/>
      <c r="LI62" s="263"/>
      <c r="LJ62" s="263"/>
      <c r="LK62" s="263"/>
      <c r="LL62" s="263"/>
      <c r="LM62" s="263"/>
      <c r="LN62" s="263"/>
      <c r="LO62" s="263"/>
      <c r="LP62" s="263"/>
      <c r="LQ62" s="263"/>
      <c r="LR62" s="263"/>
      <c r="LS62" s="263"/>
      <c r="LT62" s="263"/>
      <c r="LU62" s="263"/>
      <c r="LV62" s="263"/>
      <c r="LW62" s="263"/>
      <c r="LX62" s="263"/>
      <c r="LY62" s="263"/>
      <c r="LZ62" s="263"/>
      <c r="MA62" s="263"/>
      <c r="MB62" s="263"/>
      <c r="MC62" s="263"/>
      <c r="MD62" s="263"/>
      <c r="ME62" s="263"/>
      <c r="MF62" s="263"/>
      <c r="MG62" s="263"/>
      <c r="MH62" s="263"/>
      <c r="MI62" s="263"/>
      <c r="MJ62" s="263"/>
      <c r="MK62" s="263"/>
      <c r="ML62" s="263"/>
      <c r="MM62" s="263"/>
      <c r="MN62" s="263"/>
      <c r="MO62" s="263"/>
      <c r="MP62" s="263"/>
      <c r="MQ62" s="263"/>
      <c r="MR62" s="263"/>
      <c r="MS62" s="263"/>
      <c r="MT62" s="263"/>
      <c r="MU62" s="263"/>
      <c r="MV62" s="263"/>
      <c r="MW62" s="263"/>
      <c r="MX62" s="263"/>
      <c r="MY62" s="263"/>
      <c r="MZ62" s="263"/>
      <c r="NA62" s="263"/>
      <c r="NB62" s="263"/>
      <c r="NC62" s="263"/>
      <c r="ND62" s="263"/>
      <c r="NE62" s="263"/>
      <c r="NF62" s="263"/>
      <c r="NG62" s="263"/>
      <c r="NH62" s="263"/>
      <c r="NI62" s="263"/>
      <c r="NJ62" s="263"/>
      <c r="NK62" s="263"/>
      <c r="NL62" s="263"/>
      <c r="NM62" s="263"/>
      <c r="NN62" s="263"/>
      <c r="NO62" s="263"/>
      <c r="NP62" s="263"/>
      <c r="NQ62" s="263"/>
      <c r="NR62" s="263"/>
      <c r="NS62" s="263"/>
      <c r="NT62" s="263"/>
      <c r="NU62" s="263"/>
      <c r="NV62" s="263"/>
      <c r="NW62" s="263"/>
      <c r="NX62" s="263"/>
      <c r="NY62" s="263"/>
      <c r="NZ62" s="263"/>
      <c r="OA62" s="263"/>
      <c r="OB62" s="263"/>
      <c r="OC62" s="263"/>
      <c r="OD62" s="263"/>
      <c r="OE62" s="263"/>
      <c r="OF62" s="263"/>
      <c r="OG62" s="263"/>
      <c r="OH62" s="263"/>
      <c r="OI62" s="263"/>
      <c r="OJ62" s="263"/>
      <c r="OK62" s="263"/>
      <c r="OL62" s="263"/>
      <c r="OM62" s="263"/>
      <c r="ON62" s="263"/>
      <c r="OO62" s="263"/>
      <c r="OP62" s="263"/>
      <c r="OQ62" s="263"/>
      <c r="OR62" s="263"/>
      <c r="OS62" s="263"/>
      <c r="OT62" s="263"/>
      <c r="OU62" s="263"/>
      <c r="OV62" s="263"/>
      <c r="OW62" s="263"/>
      <c r="OX62" s="263"/>
      <c r="OY62" s="263"/>
      <c r="OZ62" s="263"/>
      <c r="PA62" s="263"/>
      <c r="PB62" s="263"/>
      <c r="PC62" s="263"/>
      <c r="PD62" s="263"/>
      <c r="PE62" s="263"/>
      <c r="PF62" s="263"/>
      <c r="PG62" s="263"/>
      <c r="PH62" s="263"/>
    </row>
    <row r="63">
      <c r="B63" s="34"/>
      <c r="C63" s="404"/>
      <c r="D63" s="404"/>
      <c r="E63" s="404"/>
      <c r="F63" s="58"/>
      <c r="G63" s="135"/>
      <c r="H63" s="135"/>
      <c r="I63" s="38"/>
      <c r="EP63" s="220"/>
      <c r="EQ63" s="18"/>
      <c r="ER63" s="18"/>
      <c r="ES63" s="18"/>
      <c r="ET63" s="20"/>
      <c r="EU63" s="20"/>
      <c r="EV63" s="20"/>
      <c r="EW63" s="20"/>
      <c r="EX63" s="20"/>
      <c r="EY63" s="20"/>
      <c r="EZ63" s="20"/>
      <c r="FA63" s="20"/>
      <c r="FB63" s="20"/>
      <c r="FC63" s="20"/>
      <c r="FD63" s="20"/>
      <c r="FE63" s="20"/>
      <c r="FF63" s="20"/>
      <c r="FG63" s="20"/>
      <c r="FH63" s="20"/>
      <c r="FI63" s="20"/>
      <c r="FJ63" s="20"/>
      <c r="FK63" s="20"/>
      <c r="FL63" s="20"/>
      <c r="FM63" s="20"/>
      <c r="FN63" s="20"/>
      <c r="FO63" s="20"/>
      <c r="FP63" s="20"/>
      <c r="FQ63" s="20"/>
      <c r="FR63" s="20"/>
      <c r="FS63" s="20"/>
      <c r="FT63" s="20"/>
      <c r="FU63" s="20"/>
      <c r="FV63" s="20"/>
      <c r="FW63" s="20"/>
      <c r="FX63" s="20"/>
      <c r="FY63" s="20"/>
      <c r="FZ63" s="20"/>
      <c r="GA63" s="20"/>
      <c r="GB63" s="20"/>
      <c r="GC63" s="20"/>
      <c r="GD63" s="20"/>
      <c r="GE63" s="20"/>
      <c r="GF63" s="20"/>
      <c r="GG63" s="20"/>
      <c r="GH63" s="20"/>
      <c r="GI63" s="20"/>
      <c r="GJ63" s="20"/>
      <c r="GK63" s="20"/>
      <c r="GL63" s="20"/>
      <c r="GM63" s="20"/>
      <c r="GN63" s="20"/>
      <c r="GO63" s="20"/>
      <c r="GP63" s="20"/>
      <c r="GQ63" s="20"/>
      <c r="GR63" s="20"/>
      <c r="GS63" s="20"/>
      <c r="GT63" s="20"/>
      <c r="GU63" s="20"/>
      <c r="GV63" s="20"/>
      <c r="GW63" s="20"/>
      <c r="GX63" s="20"/>
      <c r="GY63" s="20"/>
      <c r="GZ63" s="20"/>
      <c r="HA63" s="20"/>
      <c r="HB63" s="20"/>
      <c r="HC63" s="20"/>
      <c r="HD63" s="20"/>
      <c r="HE63" s="20"/>
      <c r="HF63" s="20"/>
      <c r="HG63" s="20"/>
      <c r="HH63" s="20"/>
      <c r="HI63" s="20"/>
      <c r="HJ63" s="20"/>
      <c r="HK63" s="20"/>
      <c r="HL63" s="20"/>
      <c r="HM63" s="20"/>
      <c r="HN63" s="20"/>
      <c r="HO63" s="20"/>
      <c r="HP63" s="20"/>
      <c r="HQ63" s="20"/>
      <c r="HR63" s="20"/>
      <c r="HS63" s="20"/>
      <c r="HT63" s="20"/>
      <c r="HU63" s="20"/>
      <c r="HV63" s="20"/>
      <c r="HW63" s="20"/>
      <c r="HX63" s="20"/>
      <c r="HY63" s="20"/>
      <c r="HZ63" s="20"/>
      <c r="IA63" s="20"/>
      <c r="IB63" s="20"/>
      <c r="IC63" s="20"/>
      <c r="ID63" s="20"/>
      <c r="IE63" s="20"/>
      <c r="IF63" s="20"/>
      <c r="IG63" s="20"/>
      <c r="IH63" s="20"/>
      <c r="II63" s="20"/>
      <c r="IJ63" s="20"/>
      <c r="IK63" s="20"/>
      <c r="IL63" s="20"/>
      <c r="IM63" s="20"/>
      <c r="IN63" s="20"/>
      <c r="IO63" s="20"/>
      <c r="IP63" s="20"/>
      <c r="IQ63" s="20"/>
      <c r="IR63" s="20"/>
      <c r="IS63" s="20"/>
      <c r="IT63" s="20"/>
      <c r="IU63" s="20"/>
      <c r="IV63" s="20"/>
      <c r="IW63" s="20"/>
      <c r="IX63" s="20"/>
      <c r="IY63" s="20"/>
      <c r="IZ63" s="20"/>
      <c r="JA63" s="20"/>
      <c r="JB63" s="20"/>
      <c r="JC63" s="20"/>
      <c r="JD63" s="20"/>
      <c r="JE63" s="20"/>
      <c r="JF63" s="20"/>
      <c r="JG63" s="20"/>
      <c r="JH63" s="20"/>
      <c r="JI63" s="20"/>
      <c r="JJ63" s="20"/>
      <c r="JK63" s="20"/>
      <c r="JL63" s="20"/>
      <c r="JM63" s="20"/>
      <c r="JN63" s="20"/>
      <c r="JO63" s="20"/>
      <c r="JP63" s="20"/>
      <c r="JQ63" s="20"/>
      <c r="JR63" s="20"/>
      <c r="JS63" s="20"/>
      <c r="JT63" s="20"/>
      <c r="JU63" s="20"/>
      <c r="JV63" s="20"/>
      <c r="JW63" s="20"/>
      <c r="JX63" s="20"/>
      <c r="JZ63" s="263"/>
      <c r="KA63" s="263"/>
      <c r="KB63" s="263"/>
      <c r="KC63" s="263"/>
      <c r="KD63" s="263"/>
      <c r="KE63" s="263"/>
      <c r="KF63" s="263"/>
      <c r="KG63" s="263"/>
      <c r="KH63" s="263"/>
      <c r="KI63" s="263"/>
      <c r="KJ63" s="263"/>
      <c r="KK63" s="263"/>
      <c r="KL63" s="263"/>
      <c r="KM63" s="263"/>
      <c r="KN63" s="263"/>
      <c r="KO63" s="263"/>
      <c r="KP63" s="263"/>
      <c r="KQ63" s="263"/>
      <c r="KR63" s="263"/>
      <c r="KS63" s="263"/>
      <c r="KT63" s="263"/>
      <c r="KU63" s="263"/>
      <c r="KV63" s="263"/>
      <c r="KW63" s="263"/>
      <c r="KX63" s="263"/>
      <c r="KY63" s="263"/>
      <c r="KZ63" s="263"/>
      <c r="LA63" s="263"/>
      <c r="LB63" s="263"/>
      <c r="LC63" s="263"/>
      <c r="LD63" s="263"/>
      <c r="LE63" s="263"/>
      <c r="LF63" s="263"/>
      <c r="LG63" s="263"/>
      <c r="LH63" s="263"/>
      <c r="LI63" s="263"/>
      <c r="LJ63" s="263"/>
      <c r="LK63" s="263"/>
      <c r="LL63" s="263"/>
      <c r="LM63" s="263"/>
      <c r="LN63" s="263"/>
      <c r="LO63" s="263"/>
      <c r="LP63" s="263"/>
      <c r="LQ63" s="263"/>
      <c r="LR63" s="263"/>
      <c r="LS63" s="263"/>
      <c r="LT63" s="263"/>
      <c r="LU63" s="263"/>
      <c r="LV63" s="263"/>
      <c r="LW63" s="263"/>
      <c r="LX63" s="263"/>
      <c r="LY63" s="263"/>
      <c r="LZ63" s="263"/>
      <c r="MA63" s="263"/>
      <c r="MB63" s="263"/>
      <c r="MC63" s="263"/>
      <c r="MD63" s="263"/>
      <c r="ME63" s="263"/>
      <c r="MF63" s="263"/>
      <c r="MG63" s="263"/>
      <c r="MH63" s="263"/>
      <c r="MI63" s="263"/>
      <c r="MJ63" s="263"/>
      <c r="MK63" s="263"/>
      <c r="ML63" s="263"/>
      <c r="MM63" s="263"/>
      <c r="MN63" s="263"/>
      <c r="MO63" s="263"/>
      <c r="MP63" s="263"/>
      <c r="MQ63" s="263"/>
      <c r="MR63" s="263"/>
      <c r="MS63" s="263"/>
      <c r="MT63" s="263"/>
      <c r="MU63" s="263"/>
      <c r="MV63" s="263"/>
      <c r="MW63" s="263"/>
      <c r="MX63" s="263"/>
      <c r="MY63" s="263"/>
      <c r="MZ63" s="263"/>
      <c r="NA63" s="263"/>
      <c r="NB63" s="263"/>
      <c r="NC63" s="263"/>
      <c r="ND63" s="263"/>
      <c r="NE63" s="263"/>
      <c r="NF63" s="263"/>
      <c r="NG63" s="263"/>
      <c r="NH63" s="263"/>
      <c r="NI63" s="263"/>
      <c r="NJ63" s="263"/>
      <c r="NK63" s="263"/>
      <c r="NL63" s="263"/>
      <c r="NM63" s="263"/>
      <c r="NN63" s="263"/>
      <c r="NO63" s="263"/>
      <c r="NP63" s="263"/>
      <c r="NQ63" s="263"/>
      <c r="NR63" s="263"/>
      <c r="NS63" s="263"/>
      <c r="NT63" s="263"/>
      <c r="NU63" s="263"/>
      <c r="NV63" s="263"/>
      <c r="NW63" s="263"/>
      <c r="NX63" s="263"/>
      <c r="NY63" s="263"/>
      <c r="NZ63" s="263"/>
      <c r="OA63" s="263"/>
      <c r="OB63" s="263"/>
      <c r="OC63" s="263"/>
      <c r="OD63" s="263"/>
      <c r="OE63" s="263"/>
      <c r="OF63" s="263"/>
      <c r="OG63" s="263"/>
      <c r="OH63" s="263"/>
      <c r="OI63" s="263"/>
      <c r="OJ63" s="263"/>
      <c r="OK63" s="263"/>
      <c r="OL63" s="263"/>
      <c r="OM63" s="263"/>
      <c r="ON63" s="263"/>
      <c r="OO63" s="263"/>
      <c r="OP63" s="263"/>
      <c r="OQ63" s="263"/>
      <c r="OR63" s="263"/>
      <c r="OS63" s="263"/>
      <c r="OT63" s="263"/>
      <c r="OU63" s="263"/>
      <c r="OV63" s="263"/>
      <c r="OW63" s="263"/>
      <c r="OX63" s="263"/>
      <c r="OY63" s="263"/>
      <c r="OZ63" s="263"/>
      <c r="PA63" s="263"/>
      <c r="PB63" s="263"/>
      <c r="PC63" s="263"/>
      <c r="PD63" s="263"/>
      <c r="PE63" s="263"/>
      <c r="PF63" s="263"/>
      <c r="PG63" s="263"/>
      <c r="PH63" s="263"/>
    </row>
    <row r="64">
      <c r="B64" s="453" t="s">
        <v>169</v>
      </c>
      <c r="C64" s="416" t="s">
        <v>160</v>
      </c>
      <c r="D64" s="416" t="s">
        <v>161</v>
      </c>
      <c r="E64" s="416" t="s">
        <v>162</v>
      </c>
      <c r="F64" s="251" t="s">
        <v>163</v>
      </c>
      <c r="G64" s="136" t="s">
        <v>173</v>
      </c>
      <c r="H64" s="56" t="s">
        <v>174</v>
      </c>
      <c r="I64" s="416" t="s">
        <v>130</v>
      </c>
      <c r="EP64" s="220"/>
      <c r="EQ64" s="18"/>
      <c r="ER64" s="18"/>
      <c r="ES64" s="18"/>
      <c r="ET64" s="20"/>
      <c r="EU64" s="20"/>
      <c r="EV64" s="20"/>
      <c r="EW64" s="20"/>
      <c r="EX64" s="20"/>
      <c r="EY64" s="20"/>
      <c r="EZ64" s="20"/>
      <c r="FA64" s="20"/>
      <c r="FB64" s="20"/>
      <c r="FC64" s="20"/>
      <c r="FD64" s="20"/>
      <c r="FE64" s="20"/>
      <c r="FF64" s="20"/>
      <c r="FG64" s="20"/>
      <c r="FH64" s="20"/>
      <c r="FI64" s="20"/>
      <c r="FJ64" s="20"/>
      <c r="FK64" s="20"/>
      <c r="FL64" s="20"/>
      <c r="FM64" s="20"/>
      <c r="FN64" s="20"/>
      <c r="FO64" s="20"/>
      <c r="FP64" s="20"/>
      <c r="FQ64" s="20"/>
      <c r="FR64" s="20"/>
      <c r="FS64" s="20"/>
      <c r="FT64" s="20"/>
      <c r="FU64" s="20"/>
      <c r="FV64" s="20"/>
      <c r="FW64" s="20"/>
      <c r="FX64" s="20"/>
      <c r="FY64" s="20"/>
      <c r="FZ64" s="20"/>
      <c r="GA64" s="20"/>
      <c r="GB64" s="20"/>
      <c r="GC64" s="20"/>
      <c r="GD64" s="20"/>
      <c r="GE64" s="20"/>
      <c r="GF64" s="20"/>
      <c r="GG64" s="20"/>
      <c r="GH64" s="20"/>
      <c r="GI64" s="20"/>
      <c r="GJ64" s="20"/>
      <c r="GK64" s="20"/>
      <c r="GL64" s="20"/>
      <c r="GM64" s="20"/>
      <c r="GN64" s="20"/>
      <c r="GO64" s="20"/>
      <c r="GP64" s="20"/>
      <c r="GQ64" s="20"/>
      <c r="GR64" s="20"/>
      <c r="GS64" s="20"/>
      <c r="GT64" s="20"/>
      <c r="GU64" s="20"/>
      <c r="GV64" s="20"/>
      <c r="GW64" s="20"/>
      <c r="GX64" s="20"/>
      <c r="GY64" s="20"/>
      <c r="GZ64" s="20"/>
      <c r="HA64" s="20"/>
      <c r="HB64" s="20"/>
      <c r="HC64" s="20"/>
      <c r="HD64" s="20"/>
      <c r="HE64" s="20"/>
      <c r="HF64" s="20"/>
      <c r="HG64" s="20"/>
      <c r="HH64" s="20"/>
      <c r="HI64" s="20"/>
      <c r="HJ64" s="20"/>
      <c r="HK64" s="20"/>
      <c r="HL64" s="20"/>
      <c r="HM64" s="20"/>
      <c r="HN64" s="20"/>
      <c r="HO64" s="20"/>
      <c r="HP64" s="20"/>
      <c r="HQ64" s="20"/>
      <c r="HR64" s="20"/>
      <c r="HS64" s="20"/>
      <c r="HT64" s="20"/>
      <c r="HU64" s="20"/>
      <c r="HV64" s="20"/>
      <c r="HW64" s="20"/>
      <c r="HX64" s="20"/>
      <c r="HY64" s="20"/>
      <c r="HZ64" s="20"/>
      <c r="IA64" s="20"/>
      <c r="IB64" s="20"/>
      <c r="IC64" s="20"/>
      <c r="ID64" s="20"/>
      <c r="IE64" s="20"/>
      <c r="IF64" s="20"/>
      <c r="IG64" s="20"/>
      <c r="IH64" s="20"/>
      <c r="II64" s="20"/>
      <c r="IJ64" s="20"/>
      <c r="IK64" s="20"/>
      <c r="IL64" s="20"/>
      <c r="IM64" s="20"/>
      <c r="IN64" s="20"/>
      <c r="IO64" s="20"/>
      <c r="IP64" s="20"/>
      <c r="IQ64" s="20"/>
      <c r="IR64" s="20"/>
      <c r="IS64" s="20"/>
      <c r="IT64" s="20"/>
      <c r="IU64" s="20"/>
      <c r="IV64" s="20"/>
      <c r="IW64" s="20"/>
      <c r="IX64" s="20"/>
      <c r="IY64" s="20"/>
      <c r="IZ64" s="20"/>
      <c r="JA64" s="20"/>
      <c r="JB64" s="20"/>
      <c r="JC64" s="20"/>
      <c r="JD64" s="20"/>
      <c r="JE64" s="20"/>
      <c r="JF64" s="20"/>
      <c r="JG64" s="20"/>
      <c r="JH64" s="20"/>
      <c r="JI64" s="20"/>
      <c r="JJ64" s="20"/>
      <c r="JK64" s="20"/>
      <c r="JL64" s="20"/>
      <c r="JM64" s="20"/>
      <c r="JN64" s="20"/>
      <c r="JO64" s="20"/>
      <c r="JP64" s="20"/>
      <c r="JQ64" s="20"/>
      <c r="JR64" s="20"/>
      <c r="JS64" s="20"/>
      <c r="JT64" s="20"/>
      <c r="JU64" s="20"/>
      <c r="JV64" s="20"/>
      <c r="JW64" s="20"/>
      <c r="JX64" s="20"/>
      <c r="JZ64" s="263"/>
      <c r="KA64" s="263"/>
      <c r="KB64" s="263"/>
      <c r="KC64" s="263"/>
      <c r="KD64" s="263"/>
      <c r="KE64" s="263"/>
      <c r="KF64" s="263"/>
      <c r="KG64" s="263"/>
      <c r="KH64" s="263"/>
      <c r="KI64" s="263"/>
      <c r="KJ64" s="263"/>
      <c r="KK64" s="263"/>
      <c r="KL64" s="263"/>
      <c r="KM64" s="263"/>
      <c r="KN64" s="263"/>
      <c r="KO64" s="263"/>
      <c r="KP64" s="263"/>
      <c r="KQ64" s="263"/>
      <c r="KR64" s="263"/>
      <c r="KS64" s="263"/>
      <c r="KT64" s="263"/>
      <c r="KU64" s="263"/>
      <c r="KV64" s="263"/>
      <c r="KW64" s="263"/>
      <c r="KX64" s="263"/>
      <c r="KY64" s="263"/>
      <c r="KZ64" s="263"/>
      <c r="LA64" s="263"/>
      <c r="LB64" s="263"/>
      <c r="LC64" s="263"/>
      <c r="LD64" s="263"/>
      <c r="LE64" s="263"/>
      <c r="LF64" s="263"/>
      <c r="LG64" s="263"/>
      <c r="LH64" s="263"/>
      <c r="LI64" s="263"/>
      <c r="LJ64" s="263"/>
      <c r="LK64" s="263"/>
      <c r="LL64" s="263"/>
      <c r="LM64" s="263"/>
      <c r="LN64" s="263"/>
      <c r="LO64" s="263"/>
      <c r="LP64" s="263"/>
      <c r="LQ64" s="263"/>
      <c r="LR64" s="263"/>
      <c r="LS64" s="263"/>
      <c r="LT64" s="263"/>
      <c r="LU64" s="263"/>
      <c r="LV64" s="263"/>
      <c r="LW64" s="263"/>
      <c r="LX64" s="263"/>
      <c r="LY64" s="263"/>
      <c r="LZ64" s="263"/>
      <c r="MA64" s="263"/>
      <c r="MB64" s="263"/>
      <c r="MC64" s="263"/>
      <c r="MD64" s="263"/>
      <c r="ME64" s="263"/>
      <c r="MF64" s="263"/>
      <c r="MG64" s="263"/>
      <c r="MH64" s="263"/>
      <c r="MI64" s="263"/>
      <c r="MJ64" s="263"/>
      <c r="MK64" s="263"/>
      <c r="ML64" s="263"/>
      <c r="MM64" s="263"/>
      <c r="MN64" s="263"/>
      <c r="MO64" s="263"/>
      <c r="MP64" s="263"/>
      <c r="MQ64" s="263"/>
      <c r="MR64" s="263"/>
      <c r="MS64" s="263"/>
      <c r="MT64" s="263"/>
      <c r="MU64" s="263"/>
      <c r="MV64" s="263"/>
      <c r="MW64" s="263"/>
      <c r="MX64" s="263"/>
      <c r="MY64" s="263"/>
      <c r="MZ64" s="263"/>
      <c r="NA64" s="263"/>
      <c r="NB64" s="263"/>
      <c r="NC64" s="263"/>
      <c r="ND64" s="263"/>
      <c r="NE64" s="263"/>
      <c r="NF64" s="263"/>
      <c r="NG64" s="263"/>
      <c r="NH64" s="263"/>
      <c r="NI64" s="263"/>
      <c r="NJ64" s="263"/>
      <c r="NK64" s="263"/>
      <c r="NL64" s="263"/>
      <c r="NM64" s="263"/>
      <c r="NN64" s="263"/>
      <c r="NO64" s="263"/>
      <c r="NP64" s="263"/>
      <c r="NQ64" s="263"/>
      <c r="NR64" s="263"/>
      <c r="NS64" s="263"/>
      <c r="NT64" s="263"/>
      <c r="NU64" s="263"/>
      <c r="NV64" s="263"/>
      <c r="NW64" s="263"/>
      <c r="NX64" s="263"/>
      <c r="NY64" s="263"/>
      <c r="NZ64" s="263"/>
      <c r="OA64" s="263"/>
      <c r="OB64" s="263"/>
      <c r="OC64" s="263"/>
      <c r="OD64" s="263"/>
      <c r="OE64" s="263"/>
      <c r="OF64" s="263"/>
      <c r="OG64" s="263"/>
      <c r="OH64" s="263"/>
      <c r="OI64" s="263"/>
      <c r="OJ64" s="263"/>
      <c r="OK64" s="263"/>
      <c r="OL64" s="263"/>
      <c r="OM64" s="263"/>
      <c r="ON64" s="263"/>
      <c r="OO64" s="263"/>
      <c r="OP64" s="263"/>
      <c r="OQ64" s="263"/>
      <c r="OR64" s="263"/>
      <c r="OS64" s="263"/>
      <c r="OT64" s="263"/>
      <c r="OU64" s="263"/>
      <c r="OV64" s="263"/>
      <c r="OW64" s="263"/>
      <c r="OX64" s="263"/>
      <c r="OY64" s="263"/>
      <c r="OZ64" s="263"/>
      <c r="PA64" s="263"/>
      <c r="PB64" s="263"/>
      <c r="PC64" s="263"/>
      <c r="PD64" s="263"/>
      <c r="PE64" s="263"/>
      <c r="PF64" s="263"/>
      <c r="PG64" s="263"/>
      <c r="PH64" s="263"/>
    </row>
    <row r="65">
      <c r="B65" s="430" t="s">
        <v>175</v>
      </c>
      <c r="C65" s="54" t="n">
        <f>PROJECTS!$AP$81</f>
        <v>0.5</v>
      </c>
      <c r="D65" s="454" t="s">
        <v>176</v>
      </c>
      <c r="E65" s="44" t="n">
        <f>PROJECTS!$AP$82</f>
        <v>0.065</v>
      </c>
      <c r="F65" s="58" t="n">
        <f>(C65/Debt_LTC_Target)*Debt_LTC_Actual</f>
        <v>0.5086913049442029</v>
      </c>
      <c r="G65" s="419" t="n">
        <f>I65/Units_SF_M2</f>
        <v>2720.1169714099756</v>
      </c>
      <c r="H65" s="449" t="n">
        <f>I65/Units</f>
        <v>2720.1169714099756</v>
      </c>
      <c r="I65" s="449" t="n">
        <f>I61</f>
        <v>213018833.90950716</v>
      </c>
      <c r="K65" s="22" t="str">
        <f>B65</f>
        <v>Construction Loan</v>
      </c>
      <c r="L65" s="206">
        <v>0.09</v>
      </c>
      <c r="M65" s="206">
        <v>0.09</v>
      </c>
      <c r="N65" s="206">
        <v>0.09</v>
      </c>
      <c r="O65" s="206">
        <v>0.09</v>
      </c>
      <c r="P65" s="206">
        <v>0.09</v>
      </c>
      <c r="Q65" s="206">
        <v>0.09</v>
      </c>
      <c r="R65" s="206">
        <v>0.09</v>
      </c>
      <c r="S65" s="206">
        <v>0.09</v>
      </c>
      <c r="T65" s="206">
        <v>0.09</v>
      </c>
      <c r="U65" s="206">
        <v>0.09</v>
      </c>
      <c r="V65" s="206">
        <v>0.09</v>
      </c>
      <c r="W65" s="206">
        <v>0.09</v>
      </c>
      <c r="X65" s="206">
        <v>0.09</v>
      </c>
      <c r="Y65" s="206">
        <v>0.09</v>
      </c>
      <c r="Z65" s="206">
        <v>0.09</v>
      </c>
      <c r="AA65" s="206">
        <v>0.09</v>
      </c>
      <c r="AB65" s="206">
        <v>0.09</v>
      </c>
      <c r="AC65" s="206">
        <v>0.09</v>
      </c>
      <c r="AD65" s="206">
        <v>0.09</v>
      </c>
      <c r="AE65" s="206">
        <v>0.09</v>
      </c>
      <c r="AF65" s="206">
        <v>0.09</v>
      </c>
      <c r="AG65" s="206">
        <v>0.09</v>
      </c>
      <c r="AH65" s="206">
        <v>0.09</v>
      </c>
      <c r="AI65" s="206">
        <v>0.09</v>
      </c>
      <c r="AJ65" s="206">
        <v>0.09</v>
      </c>
      <c r="AK65" s="206">
        <v>0.09</v>
      </c>
      <c r="AL65" s="206">
        <v>0.09</v>
      </c>
      <c r="AM65" s="206">
        <v>0.09</v>
      </c>
      <c r="AN65" s="206">
        <v>0.09</v>
      </c>
      <c r="AO65" s="206">
        <v>0.09</v>
      </c>
      <c r="AP65" s="206">
        <v>0.09</v>
      </c>
      <c r="AQ65" s="206">
        <v>0.09</v>
      </c>
      <c r="AR65" s="206">
        <v>0.09</v>
      </c>
      <c r="AS65" s="206">
        <v>0.09</v>
      </c>
      <c r="AT65" s="206">
        <v>0.09</v>
      </c>
      <c r="AU65" s="206">
        <v>0.09</v>
      </c>
      <c r="AV65" s="206">
        <v>0.09</v>
      </c>
      <c r="AW65" s="206">
        <v>0.09</v>
      </c>
      <c r="AX65" s="206">
        <v>0.09</v>
      </c>
      <c r="AY65" s="206">
        <v>0.09</v>
      </c>
      <c r="AZ65" s="206">
        <v>0.09</v>
      </c>
      <c r="BA65" s="206">
        <v>0.09</v>
      </c>
      <c r="BB65" s="206">
        <v>0.09</v>
      </c>
      <c r="BC65" s="206">
        <v>0.09</v>
      </c>
      <c r="BD65" s="206">
        <v>0.09</v>
      </c>
      <c r="BE65" s="206">
        <v>0.09</v>
      </c>
      <c r="BF65" s="206">
        <v>0.09</v>
      </c>
      <c r="BG65" s="206">
        <v>0.09</v>
      </c>
      <c r="BH65" s="206">
        <v>0.09</v>
      </c>
      <c r="BI65" s="206">
        <v>0.09</v>
      </c>
      <c r="BJ65" s="206">
        <v>0.09</v>
      </c>
      <c r="BK65" s="206">
        <v>0.09</v>
      </c>
      <c r="BL65" s="206">
        <v>0.09</v>
      </c>
      <c r="BM65" s="206">
        <v>0.09</v>
      </c>
      <c r="BN65" s="206">
        <v>0.09</v>
      </c>
      <c r="BO65" s="206">
        <v>0.09</v>
      </c>
      <c r="BP65" s="206">
        <v>0.09</v>
      </c>
      <c r="BQ65" s="206">
        <v>0.09</v>
      </c>
      <c r="BR65" s="206">
        <v>0.09</v>
      </c>
      <c r="BS65" s="206">
        <v>0.09</v>
      </c>
      <c r="BT65" s="206">
        <v>0.09</v>
      </c>
      <c r="BU65" s="206">
        <v>0.09</v>
      </c>
      <c r="BV65" s="206">
        <v>0.09</v>
      </c>
      <c r="BW65" s="206">
        <v>0.09</v>
      </c>
      <c r="BX65" s="206">
        <v>0.09</v>
      </c>
      <c r="BY65" s="206">
        <v>0.09</v>
      </c>
      <c r="BZ65" s="206">
        <v>0.09</v>
      </c>
      <c r="CA65" s="206">
        <v>0.09</v>
      </c>
      <c r="CB65" s="206">
        <v>0.09</v>
      </c>
      <c r="CC65" s="206">
        <v>0.09</v>
      </c>
      <c r="CD65" s="206">
        <v>0.09</v>
      </c>
      <c r="CE65" s="206">
        <v>0.09</v>
      </c>
      <c r="CF65" s="206">
        <v>0.09</v>
      </c>
      <c r="CG65" s="206">
        <v>0.09</v>
      </c>
      <c r="CH65" s="206">
        <v>0.09</v>
      </c>
      <c r="CI65" s="206">
        <v>0.09</v>
      </c>
      <c r="CJ65" s="206">
        <v>0.09</v>
      </c>
      <c r="CK65" s="206">
        <v>0.09</v>
      </c>
      <c r="CL65" s="206">
        <v>0.09</v>
      </c>
      <c r="CM65" s="206">
        <v>0.09</v>
      </c>
      <c r="CN65" s="206">
        <v>0.09</v>
      </c>
      <c r="CO65" s="206">
        <v>0.09</v>
      </c>
      <c r="CP65" s="206">
        <v>0.09</v>
      </c>
      <c r="CQ65" s="206">
        <v>0.09</v>
      </c>
      <c r="CR65" s="206">
        <v>0.09</v>
      </c>
      <c r="CS65" s="206">
        <v>0.09</v>
      </c>
      <c r="CT65" s="206">
        <v>0.09</v>
      </c>
      <c r="CU65" s="206">
        <v>0.09</v>
      </c>
      <c r="CV65" s="206">
        <v>0.09</v>
      </c>
      <c r="CW65" s="206">
        <v>0.09</v>
      </c>
      <c r="CX65" s="206">
        <v>0.09</v>
      </c>
      <c r="CY65" s="206">
        <v>0.09</v>
      </c>
      <c r="CZ65" s="206">
        <v>0.09</v>
      </c>
      <c r="DA65" s="206">
        <v>0.09</v>
      </c>
      <c r="DB65" s="206">
        <v>0.09</v>
      </c>
      <c r="DC65" s="206">
        <v>0.09</v>
      </c>
      <c r="DD65" s="206">
        <v>0.09</v>
      </c>
      <c r="DE65" s="206">
        <v>0.09</v>
      </c>
      <c r="DF65" s="206">
        <v>0.09</v>
      </c>
      <c r="DG65" s="206">
        <v>0.09</v>
      </c>
      <c r="DH65" s="206">
        <v>0.09</v>
      </c>
      <c r="DI65" s="206">
        <v>0.09</v>
      </c>
      <c r="DJ65" s="206">
        <v>0.09</v>
      </c>
      <c r="DK65" s="206">
        <v>0.09</v>
      </c>
      <c r="DL65" s="206">
        <v>0.09</v>
      </c>
      <c r="DM65" s="206">
        <v>0.09</v>
      </c>
      <c r="DN65" s="206">
        <v>0.09</v>
      </c>
      <c r="DO65" s="206">
        <v>0.09</v>
      </c>
      <c r="DP65" s="206">
        <v>0.09</v>
      </c>
      <c r="DQ65" s="206">
        <v>0.09</v>
      </c>
      <c r="DR65" s="206">
        <v>0.09</v>
      </c>
      <c r="DS65" s="206">
        <v>0.09</v>
      </c>
      <c r="DT65" s="206">
        <v>0.09</v>
      </c>
      <c r="DU65" s="206">
        <v>0.09</v>
      </c>
      <c r="DV65" s="206">
        <v>0.09</v>
      </c>
      <c r="DW65" s="206">
        <v>0.09</v>
      </c>
      <c r="DX65" s="206">
        <v>0.09</v>
      </c>
      <c r="DY65" s="206">
        <v>0.09</v>
      </c>
      <c r="DZ65" s="206">
        <v>0.09</v>
      </c>
      <c r="EA65" s="206">
        <v>0.09</v>
      </c>
      <c r="EB65" s="206">
        <v>0.09</v>
      </c>
      <c r="EC65" s="206">
        <v>0.09</v>
      </c>
      <c r="ED65" s="206">
        <v>0.09</v>
      </c>
      <c r="EE65" s="206">
        <v>0.09</v>
      </c>
      <c r="EF65" s="206">
        <v>0.09</v>
      </c>
      <c r="EG65" s="206">
        <v>0.09</v>
      </c>
      <c r="EH65" s="206">
        <v>0.09</v>
      </c>
      <c r="EI65" s="206">
        <v>0.09</v>
      </c>
      <c r="EJ65" s="206">
        <v>0.09</v>
      </c>
      <c r="EK65" s="206">
        <v>0.09</v>
      </c>
      <c r="EL65" s="206">
        <v>0.09</v>
      </c>
      <c r="EM65" s="206">
        <v>0.09</v>
      </c>
      <c r="EN65" s="206">
        <v>0.09</v>
      </c>
      <c r="EP65" s="220"/>
      <c r="EQ65" s="18"/>
      <c r="ER65" s="18"/>
      <c r="ES65" s="18"/>
      <c r="ET65" s="20"/>
      <c r="EU65" s="20"/>
      <c r="EV65" s="20"/>
      <c r="EW65" s="20"/>
      <c r="EX65" s="20"/>
      <c r="EY65" s="20"/>
      <c r="EZ65" s="20"/>
      <c r="FA65" s="20"/>
      <c r="FB65" s="20"/>
      <c r="FC65" s="20"/>
      <c r="FD65" s="20"/>
      <c r="FE65" s="20"/>
      <c r="FF65" s="20"/>
      <c r="FG65" s="20"/>
      <c r="FH65" s="20"/>
      <c r="FI65" s="20"/>
      <c r="FJ65" s="20"/>
      <c r="FK65" s="20"/>
      <c r="FL65" s="20"/>
      <c r="FM65" s="20"/>
      <c r="FN65" s="20"/>
      <c r="FO65" s="20"/>
      <c r="FP65" s="20"/>
      <c r="FQ65" s="20"/>
      <c r="FR65" s="20"/>
      <c r="FS65" s="20"/>
      <c r="FT65" s="20"/>
      <c r="FU65" s="20"/>
      <c r="FV65" s="20"/>
      <c r="FW65" s="20"/>
      <c r="FX65" s="20"/>
      <c r="FY65" s="20"/>
      <c r="FZ65" s="20"/>
      <c r="GA65" s="20"/>
      <c r="GB65" s="20"/>
      <c r="GC65" s="20"/>
      <c r="GD65" s="20"/>
      <c r="GE65" s="20"/>
      <c r="GF65" s="20"/>
      <c r="GG65" s="20"/>
      <c r="GH65" s="20"/>
      <c r="GI65" s="20"/>
      <c r="GJ65" s="20"/>
      <c r="GK65" s="20"/>
      <c r="GL65" s="20"/>
      <c r="GM65" s="20"/>
      <c r="GN65" s="20"/>
      <c r="GO65" s="20"/>
      <c r="GP65" s="20"/>
      <c r="GQ65" s="20"/>
      <c r="GR65" s="20"/>
      <c r="GS65" s="20"/>
      <c r="GT65" s="20"/>
      <c r="GU65" s="20"/>
      <c r="GV65" s="20"/>
      <c r="GW65" s="20"/>
      <c r="GX65" s="20"/>
      <c r="GY65" s="20"/>
      <c r="GZ65" s="20"/>
      <c r="HA65" s="20"/>
      <c r="HB65" s="20"/>
      <c r="HC65" s="20"/>
      <c r="HD65" s="20"/>
      <c r="HE65" s="20"/>
      <c r="HF65" s="20"/>
      <c r="HG65" s="20"/>
      <c r="HH65" s="20"/>
      <c r="HI65" s="20"/>
      <c r="HJ65" s="20"/>
      <c r="HK65" s="20"/>
      <c r="HL65" s="20"/>
      <c r="HM65" s="20"/>
      <c r="HN65" s="20"/>
      <c r="HO65" s="20"/>
      <c r="HP65" s="20"/>
      <c r="HQ65" s="20"/>
      <c r="HR65" s="20"/>
      <c r="HS65" s="20"/>
      <c r="HT65" s="20"/>
      <c r="HU65" s="20"/>
      <c r="HV65" s="20"/>
      <c r="HW65" s="20"/>
      <c r="HX65" s="20"/>
      <c r="HY65" s="20"/>
      <c r="HZ65" s="20"/>
      <c r="IA65" s="20"/>
      <c r="IB65" s="20"/>
      <c r="IC65" s="20"/>
      <c r="ID65" s="20"/>
      <c r="IE65" s="20"/>
      <c r="IF65" s="20"/>
      <c r="IG65" s="20"/>
      <c r="IH65" s="20"/>
      <c r="II65" s="20"/>
      <c r="IJ65" s="20"/>
      <c r="IK65" s="20"/>
      <c r="IL65" s="20"/>
      <c r="IM65" s="20"/>
      <c r="IN65" s="20"/>
      <c r="IO65" s="20"/>
      <c r="IP65" s="20"/>
      <c r="IQ65" s="20"/>
      <c r="IR65" s="20"/>
      <c r="IS65" s="20"/>
      <c r="IT65" s="20"/>
      <c r="IU65" s="20"/>
      <c r="IV65" s="20"/>
      <c r="IW65" s="20"/>
      <c r="IX65" s="20"/>
      <c r="IY65" s="20"/>
      <c r="IZ65" s="20"/>
      <c r="JA65" s="20"/>
      <c r="JB65" s="20"/>
      <c r="JC65" s="20"/>
      <c r="JD65" s="20"/>
      <c r="JE65" s="20"/>
      <c r="JF65" s="20"/>
      <c r="JG65" s="20"/>
      <c r="JH65" s="20"/>
      <c r="JI65" s="20"/>
      <c r="JJ65" s="20"/>
      <c r="JK65" s="20"/>
      <c r="JL65" s="20"/>
      <c r="JM65" s="20"/>
      <c r="JN65" s="20"/>
      <c r="JO65" s="20"/>
      <c r="JP65" s="20"/>
      <c r="JQ65" s="20"/>
      <c r="JR65" s="20"/>
      <c r="JS65" s="20"/>
      <c r="JT65" s="20"/>
      <c r="JU65" s="20"/>
      <c r="JV65" s="20"/>
      <c r="JW65" s="20"/>
      <c r="JX65" s="20"/>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3"/>
      <c r="MK65" s="263"/>
      <c r="ML65" s="263"/>
      <c r="MM65" s="263"/>
      <c r="MN65" s="263"/>
      <c r="MO65" s="263"/>
      <c r="MP65" s="263"/>
      <c r="MQ65" s="263"/>
      <c r="MR65" s="263"/>
      <c r="MS65" s="263"/>
      <c r="MT65" s="263"/>
      <c r="MU65" s="263"/>
      <c r="MV65" s="263"/>
      <c r="MW65" s="263"/>
      <c r="MX65" s="263"/>
      <c r="MY65" s="263"/>
      <c r="MZ65" s="263"/>
      <c r="NA65" s="263"/>
      <c r="NB65" s="263"/>
      <c r="NC65" s="263"/>
      <c r="ND65" s="263"/>
      <c r="NE65" s="263"/>
      <c r="NF65" s="263"/>
      <c r="NG65" s="263"/>
      <c r="NH65" s="263"/>
      <c r="NI65" s="263"/>
      <c r="NJ65" s="263"/>
      <c r="NK65" s="263"/>
      <c r="NL65" s="263"/>
      <c r="NM65" s="263"/>
      <c r="NN65" s="263"/>
      <c r="NO65" s="263"/>
      <c r="NP65" s="263"/>
      <c r="NQ65" s="263"/>
      <c r="NR65" s="263"/>
      <c r="NS65" s="263"/>
      <c r="NT65" s="263"/>
      <c r="NU65" s="263"/>
      <c r="NV65" s="263"/>
      <c r="NW65" s="263"/>
      <c r="NX65" s="263"/>
      <c r="NY65" s="263"/>
      <c r="NZ65" s="263"/>
      <c r="OA65" s="263"/>
      <c r="OB65" s="263"/>
      <c r="OC65" s="263"/>
      <c r="OD65" s="263"/>
      <c r="OE65" s="263"/>
      <c r="OF65" s="263"/>
      <c r="OG65" s="263"/>
      <c r="OH65" s="263"/>
      <c r="OI65" s="263"/>
      <c r="OJ65" s="263"/>
      <c r="OK65" s="263"/>
      <c r="OL65" s="263"/>
      <c r="OM65" s="263"/>
      <c r="ON65" s="263"/>
      <c r="OO65" s="263"/>
      <c r="OP65" s="263"/>
      <c r="OQ65" s="263"/>
      <c r="OR65" s="263"/>
      <c r="OS65" s="263"/>
      <c r="OT65" s="263"/>
      <c r="OU65" s="263"/>
      <c r="OV65" s="263"/>
      <c r="OW65" s="263"/>
      <c r="OX65" s="263"/>
      <c r="OY65" s="263"/>
      <c r="OZ65" s="263"/>
      <c r="PA65" s="263"/>
      <c r="PB65" s="263"/>
      <c r="PC65" s="263"/>
      <c r="PD65" s="263"/>
      <c r="PE65" s="263"/>
      <c r="PF65" s="263"/>
      <c r="PG65" s="263"/>
      <c r="PH65" s="263"/>
    </row>
    <row r="66">
      <c r="B66" s="430" t="s">
        <v>177</v>
      </c>
      <c r="C66" s="58" t="n">
        <f>Debt_LTC_Target-C65</f>
        <v>0</v>
      </c>
      <c r="D66" s="455" t="s">
        <v>178</v>
      </c>
      <c r="E66" s="44">
        <v>0.15</v>
      </c>
      <c r="F66" s="58" t="n">
        <f>(C66/Debt_LTC_Target)*Debt_LTC_Actual</f>
        <v>0</v>
      </c>
      <c r="G66" s="419" t="n">
        <f>I66/Units_SF_M2</f>
        <v>0</v>
      </c>
      <c r="H66" s="449" t="n">
        <f>I66/Units</f>
        <v>0</v>
      </c>
      <c r="I66" s="449" t="n">
        <f>0</f>
        <v>0</v>
      </c>
      <c r="K66" s="22" t="str">
        <f>B66</f>
        <v>Mezzanine Loan</v>
      </c>
      <c r="L66" s="206" t="n">
        <f t="shared" ref="L66:AQ66" si="492">Interest_Mezz_Loan</f>
        <v>0.15</v>
      </c>
      <c r="M66" s="206">
        <f t="shared" si="492"/>
        <v>0.15</v>
      </c>
      <c r="N66" s="206">
        <f t="shared" si="492"/>
        <v>0.15</v>
      </c>
      <c r="O66" s="206">
        <f t="shared" si="492"/>
        <v>0.15</v>
      </c>
      <c r="P66" s="206">
        <f t="shared" si="492"/>
        <v>0.15</v>
      </c>
      <c r="Q66" s="206">
        <f t="shared" si="492"/>
        <v>0.15</v>
      </c>
      <c r="R66" s="206">
        <f t="shared" si="492"/>
        <v>0.15</v>
      </c>
      <c r="S66" s="206">
        <f t="shared" si="492"/>
        <v>0.15</v>
      </c>
      <c r="T66" s="206">
        <f t="shared" si="492"/>
        <v>0.15</v>
      </c>
      <c r="U66" s="206">
        <f t="shared" si="492"/>
        <v>0.15</v>
      </c>
      <c r="V66" s="206">
        <f t="shared" si="492"/>
        <v>0.15</v>
      </c>
      <c r="W66" s="206">
        <f t="shared" si="492"/>
        <v>0.15</v>
      </c>
      <c r="X66" s="206">
        <f t="shared" si="492"/>
        <v>0.15</v>
      </c>
      <c r="Y66" s="206">
        <f t="shared" si="492"/>
        <v>0.15</v>
      </c>
      <c r="Z66" s="206">
        <f t="shared" si="492"/>
        <v>0.15</v>
      </c>
      <c r="AA66" s="206">
        <f t="shared" si="492"/>
        <v>0.15</v>
      </c>
      <c r="AB66" s="206">
        <f t="shared" si="492"/>
        <v>0.15</v>
      </c>
      <c r="AC66" s="206">
        <f t="shared" si="492"/>
        <v>0.15</v>
      </c>
      <c r="AD66" s="206">
        <f t="shared" si="492"/>
        <v>0.15</v>
      </c>
      <c r="AE66" s="206">
        <f t="shared" si="492"/>
        <v>0.15</v>
      </c>
      <c r="AF66" s="206">
        <f t="shared" si="492"/>
        <v>0.15</v>
      </c>
      <c r="AG66" s="206">
        <f t="shared" si="492"/>
        <v>0.15</v>
      </c>
      <c r="AH66" s="206">
        <f t="shared" si="492"/>
        <v>0.15</v>
      </c>
      <c r="AI66" s="206">
        <f t="shared" si="492"/>
        <v>0.15</v>
      </c>
      <c r="AJ66" s="206">
        <f t="shared" si="492"/>
        <v>0.15</v>
      </c>
      <c r="AK66" s="206">
        <f t="shared" si="492"/>
        <v>0.15</v>
      </c>
      <c r="AL66" s="206">
        <f t="shared" si="492"/>
        <v>0.15</v>
      </c>
      <c r="AM66" s="206">
        <f t="shared" si="492"/>
        <v>0.15</v>
      </c>
      <c r="AN66" s="206">
        <f t="shared" si="492"/>
        <v>0.15</v>
      </c>
      <c r="AO66" s="206">
        <f t="shared" si="492"/>
        <v>0.15</v>
      </c>
      <c r="AP66" s="206">
        <f t="shared" si="492"/>
        <v>0.15</v>
      </c>
      <c r="AQ66" s="206">
        <f t="shared" si="492"/>
        <v>0.15</v>
      </c>
      <c r="AR66" s="206" t="n">
        <f t="shared" ref="AR66:BW66" si="493">Interest_Mezz_Loan</f>
        <v>0.15</v>
      </c>
      <c r="AS66" s="206">
        <f t="shared" si="493"/>
        <v>0.15</v>
      </c>
      <c r="AT66" s="206">
        <f t="shared" si="493"/>
        <v>0.15</v>
      </c>
      <c r="AU66" s="206">
        <f t="shared" si="493"/>
        <v>0.15</v>
      </c>
      <c r="AV66" s="206">
        <f t="shared" si="493"/>
        <v>0.15</v>
      </c>
      <c r="AW66" s="206">
        <f t="shared" si="493"/>
        <v>0.15</v>
      </c>
      <c r="AX66" s="206">
        <f t="shared" si="493"/>
        <v>0.15</v>
      </c>
      <c r="AY66" s="206">
        <f t="shared" si="493"/>
        <v>0.15</v>
      </c>
      <c r="AZ66" s="206">
        <f t="shared" si="493"/>
        <v>0.15</v>
      </c>
      <c r="BA66" s="206">
        <f t="shared" si="493"/>
        <v>0.15</v>
      </c>
      <c r="BB66" s="206">
        <f t="shared" si="493"/>
        <v>0.15</v>
      </c>
      <c r="BC66" s="206">
        <f t="shared" si="493"/>
        <v>0.15</v>
      </c>
      <c r="BD66" s="206">
        <f t="shared" si="493"/>
        <v>0.15</v>
      </c>
      <c r="BE66" s="206">
        <f t="shared" si="493"/>
        <v>0.15</v>
      </c>
      <c r="BF66" s="206">
        <f t="shared" si="493"/>
        <v>0.15</v>
      </c>
      <c r="BG66" s="206">
        <f t="shared" si="493"/>
        <v>0.15</v>
      </c>
      <c r="BH66" s="206">
        <f t="shared" si="493"/>
        <v>0.15</v>
      </c>
      <c r="BI66" s="206">
        <f t="shared" si="493"/>
        <v>0.15</v>
      </c>
      <c r="BJ66" s="206">
        <f t="shared" si="493"/>
        <v>0.15</v>
      </c>
      <c r="BK66" s="206">
        <f t="shared" si="493"/>
        <v>0.15</v>
      </c>
      <c r="BL66" s="206">
        <f t="shared" si="493"/>
        <v>0.15</v>
      </c>
      <c r="BM66" s="206">
        <f t="shared" si="493"/>
        <v>0.15</v>
      </c>
      <c r="BN66" s="206">
        <f t="shared" si="493"/>
        <v>0.15</v>
      </c>
      <c r="BO66" s="206">
        <f t="shared" si="493"/>
        <v>0.15</v>
      </c>
      <c r="BP66" s="206">
        <f t="shared" si="493"/>
        <v>0.15</v>
      </c>
      <c r="BQ66" s="206">
        <f t="shared" si="493"/>
        <v>0.15</v>
      </c>
      <c r="BR66" s="206">
        <f t="shared" si="493"/>
        <v>0.15</v>
      </c>
      <c r="BS66" s="206">
        <f t="shared" si="493"/>
        <v>0.15</v>
      </c>
      <c r="BT66" s="206">
        <f t="shared" si="493"/>
        <v>0.15</v>
      </c>
      <c r="BU66" s="206">
        <f t="shared" si="493"/>
        <v>0.15</v>
      </c>
      <c r="BV66" s="206">
        <f t="shared" si="493"/>
        <v>0.15</v>
      </c>
      <c r="BW66" s="206">
        <f t="shared" si="493"/>
        <v>0.15</v>
      </c>
      <c r="BX66" s="206" t="n">
        <f t="shared" ref="BX66:DC66" si="494">Interest_Mezz_Loan</f>
        <v>0.15</v>
      </c>
      <c r="BY66" s="206">
        <f t="shared" si="494"/>
        <v>0.15</v>
      </c>
      <c r="BZ66" s="206">
        <f t="shared" si="494"/>
        <v>0.15</v>
      </c>
      <c r="CA66" s="206">
        <f t="shared" si="494"/>
        <v>0.15</v>
      </c>
      <c r="CB66" s="206">
        <f t="shared" si="494"/>
        <v>0.15</v>
      </c>
      <c r="CC66" s="206">
        <f t="shared" si="494"/>
        <v>0.15</v>
      </c>
      <c r="CD66" s="206">
        <f t="shared" si="494"/>
        <v>0.15</v>
      </c>
      <c r="CE66" s="206">
        <f t="shared" si="494"/>
        <v>0.15</v>
      </c>
      <c r="CF66" s="206">
        <f t="shared" si="494"/>
        <v>0.15</v>
      </c>
      <c r="CG66" s="206">
        <f t="shared" si="494"/>
        <v>0.15</v>
      </c>
      <c r="CH66" s="206">
        <f t="shared" si="494"/>
        <v>0.15</v>
      </c>
      <c r="CI66" s="206">
        <f t="shared" si="494"/>
        <v>0.15</v>
      </c>
      <c r="CJ66" s="206">
        <f t="shared" si="494"/>
        <v>0.15</v>
      </c>
      <c r="CK66" s="206">
        <f t="shared" si="494"/>
        <v>0.15</v>
      </c>
      <c r="CL66" s="206">
        <f t="shared" si="494"/>
        <v>0.15</v>
      </c>
      <c r="CM66" s="206">
        <f t="shared" si="494"/>
        <v>0.15</v>
      </c>
      <c r="CN66" s="206">
        <f t="shared" si="494"/>
        <v>0.15</v>
      </c>
      <c r="CO66" s="206">
        <f t="shared" si="494"/>
        <v>0.15</v>
      </c>
      <c r="CP66" s="206">
        <f t="shared" si="494"/>
        <v>0.15</v>
      </c>
      <c r="CQ66" s="206">
        <f t="shared" si="494"/>
        <v>0.15</v>
      </c>
      <c r="CR66" s="206">
        <f t="shared" si="494"/>
        <v>0.15</v>
      </c>
      <c r="CS66" s="206">
        <f t="shared" si="494"/>
        <v>0.15</v>
      </c>
      <c r="CT66" s="206">
        <f t="shared" si="494"/>
        <v>0.15</v>
      </c>
      <c r="CU66" s="206">
        <f t="shared" si="494"/>
        <v>0.15</v>
      </c>
      <c r="CV66" s="206">
        <f t="shared" si="494"/>
        <v>0.15</v>
      </c>
      <c r="CW66" s="206">
        <f t="shared" si="494"/>
        <v>0.15</v>
      </c>
      <c r="CX66" s="206">
        <f t="shared" si="494"/>
        <v>0.15</v>
      </c>
      <c r="CY66" s="206">
        <f t="shared" si="494"/>
        <v>0.15</v>
      </c>
      <c r="CZ66" s="206">
        <f t="shared" si="494"/>
        <v>0.15</v>
      </c>
      <c r="DA66" s="206">
        <f t="shared" si="494"/>
        <v>0.15</v>
      </c>
      <c r="DB66" s="206">
        <f t="shared" si="494"/>
        <v>0.15</v>
      </c>
      <c r="DC66" s="206">
        <f t="shared" si="494"/>
        <v>0.15</v>
      </c>
      <c r="DD66" s="206" t="n">
        <f t="shared" ref="DD66:EN66" si="495">Interest_Mezz_Loan</f>
        <v>0.15</v>
      </c>
      <c r="DE66" s="206">
        <f t="shared" si="495"/>
        <v>0.15</v>
      </c>
      <c r="DF66" s="206">
        <f t="shared" si="495"/>
        <v>0.15</v>
      </c>
      <c r="DG66" s="206">
        <f t="shared" si="495"/>
        <v>0.15</v>
      </c>
      <c r="DH66" s="206">
        <f t="shared" si="495"/>
        <v>0.15</v>
      </c>
      <c r="DI66" s="206">
        <f t="shared" si="495"/>
        <v>0.15</v>
      </c>
      <c r="DJ66" s="206">
        <f t="shared" si="495"/>
        <v>0.15</v>
      </c>
      <c r="DK66" s="206">
        <f t="shared" si="495"/>
        <v>0.15</v>
      </c>
      <c r="DL66" s="206">
        <f t="shared" si="495"/>
        <v>0.15</v>
      </c>
      <c r="DM66" s="206">
        <f t="shared" si="495"/>
        <v>0.15</v>
      </c>
      <c r="DN66" s="206">
        <f t="shared" si="495"/>
        <v>0.15</v>
      </c>
      <c r="DO66" s="206">
        <f t="shared" si="495"/>
        <v>0.15</v>
      </c>
      <c r="DP66" s="206">
        <f t="shared" si="495"/>
        <v>0.15</v>
      </c>
      <c r="DQ66" s="206">
        <f t="shared" si="495"/>
        <v>0.15</v>
      </c>
      <c r="DR66" s="206">
        <f t="shared" si="495"/>
        <v>0.15</v>
      </c>
      <c r="DS66" s="206">
        <f t="shared" si="495"/>
        <v>0.15</v>
      </c>
      <c r="DT66" s="206">
        <f t="shared" si="495"/>
        <v>0.15</v>
      </c>
      <c r="DU66" s="206">
        <f t="shared" si="495"/>
        <v>0.15</v>
      </c>
      <c r="DV66" s="206">
        <f t="shared" si="495"/>
        <v>0.15</v>
      </c>
      <c r="DW66" s="206">
        <f t="shared" si="495"/>
        <v>0.15</v>
      </c>
      <c r="DX66" s="206">
        <f t="shared" si="495"/>
        <v>0.15</v>
      </c>
      <c r="DY66" s="206">
        <f t="shared" si="495"/>
        <v>0.15</v>
      </c>
      <c r="DZ66" s="206">
        <f t="shared" si="495"/>
        <v>0.15</v>
      </c>
      <c r="EA66" s="206">
        <f t="shared" si="495"/>
        <v>0.15</v>
      </c>
      <c r="EB66" s="206">
        <f t="shared" si="495"/>
        <v>0.15</v>
      </c>
      <c r="EC66" s="206">
        <f t="shared" si="495"/>
        <v>0.15</v>
      </c>
      <c r="ED66" s="206">
        <f t="shared" si="495"/>
        <v>0.15</v>
      </c>
      <c r="EE66" s="206">
        <f t="shared" si="495"/>
        <v>0.15</v>
      </c>
      <c r="EF66" s="206">
        <f t="shared" si="495"/>
        <v>0.15</v>
      </c>
      <c r="EG66" s="206">
        <f t="shared" si="495"/>
        <v>0.15</v>
      </c>
      <c r="EH66" s="206">
        <f t="shared" si="495"/>
        <v>0.15</v>
      </c>
      <c r="EI66" s="206">
        <f t="shared" si="495"/>
        <v>0.15</v>
      </c>
      <c r="EJ66" s="206">
        <f t="shared" si="495"/>
        <v>0.15</v>
      </c>
      <c r="EK66" s="206">
        <f t="shared" si="495"/>
        <v>0.15</v>
      </c>
      <c r="EL66" s="206">
        <f t="shared" si="495"/>
        <v>0.15</v>
      </c>
      <c r="EM66" s="206">
        <f t="shared" si="495"/>
        <v>0.15</v>
      </c>
      <c r="EN66" s="206">
        <f t="shared" si="495"/>
        <v>0.15</v>
      </c>
      <c r="EP66" s="220"/>
      <c r="EQ66" s="18"/>
      <c r="ER66" s="18"/>
      <c r="ES66" s="18"/>
      <c r="ET66" s="18" t="s">
        <v>179</v>
      </c>
      <c r="EU66" s="20"/>
      <c r="EV66" s="267" t="n">
        <f>IFERROR((EV67*EV86+EV68*EV87)/SUM(EV86:EV87),EV67)</f>
        <v>0.09</v>
      </c>
      <c r="EW66" s="267" t="n">
        <f t="shared" ref="EW66:HH66" si="496">IFERROR((EW67*EW86+EW68*EW87)/SUM(EW86:EW87),EW67)</f>
        <v>0.09</v>
      </c>
      <c r="EX66" s="267">
        <f t="shared" si="496"/>
        <v>0.09</v>
      </c>
      <c r="EY66" s="267">
        <f t="shared" si="496"/>
        <v>0.09</v>
      </c>
      <c r="EZ66" s="267">
        <f t="shared" si="496"/>
        <v>0.09</v>
      </c>
      <c r="FA66" s="267">
        <f t="shared" si="496"/>
        <v>0.09</v>
      </c>
      <c r="FB66" s="267">
        <f t="shared" si="496"/>
        <v>0.09</v>
      </c>
      <c r="FC66" s="267">
        <f t="shared" si="496"/>
        <v>0.09</v>
      </c>
      <c r="FD66" s="267">
        <f t="shared" si="496"/>
        <v>0.09</v>
      </c>
      <c r="FE66" s="267">
        <f t="shared" si="496"/>
        <v>0.09</v>
      </c>
      <c r="FF66" s="267">
        <f t="shared" si="496"/>
        <v>0.09</v>
      </c>
      <c r="FG66" s="267">
        <f t="shared" si="496"/>
        <v>0.09</v>
      </c>
      <c r="FH66" s="267">
        <f t="shared" si="496"/>
        <v>0.09</v>
      </c>
      <c r="FI66" s="267">
        <f t="shared" si="496"/>
        <v>0.09</v>
      </c>
      <c r="FJ66" s="267">
        <f t="shared" si="496"/>
        <v>0.09</v>
      </c>
      <c r="FK66" s="267">
        <f t="shared" si="496"/>
        <v>0.09</v>
      </c>
      <c r="FL66" s="267">
        <f t="shared" si="496"/>
        <v>0.09</v>
      </c>
      <c r="FM66" s="267">
        <f t="shared" si="496"/>
        <v>0.09</v>
      </c>
      <c r="FN66" s="267">
        <f t="shared" si="496"/>
        <v>0.09</v>
      </c>
      <c r="FO66" s="267">
        <f t="shared" si="496"/>
        <v>0.09</v>
      </c>
      <c r="FP66" s="267">
        <f t="shared" si="496"/>
        <v>9.0000000000000011E-2</v>
      </c>
      <c r="FQ66" s="267">
        <f t="shared" si="496"/>
        <v>0.09</v>
      </c>
      <c r="FR66" s="267">
        <f t="shared" si="496"/>
        <v>0.09</v>
      </c>
      <c r="FS66" s="267">
        <f t="shared" si="496"/>
        <v>0.09</v>
      </c>
      <c r="FT66" s="267">
        <f t="shared" si="496"/>
        <v>0.09</v>
      </c>
      <c r="FU66" s="267">
        <f t="shared" si="496"/>
        <v>0.09</v>
      </c>
      <c r="FV66" s="267">
        <f t="shared" si="496"/>
        <v>0.09</v>
      </c>
      <c r="FW66" s="267">
        <f t="shared" si="496"/>
        <v>0.09</v>
      </c>
      <c r="FX66" s="267">
        <f t="shared" si="496"/>
        <v>0.09</v>
      </c>
      <c r="FY66" s="267">
        <f t="shared" si="496"/>
        <v>0.09</v>
      </c>
      <c r="FZ66" s="267">
        <f t="shared" si="496"/>
        <v>0.09</v>
      </c>
      <c r="GA66" s="267">
        <f t="shared" si="496"/>
        <v>0.09</v>
      </c>
      <c r="GB66" s="267">
        <f t="shared" si="496"/>
        <v>0.09</v>
      </c>
      <c r="GC66" s="267">
        <f t="shared" si="496"/>
        <v>0.09</v>
      </c>
      <c r="GD66" s="267">
        <f t="shared" si="496"/>
        <v>0.09</v>
      </c>
      <c r="GE66" s="267">
        <f t="shared" si="496"/>
        <v>0.09</v>
      </c>
      <c r="GF66" s="267">
        <f t="shared" si="496"/>
        <v>0.09</v>
      </c>
      <c r="GG66" s="267">
        <f t="shared" si="496"/>
        <v>0.09</v>
      </c>
      <c r="GH66" s="267">
        <f t="shared" si="496"/>
        <v>0.09</v>
      </c>
      <c r="GI66" s="267">
        <f t="shared" si="496"/>
        <v>0.09</v>
      </c>
      <c r="GJ66" s="267">
        <f t="shared" si="496"/>
        <v>0.09</v>
      </c>
      <c r="GK66" s="267">
        <f t="shared" si="496"/>
        <v>0.09</v>
      </c>
      <c r="GL66" s="267">
        <f t="shared" si="496"/>
        <v>0.09</v>
      </c>
      <c r="GM66" s="267">
        <f t="shared" si="496"/>
        <v>0.09</v>
      </c>
      <c r="GN66" s="267">
        <f t="shared" si="496"/>
        <v>0.09</v>
      </c>
      <c r="GO66" s="267">
        <f t="shared" si="496"/>
        <v>0.09</v>
      </c>
      <c r="GP66" s="267">
        <f t="shared" si="496"/>
        <v>0.09</v>
      </c>
      <c r="GQ66" s="267">
        <f t="shared" si="496"/>
        <v>0.09</v>
      </c>
      <c r="GR66" s="267">
        <f t="shared" si="496"/>
        <v>0.09</v>
      </c>
      <c r="GS66" s="267">
        <f t="shared" si="496"/>
        <v>0.09</v>
      </c>
      <c r="GT66" s="267">
        <f t="shared" si="496"/>
        <v>0.09</v>
      </c>
      <c r="GU66" s="267">
        <f t="shared" si="496"/>
        <v>0.09</v>
      </c>
      <c r="GV66" s="267">
        <f t="shared" si="496"/>
        <v>0.09</v>
      </c>
      <c r="GW66" s="267">
        <f t="shared" si="496"/>
        <v>0.09</v>
      </c>
      <c r="GX66" s="267">
        <f t="shared" si="496"/>
        <v>0.09</v>
      </c>
      <c r="GY66" s="267">
        <f t="shared" si="496"/>
        <v>0.09</v>
      </c>
      <c r="GZ66" s="267">
        <f t="shared" si="496"/>
        <v>0.09</v>
      </c>
      <c r="HA66" s="267">
        <f t="shared" si="496"/>
        <v>0.09</v>
      </c>
      <c r="HB66" s="267">
        <f t="shared" si="496"/>
        <v>0.09</v>
      </c>
      <c r="HC66" s="267">
        <f t="shared" si="496"/>
        <v>0.09</v>
      </c>
      <c r="HD66" s="267">
        <f t="shared" si="496"/>
        <v>0.09</v>
      </c>
      <c r="HE66" s="267">
        <f t="shared" si="496"/>
        <v>0.09</v>
      </c>
      <c r="HF66" s="267">
        <f t="shared" si="496"/>
        <v>0.09</v>
      </c>
      <c r="HG66" s="267">
        <f t="shared" si="496"/>
        <v>0.09</v>
      </c>
      <c r="HH66" s="267">
        <f t="shared" si="496"/>
        <v>0.09</v>
      </c>
      <c r="HI66" s="267" t="n">
        <f t="shared" ref="HI66:JT66" si="497">IFERROR((HI67*HI86+HI68*HI87)/SUM(HI86:HI87),HI67)</f>
        <v>0.09</v>
      </c>
      <c r="HJ66" s="267">
        <f t="shared" si="497"/>
        <v>0.09</v>
      </c>
      <c r="HK66" s="267">
        <f t="shared" si="497"/>
        <v>0.09</v>
      </c>
      <c r="HL66" s="267">
        <f t="shared" si="497"/>
        <v>0.09</v>
      </c>
      <c r="HM66" s="267">
        <f t="shared" si="497"/>
        <v>0.09</v>
      </c>
      <c r="HN66" s="267">
        <f t="shared" si="497"/>
        <v>0.09</v>
      </c>
      <c r="HO66" s="267">
        <f t="shared" si="497"/>
        <v>0.09</v>
      </c>
      <c r="HP66" s="267">
        <f t="shared" si="497"/>
        <v>0.09</v>
      </c>
      <c r="HQ66" s="267">
        <f t="shared" si="497"/>
        <v>0.09</v>
      </c>
      <c r="HR66" s="267">
        <f t="shared" si="497"/>
        <v>0.09</v>
      </c>
      <c r="HS66" s="267">
        <f t="shared" si="497"/>
        <v>0.09</v>
      </c>
      <c r="HT66" s="267">
        <f t="shared" si="497"/>
        <v>0.09</v>
      </c>
      <c r="HU66" s="267">
        <f t="shared" si="497"/>
        <v>0.09</v>
      </c>
      <c r="HV66" s="267">
        <f t="shared" si="497"/>
        <v>0.09</v>
      </c>
      <c r="HW66" s="267">
        <f t="shared" si="497"/>
        <v>0.09</v>
      </c>
      <c r="HX66" s="267">
        <f t="shared" si="497"/>
        <v>0.09</v>
      </c>
      <c r="HY66" s="267">
        <f t="shared" si="497"/>
        <v>0.09</v>
      </c>
      <c r="HZ66" s="267">
        <f t="shared" si="497"/>
        <v>0.09</v>
      </c>
      <c r="IA66" s="267">
        <f t="shared" si="497"/>
        <v>0.09</v>
      </c>
      <c r="IB66" s="267">
        <f t="shared" si="497"/>
        <v>0.09</v>
      </c>
      <c r="IC66" s="267">
        <f t="shared" si="497"/>
        <v>0.09</v>
      </c>
      <c r="ID66" s="267">
        <f t="shared" si="497"/>
        <v>0.09</v>
      </c>
      <c r="IE66" s="267">
        <f t="shared" si="497"/>
        <v>0.09</v>
      </c>
      <c r="IF66" s="267">
        <f t="shared" si="497"/>
        <v>0.09</v>
      </c>
      <c r="IG66" s="267">
        <f t="shared" si="497"/>
        <v>0.09</v>
      </c>
      <c r="IH66" s="267">
        <f t="shared" si="497"/>
        <v>0.09</v>
      </c>
      <c r="II66" s="267">
        <f t="shared" si="497"/>
        <v>0.09</v>
      </c>
      <c r="IJ66" s="267">
        <f t="shared" si="497"/>
        <v>0.09</v>
      </c>
      <c r="IK66" s="267">
        <f t="shared" si="497"/>
        <v>0.09</v>
      </c>
      <c r="IL66" s="267">
        <f t="shared" si="497"/>
        <v>0.09</v>
      </c>
      <c r="IM66" s="267">
        <f t="shared" si="497"/>
        <v>0.09</v>
      </c>
      <c r="IN66" s="267">
        <f t="shared" si="497"/>
        <v>0.09</v>
      </c>
      <c r="IO66" s="267">
        <f t="shared" si="497"/>
        <v>0.09</v>
      </c>
      <c r="IP66" s="267">
        <f t="shared" si="497"/>
        <v>0.09</v>
      </c>
      <c r="IQ66" s="267">
        <f t="shared" si="497"/>
        <v>0.09</v>
      </c>
      <c r="IR66" s="267">
        <f t="shared" si="497"/>
        <v>0.09</v>
      </c>
      <c r="IS66" s="267">
        <f t="shared" si="497"/>
        <v>0.09</v>
      </c>
      <c r="IT66" s="267">
        <f t="shared" si="497"/>
        <v>0.09</v>
      </c>
      <c r="IU66" s="267">
        <f t="shared" si="497"/>
        <v>0.09</v>
      </c>
      <c r="IV66" s="267">
        <f t="shared" si="497"/>
        <v>0.09</v>
      </c>
      <c r="IW66" s="267">
        <f t="shared" si="497"/>
        <v>0.09</v>
      </c>
      <c r="IX66" s="267">
        <f t="shared" si="497"/>
        <v>0.09</v>
      </c>
      <c r="IY66" s="267">
        <f t="shared" si="497"/>
        <v>0.09</v>
      </c>
      <c r="IZ66" s="267">
        <f t="shared" si="497"/>
        <v>0.09</v>
      </c>
      <c r="JA66" s="267">
        <f t="shared" si="497"/>
        <v>0.09</v>
      </c>
      <c r="JB66" s="267">
        <f t="shared" si="497"/>
        <v>0.09</v>
      </c>
      <c r="JC66" s="267">
        <f t="shared" si="497"/>
        <v>0.09</v>
      </c>
      <c r="JD66" s="267">
        <f t="shared" si="497"/>
        <v>0.09</v>
      </c>
      <c r="JE66" s="267">
        <f t="shared" si="497"/>
        <v>0.09</v>
      </c>
      <c r="JF66" s="267">
        <f t="shared" si="497"/>
        <v>0.09</v>
      </c>
      <c r="JG66" s="267">
        <f t="shared" si="497"/>
        <v>0.09</v>
      </c>
      <c r="JH66" s="267">
        <f t="shared" si="497"/>
        <v>0.09</v>
      </c>
      <c r="JI66" s="267">
        <f t="shared" si="497"/>
        <v>0.09</v>
      </c>
      <c r="JJ66" s="267">
        <f t="shared" si="497"/>
        <v>0.09</v>
      </c>
      <c r="JK66" s="267">
        <f t="shared" si="497"/>
        <v>0.09</v>
      </c>
      <c r="JL66" s="267">
        <f t="shared" si="497"/>
        <v>0.09</v>
      </c>
      <c r="JM66" s="267">
        <f t="shared" si="497"/>
        <v>0.09</v>
      </c>
      <c r="JN66" s="267">
        <f t="shared" si="497"/>
        <v>0.09</v>
      </c>
      <c r="JO66" s="267">
        <f t="shared" si="497"/>
        <v>0.09</v>
      </c>
      <c r="JP66" s="267">
        <f t="shared" si="497"/>
        <v>0.09</v>
      </c>
      <c r="JQ66" s="267">
        <f t="shared" si="497"/>
        <v>0.09</v>
      </c>
      <c r="JR66" s="267">
        <f t="shared" si="497"/>
        <v>0.09</v>
      </c>
      <c r="JS66" s="267">
        <f t="shared" si="497"/>
        <v>0.09</v>
      </c>
      <c r="JT66" s="267">
        <f t="shared" si="497"/>
        <v>0.09</v>
      </c>
      <c r="JU66" s="267" t="n">
        <f t="shared" ref="JU66:JX66" si="498">IFERROR((JU67*JU86+JU68*JU87)/SUM(JU86:JU87),JU67)</f>
        <v>0.09</v>
      </c>
      <c r="JV66" s="267">
        <f t="shared" si="498"/>
        <v>0.09</v>
      </c>
      <c r="JW66" s="267">
        <f t="shared" si="498"/>
        <v>0.09</v>
      </c>
      <c r="JX66" s="267">
        <f t="shared" si="498"/>
        <v>0.09</v>
      </c>
      <c r="JZ66" s="263"/>
      <c r="KA66" s="263"/>
      <c r="KB66" s="263"/>
      <c r="KC66" s="263"/>
      <c r="KD66" s="263"/>
      <c r="KE66" s="263"/>
      <c r="KF66" s="263"/>
      <c r="KG66" s="263"/>
      <c r="KH66" s="263"/>
      <c r="KI66" s="263"/>
      <c r="KJ66" s="263"/>
      <c r="KK66" s="263"/>
      <c r="KL66" s="263"/>
      <c r="KM66" s="263"/>
      <c r="KN66" s="263"/>
      <c r="KO66" s="263"/>
      <c r="KP66" s="263"/>
      <c r="KQ66" s="263"/>
      <c r="KR66" s="263"/>
      <c r="KS66" s="263"/>
      <c r="KT66" s="263"/>
      <c r="KU66" s="263"/>
      <c r="KV66" s="263"/>
      <c r="KW66" s="263"/>
      <c r="KX66" s="263"/>
      <c r="KY66" s="263"/>
      <c r="KZ66" s="263"/>
      <c r="LA66" s="263"/>
      <c r="LB66" s="263"/>
      <c r="LC66" s="263"/>
      <c r="LD66" s="263"/>
      <c r="LE66" s="263"/>
      <c r="LF66" s="263"/>
      <c r="LG66" s="263"/>
      <c r="LH66" s="263"/>
      <c r="LI66" s="263"/>
      <c r="LJ66" s="263"/>
      <c r="LK66" s="263"/>
      <c r="LL66" s="263"/>
      <c r="LM66" s="263"/>
      <c r="LN66" s="263"/>
      <c r="LO66" s="263"/>
      <c r="LP66" s="263"/>
      <c r="LQ66" s="263"/>
      <c r="LR66" s="263"/>
      <c r="LS66" s="263"/>
      <c r="LT66" s="263"/>
      <c r="LU66" s="263"/>
      <c r="LV66" s="263"/>
      <c r="LW66" s="263"/>
      <c r="LX66" s="263"/>
      <c r="LY66" s="263"/>
      <c r="LZ66" s="263"/>
      <c r="MA66" s="263"/>
      <c r="MB66" s="263"/>
      <c r="MC66" s="263"/>
      <c r="MD66" s="263"/>
      <c r="ME66" s="263"/>
      <c r="MF66" s="263"/>
      <c r="MG66" s="263"/>
      <c r="MH66" s="263"/>
      <c r="MI66" s="263"/>
      <c r="MJ66" s="263"/>
      <c r="MK66" s="263"/>
      <c r="ML66" s="263"/>
      <c r="MM66" s="263"/>
      <c r="MN66" s="263"/>
      <c r="MO66" s="263"/>
      <c r="MP66" s="263"/>
      <c r="MQ66" s="263"/>
      <c r="MR66" s="263"/>
      <c r="MS66" s="263"/>
      <c r="MT66" s="263"/>
      <c r="MU66" s="263"/>
      <c r="MV66" s="263"/>
      <c r="MW66" s="263"/>
      <c r="MX66" s="263"/>
      <c r="MY66" s="263"/>
      <c r="MZ66" s="263"/>
      <c r="NA66" s="263"/>
      <c r="NB66" s="263"/>
      <c r="NC66" s="263"/>
      <c r="ND66" s="263"/>
      <c r="NE66" s="263"/>
      <c r="NF66" s="263"/>
      <c r="NG66" s="263"/>
      <c r="NH66" s="263"/>
      <c r="NI66" s="263"/>
      <c r="NJ66" s="263"/>
      <c r="NK66" s="263"/>
      <c r="NL66" s="263"/>
      <c r="NM66" s="263"/>
      <c r="NN66" s="263"/>
      <c r="NO66" s="263"/>
      <c r="NP66" s="263"/>
      <c r="NQ66" s="263"/>
      <c r="NR66" s="263"/>
      <c r="NS66" s="263"/>
      <c r="NT66" s="263"/>
      <c r="NU66" s="263"/>
      <c r="NV66" s="263"/>
      <c r="NW66" s="263"/>
      <c r="NX66" s="263"/>
      <c r="NY66" s="263"/>
      <c r="NZ66" s="263"/>
      <c r="OA66" s="263"/>
      <c r="OB66" s="263"/>
      <c r="OC66" s="263"/>
      <c r="OD66" s="263"/>
      <c r="OE66" s="263"/>
      <c r="OF66" s="263"/>
      <c r="OG66" s="263"/>
      <c r="OH66" s="263"/>
      <c r="OI66" s="263"/>
      <c r="OJ66" s="263"/>
      <c r="OK66" s="263"/>
      <c r="OL66" s="263"/>
      <c r="OM66" s="263"/>
      <c r="ON66" s="263"/>
      <c r="OO66" s="263"/>
      <c r="OP66" s="263"/>
      <c r="OQ66" s="263"/>
      <c r="OR66" s="263"/>
      <c r="OS66" s="263"/>
      <c r="OT66" s="263"/>
      <c r="OU66" s="263"/>
      <c r="OV66" s="263"/>
      <c r="OW66" s="263"/>
      <c r="OX66" s="263"/>
      <c r="OY66" s="263"/>
      <c r="OZ66" s="263"/>
      <c r="PA66" s="263"/>
      <c r="PB66" s="263"/>
      <c r="PC66" s="263"/>
      <c r="PD66" s="263"/>
      <c r="PE66" s="263"/>
      <c r="PF66" s="263"/>
      <c r="PG66" s="263"/>
      <c r="PH66" s="263"/>
    </row>
    <row r="67">
      <c r="B67" s="34"/>
      <c r="C67" s="404"/>
      <c r="D67" s="456" t="s">
        <v>180</v>
      </c>
      <c r="E67" s="457" t="s">
        <v>181</v>
      </c>
      <c r="F67" s="58"/>
      <c r="G67" s="135"/>
      <c r="H67" s="135"/>
      <c r="I67" s="38"/>
      <c r="EP67" s="220"/>
      <c r="EQ67" s="18"/>
      <c r="ER67" s="18"/>
      <c r="ES67" s="18"/>
      <c r="ET67" s="18" t="s">
        <v>182</v>
      </c>
      <c r="EU67" s="20"/>
      <c r="EV67" s="267" t="n">
        <f t="shared" ref="EV67:GA67" si="499">IF(Fixed_Variable=1,L65,Interest_Const_Loan)</f>
        <v>0.09</v>
      </c>
      <c r="EW67" s="267">
        <f t="shared" si="499"/>
        <v>0.09</v>
      </c>
      <c r="EX67" s="267">
        <f t="shared" si="499"/>
        <v>0.09</v>
      </c>
      <c r="EY67" s="267">
        <f t="shared" si="499"/>
        <v>0.09</v>
      </c>
      <c r="EZ67" s="267">
        <f t="shared" si="499"/>
        <v>0.09</v>
      </c>
      <c r="FA67" s="267">
        <f t="shared" si="499"/>
        <v>0.09</v>
      </c>
      <c r="FB67" s="267">
        <f t="shared" si="499"/>
        <v>0.09</v>
      </c>
      <c r="FC67" s="267">
        <f t="shared" si="499"/>
        <v>0.09</v>
      </c>
      <c r="FD67" s="267">
        <f t="shared" si="499"/>
        <v>0.09</v>
      </c>
      <c r="FE67" s="267">
        <f t="shared" si="499"/>
        <v>0.09</v>
      </c>
      <c r="FF67" s="267">
        <f t="shared" si="499"/>
        <v>0.09</v>
      </c>
      <c r="FG67" s="267">
        <f t="shared" si="499"/>
        <v>0.09</v>
      </c>
      <c r="FH67" s="267">
        <f t="shared" si="499"/>
        <v>0.09</v>
      </c>
      <c r="FI67" s="267">
        <f t="shared" si="499"/>
        <v>0.09</v>
      </c>
      <c r="FJ67" s="267">
        <f t="shared" si="499"/>
        <v>0.09</v>
      </c>
      <c r="FK67" s="267">
        <f t="shared" si="499"/>
        <v>0.09</v>
      </c>
      <c r="FL67" s="267">
        <f t="shared" si="499"/>
        <v>0.09</v>
      </c>
      <c r="FM67" s="267">
        <f t="shared" si="499"/>
        <v>0.09</v>
      </c>
      <c r="FN67" s="267">
        <f t="shared" si="499"/>
        <v>0.09</v>
      </c>
      <c r="FO67" s="267">
        <f t="shared" si="499"/>
        <v>0.09</v>
      </c>
      <c r="FP67" s="267">
        <f t="shared" si="499"/>
        <v>0.09</v>
      </c>
      <c r="FQ67" s="267">
        <f t="shared" si="499"/>
        <v>0.09</v>
      </c>
      <c r="FR67" s="267">
        <f t="shared" si="499"/>
        <v>0.09</v>
      </c>
      <c r="FS67" s="267">
        <f t="shared" si="499"/>
        <v>0.09</v>
      </c>
      <c r="FT67" s="267">
        <f t="shared" si="499"/>
        <v>0.09</v>
      </c>
      <c r="FU67" s="267">
        <f t="shared" si="499"/>
        <v>0.09</v>
      </c>
      <c r="FV67" s="267">
        <f t="shared" si="499"/>
        <v>0.09</v>
      </c>
      <c r="FW67" s="267">
        <f t="shared" si="499"/>
        <v>0.09</v>
      </c>
      <c r="FX67" s="267">
        <f t="shared" si="499"/>
        <v>0.09</v>
      </c>
      <c r="FY67" s="267">
        <f t="shared" si="499"/>
        <v>0.09</v>
      </c>
      <c r="FZ67" s="267">
        <f t="shared" si="499"/>
        <v>0.09</v>
      </c>
      <c r="GA67" s="267">
        <f t="shared" si="499"/>
        <v>0.09</v>
      </c>
      <c r="GB67" s="267" t="n">
        <f t="shared" ref="GB67:HG67" si="500">IF(Fixed_Variable=1,AR65,Interest_Const_Loan)</f>
        <v>0.09</v>
      </c>
      <c r="GC67" s="267">
        <f t="shared" si="500"/>
        <v>0.09</v>
      </c>
      <c r="GD67" s="267">
        <f t="shared" si="500"/>
        <v>0.09</v>
      </c>
      <c r="GE67" s="267">
        <f t="shared" si="500"/>
        <v>0.09</v>
      </c>
      <c r="GF67" s="267">
        <f t="shared" si="500"/>
        <v>0.09</v>
      </c>
      <c r="GG67" s="267">
        <f t="shared" si="500"/>
        <v>0.09</v>
      </c>
      <c r="GH67" s="267">
        <f t="shared" si="500"/>
        <v>0.09</v>
      </c>
      <c r="GI67" s="267">
        <f t="shared" si="500"/>
        <v>0.09</v>
      </c>
      <c r="GJ67" s="267">
        <f t="shared" si="500"/>
        <v>0.09</v>
      </c>
      <c r="GK67" s="267">
        <f t="shared" si="500"/>
        <v>0.09</v>
      </c>
      <c r="GL67" s="267">
        <f t="shared" si="500"/>
        <v>0.09</v>
      </c>
      <c r="GM67" s="267">
        <f t="shared" si="500"/>
        <v>0.09</v>
      </c>
      <c r="GN67" s="267">
        <f t="shared" si="500"/>
        <v>0.09</v>
      </c>
      <c r="GO67" s="267">
        <f t="shared" si="500"/>
        <v>0.09</v>
      </c>
      <c r="GP67" s="267">
        <f t="shared" si="500"/>
        <v>0.09</v>
      </c>
      <c r="GQ67" s="267">
        <f t="shared" si="500"/>
        <v>0.09</v>
      </c>
      <c r="GR67" s="267">
        <f t="shared" si="500"/>
        <v>0.09</v>
      </c>
      <c r="GS67" s="267">
        <f t="shared" si="500"/>
        <v>0.09</v>
      </c>
      <c r="GT67" s="267">
        <f t="shared" si="500"/>
        <v>0.09</v>
      </c>
      <c r="GU67" s="267">
        <f t="shared" si="500"/>
        <v>0.09</v>
      </c>
      <c r="GV67" s="267">
        <f t="shared" si="500"/>
        <v>0.09</v>
      </c>
      <c r="GW67" s="267">
        <f t="shared" si="500"/>
        <v>0.09</v>
      </c>
      <c r="GX67" s="267">
        <f t="shared" si="500"/>
        <v>0.09</v>
      </c>
      <c r="GY67" s="267">
        <f t="shared" si="500"/>
        <v>0.09</v>
      </c>
      <c r="GZ67" s="267">
        <f t="shared" si="500"/>
        <v>0.09</v>
      </c>
      <c r="HA67" s="267">
        <f t="shared" si="500"/>
        <v>0.09</v>
      </c>
      <c r="HB67" s="267">
        <f t="shared" si="500"/>
        <v>0.09</v>
      </c>
      <c r="HC67" s="267">
        <f t="shared" si="500"/>
        <v>0.09</v>
      </c>
      <c r="HD67" s="267">
        <f t="shared" si="500"/>
        <v>0.09</v>
      </c>
      <c r="HE67" s="267">
        <f t="shared" si="500"/>
        <v>0.09</v>
      </c>
      <c r="HF67" s="267">
        <f t="shared" si="500"/>
        <v>0.09</v>
      </c>
      <c r="HG67" s="267">
        <f t="shared" si="500"/>
        <v>0.09</v>
      </c>
      <c r="HH67" s="267" t="n">
        <f t="shared" ref="HH67:IM67" si="501">IF(Fixed_Variable=1,BX65,Interest_Const_Loan)</f>
        <v>0.09</v>
      </c>
      <c r="HI67" s="267">
        <f t="shared" si="501"/>
        <v>0.09</v>
      </c>
      <c r="HJ67" s="267">
        <f t="shared" si="501"/>
        <v>0.09</v>
      </c>
      <c r="HK67" s="267">
        <f t="shared" si="501"/>
        <v>0.09</v>
      </c>
      <c r="HL67" s="267">
        <f t="shared" si="501"/>
        <v>0.09</v>
      </c>
      <c r="HM67" s="267">
        <f t="shared" si="501"/>
        <v>0.09</v>
      </c>
      <c r="HN67" s="267">
        <f t="shared" si="501"/>
        <v>0.09</v>
      </c>
      <c r="HO67" s="267">
        <f t="shared" si="501"/>
        <v>0.09</v>
      </c>
      <c r="HP67" s="267">
        <f t="shared" si="501"/>
        <v>0.09</v>
      </c>
      <c r="HQ67" s="267">
        <f t="shared" si="501"/>
        <v>0.09</v>
      </c>
      <c r="HR67" s="267">
        <f t="shared" si="501"/>
        <v>0.09</v>
      </c>
      <c r="HS67" s="267">
        <f t="shared" si="501"/>
        <v>0.09</v>
      </c>
      <c r="HT67" s="267">
        <f t="shared" si="501"/>
        <v>0.09</v>
      </c>
      <c r="HU67" s="267">
        <f t="shared" si="501"/>
        <v>0.09</v>
      </c>
      <c r="HV67" s="267">
        <f t="shared" si="501"/>
        <v>0.09</v>
      </c>
      <c r="HW67" s="267">
        <f t="shared" si="501"/>
        <v>0.09</v>
      </c>
      <c r="HX67" s="267">
        <f t="shared" si="501"/>
        <v>0.09</v>
      </c>
      <c r="HY67" s="267">
        <f t="shared" si="501"/>
        <v>0.09</v>
      </c>
      <c r="HZ67" s="267">
        <f t="shared" si="501"/>
        <v>0.09</v>
      </c>
      <c r="IA67" s="267">
        <f t="shared" si="501"/>
        <v>0.09</v>
      </c>
      <c r="IB67" s="267">
        <f t="shared" si="501"/>
        <v>0.09</v>
      </c>
      <c r="IC67" s="267">
        <f t="shared" si="501"/>
        <v>0.09</v>
      </c>
      <c r="ID67" s="267">
        <f t="shared" si="501"/>
        <v>0.09</v>
      </c>
      <c r="IE67" s="267">
        <f t="shared" si="501"/>
        <v>0.09</v>
      </c>
      <c r="IF67" s="267">
        <f t="shared" si="501"/>
        <v>0.09</v>
      </c>
      <c r="IG67" s="267">
        <f t="shared" si="501"/>
        <v>0.09</v>
      </c>
      <c r="IH67" s="267">
        <f t="shared" si="501"/>
        <v>0.09</v>
      </c>
      <c r="II67" s="267">
        <f t="shared" si="501"/>
        <v>0.09</v>
      </c>
      <c r="IJ67" s="267">
        <f t="shared" si="501"/>
        <v>0.09</v>
      </c>
      <c r="IK67" s="267">
        <f t="shared" si="501"/>
        <v>0.09</v>
      </c>
      <c r="IL67" s="267">
        <f t="shared" si="501"/>
        <v>0.09</v>
      </c>
      <c r="IM67" s="267">
        <f t="shared" si="501"/>
        <v>0.09</v>
      </c>
      <c r="IN67" s="267" t="n">
        <f t="shared" ref="IN67:JS67" si="502">IF(Fixed_Variable=1,DD65,Interest_Const_Loan)</f>
        <v>0.09</v>
      </c>
      <c r="IO67" s="267">
        <f t="shared" si="502"/>
        <v>0.09</v>
      </c>
      <c r="IP67" s="267">
        <f t="shared" si="502"/>
        <v>0.09</v>
      </c>
      <c r="IQ67" s="267">
        <f t="shared" si="502"/>
        <v>0.09</v>
      </c>
      <c r="IR67" s="267">
        <f t="shared" si="502"/>
        <v>0.09</v>
      </c>
      <c r="IS67" s="267">
        <f t="shared" si="502"/>
        <v>0.09</v>
      </c>
      <c r="IT67" s="267">
        <f t="shared" si="502"/>
        <v>0.09</v>
      </c>
      <c r="IU67" s="267">
        <f t="shared" si="502"/>
        <v>0.09</v>
      </c>
      <c r="IV67" s="267">
        <f t="shared" si="502"/>
        <v>0.09</v>
      </c>
      <c r="IW67" s="267">
        <f t="shared" si="502"/>
        <v>0.09</v>
      </c>
      <c r="IX67" s="267">
        <f t="shared" si="502"/>
        <v>0.09</v>
      </c>
      <c r="IY67" s="267">
        <f t="shared" si="502"/>
        <v>0.09</v>
      </c>
      <c r="IZ67" s="267">
        <f t="shared" si="502"/>
        <v>0.09</v>
      </c>
      <c r="JA67" s="267">
        <f t="shared" si="502"/>
        <v>0.09</v>
      </c>
      <c r="JB67" s="267">
        <f t="shared" si="502"/>
        <v>0.09</v>
      </c>
      <c r="JC67" s="267">
        <f t="shared" si="502"/>
        <v>0.09</v>
      </c>
      <c r="JD67" s="267">
        <f t="shared" si="502"/>
        <v>0.09</v>
      </c>
      <c r="JE67" s="267">
        <f t="shared" si="502"/>
        <v>0.09</v>
      </c>
      <c r="JF67" s="267">
        <f t="shared" si="502"/>
        <v>0.09</v>
      </c>
      <c r="JG67" s="267">
        <f t="shared" si="502"/>
        <v>0.09</v>
      </c>
      <c r="JH67" s="267">
        <f t="shared" si="502"/>
        <v>0.09</v>
      </c>
      <c r="JI67" s="267">
        <f t="shared" si="502"/>
        <v>0.09</v>
      </c>
      <c r="JJ67" s="267">
        <f t="shared" si="502"/>
        <v>0.09</v>
      </c>
      <c r="JK67" s="267">
        <f t="shared" si="502"/>
        <v>0.09</v>
      </c>
      <c r="JL67" s="267">
        <f t="shared" si="502"/>
        <v>0.09</v>
      </c>
      <c r="JM67" s="267">
        <f t="shared" si="502"/>
        <v>0.09</v>
      </c>
      <c r="JN67" s="267">
        <f t="shared" si="502"/>
        <v>0.09</v>
      </c>
      <c r="JO67" s="267">
        <f t="shared" si="502"/>
        <v>0.09</v>
      </c>
      <c r="JP67" s="267">
        <f t="shared" si="502"/>
        <v>0.09</v>
      </c>
      <c r="JQ67" s="267">
        <f t="shared" si="502"/>
        <v>0.09</v>
      </c>
      <c r="JR67" s="267">
        <f t="shared" si="502"/>
        <v>0.09</v>
      </c>
      <c r="JS67" s="267">
        <f t="shared" si="502"/>
        <v>0.09</v>
      </c>
      <c r="JT67" s="267" t="n">
        <f t="shared" ref="JT67:JX67" si="503">IF(Fixed_Variable=1,EJ65,Interest_Const_Loan)</f>
        <v>0.09</v>
      </c>
      <c r="JU67" s="267">
        <f t="shared" si="503"/>
        <v>0.09</v>
      </c>
      <c r="JV67" s="267">
        <f t="shared" si="503"/>
        <v>0.09</v>
      </c>
      <c r="JW67" s="267">
        <f t="shared" si="503"/>
        <v>0.09</v>
      </c>
      <c r="JX67" s="267">
        <f t="shared" si="503"/>
        <v>0.09</v>
      </c>
      <c r="JZ67" s="263"/>
      <c r="KA67" s="263"/>
      <c r="KB67" s="263"/>
      <c r="KC67" s="263"/>
      <c r="KD67" s="263"/>
      <c r="KE67" s="263"/>
      <c r="KF67" s="263"/>
      <c r="KG67" s="263"/>
      <c r="KH67" s="263"/>
      <c r="KI67" s="263"/>
      <c r="KJ67" s="263"/>
      <c r="KK67" s="263"/>
      <c r="KL67" s="263"/>
      <c r="KM67" s="263"/>
      <c r="KN67" s="263"/>
      <c r="KO67" s="263"/>
      <c r="KP67" s="263"/>
      <c r="KQ67" s="263"/>
      <c r="KR67" s="263"/>
      <c r="KS67" s="263"/>
      <c r="KT67" s="263"/>
      <c r="KU67" s="263"/>
      <c r="KV67" s="263"/>
      <c r="KW67" s="263"/>
      <c r="KX67" s="263"/>
      <c r="KY67" s="263"/>
      <c r="KZ67" s="263"/>
      <c r="LA67" s="263"/>
      <c r="LB67" s="263"/>
      <c r="LC67" s="263"/>
      <c r="LD67" s="263"/>
      <c r="LE67" s="263"/>
      <c r="LF67" s="263"/>
      <c r="LG67" s="263"/>
      <c r="LH67" s="263"/>
      <c r="LI67" s="263"/>
      <c r="LJ67" s="263"/>
      <c r="LK67" s="263"/>
      <c r="LL67" s="263"/>
      <c r="LM67" s="263"/>
      <c r="LN67" s="263"/>
      <c r="LO67" s="263"/>
      <c r="LP67" s="263"/>
      <c r="LQ67" s="263"/>
      <c r="LR67" s="263"/>
      <c r="LS67" s="263"/>
      <c r="LT67" s="263"/>
      <c r="LU67" s="263"/>
      <c r="LV67" s="263"/>
      <c r="LW67" s="263"/>
      <c r="LX67" s="263"/>
      <c r="LY67" s="263"/>
      <c r="LZ67" s="263"/>
      <c r="MA67" s="263"/>
      <c r="MB67" s="263"/>
      <c r="MC67" s="263"/>
      <c r="MD67" s="263"/>
      <c r="ME67" s="263"/>
      <c r="MF67" s="263"/>
      <c r="MG67" s="263"/>
      <c r="MH67" s="263"/>
      <c r="MI67" s="263"/>
      <c r="MJ67" s="263"/>
      <c r="MK67" s="263"/>
      <c r="ML67" s="263"/>
      <c r="MM67" s="263"/>
      <c r="MN67" s="263"/>
      <c r="MO67" s="263"/>
      <c r="MP67" s="263"/>
      <c r="MQ67" s="263"/>
      <c r="MR67" s="263"/>
      <c r="MS67" s="263"/>
      <c r="MT67" s="263"/>
      <c r="MU67" s="263"/>
      <c r="MV67" s="263"/>
      <c r="MW67" s="263"/>
      <c r="MX67" s="263"/>
      <c r="MY67" s="263"/>
      <c r="MZ67" s="263"/>
      <c r="NA67" s="263"/>
      <c r="NB67" s="263"/>
      <c r="NC67" s="263"/>
      <c r="ND67" s="263"/>
      <c r="NE67" s="263"/>
      <c r="NF67" s="263"/>
      <c r="NG67" s="263"/>
      <c r="NH67" s="263"/>
      <c r="NI67" s="263"/>
      <c r="NJ67" s="263"/>
      <c r="NK67" s="263"/>
      <c r="NL67" s="263"/>
      <c r="NM67" s="263"/>
      <c r="NN67" s="263"/>
      <c r="NO67" s="263"/>
      <c r="NP67" s="263"/>
      <c r="NQ67" s="263"/>
      <c r="NR67" s="263"/>
      <c r="NS67" s="263"/>
      <c r="NT67" s="263"/>
      <c r="NU67" s="263"/>
      <c r="NV67" s="263"/>
      <c r="NW67" s="263"/>
      <c r="NX67" s="263"/>
      <c r="NY67" s="263"/>
      <c r="NZ67" s="263"/>
      <c r="OA67" s="263"/>
      <c r="OB67" s="263"/>
      <c r="OC67" s="263"/>
      <c r="OD67" s="263"/>
      <c r="OE67" s="263"/>
      <c r="OF67" s="263"/>
      <c r="OG67" s="263"/>
      <c r="OH67" s="263"/>
      <c r="OI67" s="263"/>
      <c r="OJ67" s="263"/>
      <c r="OK67" s="263"/>
      <c r="OL67" s="263"/>
      <c r="OM67" s="263"/>
      <c r="ON67" s="263"/>
      <c r="OO67" s="263"/>
      <c r="OP67" s="263"/>
      <c r="OQ67" s="263"/>
      <c r="OR67" s="263"/>
      <c r="OS67" s="263"/>
      <c r="OT67" s="263"/>
      <c r="OU67" s="263"/>
      <c r="OV67" s="263"/>
      <c r="OW67" s="263"/>
      <c r="OX67" s="263"/>
      <c r="OY67" s="263"/>
      <c r="OZ67" s="263"/>
      <c r="PA67" s="263"/>
      <c r="PB67" s="263"/>
      <c r="PC67" s="263"/>
      <c r="PD67" s="263"/>
      <c r="PE67" s="263"/>
      <c r="PF67" s="263"/>
      <c r="PG67" s="263"/>
      <c r="PH67" s="263"/>
    </row>
    <row r="68">
      <c r="B68" s="415" t="s">
        <v>183</v>
      </c>
      <c r="C68" s="404"/>
      <c r="D68" s="404"/>
      <c r="E68" s="404"/>
      <c r="F68" s="416" t="s">
        <v>163</v>
      </c>
      <c r="G68" s="136"/>
      <c r="H68" s="136" t="n">
        <f>+H59</f>
        <v>0</v>
      </c>
      <c r="I68" s="416" t="s">
        <v>130</v>
      </c>
      <c r="L68" s="197" t="n">
        <f t="shared" ref="L68:AQ68" si="504">L3</f>
        <v>0</v>
      </c>
      <c r="M68" s="197">
        <f t="shared" si="504"/>
        <v>1</v>
      </c>
      <c r="N68" s="197">
        <f t="shared" si="504"/>
        <v>2</v>
      </c>
      <c r="O68" s="197">
        <f t="shared" si="504"/>
        <v>3</v>
      </c>
      <c r="P68" s="197">
        <f t="shared" si="504"/>
        <v>4</v>
      </c>
      <c r="Q68" s="197">
        <f t="shared" si="504"/>
        <v>5</v>
      </c>
      <c r="R68" s="197">
        <f t="shared" si="504"/>
        <v>6</v>
      </c>
      <c r="S68" s="197">
        <f t="shared" si="504"/>
        <v>7</v>
      </c>
      <c r="T68" s="197">
        <f t="shared" si="504"/>
        <v>8</v>
      </c>
      <c r="U68" s="197">
        <f t="shared" si="504"/>
        <v>9</v>
      </c>
      <c r="V68" s="197">
        <f t="shared" si="504"/>
        <v>10</v>
      </c>
      <c r="W68" s="197">
        <f t="shared" si="504"/>
        <v>11</v>
      </c>
      <c r="X68" s="197">
        <f t="shared" si="504"/>
        <v>12</v>
      </c>
      <c r="Y68" s="197">
        <f t="shared" si="504"/>
        <v>13</v>
      </c>
      <c r="Z68" s="197">
        <f t="shared" si="504"/>
        <v>14</v>
      </c>
      <c r="AA68" s="197">
        <f t="shared" si="504"/>
        <v>15</v>
      </c>
      <c r="AB68" s="197">
        <f t="shared" si="504"/>
        <v>16</v>
      </c>
      <c r="AC68" s="197">
        <f t="shared" si="504"/>
        <v>17</v>
      </c>
      <c r="AD68" s="197">
        <f t="shared" si="504"/>
        <v>18</v>
      </c>
      <c r="AE68" s="197">
        <f t="shared" si="504"/>
        <v>19</v>
      </c>
      <c r="AF68" s="197">
        <f t="shared" si="504"/>
        <v>20</v>
      </c>
      <c r="AG68" s="197">
        <f t="shared" si="504"/>
        <v>21</v>
      </c>
      <c r="AH68" s="197">
        <f t="shared" si="504"/>
        <v>22</v>
      </c>
      <c r="AI68" s="197">
        <f t="shared" si="504"/>
        <v>23</v>
      </c>
      <c r="AJ68" s="197">
        <f t="shared" si="504"/>
        <v>24</v>
      </c>
      <c r="AK68" s="197">
        <f t="shared" si="504"/>
        <v>25</v>
      </c>
      <c r="AL68" s="197">
        <f t="shared" si="504"/>
        <v>26</v>
      </c>
      <c r="AM68" s="197">
        <f t="shared" si="504"/>
        <v>27</v>
      </c>
      <c r="AN68" s="197">
        <f t="shared" si="504"/>
        <v>28</v>
      </c>
      <c r="AO68" s="197">
        <f t="shared" si="504"/>
        <v>29</v>
      </c>
      <c r="AP68" s="197">
        <f t="shared" si="504"/>
        <v>30</v>
      </c>
      <c r="AQ68" s="197">
        <f t="shared" si="504"/>
        <v>31</v>
      </c>
      <c r="AR68" s="197" t="n">
        <f t="shared" ref="AR68:BW68" si="505">AR3</f>
        <v>32</v>
      </c>
      <c r="AS68" s="197">
        <f t="shared" si="505"/>
        <v>33</v>
      </c>
      <c r="AT68" s="197">
        <f t="shared" si="505"/>
        <v>34</v>
      </c>
      <c r="AU68" s="197">
        <f t="shared" si="505"/>
        <v>35</v>
      </c>
      <c r="AV68" s="197">
        <f t="shared" si="505"/>
        <v>36</v>
      </c>
      <c r="AW68" s="197">
        <f t="shared" si="505"/>
        <v>37</v>
      </c>
      <c r="AX68" s="197">
        <f t="shared" si="505"/>
        <v>38</v>
      </c>
      <c r="AY68" s="197">
        <f t="shared" si="505"/>
        <v>39</v>
      </c>
      <c r="AZ68" s="197">
        <f t="shared" si="505"/>
        <v>40</v>
      </c>
      <c r="BA68" s="197">
        <f t="shared" si="505"/>
        <v>41</v>
      </c>
      <c r="BB68" s="197">
        <f t="shared" si="505"/>
        <v>42</v>
      </c>
      <c r="BC68" s="197">
        <f t="shared" si="505"/>
        <v>43</v>
      </c>
      <c r="BD68" s="197">
        <f t="shared" si="505"/>
        <v>44</v>
      </c>
      <c r="BE68" s="197">
        <f t="shared" si="505"/>
        <v>45</v>
      </c>
      <c r="BF68" s="197">
        <f t="shared" si="505"/>
        <v>46</v>
      </c>
      <c r="BG68" s="197">
        <f t="shared" si="505"/>
        <v>47</v>
      </c>
      <c r="BH68" s="197">
        <f t="shared" si="505"/>
        <v>48</v>
      </c>
      <c r="BI68" s="197">
        <f t="shared" si="505"/>
        <v>49</v>
      </c>
      <c r="BJ68" s="197">
        <f t="shared" si="505"/>
        <v>50</v>
      </c>
      <c r="BK68" s="197">
        <f t="shared" si="505"/>
        <v>51</v>
      </c>
      <c r="BL68" s="197">
        <f t="shared" si="505"/>
        <v>52</v>
      </c>
      <c r="BM68" s="197">
        <f t="shared" si="505"/>
        <v>53</v>
      </c>
      <c r="BN68" s="197">
        <f t="shared" si="505"/>
        <v>54</v>
      </c>
      <c r="BO68" s="197">
        <f t="shared" si="505"/>
        <v>55</v>
      </c>
      <c r="BP68" s="197">
        <f t="shared" si="505"/>
        <v>56</v>
      </c>
      <c r="BQ68" s="197">
        <f t="shared" si="505"/>
        <v>57</v>
      </c>
      <c r="BR68" s="197">
        <f t="shared" si="505"/>
        <v>58</v>
      </c>
      <c r="BS68" s="197">
        <f t="shared" si="505"/>
        <v>59</v>
      </c>
      <c r="BT68" s="197">
        <f t="shared" si="505"/>
        <v>60</v>
      </c>
      <c r="BU68" s="197">
        <f t="shared" si="505"/>
        <v>61</v>
      </c>
      <c r="BV68" s="197">
        <f t="shared" si="505"/>
        <v>62</v>
      </c>
      <c r="BW68" s="197">
        <f t="shared" si="505"/>
        <v>63</v>
      </c>
      <c r="BX68" s="197" t="n">
        <f t="shared" ref="BX68:DC68" si="506">BX3</f>
        <v>64</v>
      </c>
      <c r="BY68" s="197">
        <f t="shared" si="506"/>
        <v>65</v>
      </c>
      <c r="BZ68" s="197">
        <f t="shared" si="506"/>
        <v>66</v>
      </c>
      <c r="CA68" s="197">
        <f t="shared" si="506"/>
        <v>67</v>
      </c>
      <c r="CB68" s="197">
        <f t="shared" si="506"/>
        <v>68</v>
      </c>
      <c r="CC68" s="197">
        <f t="shared" si="506"/>
        <v>69</v>
      </c>
      <c r="CD68" s="197">
        <f t="shared" si="506"/>
        <v>70</v>
      </c>
      <c r="CE68" s="197">
        <f t="shared" si="506"/>
        <v>71</v>
      </c>
      <c r="CF68" s="197">
        <f t="shared" si="506"/>
        <v>72</v>
      </c>
      <c r="CG68" s="197">
        <f t="shared" si="506"/>
        <v>73</v>
      </c>
      <c r="CH68" s="197">
        <f t="shared" si="506"/>
        <v>74</v>
      </c>
      <c r="CI68" s="197">
        <f t="shared" si="506"/>
        <v>75</v>
      </c>
      <c r="CJ68" s="197">
        <f t="shared" si="506"/>
        <v>76</v>
      </c>
      <c r="CK68" s="197">
        <f t="shared" si="506"/>
        <v>77</v>
      </c>
      <c r="CL68" s="197">
        <f t="shared" si="506"/>
        <v>78</v>
      </c>
      <c r="CM68" s="197">
        <f t="shared" si="506"/>
        <v>79</v>
      </c>
      <c r="CN68" s="197">
        <f t="shared" si="506"/>
        <v>80</v>
      </c>
      <c r="CO68" s="197">
        <f t="shared" si="506"/>
        <v>81</v>
      </c>
      <c r="CP68" s="197">
        <f t="shared" si="506"/>
        <v>82</v>
      </c>
      <c r="CQ68" s="197">
        <f t="shared" si="506"/>
        <v>83</v>
      </c>
      <c r="CR68" s="197">
        <f t="shared" si="506"/>
        <v>84</v>
      </c>
      <c r="CS68" s="197">
        <f t="shared" si="506"/>
        <v>85</v>
      </c>
      <c r="CT68" s="197">
        <f t="shared" si="506"/>
        <v>86</v>
      </c>
      <c r="CU68" s="197">
        <f t="shared" si="506"/>
        <v>87</v>
      </c>
      <c r="CV68" s="197">
        <f t="shared" si="506"/>
        <v>88</v>
      </c>
      <c r="CW68" s="197">
        <f t="shared" si="506"/>
        <v>89</v>
      </c>
      <c r="CX68" s="197">
        <f t="shared" si="506"/>
        <v>90</v>
      </c>
      <c r="CY68" s="197">
        <f t="shared" si="506"/>
        <v>91</v>
      </c>
      <c r="CZ68" s="197">
        <f t="shared" si="506"/>
        <v>92</v>
      </c>
      <c r="DA68" s="197">
        <f t="shared" si="506"/>
        <v>93</v>
      </c>
      <c r="DB68" s="197">
        <f t="shared" si="506"/>
        <v>94</v>
      </c>
      <c r="DC68" s="197">
        <f t="shared" si="506"/>
        <v>95</v>
      </c>
      <c r="DD68" s="197" t="n">
        <f t="shared" ref="DD68:EN68" si="507">DD3</f>
        <v>96</v>
      </c>
      <c r="DE68" s="197">
        <f t="shared" si="507"/>
        <v>97</v>
      </c>
      <c r="DF68" s="197">
        <f t="shared" si="507"/>
        <v>98</v>
      </c>
      <c r="DG68" s="197">
        <f t="shared" si="507"/>
        <v>99</v>
      </c>
      <c r="DH68" s="197">
        <f t="shared" si="507"/>
        <v>100</v>
      </c>
      <c r="DI68" s="197">
        <f t="shared" si="507"/>
        <v>101</v>
      </c>
      <c r="DJ68" s="197">
        <f t="shared" si="507"/>
        <v>102</v>
      </c>
      <c r="DK68" s="197">
        <f t="shared" si="507"/>
        <v>103</v>
      </c>
      <c r="DL68" s="197">
        <f t="shared" si="507"/>
        <v>104</v>
      </c>
      <c r="DM68" s="197">
        <f t="shared" si="507"/>
        <v>105</v>
      </c>
      <c r="DN68" s="197">
        <f t="shared" si="507"/>
        <v>106</v>
      </c>
      <c r="DO68" s="197">
        <f t="shared" si="507"/>
        <v>107</v>
      </c>
      <c r="DP68" s="197">
        <f t="shared" si="507"/>
        <v>108</v>
      </c>
      <c r="DQ68" s="197">
        <f t="shared" si="507"/>
        <v>109</v>
      </c>
      <c r="DR68" s="197">
        <f t="shared" si="507"/>
        <v>110</v>
      </c>
      <c r="DS68" s="197">
        <f t="shared" si="507"/>
        <v>111</v>
      </c>
      <c r="DT68" s="197">
        <f t="shared" si="507"/>
        <v>112</v>
      </c>
      <c r="DU68" s="197">
        <f t="shared" si="507"/>
        <v>113</v>
      </c>
      <c r="DV68" s="197">
        <f t="shared" si="507"/>
        <v>114</v>
      </c>
      <c r="DW68" s="197">
        <f t="shared" si="507"/>
        <v>115</v>
      </c>
      <c r="DX68" s="197">
        <f t="shared" si="507"/>
        <v>116</v>
      </c>
      <c r="DY68" s="197">
        <f t="shared" si="507"/>
        <v>117</v>
      </c>
      <c r="DZ68" s="197">
        <f t="shared" si="507"/>
        <v>118</v>
      </c>
      <c r="EA68" s="197">
        <f t="shared" si="507"/>
        <v>119</v>
      </c>
      <c r="EB68" s="197">
        <f t="shared" si="507"/>
        <v>120</v>
      </c>
      <c r="EC68" s="197">
        <f t="shared" si="507"/>
        <v>121</v>
      </c>
      <c r="ED68" s="197">
        <f t="shared" si="507"/>
        <v>122</v>
      </c>
      <c r="EE68" s="197">
        <f t="shared" si="507"/>
        <v>123</v>
      </c>
      <c r="EF68" s="197">
        <f t="shared" si="507"/>
        <v>124</v>
      </c>
      <c r="EG68" s="197">
        <f t="shared" si="507"/>
        <v>125</v>
      </c>
      <c r="EH68" s="197">
        <f t="shared" si="507"/>
        <v>126</v>
      </c>
      <c r="EI68" s="197">
        <f t="shared" si="507"/>
        <v>127</v>
      </c>
      <c r="EJ68" s="197">
        <f t="shared" si="507"/>
        <v>128</v>
      </c>
      <c r="EK68" s="197">
        <f t="shared" si="507"/>
        <v>129</v>
      </c>
      <c r="EL68" s="197">
        <f t="shared" si="507"/>
        <v>130</v>
      </c>
      <c r="EM68" s="197">
        <f t="shared" si="507"/>
        <v>131</v>
      </c>
      <c r="EN68" s="197">
        <f t="shared" si="507"/>
        <v>132</v>
      </c>
      <c r="EP68" s="413" t="s">
        <v>184</v>
      </c>
      <c r="EQ68" s="18"/>
      <c r="ER68" s="18"/>
      <c r="ES68" s="18"/>
      <c r="ET68" s="18" t="s">
        <v>185</v>
      </c>
      <c r="EU68" s="20"/>
      <c r="EV68" s="267" t="n">
        <f t="shared" ref="EV68:GA68" si="508">IF(Fixed_Variable=1,L66,Interest_Mezz_Loan)</f>
        <v>0.15</v>
      </c>
      <c r="EW68" s="267">
        <f t="shared" si="508"/>
        <v>0.15</v>
      </c>
      <c r="EX68" s="267">
        <f t="shared" si="508"/>
        <v>0.15</v>
      </c>
      <c r="EY68" s="267">
        <f t="shared" si="508"/>
        <v>0.15</v>
      </c>
      <c r="EZ68" s="267">
        <f t="shared" si="508"/>
        <v>0.15</v>
      </c>
      <c r="FA68" s="267">
        <f t="shared" si="508"/>
        <v>0.15</v>
      </c>
      <c r="FB68" s="267">
        <f t="shared" si="508"/>
        <v>0.15</v>
      </c>
      <c r="FC68" s="267">
        <f t="shared" si="508"/>
        <v>0.15</v>
      </c>
      <c r="FD68" s="267">
        <f t="shared" si="508"/>
        <v>0.15</v>
      </c>
      <c r="FE68" s="267">
        <f t="shared" si="508"/>
        <v>0.15</v>
      </c>
      <c r="FF68" s="267">
        <f t="shared" si="508"/>
        <v>0.15</v>
      </c>
      <c r="FG68" s="267">
        <f t="shared" si="508"/>
        <v>0.15</v>
      </c>
      <c r="FH68" s="267">
        <f t="shared" si="508"/>
        <v>0.15</v>
      </c>
      <c r="FI68" s="267">
        <f t="shared" si="508"/>
        <v>0.15</v>
      </c>
      <c r="FJ68" s="267">
        <f t="shared" si="508"/>
        <v>0.15</v>
      </c>
      <c r="FK68" s="267">
        <f t="shared" si="508"/>
        <v>0.15</v>
      </c>
      <c r="FL68" s="267">
        <f t="shared" si="508"/>
        <v>0.15</v>
      </c>
      <c r="FM68" s="267">
        <f t="shared" si="508"/>
        <v>0.15</v>
      </c>
      <c r="FN68" s="267">
        <f t="shared" si="508"/>
        <v>0.15</v>
      </c>
      <c r="FO68" s="267">
        <f t="shared" si="508"/>
        <v>0.15</v>
      </c>
      <c r="FP68" s="267">
        <f t="shared" si="508"/>
        <v>0.15</v>
      </c>
      <c r="FQ68" s="267">
        <f t="shared" si="508"/>
        <v>0.15</v>
      </c>
      <c r="FR68" s="267">
        <f t="shared" si="508"/>
        <v>0.15</v>
      </c>
      <c r="FS68" s="267">
        <f t="shared" si="508"/>
        <v>0.15</v>
      </c>
      <c r="FT68" s="267">
        <f t="shared" si="508"/>
        <v>0.15</v>
      </c>
      <c r="FU68" s="267">
        <f t="shared" si="508"/>
        <v>0.15</v>
      </c>
      <c r="FV68" s="267">
        <f t="shared" si="508"/>
        <v>0.15</v>
      </c>
      <c r="FW68" s="267">
        <f t="shared" si="508"/>
        <v>0.15</v>
      </c>
      <c r="FX68" s="267">
        <f t="shared" si="508"/>
        <v>0.15</v>
      </c>
      <c r="FY68" s="267">
        <f t="shared" si="508"/>
        <v>0.15</v>
      </c>
      <c r="FZ68" s="267">
        <f t="shared" si="508"/>
        <v>0.15</v>
      </c>
      <c r="GA68" s="267">
        <f t="shared" si="508"/>
        <v>0.15</v>
      </c>
      <c r="GB68" s="267" t="n">
        <f t="shared" ref="GB68:HG68" si="509">IF(Fixed_Variable=1,AR66,Interest_Mezz_Loan)</f>
        <v>0.15</v>
      </c>
      <c r="GC68" s="267">
        <f t="shared" si="509"/>
        <v>0.15</v>
      </c>
      <c r="GD68" s="267">
        <f t="shared" si="509"/>
        <v>0.15</v>
      </c>
      <c r="GE68" s="267">
        <f t="shared" si="509"/>
        <v>0.15</v>
      </c>
      <c r="GF68" s="267">
        <f t="shared" si="509"/>
        <v>0.15</v>
      </c>
      <c r="GG68" s="267">
        <f t="shared" si="509"/>
        <v>0.15</v>
      </c>
      <c r="GH68" s="267">
        <f t="shared" si="509"/>
        <v>0.15</v>
      </c>
      <c r="GI68" s="267">
        <f t="shared" si="509"/>
        <v>0.15</v>
      </c>
      <c r="GJ68" s="267">
        <f t="shared" si="509"/>
        <v>0.15</v>
      </c>
      <c r="GK68" s="267">
        <f t="shared" si="509"/>
        <v>0.15</v>
      </c>
      <c r="GL68" s="267">
        <f t="shared" si="509"/>
        <v>0.15</v>
      </c>
      <c r="GM68" s="267">
        <f t="shared" si="509"/>
        <v>0.15</v>
      </c>
      <c r="GN68" s="267">
        <f t="shared" si="509"/>
        <v>0.15</v>
      </c>
      <c r="GO68" s="267">
        <f t="shared" si="509"/>
        <v>0.15</v>
      </c>
      <c r="GP68" s="267">
        <f t="shared" si="509"/>
        <v>0.15</v>
      </c>
      <c r="GQ68" s="267">
        <f t="shared" si="509"/>
        <v>0.15</v>
      </c>
      <c r="GR68" s="267">
        <f t="shared" si="509"/>
        <v>0.15</v>
      </c>
      <c r="GS68" s="267">
        <f t="shared" si="509"/>
        <v>0.15</v>
      </c>
      <c r="GT68" s="267">
        <f t="shared" si="509"/>
        <v>0.15</v>
      </c>
      <c r="GU68" s="267">
        <f t="shared" si="509"/>
        <v>0.15</v>
      </c>
      <c r="GV68" s="267">
        <f t="shared" si="509"/>
        <v>0.15</v>
      </c>
      <c r="GW68" s="267">
        <f t="shared" si="509"/>
        <v>0.15</v>
      </c>
      <c r="GX68" s="267">
        <f t="shared" si="509"/>
        <v>0.15</v>
      </c>
      <c r="GY68" s="267">
        <f t="shared" si="509"/>
        <v>0.15</v>
      </c>
      <c r="GZ68" s="267">
        <f t="shared" si="509"/>
        <v>0.15</v>
      </c>
      <c r="HA68" s="267">
        <f t="shared" si="509"/>
        <v>0.15</v>
      </c>
      <c r="HB68" s="267">
        <f t="shared" si="509"/>
        <v>0.15</v>
      </c>
      <c r="HC68" s="267">
        <f t="shared" si="509"/>
        <v>0.15</v>
      </c>
      <c r="HD68" s="267">
        <f t="shared" si="509"/>
        <v>0.15</v>
      </c>
      <c r="HE68" s="267">
        <f t="shared" si="509"/>
        <v>0.15</v>
      </c>
      <c r="HF68" s="267">
        <f t="shared" si="509"/>
        <v>0.15</v>
      </c>
      <c r="HG68" s="267">
        <f t="shared" si="509"/>
        <v>0.15</v>
      </c>
      <c r="HH68" s="267" t="n">
        <f t="shared" ref="HH68:IM68" si="510">IF(Fixed_Variable=1,BX66,Interest_Mezz_Loan)</f>
        <v>0.15</v>
      </c>
      <c r="HI68" s="267">
        <f t="shared" si="510"/>
        <v>0.15</v>
      </c>
      <c r="HJ68" s="267">
        <f t="shared" si="510"/>
        <v>0.15</v>
      </c>
      <c r="HK68" s="267">
        <f t="shared" si="510"/>
        <v>0.15</v>
      </c>
      <c r="HL68" s="267">
        <f t="shared" si="510"/>
        <v>0.15</v>
      </c>
      <c r="HM68" s="267">
        <f t="shared" si="510"/>
        <v>0.15</v>
      </c>
      <c r="HN68" s="267">
        <f t="shared" si="510"/>
        <v>0.15</v>
      </c>
      <c r="HO68" s="267">
        <f t="shared" si="510"/>
        <v>0.15</v>
      </c>
      <c r="HP68" s="267">
        <f t="shared" si="510"/>
        <v>0.15</v>
      </c>
      <c r="HQ68" s="267">
        <f t="shared" si="510"/>
        <v>0.15</v>
      </c>
      <c r="HR68" s="267">
        <f t="shared" si="510"/>
        <v>0.15</v>
      </c>
      <c r="HS68" s="267">
        <f t="shared" si="510"/>
        <v>0.15</v>
      </c>
      <c r="HT68" s="267">
        <f t="shared" si="510"/>
        <v>0.15</v>
      </c>
      <c r="HU68" s="267">
        <f t="shared" si="510"/>
        <v>0.15</v>
      </c>
      <c r="HV68" s="267">
        <f t="shared" si="510"/>
        <v>0.15</v>
      </c>
      <c r="HW68" s="267">
        <f t="shared" si="510"/>
        <v>0.15</v>
      </c>
      <c r="HX68" s="267">
        <f t="shared" si="510"/>
        <v>0.15</v>
      </c>
      <c r="HY68" s="267">
        <f t="shared" si="510"/>
        <v>0.15</v>
      </c>
      <c r="HZ68" s="267">
        <f t="shared" si="510"/>
        <v>0.15</v>
      </c>
      <c r="IA68" s="267">
        <f t="shared" si="510"/>
        <v>0.15</v>
      </c>
      <c r="IB68" s="267">
        <f t="shared" si="510"/>
        <v>0.15</v>
      </c>
      <c r="IC68" s="267">
        <f t="shared" si="510"/>
        <v>0.15</v>
      </c>
      <c r="ID68" s="267">
        <f t="shared" si="510"/>
        <v>0.15</v>
      </c>
      <c r="IE68" s="267">
        <f t="shared" si="510"/>
        <v>0.15</v>
      </c>
      <c r="IF68" s="267">
        <f t="shared" si="510"/>
        <v>0.15</v>
      </c>
      <c r="IG68" s="267">
        <f t="shared" si="510"/>
        <v>0.15</v>
      </c>
      <c r="IH68" s="267">
        <f t="shared" si="510"/>
        <v>0.15</v>
      </c>
      <c r="II68" s="267">
        <f t="shared" si="510"/>
        <v>0.15</v>
      </c>
      <c r="IJ68" s="267">
        <f t="shared" si="510"/>
        <v>0.15</v>
      </c>
      <c r="IK68" s="267">
        <f t="shared" si="510"/>
        <v>0.15</v>
      </c>
      <c r="IL68" s="267">
        <f t="shared" si="510"/>
        <v>0.15</v>
      </c>
      <c r="IM68" s="267">
        <f t="shared" si="510"/>
        <v>0.15</v>
      </c>
      <c r="IN68" s="267" t="n">
        <f t="shared" ref="IN68:JS68" si="511">IF(Fixed_Variable=1,DD66,Interest_Mezz_Loan)</f>
        <v>0.15</v>
      </c>
      <c r="IO68" s="267">
        <f t="shared" si="511"/>
        <v>0.15</v>
      </c>
      <c r="IP68" s="267">
        <f t="shared" si="511"/>
        <v>0.15</v>
      </c>
      <c r="IQ68" s="267">
        <f t="shared" si="511"/>
        <v>0.15</v>
      </c>
      <c r="IR68" s="267">
        <f t="shared" si="511"/>
        <v>0.15</v>
      </c>
      <c r="IS68" s="267">
        <f t="shared" si="511"/>
        <v>0.15</v>
      </c>
      <c r="IT68" s="267">
        <f t="shared" si="511"/>
        <v>0.15</v>
      </c>
      <c r="IU68" s="267">
        <f t="shared" si="511"/>
        <v>0.15</v>
      </c>
      <c r="IV68" s="267">
        <f t="shared" si="511"/>
        <v>0.15</v>
      </c>
      <c r="IW68" s="267">
        <f t="shared" si="511"/>
        <v>0.15</v>
      </c>
      <c r="IX68" s="267">
        <f t="shared" si="511"/>
        <v>0.15</v>
      </c>
      <c r="IY68" s="267">
        <f t="shared" si="511"/>
        <v>0.15</v>
      </c>
      <c r="IZ68" s="267">
        <f t="shared" si="511"/>
        <v>0.15</v>
      </c>
      <c r="JA68" s="267">
        <f t="shared" si="511"/>
        <v>0.15</v>
      </c>
      <c r="JB68" s="267">
        <f t="shared" si="511"/>
        <v>0.15</v>
      </c>
      <c r="JC68" s="267">
        <f t="shared" si="511"/>
        <v>0.15</v>
      </c>
      <c r="JD68" s="267">
        <f t="shared" si="511"/>
        <v>0.15</v>
      </c>
      <c r="JE68" s="267">
        <f t="shared" si="511"/>
        <v>0.15</v>
      </c>
      <c r="JF68" s="267">
        <f t="shared" si="511"/>
        <v>0.15</v>
      </c>
      <c r="JG68" s="267">
        <f t="shared" si="511"/>
        <v>0.15</v>
      </c>
      <c r="JH68" s="267">
        <f t="shared" si="511"/>
        <v>0.15</v>
      </c>
      <c r="JI68" s="267">
        <f t="shared" si="511"/>
        <v>0.15</v>
      </c>
      <c r="JJ68" s="267">
        <f t="shared" si="511"/>
        <v>0.15</v>
      </c>
      <c r="JK68" s="267">
        <f t="shared" si="511"/>
        <v>0.15</v>
      </c>
      <c r="JL68" s="267">
        <f t="shared" si="511"/>
        <v>0.15</v>
      </c>
      <c r="JM68" s="267">
        <f t="shared" si="511"/>
        <v>0.15</v>
      </c>
      <c r="JN68" s="267">
        <f t="shared" si="511"/>
        <v>0.15</v>
      </c>
      <c r="JO68" s="267">
        <f t="shared" si="511"/>
        <v>0.15</v>
      </c>
      <c r="JP68" s="267">
        <f t="shared" si="511"/>
        <v>0.15</v>
      </c>
      <c r="JQ68" s="267">
        <f t="shared" si="511"/>
        <v>0.15</v>
      </c>
      <c r="JR68" s="267">
        <f t="shared" si="511"/>
        <v>0.15</v>
      </c>
      <c r="JS68" s="267">
        <f t="shared" si="511"/>
        <v>0.15</v>
      </c>
      <c r="JT68" s="267" t="n">
        <f t="shared" ref="JT68:JX68" si="512">IF(Fixed_Variable=1,EJ66,Interest_Mezz_Loan)</f>
        <v>0.15</v>
      </c>
      <c r="JU68" s="267">
        <f t="shared" si="512"/>
        <v>0.15</v>
      </c>
      <c r="JV68" s="267">
        <f t="shared" si="512"/>
        <v>0.15</v>
      </c>
      <c r="JW68" s="267">
        <f t="shared" si="512"/>
        <v>0.15</v>
      </c>
      <c r="JX68" s="267">
        <f t="shared" si="512"/>
        <v>0.15</v>
      </c>
      <c r="JZ68" s="263"/>
      <c r="KA68" s="263"/>
      <c r="KB68" s="263"/>
      <c r="KC68" s="263"/>
      <c r="KD68" s="263"/>
      <c r="KE68" s="263"/>
      <c r="KF68" s="263"/>
      <c r="KG68" s="263"/>
      <c r="KH68" s="263"/>
      <c r="KI68" s="263"/>
      <c r="KJ68" s="263"/>
      <c r="KK68" s="263"/>
      <c r="KL68" s="263"/>
      <c r="KM68" s="263"/>
      <c r="KN68" s="263"/>
      <c r="KO68" s="263"/>
      <c r="KP68" s="263"/>
      <c r="KQ68" s="263"/>
      <c r="KR68" s="263"/>
      <c r="KS68" s="263"/>
      <c r="KT68" s="263"/>
      <c r="KU68" s="263"/>
      <c r="KV68" s="263"/>
      <c r="KW68" s="263"/>
      <c r="KX68" s="263"/>
      <c r="KY68" s="263"/>
      <c r="KZ68" s="263"/>
      <c r="LA68" s="263"/>
      <c r="LB68" s="263"/>
      <c r="LC68" s="263"/>
      <c r="LD68" s="263"/>
      <c r="LE68" s="263"/>
      <c r="LF68" s="263"/>
      <c r="LG68" s="263"/>
      <c r="LH68" s="263"/>
      <c r="LI68" s="263"/>
      <c r="LJ68" s="263"/>
      <c r="LK68" s="263"/>
      <c r="LL68" s="263"/>
      <c r="LM68" s="263"/>
      <c r="LN68" s="263"/>
      <c r="LO68" s="263"/>
      <c r="LP68" s="263"/>
      <c r="LQ68" s="263"/>
      <c r="LR68" s="263"/>
      <c r="LS68" s="263"/>
      <c r="LT68" s="263"/>
      <c r="LU68" s="263"/>
      <c r="LV68" s="263"/>
      <c r="LW68" s="263"/>
      <c r="LX68" s="263"/>
      <c r="LY68" s="263"/>
      <c r="LZ68" s="263"/>
      <c r="MA68" s="263"/>
      <c r="MB68" s="263"/>
      <c r="MC68" s="263"/>
      <c r="MD68" s="263"/>
      <c r="ME68" s="263"/>
      <c r="MF68" s="263"/>
      <c r="MG68" s="263"/>
      <c r="MH68" s="263"/>
      <c r="MI68" s="263"/>
      <c r="MJ68" s="263"/>
      <c r="MK68" s="263"/>
      <c r="ML68" s="263"/>
      <c r="MM68" s="263"/>
      <c r="MN68" s="263"/>
      <c r="MO68" s="263"/>
      <c r="MP68" s="263"/>
      <c r="MQ68" s="263"/>
      <c r="MR68" s="263"/>
      <c r="MS68" s="263"/>
      <c r="MT68" s="263"/>
      <c r="MU68" s="263"/>
      <c r="MV68" s="263"/>
      <c r="MW68" s="263"/>
      <c r="MX68" s="263"/>
      <c r="MY68" s="263"/>
      <c r="MZ68" s="263"/>
      <c r="NA68" s="263"/>
      <c r="NB68" s="263"/>
      <c r="NC68" s="263"/>
      <c r="ND68" s="263"/>
      <c r="NE68" s="263"/>
      <c r="NF68" s="263"/>
      <c r="NG68" s="263"/>
      <c r="NH68" s="263"/>
      <c r="NI68" s="263"/>
      <c r="NJ68" s="263"/>
      <c r="NK68" s="263"/>
      <c r="NL68" s="263"/>
      <c r="NM68" s="263"/>
      <c r="NN68" s="263"/>
      <c r="NO68" s="263"/>
      <c r="NP68" s="263"/>
      <c r="NQ68" s="263"/>
      <c r="NR68" s="263"/>
      <c r="NS68" s="263"/>
      <c r="NT68" s="263"/>
      <c r="NU68" s="263"/>
      <c r="NV68" s="263"/>
      <c r="NW68" s="263"/>
      <c r="NX68" s="263"/>
      <c r="NY68" s="263"/>
      <c r="NZ68" s="263"/>
      <c r="OA68" s="263"/>
      <c r="OB68" s="263"/>
      <c r="OC68" s="263"/>
      <c r="OD68" s="263"/>
      <c r="OE68" s="263"/>
      <c r="OF68" s="263"/>
      <c r="OG68" s="263"/>
      <c r="OH68" s="263"/>
      <c r="OI68" s="263"/>
      <c r="OJ68" s="263"/>
      <c r="OK68" s="263"/>
      <c r="OL68" s="263"/>
      <c r="OM68" s="263"/>
      <c r="ON68" s="263"/>
      <c r="OO68" s="263"/>
      <c r="OP68" s="263"/>
      <c r="OQ68" s="263"/>
      <c r="OR68" s="263"/>
      <c r="OS68" s="263"/>
      <c r="OT68" s="263"/>
      <c r="OU68" s="263"/>
      <c r="OV68" s="263"/>
      <c r="OW68" s="263"/>
      <c r="OX68" s="263"/>
      <c r="OY68" s="263"/>
      <c r="OZ68" s="263"/>
      <c r="PA68" s="263"/>
      <c r="PB68" s="263"/>
      <c r="PC68" s="263"/>
      <c r="PD68" s="263"/>
      <c r="PE68" s="263"/>
      <c r="PF68" s="263"/>
      <c r="PG68" s="263"/>
      <c r="PH68" s="263"/>
    </row>
    <row r="69">
      <c r="B69" s="448" t="s">
        <v>186</v>
      </c>
      <c r="C69" s="59"/>
      <c r="D69" s="404"/>
      <c r="E69" s="404"/>
      <c r="F69" s="53" t="n">
        <f>I69/Project_Cost_Total</f>
        <v>0.28465621098132304</v>
      </c>
      <c r="G69" s="135"/>
      <c r="H69" s="419" t="n">
        <f>I69/Units_SF_M2</f>
        <v>1522.1376559453604</v>
      </c>
      <c r="I69" s="38" t="n">
        <f>SUM(L69:EN69)</f>
        <v>119202222.52470233</v>
      </c>
      <c r="L69" s="421" t="n">
        <f t="shared" ref="L69:AQ69" si="513">MAX(0,SUM(L196,L52:L54)-L75)</f>
        <v>0</v>
      </c>
      <c r="M69" s="421">
        <f t="shared" si="513"/>
        <v>0</v>
      </c>
      <c r="N69" s="421">
        <f t="shared" si="513"/>
        <v>170317.57335215877</v>
      </c>
      <c r="O69" s="421">
        <f t="shared" si="513"/>
        <v>557650.65414992091</v>
      </c>
      <c r="P69" s="421">
        <f t="shared" si="513"/>
        <v>1094287.4844426755</v>
      </c>
      <c r="Q69" s="421">
        <f t="shared" si="513"/>
        <v>1929459.8612853033</v>
      </c>
      <c r="R69" s="421">
        <f t="shared" si="513"/>
        <v>2753177.670029392</v>
      </c>
      <c r="S69" s="421">
        <f t="shared" si="513"/>
        <v>3934760.112479771</v>
      </c>
      <c r="T69" s="421">
        <f t="shared" si="513"/>
        <v>5373664.2575455848</v>
      </c>
      <c r="U69" s="421">
        <f t="shared" si="513"/>
        <v>7065163.6515838141</v>
      </c>
      <c r="V69" s="421">
        <f t="shared" si="513"/>
        <v>8980751.963331705</v>
      </c>
      <c r="W69" s="421">
        <f t="shared" si="513"/>
        <v>11064805.605489833</v>
      </c>
      <c r="X69" s="421">
        <f t="shared" si="513"/>
        <v>13234281.137995301</v>
      </c>
      <c r="Y69" s="421">
        <f t="shared" si="513"/>
        <v>15382246.512724983</v>
      </c>
      <c r="Z69" s="421">
        <f t="shared" si="513"/>
        <v>17385471.482058503</v>
      </c>
      <c r="AA69" s="421">
        <f t="shared" si="513"/>
        <v>19115556.058013067</v>
      </c>
      <c r="AB69" s="421">
        <f t="shared" si="513"/>
        <v>4302640.4456472248</v>
      </c>
      <c r="AC69" s="421">
        <f t="shared" si="513"/>
        <v>0</v>
      </c>
      <c r="AD69" s="421">
        <f t="shared" si="513"/>
        <v>0</v>
      </c>
      <c r="AE69" s="421">
        <f t="shared" si="513"/>
        <v>0</v>
      </c>
      <c r="AF69" s="421">
        <f t="shared" si="513"/>
        <v>0</v>
      </c>
      <c r="AG69" s="421">
        <f t="shared" si="513"/>
        <v>0</v>
      </c>
      <c r="AH69" s="421">
        <f t="shared" si="513"/>
        <v>1.1175870895385742E-8</v>
      </c>
      <c r="AI69" s="421">
        <f t="shared" si="513"/>
        <v>0</v>
      </c>
      <c r="AJ69" s="421">
        <f t="shared" si="513"/>
        <v>2.4214386940002441E-8</v>
      </c>
      <c r="AK69" s="421">
        <f t="shared" si="513"/>
        <v>1.3038516044616699E-8</v>
      </c>
      <c r="AL69" s="421">
        <f t="shared" si="513"/>
        <v>5.5879354476928711E-9</v>
      </c>
      <c r="AM69" s="421">
        <f t="shared" si="513"/>
        <v>0</v>
      </c>
      <c r="AN69" s="421">
        <f t="shared" si="513"/>
        <v>628169.90505937859</v>
      </c>
      <c r="AO69" s="421">
        <f t="shared" si="513"/>
        <v>1991868.595332562</v>
      </c>
      <c r="AP69" s="421">
        <f t="shared" si="513"/>
        <v>1439212.1074419394</v>
      </c>
      <c r="AQ69" s="421">
        <f t="shared" si="513"/>
        <v>1010977.1143789361</v>
      </c>
      <c r="AR69" s="421" t="n">
        <f t="shared" ref="AR69:BW69" si="514">MAX(0,SUM(AR196,AR52:AR54)-AR75)</f>
        <v>1094287.4844426815</v>
      </c>
      <c r="AS69" s="421">
        <f t="shared" si="514"/>
        <v>459169.6677835735</v>
      </c>
      <c r="AT69" s="421">
        <f t="shared" si="514"/>
        <v>170317.57335218112</v>
      </c>
      <c r="AU69" s="421">
        <f t="shared" si="514"/>
        <v>63985.606781755167</v>
      </c>
      <c r="AV69" s="421">
        <f t="shared" si="514"/>
        <v>0</v>
      </c>
      <c r="AW69" s="421">
        <f t="shared" si="514"/>
        <v>0</v>
      </c>
      <c r="AX69" s="421">
        <f t="shared" si="514"/>
        <v>0</v>
      </c>
      <c r="AY69" s="421">
        <f t="shared" si="514"/>
        <v>0</v>
      </c>
      <c r="AZ69" s="421">
        <f t="shared" si="514"/>
        <v>0</v>
      </c>
      <c r="BA69" s="421">
        <f t="shared" si="514"/>
        <v>0</v>
      </c>
      <c r="BB69" s="421">
        <f t="shared" si="514"/>
        <v>0</v>
      </c>
      <c r="BC69" s="421">
        <f t="shared" si="514"/>
        <v>0</v>
      </c>
      <c r="BD69" s="421">
        <f t="shared" si="514"/>
        <v>0</v>
      </c>
      <c r="BE69" s="421">
        <f t="shared" si="514"/>
        <v>0</v>
      </c>
      <c r="BF69" s="421">
        <f t="shared" si="514"/>
        <v>0</v>
      </c>
      <c r="BG69" s="421">
        <f t="shared" si="514"/>
        <v>0</v>
      </c>
      <c r="BH69" s="421">
        <f t="shared" si="514"/>
        <v>0</v>
      </c>
      <c r="BI69" s="421">
        <f t="shared" si="514"/>
        <v>0</v>
      </c>
      <c r="BJ69" s="421">
        <f t="shared" si="514"/>
        <v>0</v>
      </c>
      <c r="BK69" s="421">
        <f t="shared" si="514"/>
        <v>0</v>
      </c>
      <c r="BL69" s="421">
        <f t="shared" si="514"/>
        <v>0</v>
      </c>
      <c r="BM69" s="421">
        <f t="shared" si="514"/>
        <v>0</v>
      </c>
      <c r="BN69" s="421">
        <f t="shared" si="514"/>
        <v>0</v>
      </c>
      <c r="BO69" s="421">
        <f t="shared" si="514"/>
        <v>0</v>
      </c>
      <c r="BP69" s="421">
        <f t="shared" si="514"/>
        <v>0</v>
      </c>
      <c r="BQ69" s="421">
        <f t="shared" si="514"/>
        <v>0</v>
      </c>
      <c r="BR69" s="421">
        <f t="shared" si="514"/>
        <v>0</v>
      </c>
      <c r="BS69" s="421">
        <f t="shared" si="514"/>
        <v>0</v>
      </c>
      <c r="BT69" s="421">
        <f t="shared" si="514"/>
        <v>0</v>
      </c>
      <c r="BU69" s="421">
        <f t="shared" si="514"/>
        <v>0</v>
      </c>
      <c r="BV69" s="421">
        <f t="shared" si="514"/>
        <v>0</v>
      </c>
      <c r="BW69" s="421">
        <f t="shared" si="514"/>
        <v>0</v>
      </c>
      <c r="BX69" s="421" t="n">
        <f t="shared" ref="BX69:DC69" si="515">MAX(0,SUM(BX196,BX52:BX54)-BX75)</f>
        <v>0</v>
      </c>
      <c r="BY69" s="421">
        <f t="shared" si="515"/>
        <v>0</v>
      </c>
      <c r="BZ69" s="421">
        <f t="shared" si="515"/>
        <v>0</v>
      </c>
      <c r="CA69" s="421">
        <f t="shared" si="515"/>
        <v>0</v>
      </c>
      <c r="CB69" s="421">
        <f t="shared" si="515"/>
        <v>0</v>
      </c>
      <c r="CC69" s="421">
        <f t="shared" si="515"/>
        <v>0</v>
      </c>
      <c r="CD69" s="421">
        <f t="shared" si="515"/>
        <v>0</v>
      </c>
      <c r="CE69" s="421">
        <f t="shared" si="515"/>
        <v>0</v>
      </c>
      <c r="CF69" s="421">
        <f t="shared" si="515"/>
        <v>0</v>
      </c>
      <c r="CG69" s="421">
        <f t="shared" si="515"/>
        <v>0</v>
      </c>
      <c r="CH69" s="421">
        <f t="shared" si="515"/>
        <v>0</v>
      </c>
      <c r="CI69" s="421">
        <f t="shared" si="515"/>
        <v>0</v>
      </c>
      <c r="CJ69" s="421">
        <f t="shared" si="515"/>
        <v>0</v>
      </c>
      <c r="CK69" s="421">
        <f t="shared" si="515"/>
        <v>0</v>
      </c>
      <c r="CL69" s="421">
        <f t="shared" si="515"/>
        <v>0</v>
      </c>
      <c r="CM69" s="421">
        <f t="shared" si="515"/>
        <v>0</v>
      </c>
      <c r="CN69" s="421">
        <f t="shared" si="515"/>
        <v>0</v>
      </c>
      <c r="CO69" s="421">
        <f t="shared" si="515"/>
        <v>0</v>
      </c>
      <c r="CP69" s="421">
        <f t="shared" si="515"/>
        <v>0</v>
      </c>
      <c r="CQ69" s="421">
        <f t="shared" si="515"/>
        <v>0</v>
      </c>
      <c r="CR69" s="421">
        <f t="shared" si="515"/>
        <v>0</v>
      </c>
      <c r="CS69" s="421">
        <f t="shared" si="515"/>
        <v>0</v>
      </c>
      <c r="CT69" s="421">
        <f t="shared" si="515"/>
        <v>0</v>
      </c>
      <c r="CU69" s="421">
        <f t="shared" si="515"/>
        <v>0</v>
      </c>
      <c r="CV69" s="421">
        <f t="shared" si="515"/>
        <v>0</v>
      </c>
      <c r="CW69" s="421">
        <f t="shared" si="515"/>
        <v>0</v>
      </c>
      <c r="CX69" s="421">
        <f t="shared" si="515"/>
        <v>0</v>
      </c>
      <c r="CY69" s="421">
        <f t="shared" si="515"/>
        <v>0</v>
      </c>
      <c r="CZ69" s="421">
        <f t="shared" si="515"/>
        <v>0</v>
      </c>
      <c r="DA69" s="421">
        <f t="shared" si="515"/>
        <v>0</v>
      </c>
      <c r="DB69" s="421">
        <f t="shared" si="515"/>
        <v>0</v>
      </c>
      <c r="DC69" s="421">
        <f t="shared" si="515"/>
        <v>0</v>
      </c>
      <c r="DD69" s="421" t="n">
        <f t="shared" ref="DD69:EN69" si="516">MAX(0,SUM(DD196,DD52:DD54)-DD75)</f>
        <v>0</v>
      </c>
      <c r="DE69" s="421">
        <f t="shared" si="516"/>
        <v>0</v>
      </c>
      <c r="DF69" s="421">
        <f t="shared" si="516"/>
        <v>0</v>
      </c>
      <c r="DG69" s="421">
        <f t="shared" si="516"/>
        <v>0</v>
      </c>
      <c r="DH69" s="421">
        <f t="shared" si="516"/>
        <v>0</v>
      </c>
      <c r="DI69" s="421">
        <f t="shared" si="516"/>
        <v>0</v>
      </c>
      <c r="DJ69" s="421">
        <f t="shared" si="516"/>
        <v>0</v>
      </c>
      <c r="DK69" s="421">
        <f t="shared" si="516"/>
        <v>0</v>
      </c>
      <c r="DL69" s="421">
        <f t="shared" si="516"/>
        <v>0</v>
      </c>
      <c r="DM69" s="421">
        <f t="shared" si="516"/>
        <v>0</v>
      </c>
      <c r="DN69" s="421">
        <f t="shared" si="516"/>
        <v>0</v>
      </c>
      <c r="DO69" s="421">
        <f t="shared" si="516"/>
        <v>0</v>
      </c>
      <c r="DP69" s="421">
        <f t="shared" si="516"/>
        <v>0</v>
      </c>
      <c r="DQ69" s="421">
        <f t="shared" si="516"/>
        <v>0</v>
      </c>
      <c r="DR69" s="421">
        <f t="shared" si="516"/>
        <v>0</v>
      </c>
      <c r="DS69" s="421">
        <f t="shared" si="516"/>
        <v>0</v>
      </c>
      <c r="DT69" s="421">
        <f t="shared" si="516"/>
        <v>0</v>
      </c>
      <c r="DU69" s="421">
        <f t="shared" si="516"/>
        <v>0</v>
      </c>
      <c r="DV69" s="421">
        <f t="shared" si="516"/>
        <v>0</v>
      </c>
      <c r="DW69" s="421">
        <f t="shared" si="516"/>
        <v>0</v>
      </c>
      <c r="DX69" s="421">
        <f t="shared" si="516"/>
        <v>0</v>
      </c>
      <c r="DY69" s="421">
        <f t="shared" si="516"/>
        <v>0</v>
      </c>
      <c r="DZ69" s="421">
        <f t="shared" si="516"/>
        <v>0</v>
      </c>
      <c r="EA69" s="421">
        <f t="shared" si="516"/>
        <v>0</v>
      </c>
      <c r="EB69" s="421">
        <f t="shared" si="516"/>
        <v>0</v>
      </c>
      <c r="EC69" s="421">
        <f t="shared" si="516"/>
        <v>0</v>
      </c>
      <c r="ED69" s="421">
        <f t="shared" si="516"/>
        <v>0</v>
      </c>
      <c r="EE69" s="421">
        <f t="shared" si="516"/>
        <v>0</v>
      </c>
      <c r="EF69" s="421">
        <f t="shared" si="516"/>
        <v>0</v>
      </c>
      <c r="EG69" s="421">
        <f t="shared" si="516"/>
        <v>0</v>
      </c>
      <c r="EH69" s="421">
        <f t="shared" si="516"/>
        <v>0</v>
      </c>
      <c r="EI69" s="421">
        <f t="shared" si="516"/>
        <v>0</v>
      </c>
      <c r="EJ69" s="421">
        <f t="shared" si="516"/>
        <v>0</v>
      </c>
      <c r="EK69" s="421">
        <f t="shared" si="516"/>
        <v>0</v>
      </c>
      <c r="EL69" s="421">
        <f t="shared" si="516"/>
        <v>0</v>
      </c>
      <c r="EM69" s="421">
        <f t="shared" si="516"/>
        <v>0</v>
      </c>
      <c r="EN69" s="421">
        <f t="shared" si="516"/>
        <v>0</v>
      </c>
      <c r="EP69" s="220" t="s">
        <v>157</v>
      </c>
      <c r="EQ69" s="18"/>
      <c r="ER69" s="18"/>
      <c r="ES69" s="18"/>
      <c r="ET69" s="18"/>
      <c r="EU69" s="20" t="n">
        <f>I60</f>
        <v>119202222.52470233</v>
      </c>
      <c r="EV69" s="20" t="n">
        <f t="shared" ref="EV69:GA69" si="517">EU69-EV56</f>
        <v>32167429.6195281</v>
      </c>
      <c r="EW69" s="20">
        <f t="shared" si="517"/>
        <v>118899456.03050584</v>
      </c>
      <c r="EX69" s="20">
        <f t="shared" si="517"/>
        <v>118729138.45715368</v>
      </c>
      <c r="EY69" s="20">
        <f t="shared" si="517"/>
        <v>118171487.80300376</v>
      </c>
      <c r="EZ69" s="20">
        <f t="shared" si="517"/>
        <v>117077200.31856108</v>
      </c>
      <c r="FA69" s="20">
        <f t="shared" si="517"/>
        <v>115262079.34691168</v>
      </c>
      <c r="FB69" s="20">
        <f t="shared" si="517"/>
        <v>112508901.6768823</v>
      </c>
      <c r="FC69" s="20">
        <f t="shared" si="517"/>
        <v>108574141.56440252</v>
      </c>
      <c r="FD69" s="20">
        <f t="shared" si="517"/>
        <v>103200477.30685693</v>
      </c>
      <c r="FE69" s="20">
        <f t="shared" si="517"/>
        <v>96135313.65527311</v>
      </c>
      <c r="FF69" s="20">
        <f t="shared" si="517"/>
        <v>87154561.69194141</v>
      </c>
      <c r="FG69" s="20">
        <f t="shared" si="517"/>
        <v>76089756.086451575</v>
      </c>
      <c r="FH69" s="20">
        <f t="shared" si="517"/>
        <v>62855474.948456272</v>
      </c>
      <c r="FI69" s="20">
        <f t="shared" si="517"/>
        <v>47473228.435731292</v>
      </c>
      <c r="FJ69" s="20">
        <f t="shared" si="517"/>
        <v>30087756.953672789</v>
      </c>
      <c r="FK69" s="20">
        <f t="shared" si="517"/>
        <v>10972200.895659722</v>
      </c>
      <c r="FL69" s="20">
        <f t="shared" si="517"/>
        <v>0</v>
      </c>
      <c r="FM69" s="20">
        <f t="shared" si="517"/>
        <v>0</v>
      </c>
      <c r="FN69" s="20">
        <f t="shared" si="517"/>
        <v>0</v>
      </c>
      <c r="FO69" s="20">
        <f t="shared" si="517"/>
        <v>0</v>
      </c>
      <c r="FP69" s="20">
        <f t="shared" si="517"/>
        <v>0</v>
      </c>
      <c r="FQ69" s="20">
        <f t="shared" si="517"/>
        <v>0</v>
      </c>
      <c r="FR69" s="20">
        <f t="shared" si="517"/>
        <v>0</v>
      </c>
      <c r="FS69" s="20">
        <f t="shared" si="517"/>
        <v>0</v>
      </c>
      <c r="FT69" s="20">
        <f t="shared" si="517"/>
        <v>0</v>
      </c>
      <c r="FU69" s="20">
        <f t="shared" si="517"/>
        <v>0</v>
      </c>
      <c r="FV69" s="20">
        <f t="shared" si="517"/>
        <v>0</v>
      </c>
      <c r="FW69" s="20">
        <f t="shared" si="517"/>
        <v>0</v>
      </c>
      <c r="FX69" s="20">
        <f t="shared" si="517"/>
        <v>0</v>
      </c>
      <c r="FY69" s="20">
        <f t="shared" si="517"/>
        <v>0</v>
      </c>
      <c r="FZ69" s="20">
        <f t="shared" si="517"/>
        <v>0</v>
      </c>
      <c r="GA69" s="20">
        <f t="shared" si="517"/>
        <v>0</v>
      </c>
      <c r="GB69" s="20" t="n">
        <f t="shared" ref="GB69:HG69" si="518">GA69-GB56</f>
        <v>0</v>
      </c>
      <c r="GC69" s="20">
        <f t="shared" si="518"/>
        <v>0</v>
      </c>
      <c r="GD69" s="20">
        <f t="shared" si="518"/>
        <v>0</v>
      </c>
      <c r="GE69" s="20">
        <f t="shared" si="518"/>
        <v>100892.82373583224</v>
      </c>
      <c r="GF69" s="20">
        <f t="shared" si="518"/>
        <v>386099.9185616133</v>
      </c>
      <c r="GG69" s="20">
        <f t="shared" si="518"/>
        <v>386099.9185616133</v>
      </c>
      <c r="GH69" s="20">
        <f t="shared" si="518"/>
        <v>386099.9185616133</v>
      </c>
      <c r="GI69" s="20">
        <f t="shared" si="518"/>
        <v>386099.9185616133</v>
      </c>
      <c r="GJ69" s="20">
        <f t="shared" si="518"/>
        <v>386099.9185616133</v>
      </c>
      <c r="GK69" s="20">
        <f t="shared" si="518"/>
        <v>386099.9185616133</v>
      </c>
      <c r="GL69" s="20">
        <f t="shared" si="518"/>
        <v>386099.9185616133</v>
      </c>
      <c r="GM69" s="20">
        <f t="shared" si="518"/>
        <v>386099.9185616133</v>
      </c>
      <c r="GN69" s="20">
        <f t="shared" si="518"/>
        <v>386099.9185616133</v>
      </c>
      <c r="GO69" s="20">
        <f t="shared" si="518"/>
        <v>386099.9185616133</v>
      </c>
      <c r="GP69" s="20">
        <f t="shared" si="518"/>
        <v>386099.9185616133</v>
      </c>
      <c r="GQ69" s="20">
        <f t="shared" si="518"/>
        <v>386099.9185616133</v>
      </c>
      <c r="GR69" s="20">
        <f t="shared" si="518"/>
        <v>386099.9185616133</v>
      </c>
      <c r="GS69" s="20">
        <f t="shared" si="518"/>
        <v>386099.9185616133</v>
      </c>
      <c r="GT69" s="20">
        <f t="shared" si="518"/>
        <v>386099.9185616133</v>
      </c>
      <c r="GU69" s="20">
        <f t="shared" si="518"/>
        <v>386099.9185616133</v>
      </c>
      <c r="GV69" s="20">
        <f t="shared" si="518"/>
        <v>386099.9185616133</v>
      </c>
      <c r="GW69" s="20">
        <f t="shared" si="518"/>
        <v>386099.9185616133</v>
      </c>
      <c r="GX69" s="20">
        <f t="shared" si="518"/>
        <v>386099.9185616133</v>
      </c>
      <c r="GY69" s="20">
        <f t="shared" si="518"/>
        <v>386099.9185616133</v>
      </c>
      <c r="GZ69" s="20">
        <f t="shared" si="518"/>
        <v>386099.9185616133</v>
      </c>
      <c r="HA69" s="20">
        <f t="shared" si="518"/>
        <v>386099.9185616133</v>
      </c>
      <c r="HB69" s="20">
        <f t="shared" si="518"/>
        <v>386099.9185616133</v>
      </c>
      <c r="HC69" s="20">
        <f t="shared" si="518"/>
        <v>386099.9185616133</v>
      </c>
      <c r="HD69" s="20">
        <f t="shared" si="518"/>
        <v>386099.9185616133</v>
      </c>
      <c r="HE69" s="20">
        <f t="shared" si="518"/>
        <v>386099.9185616133</v>
      </c>
      <c r="HF69" s="20">
        <f t="shared" si="518"/>
        <v>386099.9185616133</v>
      </c>
      <c r="HG69" s="20">
        <f t="shared" si="518"/>
        <v>386099.9185616133</v>
      </c>
      <c r="HH69" s="20" t="n">
        <f t="shared" ref="HH69:IM69" si="519">HG69-HH56</f>
        <v>386099.9185616133</v>
      </c>
      <c r="HI69" s="20">
        <f t="shared" si="519"/>
        <v>386099.9185616133</v>
      </c>
      <c r="HJ69" s="20">
        <f t="shared" si="519"/>
        <v>386099.9185616133</v>
      </c>
      <c r="HK69" s="20">
        <f t="shared" si="519"/>
        <v>386099.9185616133</v>
      </c>
      <c r="HL69" s="20">
        <f t="shared" si="519"/>
        <v>386099.9185616133</v>
      </c>
      <c r="HM69" s="20">
        <f t="shared" si="519"/>
        <v>386099.9185616133</v>
      </c>
      <c r="HN69" s="20">
        <f t="shared" si="519"/>
        <v>386099.9185616133</v>
      </c>
      <c r="HO69" s="20">
        <f t="shared" si="519"/>
        <v>386099.9185616133</v>
      </c>
      <c r="HP69" s="20">
        <f t="shared" si="519"/>
        <v>386099.9185616133</v>
      </c>
      <c r="HQ69" s="20">
        <f t="shared" si="519"/>
        <v>386099.9185616133</v>
      </c>
      <c r="HR69" s="20">
        <f t="shared" si="519"/>
        <v>386099.9185616133</v>
      </c>
      <c r="HS69" s="20">
        <f t="shared" si="519"/>
        <v>386099.9185616133</v>
      </c>
      <c r="HT69" s="20">
        <f t="shared" si="519"/>
        <v>386099.9185616133</v>
      </c>
      <c r="HU69" s="20">
        <f t="shared" si="519"/>
        <v>386099.9185616133</v>
      </c>
      <c r="HV69" s="20">
        <f t="shared" si="519"/>
        <v>386099.9185616133</v>
      </c>
      <c r="HW69" s="20">
        <f t="shared" si="519"/>
        <v>386099.9185616133</v>
      </c>
      <c r="HX69" s="20">
        <f t="shared" si="519"/>
        <v>386099.9185616133</v>
      </c>
      <c r="HY69" s="20">
        <f t="shared" si="519"/>
        <v>386099.9185616133</v>
      </c>
      <c r="HZ69" s="20">
        <f t="shared" si="519"/>
        <v>386099.9185616133</v>
      </c>
      <c r="IA69" s="20">
        <f t="shared" si="519"/>
        <v>386099.9185616133</v>
      </c>
      <c r="IB69" s="20">
        <f t="shared" si="519"/>
        <v>386099.9185616133</v>
      </c>
      <c r="IC69" s="20">
        <f t="shared" si="519"/>
        <v>386099.9185616133</v>
      </c>
      <c r="ID69" s="20">
        <f t="shared" si="519"/>
        <v>386099.9185616133</v>
      </c>
      <c r="IE69" s="20">
        <f t="shared" si="519"/>
        <v>386099.9185616133</v>
      </c>
      <c r="IF69" s="20">
        <f t="shared" si="519"/>
        <v>386099.9185616133</v>
      </c>
      <c r="IG69" s="20">
        <f t="shared" si="519"/>
        <v>386099.9185616133</v>
      </c>
      <c r="IH69" s="20">
        <f t="shared" si="519"/>
        <v>386099.9185616133</v>
      </c>
      <c r="II69" s="20">
        <f t="shared" si="519"/>
        <v>386099.9185616133</v>
      </c>
      <c r="IJ69" s="20">
        <f t="shared" si="519"/>
        <v>386099.9185616133</v>
      </c>
      <c r="IK69" s="20">
        <f t="shared" si="519"/>
        <v>386099.9185616133</v>
      </c>
      <c r="IL69" s="20">
        <f t="shared" si="519"/>
        <v>386099.9185616133</v>
      </c>
      <c r="IM69" s="20">
        <f t="shared" si="519"/>
        <v>386099.9185616133</v>
      </c>
      <c r="IN69" s="20" t="n">
        <f t="shared" ref="IN69:JX69" si="520">IM69-IN56</f>
        <v>386099.9185616133</v>
      </c>
      <c r="IO69" s="20">
        <f t="shared" si="520"/>
        <v>386099.9185616133</v>
      </c>
      <c r="IP69" s="20">
        <f t="shared" si="520"/>
        <v>386099.9185616133</v>
      </c>
      <c r="IQ69" s="20">
        <f t="shared" si="520"/>
        <v>386099.9185616133</v>
      </c>
      <c r="IR69" s="20">
        <f t="shared" si="520"/>
        <v>386099.9185616133</v>
      </c>
      <c r="IS69" s="20">
        <f t="shared" si="520"/>
        <v>386099.9185616133</v>
      </c>
      <c r="IT69" s="20">
        <f t="shared" si="520"/>
        <v>386099.9185616133</v>
      </c>
      <c r="IU69" s="20">
        <f t="shared" si="520"/>
        <v>386099.9185616133</v>
      </c>
      <c r="IV69" s="20">
        <f t="shared" si="520"/>
        <v>386099.9185616133</v>
      </c>
      <c r="IW69" s="20">
        <f t="shared" si="520"/>
        <v>386099.9185616133</v>
      </c>
      <c r="IX69" s="20">
        <f t="shared" si="520"/>
        <v>386099.9185616133</v>
      </c>
      <c r="IY69" s="20">
        <f t="shared" si="520"/>
        <v>386099.9185616133</v>
      </c>
      <c r="IZ69" s="20">
        <f t="shared" si="520"/>
        <v>386099.9185616133</v>
      </c>
      <c r="JA69" s="20">
        <f t="shared" si="520"/>
        <v>386099.9185616133</v>
      </c>
      <c r="JB69" s="20">
        <f t="shared" si="520"/>
        <v>386099.9185616133</v>
      </c>
      <c r="JC69" s="20">
        <f t="shared" si="520"/>
        <v>386099.9185616133</v>
      </c>
      <c r="JD69" s="20">
        <f t="shared" si="520"/>
        <v>386099.9185616133</v>
      </c>
      <c r="JE69" s="20">
        <f t="shared" si="520"/>
        <v>386099.9185616133</v>
      </c>
      <c r="JF69" s="20">
        <f t="shared" si="520"/>
        <v>386099.9185616133</v>
      </c>
      <c r="JG69" s="20">
        <f t="shared" si="520"/>
        <v>386099.9185616133</v>
      </c>
      <c r="JH69" s="20">
        <f t="shared" si="520"/>
        <v>386099.9185616133</v>
      </c>
      <c r="JI69" s="20">
        <f t="shared" si="520"/>
        <v>386099.9185616133</v>
      </c>
      <c r="JJ69" s="20">
        <f t="shared" si="520"/>
        <v>386099.9185616133</v>
      </c>
      <c r="JK69" s="20">
        <f t="shared" si="520"/>
        <v>386099.9185616133</v>
      </c>
      <c r="JL69" s="20">
        <f t="shared" si="520"/>
        <v>386099.9185616133</v>
      </c>
      <c r="JM69" s="20">
        <f t="shared" si="520"/>
        <v>386099.9185616133</v>
      </c>
      <c r="JN69" s="20">
        <f t="shared" si="520"/>
        <v>386099.9185616133</v>
      </c>
      <c r="JO69" s="20">
        <f t="shared" si="520"/>
        <v>386099.9185616133</v>
      </c>
      <c r="JP69" s="20">
        <f t="shared" si="520"/>
        <v>386099.9185616133</v>
      </c>
      <c r="JQ69" s="20">
        <f t="shared" si="520"/>
        <v>386099.9185616133</v>
      </c>
      <c r="JR69" s="20">
        <f t="shared" si="520"/>
        <v>386099.9185616133</v>
      </c>
      <c r="JS69" s="20">
        <f t="shared" si="520"/>
        <v>386099.9185616133</v>
      </c>
      <c r="JT69" s="20">
        <f t="shared" si="520"/>
        <v>386099.9185616133</v>
      </c>
      <c r="JU69" s="20">
        <f t="shared" si="520"/>
        <v>386099.9185616133</v>
      </c>
      <c r="JV69" s="20">
        <f t="shared" si="520"/>
        <v>386099.9185616133</v>
      </c>
      <c r="JW69" s="20">
        <f t="shared" si="520"/>
        <v>386099.9185616133</v>
      </c>
      <c r="JX69" s="20">
        <f t="shared" si="520"/>
        <v>386099.9185616133</v>
      </c>
      <c r="JZ69" s="263"/>
      <c r="KA69" s="263"/>
      <c r="KB69" s="263"/>
      <c r="KC69" s="263"/>
      <c r="KD69" s="263"/>
      <c r="KE69" s="263"/>
      <c r="KF69" s="263"/>
      <c r="KG69" s="263"/>
      <c r="KH69" s="263"/>
      <c r="KI69" s="263"/>
      <c r="KJ69" s="263"/>
      <c r="KK69" s="263"/>
      <c r="KL69" s="263"/>
      <c r="KM69" s="263"/>
      <c r="KN69" s="263"/>
      <c r="KO69" s="263"/>
      <c r="KP69" s="263"/>
      <c r="KQ69" s="263"/>
      <c r="KR69" s="263"/>
      <c r="KS69" s="263"/>
      <c r="KT69" s="263"/>
      <c r="KU69" s="263"/>
      <c r="KV69" s="263"/>
      <c r="KW69" s="263"/>
      <c r="KX69" s="263"/>
      <c r="KY69" s="263"/>
      <c r="KZ69" s="263"/>
      <c r="LA69" s="263"/>
      <c r="LB69" s="263"/>
      <c r="LC69" s="263"/>
      <c r="LD69" s="263"/>
      <c r="LE69" s="263"/>
      <c r="LF69" s="263"/>
      <c r="LG69" s="263"/>
      <c r="LH69" s="263"/>
      <c r="LI69" s="263"/>
      <c r="LJ69" s="263"/>
      <c r="LK69" s="263"/>
      <c r="LL69" s="263"/>
      <c r="LM69" s="263"/>
      <c r="LN69" s="263"/>
      <c r="LO69" s="263"/>
      <c r="LP69" s="263"/>
      <c r="LQ69" s="263"/>
      <c r="LR69" s="263"/>
      <c r="LS69" s="263"/>
      <c r="LT69" s="263"/>
      <c r="LU69" s="263"/>
      <c r="LV69" s="263"/>
      <c r="LW69" s="263"/>
      <c r="LX69" s="263"/>
      <c r="LY69" s="263"/>
      <c r="LZ69" s="263"/>
      <c r="MA69" s="263"/>
      <c r="MB69" s="263"/>
      <c r="MC69" s="263"/>
      <c r="MD69" s="263"/>
      <c r="ME69" s="263"/>
      <c r="MF69" s="263"/>
      <c r="MG69" s="263"/>
      <c r="MH69" s="263"/>
      <c r="MI69" s="263"/>
      <c r="MJ69" s="263"/>
      <c r="MK69" s="263"/>
      <c r="ML69" s="263"/>
      <c r="MM69" s="263"/>
      <c r="MN69" s="263"/>
      <c r="MO69" s="263"/>
      <c r="MP69" s="263"/>
      <c r="MQ69" s="263"/>
      <c r="MR69" s="263"/>
      <c r="MS69" s="263"/>
      <c r="MT69" s="263"/>
      <c r="MU69" s="263"/>
      <c r="MV69" s="263"/>
      <c r="MW69" s="263"/>
      <c r="MX69" s="263"/>
      <c r="MY69" s="263"/>
      <c r="MZ69" s="263"/>
      <c r="NA69" s="263"/>
      <c r="NB69" s="263"/>
      <c r="NC69" s="263"/>
      <c r="ND69" s="263"/>
      <c r="NE69" s="263"/>
      <c r="NF69" s="263"/>
      <c r="NG69" s="263"/>
      <c r="NH69" s="263"/>
      <c r="NI69" s="263"/>
      <c r="NJ69" s="263"/>
      <c r="NK69" s="263"/>
      <c r="NL69" s="263"/>
      <c r="NM69" s="263"/>
      <c r="NN69" s="263"/>
      <c r="NO69" s="263"/>
      <c r="NP69" s="263"/>
      <c r="NQ69" s="263"/>
      <c r="NR69" s="263"/>
      <c r="NS69" s="263"/>
      <c r="NT69" s="263"/>
      <c r="NU69" s="263"/>
      <c r="NV69" s="263"/>
      <c r="NW69" s="263"/>
      <c r="NX69" s="263"/>
      <c r="NY69" s="263"/>
      <c r="NZ69" s="263"/>
      <c r="OA69" s="263"/>
      <c r="OB69" s="263"/>
      <c r="OC69" s="263"/>
      <c r="OD69" s="263"/>
      <c r="OE69" s="263"/>
      <c r="OF69" s="263"/>
      <c r="OG69" s="263"/>
      <c r="OH69" s="263"/>
      <c r="OI69" s="263"/>
      <c r="OJ69" s="263"/>
      <c r="OK69" s="263"/>
      <c r="OL69" s="263"/>
      <c r="OM69" s="263"/>
      <c r="ON69" s="263"/>
      <c r="OO69" s="263"/>
      <c r="OP69" s="263"/>
      <c r="OQ69" s="263"/>
      <c r="OR69" s="263"/>
      <c r="OS69" s="263"/>
      <c r="OT69" s="263"/>
      <c r="OU69" s="263"/>
      <c r="OV69" s="263"/>
      <c r="OW69" s="263"/>
      <c r="OX69" s="263"/>
      <c r="OY69" s="263"/>
      <c r="OZ69" s="263"/>
      <c r="PA69" s="263"/>
      <c r="PB69" s="263"/>
      <c r="PC69" s="263"/>
      <c r="PD69" s="263"/>
      <c r="PE69" s="263"/>
      <c r="PF69" s="263"/>
      <c r="PG69" s="263"/>
      <c r="PH69" s="263"/>
    </row>
    <row r="70">
      <c r="B70" s="448"/>
      <c r="C70" s="60"/>
      <c r="D70" s="404"/>
      <c r="E70" s="404"/>
      <c r="F70" s="404"/>
      <c r="G70" s="135"/>
      <c r="H70" s="135"/>
      <c r="I70" s="56"/>
      <c r="EP70" s="220" t="s">
        <v>158</v>
      </c>
      <c r="EQ70" s="18"/>
      <c r="ER70" s="18"/>
      <c r="ES70" s="18"/>
      <c r="ET70" s="18" t="s">
        <v>187</v>
      </c>
      <c r="EU70" s="20" t="n">
        <f>EU52+I53-EU56</f>
        <v>202041295.09121746</v>
      </c>
      <c r="EV70" s="20" t="n">
        <f t="shared" ref="EV70:GA70" si="521">EU70-EV57</f>
        <v>202041295.09121746</v>
      </c>
      <c r="EW70" s="20">
        <f t="shared" si="521"/>
        <v>202041295.09121746</v>
      </c>
      <c r="EX70" s="20">
        <f t="shared" si="521"/>
        <v>202041295.09121746</v>
      </c>
      <c r="EY70" s="20">
        <f t="shared" si="521"/>
        <v>202041295.09121746</v>
      </c>
      <c r="EZ70" s="20">
        <f t="shared" si="521"/>
        <v>202041295.09121746</v>
      </c>
      <c r="FA70" s="20">
        <f t="shared" si="521"/>
        <v>202041295.09121746</v>
      </c>
      <c r="FB70" s="20">
        <f t="shared" si="521"/>
        <v>202041295.09121746</v>
      </c>
      <c r="FC70" s="20">
        <f t="shared" si="521"/>
        <v>202041295.09121746</v>
      </c>
      <c r="FD70" s="20">
        <f t="shared" si="521"/>
        <v>202041295.09121746</v>
      </c>
      <c r="FE70" s="20">
        <f t="shared" si="521"/>
        <v>202041295.09121746</v>
      </c>
      <c r="FF70" s="20">
        <f t="shared" si="521"/>
        <v>202041295.09121746</v>
      </c>
      <c r="FG70" s="20">
        <f t="shared" si="521"/>
        <v>202041295.09121746</v>
      </c>
      <c r="FH70" s="20">
        <f t="shared" si="521"/>
        <v>202041295.09121746</v>
      </c>
      <c r="FI70" s="20">
        <f t="shared" si="521"/>
        <v>202041295.09121746</v>
      </c>
      <c r="FJ70" s="20">
        <f t="shared" si="521"/>
        <v>202041295.09121746</v>
      </c>
      <c r="FK70" s="20">
        <f t="shared" si="521"/>
        <v>202041295.09121746</v>
      </c>
      <c r="FL70" s="20">
        <f t="shared" si="521"/>
        <v>192561187.91880587</v>
      </c>
      <c r="FM70" s="20">
        <f t="shared" si="521"/>
        <v>171263711.7016218</v>
      </c>
      <c r="FN70" s="20">
        <f t="shared" si="521"/>
        <v>149677039.42010146</v>
      </c>
      <c r="FO70" s="20">
        <f t="shared" si="521"/>
        <v>128379563.2029174</v>
      </c>
      <c r="FP70" s="20">
        <f t="shared" si="521"/>
        <v>107927255.13484612</v>
      </c>
      <c r="FQ70" s="20">
        <f t="shared" si="521"/>
        <v>88811699.07683301</v>
      </c>
      <c r="FR70" s="20">
        <f t="shared" si="521"/>
        <v>71426227.594774529</v>
      </c>
      <c r="FS70" s="20">
        <f t="shared" si="521"/>
        <v>56043981.082049549</v>
      </c>
      <c r="FT70" s="20">
        <f t="shared" si="521"/>
        <v>42809699.944054224</v>
      </c>
      <c r="FU70" s="20">
        <f t="shared" si="521"/>
        <v>31744894.338564418</v>
      </c>
      <c r="FV70" s="20">
        <f t="shared" si="521"/>
        <v>22764142.375232711</v>
      </c>
      <c r="FW70" s="20">
        <f t="shared" si="521"/>
        <v>15698978.723648872</v>
      </c>
      <c r="FX70" s="20">
        <f t="shared" si="521"/>
        <v>10325314.466103304</v>
      </c>
      <c r="FY70" s="20">
        <f t="shared" si="521"/>
        <v>6390554.3536235318</v>
      </c>
      <c r="FZ70" s="20">
        <f t="shared" si="521"/>
        <v>3637376.6835941258</v>
      </c>
      <c r="GA70" s="20">
        <f t="shared" si="521"/>
        <v>1822255.7119447435</v>
      </c>
      <c r="GB70" s="20" t="n">
        <f t="shared" ref="GB70:HG70" si="522">GA70-GB57</f>
        <v>727968.227502062</v>
      </c>
      <c r="GC70" s="20">
        <f t="shared" si="522"/>
        <v>170317.57335216028</v>
      </c>
      <c r="GD70" s="20">
        <f t="shared" si="522"/>
        <v>0</v>
      </c>
      <c r="GE70" s="20">
        <f t="shared" si="522"/>
        <v>0</v>
      </c>
      <c r="GF70" s="20">
        <f t="shared" si="522"/>
        <v>0</v>
      </c>
      <c r="GG70" s="20">
        <f t="shared" si="522"/>
        <v>0</v>
      </c>
      <c r="GH70" s="20">
        <f t="shared" si="522"/>
        <v>0</v>
      </c>
      <c r="GI70" s="20">
        <f t="shared" si="522"/>
        <v>0</v>
      </c>
      <c r="GJ70" s="20">
        <f t="shared" si="522"/>
        <v>0</v>
      </c>
      <c r="GK70" s="20">
        <f t="shared" si="522"/>
        <v>0</v>
      </c>
      <c r="GL70" s="20">
        <f t="shared" si="522"/>
        <v>0</v>
      </c>
      <c r="GM70" s="20">
        <f t="shared" si="522"/>
        <v>0</v>
      </c>
      <c r="GN70" s="20">
        <f t="shared" si="522"/>
        <v>0</v>
      </c>
      <c r="GO70" s="20">
        <f t="shared" si="522"/>
        <v>0</v>
      </c>
      <c r="GP70" s="20">
        <f t="shared" si="522"/>
        <v>0</v>
      </c>
      <c r="GQ70" s="20">
        <f t="shared" si="522"/>
        <v>0</v>
      </c>
      <c r="GR70" s="20">
        <f t="shared" si="522"/>
        <v>0</v>
      </c>
      <c r="GS70" s="20">
        <f t="shared" si="522"/>
        <v>0</v>
      </c>
      <c r="GT70" s="20">
        <f t="shared" si="522"/>
        <v>0</v>
      </c>
      <c r="GU70" s="20">
        <f t="shared" si="522"/>
        <v>0</v>
      </c>
      <c r="GV70" s="20">
        <f t="shared" si="522"/>
        <v>0</v>
      </c>
      <c r="GW70" s="20">
        <f t="shared" si="522"/>
        <v>0</v>
      </c>
      <c r="GX70" s="20">
        <f t="shared" si="522"/>
        <v>0</v>
      </c>
      <c r="GY70" s="20">
        <f t="shared" si="522"/>
        <v>0</v>
      </c>
      <c r="GZ70" s="20">
        <f t="shared" si="522"/>
        <v>0</v>
      </c>
      <c r="HA70" s="20">
        <f t="shared" si="522"/>
        <v>0</v>
      </c>
      <c r="HB70" s="20">
        <f t="shared" si="522"/>
        <v>0</v>
      </c>
      <c r="HC70" s="20">
        <f t="shared" si="522"/>
        <v>0</v>
      </c>
      <c r="HD70" s="20">
        <f t="shared" si="522"/>
        <v>0</v>
      </c>
      <c r="HE70" s="20">
        <f t="shared" si="522"/>
        <v>0</v>
      </c>
      <c r="HF70" s="20">
        <f t="shared" si="522"/>
        <v>0</v>
      </c>
      <c r="HG70" s="20">
        <f t="shared" si="522"/>
        <v>0</v>
      </c>
      <c r="HH70" s="20" t="n">
        <f t="shared" ref="HH70:IM70" si="523">HG70-HH57</f>
        <v>0</v>
      </c>
      <c r="HI70" s="20">
        <f t="shared" si="523"/>
        <v>0</v>
      </c>
      <c r="HJ70" s="20">
        <f t="shared" si="523"/>
        <v>0</v>
      </c>
      <c r="HK70" s="20">
        <f t="shared" si="523"/>
        <v>0</v>
      </c>
      <c r="HL70" s="20">
        <f t="shared" si="523"/>
        <v>0</v>
      </c>
      <c r="HM70" s="20">
        <f t="shared" si="523"/>
        <v>0</v>
      </c>
      <c r="HN70" s="20">
        <f t="shared" si="523"/>
        <v>0</v>
      </c>
      <c r="HO70" s="20">
        <f t="shared" si="523"/>
        <v>0</v>
      </c>
      <c r="HP70" s="20">
        <f t="shared" si="523"/>
        <v>0</v>
      </c>
      <c r="HQ70" s="20">
        <f t="shared" si="523"/>
        <v>0</v>
      </c>
      <c r="HR70" s="20">
        <f t="shared" si="523"/>
        <v>0</v>
      </c>
      <c r="HS70" s="20">
        <f t="shared" si="523"/>
        <v>0</v>
      </c>
      <c r="HT70" s="20">
        <f t="shared" si="523"/>
        <v>0</v>
      </c>
      <c r="HU70" s="20">
        <f t="shared" si="523"/>
        <v>0</v>
      </c>
      <c r="HV70" s="20">
        <f t="shared" si="523"/>
        <v>0</v>
      </c>
      <c r="HW70" s="20">
        <f t="shared" si="523"/>
        <v>0</v>
      </c>
      <c r="HX70" s="20">
        <f t="shared" si="523"/>
        <v>0</v>
      </c>
      <c r="HY70" s="20">
        <f t="shared" si="523"/>
        <v>0</v>
      </c>
      <c r="HZ70" s="20">
        <f t="shared" si="523"/>
        <v>0</v>
      </c>
      <c r="IA70" s="20">
        <f t="shared" si="523"/>
        <v>0</v>
      </c>
      <c r="IB70" s="20">
        <f t="shared" si="523"/>
        <v>0</v>
      </c>
      <c r="IC70" s="20">
        <f t="shared" si="523"/>
        <v>0</v>
      </c>
      <c r="ID70" s="20">
        <f t="shared" si="523"/>
        <v>0</v>
      </c>
      <c r="IE70" s="20">
        <f t="shared" si="523"/>
        <v>0</v>
      </c>
      <c r="IF70" s="20">
        <f t="shared" si="523"/>
        <v>0</v>
      </c>
      <c r="IG70" s="20">
        <f t="shared" si="523"/>
        <v>0</v>
      </c>
      <c r="IH70" s="20">
        <f t="shared" si="523"/>
        <v>0</v>
      </c>
      <c r="II70" s="20">
        <f t="shared" si="523"/>
        <v>0</v>
      </c>
      <c r="IJ70" s="20">
        <f t="shared" si="523"/>
        <v>0</v>
      </c>
      <c r="IK70" s="20">
        <f t="shared" si="523"/>
        <v>0</v>
      </c>
      <c r="IL70" s="20">
        <f t="shared" si="523"/>
        <v>0</v>
      </c>
      <c r="IM70" s="20">
        <f t="shared" si="523"/>
        <v>0</v>
      </c>
      <c r="IN70" s="20" t="n">
        <f t="shared" ref="IN70:JX70" si="524">IM70-IN57</f>
        <v>0</v>
      </c>
      <c r="IO70" s="20">
        <f t="shared" si="524"/>
        <v>0</v>
      </c>
      <c r="IP70" s="20">
        <f t="shared" si="524"/>
        <v>0</v>
      </c>
      <c r="IQ70" s="20">
        <f t="shared" si="524"/>
        <v>0</v>
      </c>
      <c r="IR70" s="20">
        <f t="shared" si="524"/>
        <v>0</v>
      </c>
      <c r="IS70" s="20">
        <f t="shared" si="524"/>
        <v>0</v>
      </c>
      <c r="IT70" s="20">
        <f t="shared" si="524"/>
        <v>0</v>
      </c>
      <c r="IU70" s="20">
        <f t="shared" si="524"/>
        <v>0</v>
      </c>
      <c r="IV70" s="20">
        <f t="shared" si="524"/>
        <v>0</v>
      </c>
      <c r="IW70" s="20">
        <f t="shared" si="524"/>
        <v>0</v>
      </c>
      <c r="IX70" s="20">
        <f t="shared" si="524"/>
        <v>0</v>
      </c>
      <c r="IY70" s="20">
        <f t="shared" si="524"/>
        <v>0</v>
      </c>
      <c r="IZ70" s="20">
        <f t="shared" si="524"/>
        <v>0</v>
      </c>
      <c r="JA70" s="20">
        <f t="shared" si="524"/>
        <v>0</v>
      </c>
      <c r="JB70" s="20">
        <f t="shared" si="524"/>
        <v>0</v>
      </c>
      <c r="JC70" s="20">
        <f t="shared" si="524"/>
        <v>0</v>
      </c>
      <c r="JD70" s="20">
        <f t="shared" si="524"/>
        <v>0</v>
      </c>
      <c r="JE70" s="20">
        <f t="shared" si="524"/>
        <v>0</v>
      </c>
      <c r="JF70" s="20">
        <f t="shared" si="524"/>
        <v>0</v>
      </c>
      <c r="JG70" s="20">
        <f t="shared" si="524"/>
        <v>0</v>
      </c>
      <c r="JH70" s="20">
        <f t="shared" si="524"/>
        <v>0</v>
      </c>
      <c r="JI70" s="20">
        <f t="shared" si="524"/>
        <v>0</v>
      </c>
      <c r="JJ70" s="20">
        <f t="shared" si="524"/>
        <v>0</v>
      </c>
      <c r="JK70" s="20">
        <f t="shared" si="524"/>
        <v>0</v>
      </c>
      <c r="JL70" s="20">
        <f t="shared" si="524"/>
        <v>0</v>
      </c>
      <c r="JM70" s="20">
        <f t="shared" si="524"/>
        <v>0</v>
      </c>
      <c r="JN70" s="20">
        <f t="shared" si="524"/>
        <v>0</v>
      </c>
      <c r="JO70" s="20">
        <f t="shared" si="524"/>
        <v>0</v>
      </c>
      <c r="JP70" s="20">
        <f t="shared" si="524"/>
        <v>0</v>
      </c>
      <c r="JQ70" s="20">
        <f t="shared" si="524"/>
        <v>0</v>
      </c>
      <c r="JR70" s="20">
        <f t="shared" si="524"/>
        <v>0</v>
      </c>
      <c r="JS70" s="20">
        <f t="shared" si="524"/>
        <v>0</v>
      </c>
      <c r="JT70" s="20">
        <f t="shared" si="524"/>
        <v>0</v>
      </c>
      <c r="JU70" s="20">
        <f t="shared" si="524"/>
        <v>0</v>
      </c>
      <c r="JV70" s="20">
        <f t="shared" si="524"/>
        <v>0</v>
      </c>
      <c r="JW70" s="20">
        <f t="shared" si="524"/>
        <v>0</v>
      </c>
      <c r="JX70" s="20">
        <f t="shared" si="524"/>
        <v>0</v>
      </c>
      <c r="JZ70" s="263"/>
      <c r="KA70" s="263"/>
      <c r="KB70" s="263"/>
      <c r="KC70" s="263"/>
      <c r="KD70" s="263"/>
      <c r="KE70" s="263"/>
      <c r="KF70" s="263"/>
      <c r="KG70" s="263"/>
      <c r="KH70" s="263"/>
      <c r="KI70" s="263"/>
      <c r="KJ70" s="263"/>
      <c r="KK70" s="263"/>
      <c r="KL70" s="263"/>
      <c r="KM70" s="263"/>
      <c r="KN70" s="263"/>
      <c r="KO70" s="263"/>
      <c r="KP70" s="263"/>
      <c r="KQ70" s="263"/>
      <c r="KR70" s="263"/>
      <c r="KS70" s="263"/>
      <c r="KT70" s="263"/>
      <c r="KU70" s="263"/>
      <c r="KV70" s="263"/>
      <c r="KW70" s="263"/>
      <c r="KX70" s="263"/>
      <c r="KY70" s="263"/>
      <c r="KZ70" s="263"/>
      <c r="LA70" s="263"/>
      <c r="LB70" s="263"/>
      <c r="LC70" s="263"/>
      <c r="LD70" s="263"/>
      <c r="LE70" s="263"/>
      <c r="LF70" s="263"/>
      <c r="LG70" s="263"/>
      <c r="LH70" s="263"/>
      <c r="LI70" s="263"/>
      <c r="LJ70" s="263"/>
      <c r="LK70" s="263"/>
      <c r="LL70" s="263"/>
      <c r="LM70" s="263"/>
      <c r="LN70" s="263"/>
      <c r="LO70" s="263"/>
      <c r="LP70" s="263"/>
      <c r="LQ70" s="263"/>
      <c r="LR70" s="263"/>
      <c r="LS70" s="263"/>
      <c r="LT70" s="263"/>
      <c r="LU70" s="263"/>
      <c r="LV70" s="263"/>
      <c r="LW70" s="263"/>
      <c r="LX70" s="263"/>
      <c r="LY70" s="263"/>
      <c r="LZ70" s="263"/>
      <c r="MA70" s="263"/>
      <c r="MB70" s="263"/>
      <c r="MC70" s="263"/>
      <c r="MD70" s="263"/>
      <c r="ME70" s="263"/>
      <c r="MF70" s="263"/>
      <c r="MG70" s="263"/>
      <c r="MH70" s="263"/>
      <c r="MI70" s="263"/>
      <c r="MJ70" s="263"/>
      <c r="MK70" s="263"/>
      <c r="ML70" s="263"/>
      <c r="MM70" s="263"/>
      <c r="MN70" s="263"/>
      <c r="MO70" s="263"/>
      <c r="MP70" s="263"/>
      <c r="MQ70" s="263"/>
      <c r="MR70" s="263"/>
      <c r="MS70" s="263"/>
      <c r="MT70" s="263"/>
      <c r="MU70" s="263"/>
      <c r="MV70" s="263"/>
      <c r="MW70" s="263"/>
      <c r="MX70" s="263"/>
      <c r="MY70" s="263"/>
      <c r="MZ70" s="263"/>
      <c r="NA70" s="263"/>
      <c r="NB70" s="263"/>
      <c r="NC70" s="263"/>
      <c r="ND70" s="263"/>
      <c r="NE70" s="263"/>
      <c r="NF70" s="263"/>
      <c r="NG70" s="263"/>
      <c r="NH70" s="263"/>
      <c r="NI70" s="263"/>
      <c r="NJ70" s="263"/>
      <c r="NK70" s="263"/>
      <c r="NL70" s="263"/>
      <c r="NM70" s="263"/>
      <c r="NN70" s="263"/>
      <c r="NO70" s="263"/>
      <c r="NP70" s="263"/>
      <c r="NQ70" s="263"/>
      <c r="NR70" s="263"/>
      <c r="NS70" s="263"/>
      <c r="NT70" s="263"/>
      <c r="NU70" s="263"/>
      <c r="NV70" s="263"/>
      <c r="NW70" s="263"/>
      <c r="NX70" s="263"/>
      <c r="NY70" s="263"/>
      <c r="NZ70" s="263"/>
      <c r="OA70" s="263"/>
      <c r="OB70" s="263"/>
      <c r="OC70" s="263"/>
      <c r="OD70" s="263"/>
      <c r="OE70" s="263"/>
      <c r="OF70" s="263"/>
      <c r="OG70" s="263"/>
      <c r="OH70" s="263"/>
      <c r="OI70" s="263"/>
      <c r="OJ70" s="263"/>
      <c r="OK70" s="263"/>
      <c r="OL70" s="263"/>
      <c r="OM70" s="263"/>
      <c r="ON70" s="263"/>
      <c r="OO70" s="263"/>
      <c r="OP70" s="263"/>
      <c r="OQ70" s="263"/>
      <c r="OR70" s="263"/>
      <c r="OS70" s="263"/>
      <c r="OT70" s="263"/>
      <c r="OU70" s="263"/>
      <c r="OV70" s="263"/>
      <c r="OW70" s="263"/>
      <c r="OX70" s="263"/>
      <c r="OY70" s="263"/>
      <c r="OZ70" s="263"/>
      <c r="PA70" s="263"/>
      <c r="PB70" s="263"/>
      <c r="PC70" s="263"/>
      <c r="PD70" s="263"/>
      <c r="PE70" s="263"/>
      <c r="PF70" s="263"/>
      <c r="PG70" s="263"/>
      <c r="PH70" s="263"/>
    </row>
    <row r="71">
      <c r="B71" s="34" t="s">
        <v>169</v>
      </c>
      <c r="C71" s="61"/>
      <c r="D71" s="404"/>
      <c r="E71" s="416"/>
      <c r="F71" s="404"/>
      <c r="G71" s="135"/>
      <c r="H71" s="135"/>
      <c r="I71" s="38"/>
      <c r="EP71" s="220" t="s">
        <v>188</v>
      </c>
      <c r="EQ71" s="18"/>
      <c r="ER71" s="18"/>
      <c r="ES71" s="18"/>
      <c r="ET71" s="18" t="s">
        <v>187</v>
      </c>
      <c r="EU71" s="20" t="n">
        <f>EU58</f>
        <v>69621442.15219094</v>
      </c>
      <c r="EV71" s="20" t="n">
        <f t="shared" ref="EV71:GA71" si="525">EU71-EV58</f>
        <v>69621442.15219094</v>
      </c>
      <c r="EW71" s="20">
        <f t="shared" si="525"/>
        <v>69621442.152190939</v>
      </c>
      <c r="EX71" s="20">
        <f t="shared" si="525"/>
        <v>69621442.152190939</v>
      </c>
      <c r="EY71" s="20">
        <f t="shared" si="525"/>
        <v>69621442.152190939</v>
      </c>
      <c r="EZ71" s="20">
        <f t="shared" si="525"/>
        <v>69621442.152190939</v>
      </c>
      <c r="FA71" s="20">
        <f t="shared" si="525"/>
        <v>69621442.152190939</v>
      </c>
      <c r="FB71" s="20">
        <f t="shared" si="525"/>
        <v>69620584.610518664</v>
      </c>
      <c r="FC71" s="20">
        <f t="shared" si="525"/>
        <v>69619720.637283847</v>
      </c>
      <c r="FD71" s="20">
        <f t="shared" si="525"/>
        <v>69618850.184249774</v>
      </c>
      <c r="FE71" s="20">
        <f t="shared" si="525"/>
        <v>69617973.202817947</v>
      </c>
      <c r="FF71" s="20">
        <f t="shared" si="525"/>
        <v>69617089.644025385</v>
      </c>
      <c r="FG71" s="20">
        <f t="shared" si="525"/>
        <v>69616199.45854187</v>
      </c>
      <c r="FH71" s="20">
        <f t="shared" si="525"/>
        <v>69615302.59666723</v>
      </c>
      <c r="FI71" s="20">
        <f t="shared" si="525"/>
        <v>69614399.008328527</v>
      </c>
      <c r="FJ71" s="20">
        <f t="shared" si="525"/>
        <v>69613488.643077284</v>
      </c>
      <c r="FK71" s="20">
        <f t="shared" si="525"/>
        <v>69612571.450086668</v>
      </c>
      <c r="FL71" s="20">
        <f t="shared" si="525"/>
        <v>69611647.378148615</v>
      </c>
      <c r="FM71" s="20">
        <f t="shared" si="525"/>
        <v>69539615.571877941</v>
      </c>
      <c r="FN71" s="20">
        <f t="shared" si="525"/>
        <v>69307312.455431357</v>
      </c>
      <c r="FO71" s="20">
        <f t="shared" si="525"/>
        <v>68911367.023500025</v>
      </c>
      <c r="FP71" s="20">
        <f t="shared" si="525"/>
        <v>68352720.929200321</v>
      </c>
      <c r="FQ71" s="20">
        <f t="shared" si="525"/>
        <v>67636492.678682834</v>
      </c>
      <c r="FR71" s="20">
        <f t="shared" si="525"/>
        <v>66771526.045851372</v>
      </c>
      <c r="FS71" s="20">
        <f t="shared" si="525"/>
        <v>65769681.127158232</v>
      </c>
      <c r="FT71" s="20">
        <f t="shared" si="525"/>
        <v>64644955.522729456</v>
      </c>
      <c r="FU71" s="20">
        <f t="shared" si="525"/>
        <v>63412537.367732503</v>
      </c>
      <c r="FV71" s="20">
        <f t="shared" si="525"/>
        <v>62087890.034531899</v>
      </c>
      <c r="FW71" s="20">
        <f t="shared" si="525"/>
        <v>60685952.206607305</v>
      </c>
      <c r="FX71" s="20">
        <f t="shared" si="525"/>
        <v>59220511.117586397</v>
      </c>
      <c r="FY71" s="20">
        <f t="shared" si="525"/>
        <v>57703776.73846624</v>
      </c>
      <c r="FZ71" s="20">
        <f t="shared" si="525"/>
        <v>56146156.150659084</v>
      </c>
      <c r="GA71" s="20">
        <f t="shared" si="525"/>
        <v>54556204.575918153</v>
      </c>
      <c r="GB71" s="20" t="n">
        <f t="shared" ref="GB71:HG71" si="526">GA71-GB58</f>
        <v>52940714.95707929</v>
      </c>
      <c r="GC71" s="20">
        <f t="shared" si="526"/>
        <v>51304902.009965822</v>
      </c>
      <c r="GD71" s="20">
        <f t="shared" si="526"/>
        <v>49652638.085842878</v>
      </c>
      <c r="GE71" s="20">
        <f t="shared" si="526"/>
        <v>47986704.800488867</v>
      </c>
      <c r="GF71" s="20">
        <f t="shared" si="526"/>
        <v>46308277.015494704</v>
      </c>
      <c r="GG71" s="20">
        <f t="shared" si="526"/>
        <v>44617261.022113085</v>
      </c>
      <c r="GH71" s="20">
        <f t="shared" si="526"/>
        <v>42913562.408781104</v>
      </c>
      <c r="GI71" s="20">
        <f t="shared" si="526"/>
        <v>41197086.055849127</v>
      </c>
      <c r="GJ71" s="20">
        <f t="shared" si="526"/>
        <v>39467736.130270161</v>
      </c>
      <c r="GK71" s="20">
        <f t="shared" si="526"/>
        <v>37725416.080249354</v>
      </c>
      <c r="GL71" s="20">
        <f t="shared" si="526"/>
        <v>35970028.62985339</v>
      </c>
      <c r="GM71" s="20">
        <f t="shared" si="526"/>
        <v>34201475.773579456</v>
      </c>
      <c r="GN71" s="20">
        <f t="shared" si="526"/>
        <v>32419658.770883471</v>
      </c>
      <c r="GO71" s="20">
        <f t="shared" si="526"/>
        <v>30624478.140667263</v>
      </c>
      <c r="GP71" s="20">
        <f t="shared" si="526"/>
        <v>28815833.655724436</v>
      </c>
      <c r="GQ71" s="20">
        <f t="shared" si="526"/>
        <v>26993624.337144539</v>
      </c>
      <c r="GR71" s="20">
        <f t="shared" si="526"/>
        <v>25157748.44867529</v>
      </c>
      <c r="GS71" s="20">
        <f t="shared" si="526"/>
        <v>23308103.491042525</v>
      </c>
      <c r="GT71" s="20">
        <f t="shared" si="526"/>
        <v>21444586.196227513</v>
      </c>
      <c r="GU71" s="20">
        <f t="shared" si="526"/>
        <v>19567092.521701388</v>
      </c>
      <c r="GV71" s="20">
        <f t="shared" si="526"/>
        <v>17675517.644616317</v>
      </c>
      <c r="GW71" s="20">
        <f t="shared" si="526"/>
        <v>15769755.955953108</v>
      </c>
      <c r="GX71" s="20">
        <f t="shared" si="526"/>
        <v>13849701.054624924</v>
      </c>
      <c r="GY71" s="20">
        <f t="shared" si="526"/>
        <v>11915245.741536779</v>
      </c>
      <c r="GZ71" s="20">
        <f t="shared" si="526"/>
        <v>9966282.0136004724</v>
      </c>
      <c r="HA71" s="20">
        <f t="shared" si="526"/>
        <v>8002701.0577046443</v>
      </c>
      <c r="HB71" s="20">
        <f t="shared" si="526"/>
        <v>6024393.2446395969</v>
      </c>
      <c r="HC71" s="20">
        <f t="shared" si="526"/>
        <v>4031248.122976562</v>
      </c>
      <c r="HD71" s="20">
        <f t="shared" si="526"/>
        <v>2023154.4129010544</v>
      </c>
      <c r="HE71" s="20">
        <f t="shared" si="526"/>
        <v>-2.0023435354232788E-8</v>
      </c>
      <c r="HF71" s="20">
        <f t="shared" si="526"/>
        <v>-2.0023435354232788E-8</v>
      </c>
      <c r="HG71" s="20">
        <f t="shared" si="526"/>
        <v>-2.0023435354232788E-8</v>
      </c>
      <c r="HH71" s="20" t="n">
        <f t="shared" ref="HH71:IM71" si="527">HG71-HH58</f>
        <v>-2.0023435354232788e-8</v>
      </c>
      <c r="HI71" s="20">
        <f t="shared" si="527"/>
        <v>-2.0023435354232788E-8</v>
      </c>
      <c r="HJ71" s="20">
        <f t="shared" si="527"/>
        <v>-2.0023435354232788E-8</v>
      </c>
      <c r="HK71" s="20">
        <f t="shared" si="527"/>
        <v>-2.0023435354232788E-8</v>
      </c>
      <c r="HL71" s="20">
        <f t="shared" si="527"/>
        <v>-2.0023435354232788E-8</v>
      </c>
      <c r="HM71" s="20">
        <f t="shared" si="527"/>
        <v>-2.0023435354232788E-8</v>
      </c>
      <c r="HN71" s="20">
        <f t="shared" si="527"/>
        <v>-2.0023435354232788E-8</v>
      </c>
      <c r="HO71" s="20">
        <f t="shared" si="527"/>
        <v>-2.0023435354232788E-8</v>
      </c>
      <c r="HP71" s="20">
        <f t="shared" si="527"/>
        <v>-2.0023435354232788E-8</v>
      </c>
      <c r="HQ71" s="20">
        <f t="shared" si="527"/>
        <v>-2.0023435354232788E-8</v>
      </c>
      <c r="HR71" s="20">
        <f t="shared" si="527"/>
        <v>-2.0023435354232788E-8</v>
      </c>
      <c r="HS71" s="20">
        <f t="shared" si="527"/>
        <v>-2.0023435354232788E-8</v>
      </c>
      <c r="HT71" s="20">
        <f t="shared" si="527"/>
        <v>-2.0023435354232788E-8</v>
      </c>
      <c r="HU71" s="20">
        <f t="shared" si="527"/>
        <v>-2.0023435354232788E-8</v>
      </c>
      <c r="HV71" s="20">
        <f t="shared" si="527"/>
        <v>-2.0023435354232788E-8</v>
      </c>
      <c r="HW71" s="20">
        <f t="shared" si="527"/>
        <v>-2.0023435354232788E-8</v>
      </c>
      <c r="HX71" s="20">
        <f t="shared" si="527"/>
        <v>-2.0023435354232788E-8</v>
      </c>
      <c r="HY71" s="20">
        <f t="shared" si="527"/>
        <v>-2.0023435354232788E-8</v>
      </c>
      <c r="HZ71" s="20">
        <f t="shared" si="527"/>
        <v>-2.0023435354232788E-8</v>
      </c>
      <c r="IA71" s="20">
        <f t="shared" si="527"/>
        <v>-2.0023435354232788E-8</v>
      </c>
      <c r="IB71" s="20">
        <f t="shared" si="527"/>
        <v>-2.0023435354232788E-8</v>
      </c>
      <c r="IC71" s="20">
        <f t="shared" si="527"/>
        <v>-2.0023435354232788E-8</v>
      </c>
      <c r="ID71" s="20">
        <f t="shared" si="527"/>
        <v>-2.0023435354232788E-8</v>
      </c>
      <c r="IE71" s="20">
        <f t="shared" si="527"/>
        <v>-2.0023435354232788E-8</v>
      </c>
      <c r="IF71" s="20">
        <f t="shared" si="527"/>
        <v>-2.0023435354232788E-8</v>
      </c>
      <c r="IG71" s="20">
        <f t="shared" si="527"/>
        <v>-2.0023435354232788E-8</v>
      </c>
      <c r="IH71" s="20">
        <f t="shared" si="527"/>
        <v>-2.0023435354232788E-8</v>
      </c>
      <c r="II71" s="20">
        <f t="shared" si="527"/>
        <v>-2.0023435354232788E-8</v>
      </c>
      <c r="IJ71" s="20">
        <f t="shared" si="527"/>
        <v>-2.0023435354232788E-8</v>
      </c>
      <c r="IK71" s="20">
        <f t="shared" si="527"/>
        <v>-2.0023435354232788E-8</v>
      </c>
      <c r="IL71" s="20">
        <f t="shared" si="527"/>
        <v>-2.0023435354232788E-8</v>
      </c>
      <c r="IM71" s="20">
        <f t="shared" si="527"/>
        <v>-2.0023435354232788E-8</v>
      </c>
      <c r="IN71" s="20" t="n">
        <f t="shared" ref="IN71:JX71" si="528">IM71-IN58</f>
        <v>-2.0023435354232788e-8</v>
      </c>
      <c r="IO71" s="20">
        <f t="shared" si="528"/>
        <v>-2.0023435354232788E-8</v>
      </c>
      <c r="IP71" s="20">
        <f t="shared" si="528"/>
        <v>-2.0023435354232788E-8</v>
      </c>
      <c r="IQ71" s="20">
        <f t="shared" si="528"/>
        <v>-2.0023435354232788E-8</v>
      </c>
      <c r="IR71" s="20">
        <f t="shared" si="528"/>
        <v>-2.0023435354232788E-8</v>
      </c>
      <c r="IS71" s="20">
        <f t="shared" si="528"/>
        <v>-2.0023435354232788E-8</v>
      </c>
      <c r="IT71" s="20">
        <f t="shared" si="528"/>
        <v>-2.0023435354232788E-8</v>
      </c>
      <c r="IU71" s="20">
        <f t="shared" si="528"/>
        <v>-2.0023435354232788E-8</v>
      </c>
      <c r="IV71" s="20">
        <f t="shared" si="528"/>
        <v>-2.0023435354232788E-8</v>
      </c>
      <c r="IW71" s="20">
        <f t="shared" si="528"/>
        <v>-2.0023435354232788E-8</v>
      </c>
      <c r="IX71" s="20">
        <f t="shared" si="528"/>
        <v>-2.0023435354232788E-8</v>
      </c>
      <c r="IY71" s="20">
        <f t="shared" si="528"/>
        <v>-2.0023435354232788E-8</v>
      </c>
      <c r="IZ71" s="20">
        <f t="shared" si="528"/>
        <v>-2.0023435354232788E-8</v>
      </c>
      <c r="JA71" s="20">
        <f t="shared" si="528"/>
        <v>-2.0023435354232788E-8</v>
      </c>
      <c r="JB71" s="20">
        <f t="shared" si="528"/>
        <v>-2.0023435354232788E-8</v>
      </c>
      <c r="JC71" s="20">
        <f t="shared" si="528"/>
        <v>-2.0023435354232788E-8</v>
      </c>
      <c r="JD71" s="20">
        <f t="shared" si="528"/>
        <v>-2.0023435354232788E-8</v>
      </c>
      <c r="JE71" s="20">
        <f t="shared" si="528"/>
        <v>-2.0023435354232788E-8</v>
      </c>
      <c r="JF71" s="20">
        <f t="shared" si="528"/>
        <v>-2.0023435354232788E-8</v>
      </c>
      <c r="JG71" s="20">
        <f t="shared" si="528"/>
        <v>-2.0023435354232788E-8</v>
      </c>
      <c r="JH71" s="20">
        <f t="shared" si="528"/>
        <v>-2.0023435354232788E-8</v>
      </c>
      <c r="JI71" s="20">
        <f t="shared" si="528"/>
        <v>-2.0023435354232788E-8</v>
      </c>
      <c r="JJ71" s="20">
        <f t="shared" si="528"/>
        <v>-2.0023435354232788E-8</v>
      </c>
      <c r="JK71" s="20">
        <f t="shared" si="528"/>
        <v>-2.0023435354232788E-8</v>
      </c>
      <c r="JL71" s="20">
        <f t="shared" si="528"/>
        <v>-2.0023435354232788E-8</v>
      </c>
      <c r="JM71" s="20">
        <f t="shared" si="528"/>
        <v>-2.0023435354232788E-8</v>
      </c>
      <c r="JN71" s="20">
        <f t="shared" si="528"/>
        <v>-2.0023435354232788E-8</v>
      </c>
      <c r="JO71" s="20">
        <f t="shared" si="528"/>
        <v>-2.0023435354232788E-8</v>
      </c>
      <c r="JP71" s="20">
        <f t="shared" si="528"/>
        <v>-2.0023435354232788E-8</v>
      </c>
      <c r="JQ71" s="20">
        <f t="shared" si="528"/>
        <v>-2.0023435354232788E-8</v>
      </c>
      <c r="JR71" s="20">
        <f t="shared" si="528"/>
        <v>-2.0023435354232788E-8</v>
      </c>
      <c r="JS71" s="20">
        <f t="shared" si="528"/>
        <v>-2.0023435354232788E-8</v>
      </c>
      <c r="JT71" s="20">
        <f t="shared" si="528"/>
        <v>-2.0023435354232788E-8</v>
      </c>
      <c r="JU71" s="20">
        <f t="shared" si="528"/>
        <v>-2.0023435354232788E-8</v>
      </c>
      <c r="JV71" s="20">
        <f t="shared" si="528"/>
        <v>-2.0023435354232788E-8</v>
      </c>
      <c r="JW71" s="20">
        <f t="shared" si="528"/>
        <v>-2.0023435354232788E-8</v>
      </c>
      <c r="JX71" s="20">
        <f t="shared" si="528"/>
        <v>-2.0023435354232788E-8</v>
      </c>
      <c r="JZ71" s="263"/>
      <c r="KA71" s="263"/>
      <c r="KB71" s="263"/>
      <c r="KC71" s="263"/>
      <c r="KD71" s="263"/>
      <c r="KE71" s="263"/>
      <c r="KF71" s="263"/>
      <c r="KG71" s="263"/>
      <c r="KH71" s="263"/>
      <c r="KI71" s="263"/>
      <c r="KJ71" s="263"/>
      <c r="KK71" s="263"/>
      <c r="KL71" s="263"/>
      <c r="KM71" s="263"/>
      <c r="KN71" s="263"/>
      <c r="KO71" s="263"/>
      <c r="KP71" s="263"/>
      <c r="KQ71" s="263"/>
      <c r="KR71" s="263"/>
      <c r="KS71" s="263"/>
      <c r="KT71" s="263"/>
      <c r="KU71" s="263"/>
      <c r="KV71" s="263"/>
      <c r="KW71" s="263"/>
      <c r="KX71" s="263"/>
      <c r="KY71" s="263"/>
      <c r="KZ71" s="263"/>
      <c r="LA71" s="263"/>
      <c r="LB71" s="263"/>
      <c r="LC71" s="263"/>
      <c r="LD71" s="263"/>
      <c r="LE71" s="263"/>
      <c r="LF71" s="263"/>
      <c r="LG71" s="263"/>
      <c r="LH71" s="263"/>
      <c r="LI71" s="263"/>
      <c r="LJ71" s="263"/>
      <c r="LK71" s="263"/>
      <c r="LL71" s="263"/>
      <c r="LM71" s="263"/>
      <c r="LN71" s="263"/>
      <c r="LO71" s="263"/>
      <c r="LP71" s="263"/>
      <c r="LQ71" s="263"/>
      <c r="LR71" s="263"/>
      <c r="LS71" s="263"/>
      <c r="LT71" s="263"/>
      <c r="LU71" s="263"/>
      <c r="LV71" s="263"/>
      <c r="LW71" s="263"/>
      <c r="LX71" s="263"/>
      <c r="LY71" s="263"/>
      <c r="LZ71" s="263"/>
      <c r="MA71" s="263"/>
      <c r="MB71" s="263"/>
      <c r="MC71" s="263"/>
      <c r="MD71" s="263"/>
      <c r="ME71" s="263"/>
      <c r="MF71" s="263"/>
      <c r="MG71" s="263"/>
      <c r="MH71" s="263"/>
      <c r="MI71" s="263"/>
      <c r="MJ71" s="263"/>
      <c r="MK71" s="263"/>
      <c r="ML71" s="263"/>
      <c r="MM71" s="263"/>
      <c r="MN71" s="263"/>
      <c r="MO71" s="263"/>
      <c r="MP71" s="263"/>
      <c r="MQ71" s="263"/>
      <c r="MR71" s="263"/>
      <c r="MS71" s="263"/>
      <c r="MT71" s="263"/>
      <c r="MU71" s="263"/>
      <c r="MV71" s="263"/>
      <c r="MW71" s="263"/>
      <c r="MX71" s="263"/>
      <c r="MY71" s="263"/>
      <c r="MZ71" s="263"/>
      <c r="NA71" s="263"/>
      <c r="NB71" s="263"/>
      <c r="NC71" s="263"/>
      <c r="ND71" s="263"/>
      <c r="NE71" s="263"/>
      <c r="NF71" s="263"/>
      <c r="NG71" s="263"/>
      <c r="NH71" s="263"/>
      <c r="NI71" s="263"/>
      <c r="NJ71" s="263"/>
      <c r="NK71" s="263"/>
      <c r="NL71" s="263"/>
      <c r="NM71" s="263"/>
      <c r="NN71" s="263"/>
      <c r="NO71" s="263"/>
      <c r="NP71" s="263"/>
      <c r="NQ71" s="263"/>
      <c r="NR71" s="263"/>
      <c r="NS71" s="263"/>
      <c r="NT71" s="263"/>
      <c r="NU71" s="263"/>
      <c r="NV71" s="263"/>
      <c r="NW71" s="263"/>
      <c r="NX71" s="263"/>
      <c r="NY71" s="263"/>
      <c r="NZ71" s="263"/>
      <c r="OA71" s="263"/>
      <c r="OB71" s="263"/>
      <c r="OC71" s="263"/>
      <c r="OD71" s="263"/>
      <c r="OE71" s="263"/>
      <c r="OF71" s="263"/>
      <c r="OG71" s="263"/>
      <c r="OH71" s="263"/>
      <c r="OI71" s="263"/>
      <c r="OJ71" s="263"/>
      <c r="OK71" s="263"/>
      <c r="OL71" s="263"/>
      <c r="OM71" s="263"/>
      <c r="ON71" s="263"/>
      <c r="OO71" s="263"/>
      <c r="OP71" s="263"/>
      <c r="OQ71" s="263"/>
      <c r="OR71" s="263"/>
      <c r="OS71" s="263"/>
      <c r="OT71" s="263"/>
      <c r="OU71" s="263"/>
      <c r="OV71" s="263"/>
      <c r="OW71" s="263"/>
      <c r="OX71" s="263"/>
      <c r="OY71" s="263"/>
      <c r="OZ71" s="263"/>
      <c r="PA71" s="263"/>
      <c r="PB71" s="263"/>
      <c r="PC71" s="263"/>
      <c r="PD71" s="263"/>
      <c r="PE71" s="263"/>
      <c r="PF71" s="263"/>
      <c r="PG71" s="263"/>
      <c r="PH71" s="263"/>
    </row>
    <row r="72">
      <c r="B72" s="448" t="s">
        <v>189</v>
      </c>
      <c r="C72" s="404"/>
      <c r="D72" s="404"/>
      <c r="E72" s="404"/>
      <c r="F72" s="53" t="n">
        <f>I72/Project_Cost_Total</f>
        <v>0.48281319921235377</v>
      </c>
      <c r="G72" s="135"/>
      <c r="H72" s="419" t="n">
        <f>I72/Units_SF_M2</f>
        <v>2581.7393858193086</v>
      </c>
      <c r="I72" s="449" t="n">
        <f>SUM(L72:EN72)</f>
        <v>202182155.8432483</v>
      </c>
      <c r="L72" s="421" t="n">
        <f>IF(COUNTIF(DEBT!$F$64:$DV$64,L$24)=0,0,INDEX(DEBT!$F$81:$DV$81,1,MATCH(L$24,DEBT!$F$64:$DV$64,0)))</f>
        <v>0</v>
      </c>
      <c r="M72" s="421" t="n">
        <f>IF(COUNTIF(DEBT!$F$64:$DV$64,M$24)=0,0,INDEX(DEBT!$F$81:$DV$81,1,MATCH(M$24,DEBT!$F$64:$DV$64,0)))</f>
        <v>0</v>
      </c>
      <c r="N72" s="421" t="n">
        <f>IF(COUNTIF(DEBT!$F$64:$DV$64,N$24)=0,0,INDEX(DEBT!$F$81:$DV$81,1,MATCH(N$24,DEBT!$F$64:$DV$64,0)))</f>
        <v>0</v>
      </c>
      <c r="O72" s="421" t="n">
        <f>IF(COUNTIF(DEBT!$F$64:$DV$64,O$24)=0,0,INDEX(DEBT!$F$81:$DV$81,1,MATCH(O$24,DEBT!$F$64:$DV$64,0)))</f>
        <v>0</v>
      </c>
      <c r="P72" s="421" t="n">
        <f>IF(COUNTIF(DEBT!$F$64:$DV$64,P$24)=0,0,INDEX(DEBT!$F$81:$DV$81,1,MATCH(P$24,DEBT!$F$64:$DV$64,0)))</f>
        <v>0</v>
      </c>
      <c r="Q72" s="421" t="n">
        <f>IF(COUNTIF(DEBT!$F$64:$DV$64,Q$24)=0,0,INDEX(DEBT!$F$81:$DV$81,1,MATCH(Q$24,DEBT!$F$64:$DV$64,0)))</f>
        <v>0</v>
      </c>
      <c r="R72" s="421" t="n">
        <f>IF(COUNTIF(DEBT!$F$64:$DV$64,R$24)=0,0,INDEX(DEBT!$F$81:$DV$81,1,MATCH(R$24,DEBT!$F$64:$DV$64,0)))</f>
        <v>0</v>
      </c>
      <c r="S72" s="421" t="n">
        <f>IF(COUNTIF(DEBT!$F$64:$DV$64,S$24)=0,0,INDEX(DEBT!$F$81:$DV$81,1,MATCH(S$24,DEBT!$F$64:$DV$64,0)))</f>
        <v>0</v>
      </c>
      <c r="T72" s="421" t="n">
        <f>IF(COUNTIF(DEBT!$F$64:$DV$64,T$24)=0,0,INDEX(DEBT!$F$81:$DV$81,1,MATCH(T$24,DEBT!$F$64:$DV$64,0)))</f>
        <v>0</v>
      </c>
      <c r="U72" s="421" t="n">
        <f>IF(COUNTIF(DEBT!$F$64:$DV$64,U$24)=0,0,INDEX(DEBT!$F$81:$DV$81,1,MATCH(U$24,DEBT!$F$64:$DV$64,0)))</f>
        <v>0</v>
      </c>
      <c r="V72" s="421" t="n">
        <f>IF(COUNTIF(DEBT!$F$64:$DV$64,V$24)=0,0,INDEX(DEBT!$F$81:$DV$81,1,MATCH(V$24,DEBT!$F$64:$DV$64,0)))</f>
        <v>0</v>
      </c>
      <c r="W72" s="421" t="n">
        <f>IF(COUNTIF(DEBT!$F$64:$DV$64,W$24)=0,0,INDEX(DEBT!$F$81:$DV$81,1,MATCH(W$24,DEBT!$F$64:$DV$64,0)))</f>
        <v>0</v>
      </c>
      <c r="X72" s="421" t="n">
        <f>IF(COUNTIF(DEBT!$F$64:$DV$64,X$24)=0,0,INDEX(DEBT!$F$81:$DV$81,1,MATCH(X$24,DEBT!$F$64:$DV$64,0)))</f>
        <v>0</v>
      </c>
      <c r="Y72" s="421" t="n">
        <f>IF(COUNTIF(DEBT!$F$64:$DV$64,Y$24)=0,0,INDEX(DEBT!$F$81:$DV$81,1,MATCH(Y$24,DEBT!$F$64:$DV$64,0)))</f>
        <v>0</v>
      </c>
      <c r="Z72" s="421" t="n">
        <f>IF(COUNTIF(DEBT!$F$64:$DV$64,Z$24)=0,0,INDEX(DEBT!$F$81:$DV$81,1,MATCH(Z$24,DEBT!$F$64:$DV$64,0)))</f>
        <v>0</v>
      </c>
      <c r="AA72" s="421" t="n">
        <f>IF(COUNTIF(DEBT!$F$64:$DV$64,AA$24)=0,0,INDEX(DEBT!$F$81:$DV$81,1,MATCH(AA$24,DEBT!$F$64:$DV$64,0)))</f>
        <v>0</v>
      </c>
      <c r="AB72" s="421" t="n">
        <f>IF(COUNTIF(DEBT!$F$64:$DV$64,AB$24)=0,0,INDEX(DEBT!$F$81:$DV$81,1,MATCH(AB$24,DEBT!$F$64:$DV$64,0)))</f>
        <v>16149667.622424096</v>
      </c>
      <c r="AC72" s="421" t="n">
        <f>IF(COUNTIF(DEBT!$F$64:$DV$64,AC$24)=0,0,INDEX(DEBT!$F$81:$DV$81,1,MATCH(AC$24,DEBT!$F$64:$DV$64,0)))</f>
        <v>21472029.82991773</v>
      </c>
      <c r="AD72" s="421" t="n">
        <f>IF(COUNTIF(DEBT!$F$64:$DV$64,AD$24)=0,0,INDEX(DEBT!$F$81:$DV$81,1,MATCH(AD$24,DEBT!$F$64:$DV$64,0)))</f>
        <v>21677421.418596257</v>
      </c>
      <c r="AE72" s="421" t="n">
        <f>IF(COUNTIF(DEBT!$F$64:$DV$64,AE$24)=0,0,INDEX(DEBT!$F$81:$DV$81,1,MATCH(AE$24,DEBT!$F$64:$DV$64,0)))</f>
        <v>21297476.217184074</v>
      </c>
      <c r="AF72" s="421" t="n">
        <f>IF(COUNTIF(DEBT!$F$64:$DV$64,AF$24)=0,0,INDEX(DEBT!$F$81:$DV$81,1,MATCH(AF$24,DEBT!$F$64:$DV$64,0)))</f>
        <v>20452308.068071283</v>
      </c>
      <c r="AG72" s="421" t="n">
        <f>IF(COUNTIF(DEBT!$F$64:$DV$64,AG$24)=0,0,INDEX(DEBT!$F$81:$DV$81,1,MATCH(AG$24,DEBT!$F$64:$DV$64,0)))</f>
        <v>19115556.058013104</v>
      </c>
      <c r="AH72" s="421" t="n">
        <f>IF(COUNTIF(DEBT!$F$64:$DV$64,AH$24)=0,0,INDEX(DEBT!$F$81:$DV$81,1,MATCH(AH$24,DEBT!$F$64:$DV$64,0)))</f>
        <v>17385471.482058465</v>
      </c>
      <c r="AI72" s="421" t="n">
        <f>IF(COUNTIF(DEBT!$F$64:$DV$64,AI$24)=0,0,INDEX(DEBT!$F$81:$DV$81,1,MATCH(AI$24,DEBT!$F$64:$DV$64,0)))</f>
        <v>15382246.512724983</v>
      </c>
      <c r="AJ72" s="421" t="n">
        <f>IF(COUNTIF(DEBT!$F$64:$DV$64,AJ$24)=0,0,INDEX(DEBT!$F$81:$DV$81,1,MATCH(AJ$24,DEBT!$F$64:$DV$64,0)))</f>
        <v>13234281.137995303</v>
      </c>
      <c r="AK72" s="421" t="n">
        <f>IF(COUNTIF(DEBT!$F$64:$DV$64,AK$24)=0,0,INDEX(DEBT!$F$81:$DV$81,1,MATCH(AK$24,DEBT!$F$64:$DV$64,0)))</f>
        <v>11064805.60548979</v>
      </c>
      <c r="AL72" s="421" t="n">
        <f>IF(COUNTIF(DEBT!$F$64:$DV$64,AL$24)=0,0,INDEX(DEBT!$F$81:$DV$81,1,MATCH(AL$24,DEBT!$F$64:$DV$64,0)))</f>
        <v>8980751.9633317</v>
      </c>
      <c r="AM72" s="421" t="n">
        <f>IF(COUNTIF(DEBT!$F$64:$DV$64,AM$24)=0,0,INDEX(DEBT!$F$81:$DV$81,1,MATCH(AM$24,DEBT!$F$64:$DV$64,0)))</f>
        <v>7065163.651583838</v>
      </c>
      <c r="AN72" s="421" t="n">
        <f>IF(COUNTIF(DEBT!$F$64:$DV$64,AN$24)=0,0,INDEX(DEBT!$F$81:$DV$81,1,MATCH(AN$24,DEBT!$F$64:$DV$64,0)))</f>
        <v>4745494.352486189</v>
      </c>
      <c r="AO72" s="421" t="n">
        <f>IF(COUNTIF(DEBT!$F$64:$DV$64,AO$24)=0,0,INDEX(DEBT!$F$81:$DV$81,1,MATCH(AO$24,DEBT!$F$64:$DV$64,0)))</f>
        <v>1942891.51714721</v>
      </c>
      <c r="AP72" s="421" t="n">
        <f>IF(COUNTIF(DEBT!$F$64:$DV$64,AP$24)=0,0,INDEX(DEBT!$F$81:$DV$81,1,MATCH(AP$24,DEBT!$F$64:$DV$64,0)))</f>
        <v>1313965.5625874666</v>
      </c>
      <c r="AQ72" s="421" t="n">
        <f>IF(COUNTIF(DEBT!$F$64:$DV$64,AQ$24)=0,0,INDEX(DEBT!$F$81:$DV$81,1,MATCH(AQ$24,DEBT!$F$64:$DV$64,0)))</f>
        <v>804143.8572704461</v>
      </c>
      <c r="AR72" s="421" t="n">
        <f>IF(COUNTIF(DEBT!$F$64:$DV$64,AR$24)=0,0,INDEX(DEBT!$F$81:$DV$81,1,MATCH(AR$24,DEBT!$F$64:$DV$64,0)))</f>
        <v>0</v>
      </c>
      <c r="AS72" s="421" t="n">
        <f>IF(COUNTIF(DEBT!$F$64:$DV$64,AS$24)=0,0,INDEX(DEBT!$F$81:$DV$81,1,MATCH(AS$24,DEBT!$F$64:$DV$64,0)))</f>
        <v>98480.98636632826</v>
      </c>
      <c r="AT72" s="421" t="n">
        <f>IF(COUNTIF(DEBT!$F$64:$DV$64,AT$24)=0,0,INDEX(DEBT!$F$81:$DV$81,1,MATCH(AT$24,DEBT!$F$64:$DV$64,0)))</f>
        <v>0</v>
      </c>
      <c r="AU72" s="421" t="n">
        <f>IF(COUNTIF(DEBT!$F$64:$DV$64,AU$24)=0,0,INDEX(DEBT!$F$81:$DV$81,1,MATCH(AU$24,DEBT!$F$64:$DV$64,0)))</f>
        <v>0</v>
      </c>
      <c r="AV72" s="421" t="n">
        <f>IF(COUNTIF(DEBT!$F$64:$DV$64,AV$24)=0,0,INDEX(DEBT!$F$81:$DV$81,1,MATCH(AV$24,DEBT!$F$64:$DV$64,0)))</f>
        <v>0</v>
      </c>
      <c r="AW72" s="421" t="n">
        <f>IF(COUNTIF(DEBT!$F$64:$DV$64,AW$24)=0,0,INDEX(DEBT!$F$81:$DV$81,1,MATCH(AW$24,DEBT!$F$64:$DV$64,0)))</f>
        <v>0</v>
      </c>
      <c r="AX72" s="421" t="n">
        <f>IF(COUNTIF(DEBT!$F$64:$DV$64,AX$24)=0,0,INDEX(DEBT!$F$81:$DV$81,1,MATCH(AX$24,DEBT!$F$64:$DV$64,0)))</f>
        <v>0</v>
      </c>
      <c r="AY72" s="421" t="n">
        <f>IF(COUNTIF(DEBT!$F$64:$DV$64,AY$24)=0,0,INDEX(DEBT!$F$81:$DV$81,1,MATCH(AY$24,DEBT!$F$64:$DV$64,0)))</f>
        <v>0</v>
      </c>
      <c r="AZ72" s="421" t="n">
        <f>IF(COUNTIF(DEBT!$F$64:$DV$64,AZ$24)=0,0,INDEX(DEBT!$F$81:$DV$81,1,MATCH(AZ$24,DEBT!$F$64:$DV$64,0)))</f>
        <v>0</v>
      </c>
      <c r="BA72" s="421" t="n">
        <f>IF(COUNTIF(DEBT!$F$64:$DV$64,BA$24)=0,0,INDEX(DEBT!$F$81:$DV$81,1,MATCH(BA$24,DEBT!$F$64:$DV$64,0)))</f>
        <v>0</v>
      </c>
      <c r="BB72" s="421" t="n">
        <f>IF(COUNTIF(DEBT!$F$64:$DV$64,BB$24)=0,0,INDEX(DEBT!$F$81:$DV$81,1,MATCH(BB$24,DEBT!$F$64:$DV$64,0)))</f>
        <v>0</v>
      </c>
      <c r="BC72" s="421" t="n">
        <f>IF(COUNTIF(DEBT!$F$64:$DV$64,BC$24)=0,0,INDEX(DEBT!$F$81:$DV$81,1,MATCH(BC$24,DEBT!$F$64:$DV$64,0)))</f>
        <v>0</v>
      </c>
      <c r="BD72" s="421" t="n">
        <f>IF(COUNTIF(DEBT!$F$64:$DV$64,BD$24)=0,0,INDEX(DEBT!$F$81:$DV$81,1,MATCH(BD$24,DEBT!$F$64:$DV$64,0)))</f>
        <v>0</v>
      </c>
      <c r="BE72" s="421" t="n">
        <f>IF(COUNTIF(DEBT!$F$64:$DV$64,BE$24)=0,0,INDEX(DEBT!$F$81:$DV$81,1,MATCH(BE$24,DEBT!$F$64:$DV$64,0)))</f>
        <v>0</v>
      </c>
      <c r="BF72" s="421" t="n">
        <f>IF(COUNTIF(DEBT!$F$64:$DV$64,BF$24)=0,0,INDEX(DEBT!$F$81:$DV$81,1,MATCH(BF$24,DEBT!$F$64:$DV$64,0)))</f>
        <v>0</v>
      </c>
      <c r="BG72" s="421" t="n">
        <f>IF(COUNTIF(DEBT!$F$64:$DV$64,BG$24)=0,0,INDEX(DEBT!$F$81:$DV$81,1,MATCH(BG$24,DEBT!$F$64:$DV$64,0)))</f>
        <v>0</v>
      </c>
      <c r="BH72" s="421" t="n">
        <f>IF(COUNTIF(DEBT!$F$64:$DV$64,BH$24)=0,0,INDEX(DEBT!$F$81:$DV$81,1,MATCH(BH$24,DEBT!$F$64:$DV$64,0)))</f>
        <v>0</v>
      </c>
      <c r="BI72" s="421" t="n">
        <f>IF(COUNTIF(DEBT!$F$64:$DV$64,BI$24)=0,0,INDEX(DEBT!$F$81:$DV$81,1,MATCH(BI$24,DEBT!$F$64:$DV$64,0)))</f>
        <v>0</v>
      </c>
      <c r="BJ72" s="421" t="n">
        <f>IF(COUNTIF(DEBT!$F$64:$DV$64,BJ$24)=0,0,INDEX(DEBT!$F$81:$DV$81,1,MATCH(BJ$24,DEBT!$F$64:$DV$64,0)))</f>
        <v>0</v>
      </c>
      <c r="BK72" s="421" t="n">
        <f>IF(COUNTIF(DEBT!$F$64:$DV$64,BK$24)=0,0,INDEX(DEBT!$F$81:$DV$81,1,MATCH(BK$24,DEBT!$F$64:$DV$64,0)))</f>
        <v>0</v>
      </c>
      <c r="BL72" s="421" t="n">
        <f>IF(COUNTIF(DEBT!$F$64:$DV$64,BL$24)=0,0,INDEX(DEBT!$F$81:$DV$81,1,MATCH(BL$24,DEBT!$F$64:$DV$64,0)))</f>
        <v>0</v>
      </c>
      <c r="BM72" s="421" t="n">
        <f>IF(COUNTIF(DEBT!$F$64:$DV$64,BM$24)=0,0,INDEX(DEBT!$F$81:$DV$81,1,MATCH(BM$24,DEBT!$F$64:$DV$64,0)))</f>
        <v>0</v>
      </c>
      <c r="BN72" s="421" t="n">
        <f>IF(COUNTIF(DEBT!$F$64:$DV$64,BN$24)=0,0,INDEX(DEBT!$F$81:$DV$81,1,MATCH(BN$24,DEBT!$F$64:$DV$64,0)))</f>
        <v>0</v>
      </c>
      <c r="BO72" s="421" t="n">
        <f>IF(COUNTIF(DEBT!$F$64:$DV$64,BO$24)=0,0,INDEX(DEBT!$F$81:$DV$81,1,MATCH(BO$24,DEBT!$F$64:$DV$64,0)))</f>
        <v>0</v>
      </c>
      <c r="BP72" s="421" t="n">
        <f>IF(COUNTIF(DEBT!$F$64:$DV$64,BP$24)=0,0,INDEX(DEBT!$F$81:$DV$81,1,MATCH(BP$24,DEBT!$F$64:$DV$64,0)))</f>
        <v>0</v>
      </c>
      <c r="BQ72" s="421" t="n">
        <f>IF(COUNTIF(DEBT!$F$64:$DV$64,BQ$24)=0,0,INDEX(DEBT!$F$81:$DV$81,1,MATCH(BQ$24,DEBT!$F$64:$DV$64,0)))</f>
        <v>0</v>
      </c>
      <c r="BR72" s="421" t="n">
        <f>IF(COUNTIF(DEBT!$F$64:$DV$64,BR$24)=0,0,INDEX(DEBT!$F$81:$DV$81,1,MATCH(BR$24,DEBT!$F$64:$DV$64,0)))</f>
        <v>0</v>
      </c>
      <c r="BS72" s="421" t="n">
        <f>IF(COUNTIF(DEBT!$F$64:$DV$64,BS$24)=0,0,INDEX(DEBT!$F$81:$DV$81,1,MATCH(BS$24,DEBT!$F$64:$DV$64,0)))</f>
        <v>0</v>
      </c>
      <c r="BT72" s="421" t="n">
        <f>IF(COUNTIF(DEBT!$F$64:$DV$64,BT$24)=0,0,INDEX(DEBT!$F$81:$DV$81,1,MATCH(BT$24,DEBT!$F$64:$DV$64,0)))</f>
        <v>0</v>
      </c>
      <c r="BU72" s="421" t="n">
        <f>IF(COUNTIF(DEBT!$F$64:$DV$64,BU$24)=0,0,INDEX(DEBT!$F$81:$DV$81,1,MATCH(BU$24,DEBT!$F$64:$DV$64,0)))</f>
        <v>0</v>
      </c>
      <c r="BV72" s="421" t="n">
        <f>IF(COUNTIF(DEBT!$F$64:$DV$64,BV$24)=0,0,INDEX(DEBT!$F$81:$DV$81,1,MATCH(BV$24,DEBT!$F$64:$DV$64,0)))</f>
        <v>0</v>
      </c>
      <c r="BW72" s="421" t="n">
        <f>IF(COUNTIF(DEBT!$F$64:$DV$64,BW$24)=0,0,INDEX(DEBT!$F$81:$DV$81,1,MATCH(BW$24,DEBT!$F$64:$DV$64,0)))</f>
        <v>0</v>
      </c>
      <c r="BX72" s="421" t="n">
        <f>IF(COUNTIF(DEBT!$F$64:$DV$64,BX$24)=0,0,INDEX(DEBT!$F$81:$DV$81,1,MATCH(BX$24,DEBT!$F$64:$DV$64,0)))</f>
        <v>0</v>
      </c>
      <c r="BY72" s="421" t="n">
        <f>IF(COUNTIF(DEBT!$F$64:$DV$64,BY$24)=0,0,INDEX(DEBT!$F$81:$DV$81,1,MATCH(BY$24,DEBT!$F$64:$DV$64,0)))</f>
        <v>0</v>
      </c>
      <c r="BZ72" s="421" t="n">
        <f>IF(COUNTIF(DEBT!$F$64:$DV$64,BZ$24)=0,0,INDEX(DEBT!$F$81:$DV$81,1,MATCH(BZ$24,DEBT!$F$64:$DV$64,0)))</f>
        <v>0</v>
      </c>
      <c r="CA72" s="421" t="n">
        <f>IF(COUNTIF(DEBT!$F$64:$DV$64,CA$24)=0,0,INDEX(DEBT!$F$81:$DV$81,1,MATCH(CA$24,DEBT!$F$64:$DV$64,0)))</f>
        <v>0</v>
      </c>
      <c r="CB72" s="421" t="n">
        <f>IF(COUNTIF(DEBT!$F$64:$DV$64,CB$24)=0,0,INDEX(DEBT!$F$81:$DV$81,1,MATCH(CB$24,DEBT!$F$64:$DV$64,0)))</f>
        <v>0</v>
      </c>
      <c r="CC72" s="421" t="n">
        <f>IF(COUNTIF(DEBT!$F$64:$DV$64,CC$24)=0,0,INDEX(DEBT!$F$81:$DV$81,1,MATCH(CC$24,DEBT!$F$64:$DV$64,0)))</f>
        <v>0</v>
      </c>
      <c r="CD72" s="421" t="n">
        <f>IF(COUNTIF(DEBT!$F$64:$DV$64,CD$24)=0,0,INDEX(DEBT!$F$81:$DV$81,1,MATCH(CD$24,DEBT!$F$64:$DV$64,0)))</f>
        <v>0</v>
      </c>
      <c r="CE72" s="421" t="n">
        <f>IF(COUNTIF(DEBT!$F$64:$DV$64,CE$24)=0,0,INDEX(DEBT!$F$81:$DV$81,1,MATCH(CE$24,DEBT!$F$64:$DV$64,0)))</f>
        <v>0</v>
      </c>
      <c r="CF72" s="421" t="n">
        <f>IF(COUNTIF(DEBT!$F$64:$DV$64,CF$24)=0,0,INDEX(DEBT!$F$81:$DV$81,1,MATCH(CF$24,DEBT!$F$64:$DV$64,0)))</f>
        <v>0</v>
      </c>
      <c r="CG72" s="421" t="n">
        <f>IF(COUNTIF(DEBT!$F$64:$DV$64,CG$24)=0,0,INDEX(DEBT!$F$81:$DV$81,1,MATCH(CG$24,DEBT!$F$64:$DV$64,0)))</f>
        <v>0</v>
      </c>
      <c r="CH72" s="421" t="n">
        <f>IF(COUNTIF(DEBT!$F$64:$DV$64,CH$24)=0,0,INDEX(DEBT!$F$81:$DV$81,1,MATCH(CH$24,DEBT!$F$64:$DV$64,0)))</f>
        <v>0</v>
      </c>
      <c r="CI72" s="421" t="n">
        <f>IF(COUNTIF(DEBT!$F$64:$DV$64,CI$24)=0,0,INDEX(DEBT!$F$81:$DV$81,1,MATCH(CI$24,DEBT!$F$64:$DV$64,0)))</f>
        <v>0</v>
      </c>
      <c r="CJ72" s="421" t="n">
        <f>IF(COUNTIF(DEBT!$F$64:$DV$64,CJ$24)=0,0,INDEX(DEBT!$F$81:$DV$81,1,MATCH(CJ$24,DEBT!$F$64:$DV$64,0)))</f>
        <v>0</v>
      </c>
      <c r="CK72" s="421" t="n">
        <f>IF(COUNTIF(DEBT!$F$64:$DV$64,CK$24)=0,0,INDEX(DEBT!$F$81:$DV$81,1,MATCH(CK$24,DEBT!$F$64:$DV$64,0)))</f>
        <v>0</v>
      </c>
      <c r="CL72" s="421" t="n">
        <f>IF(COUNTIF(DEBT!$F$64:$DV$64,CL$24)=0,0,INDEX(DEBT!$F$81:$DV$81,1,MATCH(CL$24,DEBT!$F$64:$DV$64,0)))</f>
        <v>0</v>
      </c>
      <c r="CM72" s="421" t="n">
        <f>IF(COUNTIF(DEBT!$F$64:$DV$64,CM$24)=0,0,INDEX(DEBT!$F$81:$DV$81,1,MATCH(CM$24,DEBT!$F$64:$DV$64,0)))</f>
        <v>0</v>
      </c>
      <c r="CN72" s="421" t="n">
        <f>IF(COUNTIF(DEBT!$F$64:$DV$64,CN$24)=0,0,INDEX(DEBT!$F$81:$DV$81,1,MATCH(CN$24,DEBT!$F$64:$DV$64,0)))</f>
        <v>0</v>
      </c>
      <c r="CO72" s="421" t="n">
        <f>IF(COUNTIF(DEBT!$F$64:$DV$64,CO$24)=0,0,INDEX(DEBT!$F$81:$DV$81,1,MATCH(CO$24,DEBT!$F$64:$DV$64,0)))</f>
        <v>0</v>
      </c>
      <c r="CP72" s="421" t="n">
        <f>IF(COUNTIF(DEBT!$F$64:$DV$64,CP$24)=0,0,INDEX(DEBT!$F$81:$DV$81,1,MATCH(CP$24,DEBT!$F$64:$DV$64,0)))</f>
        <v>0</v>
      </c>
      <c r="CQ72" s="421" t="n">
        <f>IF(COUNTIF(DEBT!$F$64:$DV$64,CQ$24)=0,0,INDEX(DEBT!$F$81:$DV$81,1,MATCH(CQ$24,DEBT!$F$64:$DV$64,0)))</f>
        <v>0</v>
      </c>
      <c r="CR72" s="421" t="n">
        <f>IF(COUNTIF(DEBT!$F$64:$DV$64,CR$24)=0,0,INDEX(DEBT!$F$81:$DV$81,1,MATCH(CR$24,DEBT!$F$64:$DV$64,0)))</f>
        <v>0</v>
      </c>
      <c r="CS72" s="421" t="n">
        <f>IF(COUNTIF(DEBT!$F$64:$DV$64,CS$24)=0,0,INDEX(DEBT!$F$81:$DV$81,1,MATCH(CS$24,DEBT!$F$64:$DV$64,0)))</f>
        <v>0</v>
      </c>
      <c r="CT72" s="421" t="n">
        <f>IF(COUNTIF(DEBT!$F$64:$DV$64,CT$24)=0,0,INDEX(DEBT!$F$81:$DV$81,1,MATCH(CT$24,DEBT!$F$64:$DV$64,0)))</f>
        <v>0</v>
      </c>
      <c r="CU72" s="421" t="n">
        <f>IF(COUNTIF(DEBT!$F$64:$DV$64,CU$24)=0,0,INDEX(DEBT!$F$81:$DV$81,1,MATCH(CU$24,DEBT!$F$64:$DV$64,0)))</f>
        <v>0</v>
      </c>
      <c r="CV72" s="421" t="n">
        <f>IF(COUNTIF(DEBT!$F$64:$DV$64,CV$24)=0,0,INDEX(DEBT!$F$81:$DV$81,1,MATCH(CV$24,DEBT!$F$64:$DV$64,0)))</f>
        <v>0</v>
      </c>
      <c r="CW72" s="421" t="n">
        <f>IF(COUNTIF(DEBT!$F$64:$DV$64,CW$24)=0,0,INDEX(DEBT!$F$81:$DV$81,1,MATCH(CW$24,DEBT!$F$64:$DV$64,0)))</f>
        <v>0</v>
      </c>
      <c r="CX72" s="421" t="n">
        <f>IF(COUNTIF(DEBT!$F$64:$DV$64,CX$24)=0,0,INDEX(DEBT!$F$81:$DV$81,1,MATCH(CX$24,DEBT!$F$64:$DV$64,0)))</f>
        <v>0</v>
      </c>
      <c r="CY72" s="421" t="n">
        <f>IF(COUNTIF(DEBT!$F$64:$DV$64,CY$24)=0,0,INDEX(DEBT!$F$81:$DV$81,1,MATCH(CY$24,DEBT!$F$64:$DV$64,0)))</f>
        <v>0</v>
      </c>
      <c r="CZ72" s="421" t="n">
        <f>IF(COUNTIF(DEBT!$F$64:$DV$64,CZ$24)=0,0,INDEX(DEBT!$F$81:$DV$81,1,MATCH(CZ$24,DEBT!$F$64:$DV$64,0)))</f>
        <v>0</v>
      </c>
      <c r="DA72" s="421" t="n">
        <f>IF(COUNTIF(DEBT!$F$64:$DV$64,DA$24)=0,0,INDEX(DEBT!$F$81:$DV$81,1,MATCH(DA$24,DEBT!$F$64:$DV$64,0)))</f>
        <v>0</v>
      </c>
      <c r="DB72" s="421" t="n">
        <f>IF(COUNTIF(DEBT!$F$64:$DV$64,DB$24)=0,0,INDEX(DEBT!$F$81:$DV$81,1,MATCH(DB$24,DEBT!$F$64:$DV$64,0)))</f>
        <v>0</v>
      </c>
      <c r="DC72" s="421" t="n">
        <f>IF(COUNTIF(DEBT!$F$64:$DV$64,DC$24)=0,0,INDEX(DEBT!$F$81:$DV$81,1,MATCH(DC$24,DEBT!$F$64:$DV$64,0)))</f>
        <v>0</v>
      </c>
      <c r="DD72" s="421" t="n">
        <f>IF(COUNTIF(DEBT!$F$64:$DV$64,DD$24)=0,0,INDEX(DEBT!$F$81:$DV$81,1,MATCH(DD$24,DEBT!$F$64:$DV$64,0)))</f>
        <v>0</v>
      </c>
      <c r="DE72" s="421" t="n">
        <f>IF(COUNTIF(DEBT!$F$64:$DV$64,DE$24)=0,0,INDEX(DEBT!$F$81:$DV$81,1,MATCH(DE$24,DEBT!$F$64:$DV$64,0)))</f>
        <v>0</v>
      </c>
      <c r="DF72" s="421" t="n">
        <f>IF(COUNTIF(DEBT!$F$64:$DV$64,DF$24)=0,0,INDEX(DEBT!$F$81:$DV$81,1,MATCH(DF$24,DEBT!$F$64:$DV$64,0)))</f>
        <v>0</v>
      </c>
      <c r="DG72" s="421" t="n">
        <f>IF(COUNTIF(DEBT!$F$64:$DV$64,DG$24)=0,0,INDEX(DEBT!$F$81:$DV$81,1,MATCH(DG$24,DEBT!$F$64:$DV$64,0)))</f>
        <v>0</v>
      </c>
      <c r="DH72" s="421" t="n">
        <f>IF(COUNTIF(DEBT!$F$64:$DV$64,DH$24)=0,0,INDEX(DEBT!$F$81:$DV$81,1,MATCH(DH$24,DEBT!$F$64:$DV$64,0)))</f>
        <v>0</v>
      </c>
      <c r="DI72" s="421" t="n">
        <f>IF(COUNTIF(DEBT!$F$64:$DV$64,DI$24)=0,0,INDEX(DEBT!$F$81:$DV$81,1,MATCH(DI$24,DEBT!$F$64:$DV$64,0)))</f>
        <v>0</v>
      </c>
      <c r="DJ72" s="421" t="n">
        <f>IF(COUNTIF(DEBT!$F$64:$DV$64,DJ$24)=0,0,INDEX(DEBT!$F$81:$DV$81,1,MATCH(DJ$24,DEBT!$F$64:$DV$64,0)))</f>
        <v>0</v>
      </c>
      <c r="DK72" s="421" t="n">
        <f>IF(COUNTIF(DEBT!$F$64:$DV$64,DK$24)=0,0,INDEX(DEBT!$F$81:$DV$81,1,MATCH(DK$24,DEBT!$F$64:$DV$64,0)))</f>
        <v>0</v>
      </c>
      <c r="DL72" s="421" t="n">
        <f>IF(COUNTIF(DEBT!$F$64:$DV$64,DL$24)=0,0,INDEX(DEBT!$F$81:$DV$81,1,MATCH(DL$24,DEBT!$F$64:$DV$64,0)))</f>
        <v>0</v>
      </c>
      <c r="DM72" s="421" t="n">
        <f>IF(COUNTIF(DEBT!$F$64:$DV$64,DM$24)=0,0,INDEX(DEBT!$F$81:$DV$81,1,MATCH(DM$24,DEBT!$F$64:$DV$64,0)))</f>
        <v>0</v>
      </c>
      <c r="DN72" s="421" t="n">
        <f>IF(COUNTIF(DEBT!$F$64:$DV$64,DN$24)=0,0,INDEX(DEBT!$F$81:$DV$81,1,MATCH(DN$24,DEBT!$F$64:$DV$64,0)))</f>
        <v>0</v>
      </c>
      <c r="DO72" s="421" t="n">
        <f>IF(COUNTIF(DEBT!$F$64:$DV$64,DO$24)=0,0,INDEX(DEBT!$F$81:$DV$81,1,MATCH(DO$24,DEBT!$F$64:$DV$64,0)))</f>
        <v>0</v>
      </c>
      <c r="DP72" s="421" t="n">
        <f>IF(COUNTIF(DEBT!$F$64:$DV$64,DP$24)=0,0,INDEX(DEBT!$F$81:$DV$81,1,MATCH(DP$24,DEBT!$F$64:$DV$64,0)))</f>
        <v>0</v>
      </c>
      <c r="DQ72" s="421" t="n">
        <f>IF(COUNTIF(DEBT!$F$64:$DV$64,DQ$24)=0,0,INDEX(DEBT!$F$81:$DV$81,1,MATCH(DQ$24,DEBT!$F$64:$DV$64,0)))</f>
        <v>0</v>
      </c>
      <c r="DR72" s="421" t="n">
        <f>IF(COUNTIF(DEBT!$F$64:$DV$64,DR$24)=0,0,INDEX(DEBT!$F$81:$DV$81,1,MATCH(DR$24,DEBT!$F$64:$DV$64,0)))</f>
        <v>0</v>
      </c>
      <c r="DS72" s="421" t="n">
        <f>IF(COUNTIF(DEBT!$F$64:$DV$64,DS$24)=0,0,INDEX(DEBT!$F$81:$DV$81,1,MATCH(DS$24,DEBT!$F$64:$DV$64,0)))</f>
        <v>0</v>
      </c>
      <c r="DT72" s="421" t="n">
        <f>IF(COUNTIF(DEBT!$F$64:$DV$64,DT$24)=0,0,INDEX(DEBT!$F$81:$DV$81,1,MATCH(DT$24,DEBT!$F$64:$DV$64,0)))</f>
        <v>0</v>
      </c>
      <c r="DU72" s="421" t="n">
        <f>IF(COUNTIF(DEBT!$F$64:$DV$64,DU$24)=0,0,INDEX(DEBT!$F$81:$DV$81,1,MATCH(DU$24,DEBT!$F$64:$DV$64,0)))</f>
        <v>0</v>
      </c>
      <c r="DV72" s="421" t="n">
        <f>IF(COUNTIF(DEBT!$F$64:$DV$64,DV$24)=0,0,INDEX(DEBT!$F$81:$DV$81,1,MATCH(DV$24,DEBT!$F$64:$DV$64,0)))</f>
        <v>0</v>
      </c>
      <c r="DW72" s="421" t="n">
        <f>IF(COUNTIF(DEBT!$F$64:$DV$64,DW$24)=0,0,INDEX(DEBT!$F$81:$DV$81,1,MATCH(DW$24,DEBT!$F$64:$DV$64,0)))</f>
        <v>0</v>
      </c>
      <c r="DX72" s="421" t="n">
        <f>IF(COUNTIF(DEBT!$F$64:$DV$64,DX$24)=0,0,INDEX(DEBT!$F$81:$DV$81,1,MATCH(DX$24,DEBT!$F$64:$DV$64,0)))</f>
        <v>0</v>
      </c>
      <c r="DY72" s="421" t="n">
        <f>IF(COUNTIF(DEBT!$F$64:$DV$64,DY$24)=0,0,INDEX(DEBT!$F$81:$DV$81,1,MATCH(DY$24,DEBT!$F$64:$DV$64,0)))</f>
        <v>0</v>
      </c>
      <c r="DZ72" s="421" t="n">
        <f>IF(COUNTIF(DEBT!$F$64:$DV$64,DZ$24)=0,0,INDEX(DEBT!$F$81:$DV$81,1,MATCH(DZ$24,DEBT!$F$64:$DV$64,0)))</f>
        <v>0</v>
      </c>
      <c r="EA72" s="421" t="n">
        <f>IF(COUNTIF(DEBT!$F$64:$DV$64,EA$24)=0,0,INDEX(DEBT!$F$81:$DV$81,1,MATCH(EA$24,DEBT!$F$64:$DV$64,0)))</f>
        <v>0</v>
      </c>
      <c r="EB72" s="421" t="n">
        <f>IF(COUNTIF(DEBT!$F$64:$DV$64,EB$24)=0,0,INDEX(DEBT!$F$81:$DV$81,1,MATCH(EB$24,DEBT!$F$64:$DV$64,0)))</f>
        <v>0</v>
      </c>
      <c r="EC72" s="421" t="n">
        <f>IF(COUNTIF(DEBT!$F$64:$DV$64,EC$24)=0,0,INDEX(DEBT!$F$81:$DV$81,1,MATCH(EC$24,DEBT!$F$64:$DV$64,0)))</f>
        <v>0</v>
      </c>
      <c r="ED72" s="421" t="n">
        <f>IF(COUNTIF(DEBT!$F$64:$DV$64,ED$24)=0,0,INDEX(DEBT!$F$81:$DV$81,1,MATCH(ED$24,DEBT!$F$64:$DV$64,0)))</f>
        <v>0</v>
      </c>
      <c r="EE72" s="421" t="n">
        <f>IF(COUNTIF(DEBT!$F$64:$DV$64,EE$24)=0,0,INDEX(DEBT!$F$81:$DV$81,1,MATCH(EE$24,DEBT!$F$64:$DV$64,0)))</f>
        <v>0</v>
      </c>
      <c r="EF72" s="421" t="n">
        <f>IF(COUNTIF(DEBT!$F$64:$DV$64,EF$24)=0,0,INDEX(DEBT!$F$81:$DV$81,1,MATCH(EF$24,DEBT!$F$64:$DV$64,0)))</f>
        <v>0</v>
      </c>
      <c r="EG72" s="421" t="n">
        <f>IF(COUNTIF(DEBT!$F$64:$DV$64,EG$24)=0,0,INDEX(DEBT!$F$81:$DV$81,1,MATCH(EG$24,DEBT!$F$64:$DV$64,0)))</f>
        <v>0</v>
      </c>
      <c r="EH72" s="421" t="n">
        <f>IF(COUNTIF(DEBT!$F$64:$DV$64,EH$24)=0,0,INDEX(DEBT!$F$81:$DV$81,1,MATCH(EH$24,DEBT!$F$64:$DV$64,0)))</f>
        <v>0</v>
      </c>
      <c r="EI72" s="421" t="n">
        <f>IF(COUNTIF(DEBT!$F$64:$DV$64,EI$24)=0,0,INDEX(DEBT!$F$81:$DV$81,1,MATCH(EI$24,DEBT!$F$64:$DV$64,0)))</f>
        <v>0</v>
      </c>
      <c r="EJ72" s="421" t="n">
        <f>IF(COUNTIF(DEBT!$F$64:$DV$64,EJ$24)=0,0,INDEX(DEBT!$F$81:$DV$81,1,MATCH(EJ$24,DEBT!$F$64:$DV$64,0)))</f>
        <v>0</v>
      </c>
      <c r="EK72" s="421" t="n">
        <f>IF(COUNTIF(DEBT!$F$64:$DV$64,EK$24)=0,0,INDEX(DEBT!$F$81:$DV$81,1,MATCH(EK$24,DEBT!$F$64:$DV$64,0)))</f>
        <v>0</v>
      </c>
      <c r="EL72" s="421" t="n">
        <f>IF(COUNTIF(DEBT!$F$64:$DV$64,EL$24)=0,0,INDEX(DEBT!$F$81:$DV$81,1,MATCH(EL$24,DEBT!$F$64:$DV$64,0)))</f>
        <v>0</v>
      </c>
      <c r="EM72" s="421" t="n">
        <f>IF(COUNTIF(DEBT!$F$64:$DV$64,EM$24)=0,0,INDEX(DEBT!$F$81:$DV$81,1,MATCH(EM$24,DEBT!$F$64:$DV$64,0)))</f>
        <v>0</v>
      </c>
      <c r="EN72" s="421" t="n">
        <f>IF(COUNTIF(DEBT!$F$64:$DV$64,EN$24)=0,0,INDEX(DEBT!$F$81:$DV$81,1,MATCH(EN$24,DEBT!$F$64:$DV$64,0)))</f>
        <v>0</v>
      </c>
      <c r="EP72" s="220" t="s">
        <v>190</v>
      </c>
      <c r="EQ72" s="18"/>
      <c r="ER72" s="18"/>
      <c r="ES72" s="414" t="s">
        <v>165</v>
      </c>
      <c r="ET72" s="18" t="s">
        <v>187</v>
      </c>
      <c r="EU72" s="20" t="n">
        <f>EU59</f>
        <v>114338.88963590557</v>
      </c>
      <c r="EV72" s="20" t="n">
        <f t="shared" ref="EV72:GA72" si="529">EU72-EV59</f>
        <v>114338.88963590557</v>
      </c>
      <c r="EW72" s="20">
        <f t="shared" si="529"/>
        <v>114338.88963590557</v>
      </c>
      <c r="EX72" s="20">
        <f t="shared" si="529"/>
        <v>114338.88963590557</v>
      </c>
      <c r="EY72" s="20">
        <f t="shared" si="529"/>
        <v>114338.88963590557</v>
      </c>
      <c r="EZ72" s="20">
        <f t="shared" si="529"/>
        <v>114338.88963590557</v>
      </c>
      <c r="FA72" s="20">
        <f t="shared" si="529"/>
        <v>0</v>
      </c>
      <c r="FB72" s="20">
        <f t="shared" si="529"/>
        <v>0</v>
      </c>
      <c r="FC72" s="20">
        <f t="shared" si="529"/>
        <v>0</v>
      </c>
      <c r="FD72" s="20">
        <f t="shared" si="529"/>
        <v>0</v>
      </c>
      <c r="FE72" s="20">
        <f t="shared" si="529"/>
        <v>0</v>
      </c>
      <c r="FF72" s="20">
        <f t="shared" si="529"/>
        <v>0</v>
      </c>
      <c r="FG72" s="20">
        <f t="shared" si="529"/>
        <v>0</v>
      </c>
      <c r="FH72" s="20">
        <f t="shared" si="529"/>
        <v>0</v>
      </c>
      <c r="FI72" s="20">
        <f t="shared" si="529"/>
        <v>0</v>
      </c>
      <c r="FJ72" s="20">
        <f t="shared" si="529"/>
        <v>0</v>
      </c>
      <c r="FK72" s="20">
        <f t="shared" si="529"/>
        <v>0</v>
      </c>
      <c r="FL72" s="20">
        <f t="shared" si="529"/>
        <v>0</v>
      </c>
      <c r="FM72" s="20">
        <f t="shared" si="529"/>
        <v>0</v>
      </c>
      <c r="FN72" s="20">
        <f t="shared" si="529"/>
        <v>0</v>
      </c>
      <c r="FO72" s="20">
        <f t="shared" si="529"/>
        <v>0</v>
      </c>
      <c r="FP72" s="20">
        <f t="shared" si="529"/>
        <v>0</v>
      </c>
      <c r="FQ72" s="20">
        <f t="shared" si="529"/>
        <v>0</v>
      </c>
      <c r="FR72" s="20">
        <f t="shared" si="529"/>
        <v>0</v>
      </c>
      <c r="FS72" s="20">
        <f t="shared" si="529"/>
        <v>0</v>
      </c>
      <c r="FT72" s="20">
        <f t="shared" si="529"/>
        <v>0</v>
      </c>
      <c r="FU72" s="20">
        <f t="shared" si="529"/>
        <v>0</v>
      </c>
      <c r="FV72" s="20">
        <f t="shared" si="529"/>
        <v>0</v>
      </c>
      <c r="FW72" s="20">
        <f t="shared" si="529"/>
        <v>0</v>
      </c>
      <c r="FX72" s="20">
        <f t="shared" si="529"/>
        <v>0</v>
      </c>
      <c r="FY72" s="20">
        <f t="shared" si="529"/>
        <v>0</v>
      </c>
      <c r="FZ72" s="20">
        <f t="shared" si="529"/>
        <v>0</v>
      </c>
      <c r="GA72" s="20">
        <f t="shared" si="529"/>
        <v>0</v>
      </c>
      <c r="GB72" s="20" t="n">
        <f t="shared" ref="GB72:HG72" si="530">GA72-GB59</f>
        <v>0</v>
      </c>
      <c r="GC72" s="20">
        <f t="shared" si="530"/>
        <v>0</v>
      </c>
      <c r="GD72" s="20">
        <f t="shared" si="530"/>
        <v>0</v>
      </c>
      <c r="GE72" s="20">
        <f t="shared" si="530"/>
        <v>0</v>
      </c>
      <c r="GF72" s="20">
        <f t="shared" si="530"/>
        <v>0</v>
      </c>
      <c r="GG72" s="20">
        <f t="shared" si="530"/>
        <v>0</v>
      </c>
      <c r="GH72" s="20">
        <f t="shared" si="530"/>
        <v>0</v>
      </c>
      <c r="GI72" s="20">
        <f t="shared" si="530"/>
        <v>0</v>
      </c>
      <c r="GJ72" s="20">
        <f t="shared" si="530"/>
        <v>0</v>
      </c>
      <c r="GK72" s="20">
        <f t="shared" si="530"/>
        <v>0</v>
      </c>
      <c r="GL72" s="20">
        <f t="shared" si="530"/>
        <v>0</v>
      </c>
      <c r="GM72" s="20">
        <f t="shared" si="530"/>
        <v>0</v>
      </c>
      <c r="GN72" s="20">
        <f t="shared" si="530"/>
        <v>0</v>
      </c>
      <c r="GO72" s="20">
        <f t="shared" si="530"/>
        <v>0</v>
      </c>
      <c r="GP72" s="20">
        <f t="shared" si="530"/>
        <v>0</v>
      </c>
      <c r="GQ72" s="20">
        <f t="shared" si="530"/>
        <v>0</v>
      </c>
      <c r="GR72" s="20">
        <f t="shared" si="530"/>
        <v>0</v>
      </c>
      <c r="GS72" s="20">
        <f t="shared" si="530"/>
        <v>0</v>
      </c>
      <c r="GT72" s="20">
        <f t="shared" si="530"/>
        <v>0</v>
      </c>
      <c r="GU72" s="20">
        <f t="shared" si="530"/>
        <v>0</v>
      </c>
      <c r="GV72" s="20">
        <f t="shared" si="530"/>
        <v>0</v>
      </c>
      <c r="GW72" s="20">
        <f t="shared" si="530"/>
        <v>0</v>
      </c>
      <c r="GX72" s="20">
        <f t="shared" si="530"/>
        <v>0</v>
      </c>
      <c r="GY72" s="20">
        <f t="shared" si="530"/>
        <v>0</v>
      </c>
      <c r="GZ72" s="20">
        <f t="shared" si="530"/>
        <v>0</v>
      </c>
      <c r="HA72" s="20">
        <f t="shared" si="530"/>
        <v>0</v>
      </c>
      <c r="HB72" s="20">
        <f t="shared" si="530"/>
        <v>0</v>
      </c>
      <c r="HC72" s="20">
        <f t="shared" si="530"/>
        <v>0</v>
      </c>
      <c r="HD72" s="20">
        <f t="shared" si="530"/>
        <v>0</v>
      </c>
      <c r="HE72" s="20">
        <f t="shared" si="530"/>
        <v>0</v>
      </c>
      <c r="HF72" s="20">
        <f t="shared" si="530"/>
        <v>0</v>
      </c>
      <c r="HG72" s="20">
        <f t="shared" si="530"/>
        <v>0</v>
      </c>
      <c r="HH72" s="20" t="n">
        <f t="shared" ref="HH72:IM72" si="531">HG72-HH59</f>
        <v>0</v>
      </c>
      <c r="HI72" s="20">
        <f t="shared" si="531"/>
        <v>0</v>
      </c>
      <c r="HJ72" s="20">
        <f t="shared" si="531"/>
        <v>0</v>
      </c>
      <c r="HK72" s="20">
        <f t="shared" si="531"/>
        <v>0</v>
      </c>
      <c r="HL72" s="20">
        <f t="shared" si="531"/>
        <v>0</v>
      </c>
      <c r="HM72" s="20">
        <f t="shared" si="531"/>
        <v>0</v>
      </c>
      <c r="HN72" s="20">
        <f t="shared" si="531"/>
        <v>0</v>
      </c>
      <c r="HO72" s="20">
        <f t="shared" si="531"/>
        <v>0</v>
      </c>
      <c r="HP72" s="20">
        <f t="shared" si="531"/>
        <v>0</v>
      </c>
      <c r="HQ72" s="20">
        <f t="shared" si="531"/>
        <v>0</v>
      </c>
      <c r="HR72" s="20">
        <f t="shared" si="531"/>
        <v>0</v>
      </c>
      <c r="HS72" s="20">
        <f t="shared" si="531"/>
        <v>0</v>
      </c>
      <c r="HT72" s="20">
        <f t="shared" si="531"/>
        <v>0</v>
      </c>
      <c r="HU72" s="20">
        <f t="shared" si="531"/>
        <v>0</v>
      </c>
      <c r="HV72" s="20">
        <f t="shared" si="531"/>
        <v>0</v>
      </c>
      <c r="HW72" s="20">
        <f t="shared" si="531"/>
        <v>0</v>
      </c>
      <c r="HX72" s="20">
        <f t="shared" si="531"/>
        <v>0</v>
      </c>
      <c r="HY72" s="20">
        <f t="shared" si="531"/>
        <v>0</v>
      </c>
      <c r="HZ72" s="20">
        <f t="shared" si="531"/>
        <v>0</v>
      </c>
      <c r="IA72" s="20">
        <f t="shared" si="531"/>
        <v>0</v>
      </c>
      <c r="IB72" s="20">
        <f t="shared" si="531"/>
        <v>0</v>
      </c>
      <c r="IC72" s="20">
        <f t="shared" si="531"/>
        <v>0</v>
      </c>
      <c r="ID72" s="20">
        <f t="shared" si="531"/>
        <v>0</v>
      </c>
      <c r="IE72" s="20">
        <f t="shared" si="531"/>
        <v>0</v>
      </c>
      <c r="IF72" s="20">
        <f t="shared" si="531"/>
        <v>0</v>
      </c>
      <c r="IG72" s="20">
        <f t="shared" si="531"/>
        <v>0</v>
      </c>
      <c r="IH72" s="20">
        <f t="shared" si="531"/>
        <v>0</v>
      </c>
      <c r="II72" s="20">
        <f t="shared" si="531"/>
        <v>0</v>
      </c>
      <c r="IJ72" s="20">
        <f t="shared" si="531"/>
        <v>0</v>
      </c>
      <c r="IK72" s="20">
        <f t="shared" si="531"/>
        <v>0</v>
      </c>
      <c r="IL72" s="20">
        <f t="shared" si="531"/>
        <v>0</v>
      </c>
      <c r="IM72" s="20">
        <f t="shared" si="531"/>
        <v>0</v>
      </c>
      <c r="IN72" s="20" t="n">
        <f t="shared" ref="IN72:JX72" si="532">IM72-IN59</f>
        <v>0</v>
      </c>
      <c r="IO72" s="20">
        <f t="shared" si="532"/>
        <v>0</v>
      </c>
      <c r="IP72" s="20">
        <f t="shared" si="532"/>
        <v>0</v>
      </c>
      <c r="IQ72" s="20">
        <f t="shared" si="532"/>
        <v>0</v>
      </c>
      <c r="IR72" s="20">
        <f t="shared" si="532"/>
        <v>0</v>
      </c>
      <c r="IS72" s="20">
        <f t="shared" si="532"/>
        <v>0</v>
      </c>
      <c r="IT72" s="20">
        <f t="shared" si="532"/>
        <v>0</v>
      </c>
      <c r="IU72" s="20">
        <f t="shared" si="532"/>
        <v>0</v>
      </c>
      <c r="IV72" s="20">
        <f t="shared" si="532"/>
        <v>0</v>
      </c>
      <c r="IW72" s="20">
        <f t="shared" si="532"/>
        <v>0</v>
      </c>
      <c r="IX72" s="20">
        <f t="shared" si="532"/>
        <v>0</v>
      </c>
      <c r="IY72" s="20">
        <f t="shared" si="532"/>
        <v>0</v>
      </c>
      <c r="IZ72" s="20">
        <f t="shared" si="532"/>
        <v>0</v>
      </c>
      <c r="JA72" s="20">
        <f t="shared" si="532"/>
        <v>0</v>
      </c>
      <c r="JB72" s="20">
        <f t="shared" si="532"/>
        <v>0</v>
      </c>
      <c r="JC72" s="20">
        <f t="shared" si="532"/>
        <v>0</v>
      </c>
      <c r="JD72" s="20">
        <f t="shared" si="532"/>
        <v>0</v>
      </c>
      <c r="JE72" s="20">
        <f t="shared" si="532"/>
        <v>0</v>
      </c>
      <c r="JF72" s="20">
        <f t="shared" si="532"/>
        <v>0</v>
      </c>
      <c r="JG72" s="20">
        <f t="shared" si="532"/>
        <v>0</v>
      </c>
      <c r="JH72" s="20">
        <f t="shared" si="532"/>
        <v>0</v>
      </c>
      <c r="JI72" s="20">
        <f t="shared" si="532"/>
        <v>0</v>
      </c>
      <c r="JJ72" s="20">
        <f t="shared" si="532"/>
        <v>0</v>
      </c>
      <c r="JK72" s="20">
        <f t="shared" si="532"/>
        <v>0</v>
      </c>
      <c r="JL72" s="20">
        <f t="shared" si="532"/>
        <v>0</v>
      </c>
      <c r="JM72" s="20">
        <f t="shared" si="532"/>
        <v>0</v>
      </c>
      <c r="JN72" s="20">
        <f t="shared" si="532"/>
        <v>0</v>
      </c>
      <c r="JO72" s="20">
        <f t="shared" si="532"/>
        <v>0</v>
      </c>
      <c r="JP72" s="20">
        <f t="shared" si="532"/>
        <v>0</v>
      </c>
      <c r="JQ72" s="20">
        <f t="shared" si="532"/>
        <v>0</v>
      </c>
      <c r="JR72" s="20">
        <f t="shared" si="532"/>
        <v>0</v>
      </c>
      <c r="JS72" s="20">
        <f t="shared" si="532"/>
        <v>0</v>
      </c>
      <c r="JT72" s="20">
        <f t="shared" si="532"/>
        <v>0</v>
      </c>
      <c r="JU72" s="20">
        <f t="shared" si="532"/>
        <v>0</v>
      </c>
      <c r="JV72" s="20">
        <f t="shared" si="532"/>
        <v>0</v>
      </c>
      <c r="JW72" s="20">
        <f t="shared" si="532"/>
        <v>0</v>
      </c>
      <c r="JX72" s="20">
        <f t="shared" si="532"/>
        <v>0</v>
      </c>
      <c r="JZ72" s="263"/>
      <c r="KA72" s="263"/>
      <c r="KB72" s="263"/>
      <c r="KC72" s="263"/>
      <c r="KD72" s="263"/>
      <c r="KE72" s="263"/>
      <c r="KF72" s="263"/>
      <c r="KG72" s="263"/>
      <c r="KH72" s="263"/>
      <c r="KI72" s="263"/>
      <c r="KJ72" s="263"/>
      <c r="KK72" s="263"/>
      <c r="KL72" s="263"/>
      <c r="KM72" s="263"/>
      <c r="KN72" s="263"/>
      <c r="KO72" s="263"/>
      <c r="KP72" s="263"/>
      <c r="KQ72" s="263"/>
      <c r="KR72" s="263"/>
      <c r="KS72" s="263"/>
      <c r="KT72" s="263"/>
      <c r="KU72" s="263"/>
      <c r="KV72" s="263"/>
      <c r="KW72" s="263"/>
      <c r="KX72" s="263"/>
      <c r="KY72" s="263"/>
      <c r="KZ72" s="263"/>
      <c r="LA72" s="263"/>
      <c r="LB72" s="263"/>
      <c r="LC72" s="263"/>
      <c r="LD72" s="263"/>
      <c r="LE72" s="263"/>
      <c r="LF72" s="263"/>
      <c r="LG72" s="263"/>
      <c r="LH72" s="263"/>
      <c r="LI72" s="263"/>
      <c r="LJ72" s="263"/>
      <c r="LK72" s="263"/>
      <c r="LL72" s="263"/>
      <c r="LM72" s="263"/>
      <c r="LN72" s="263"/>
      <c r="LO72" s="263"/>
      <c r="LP72" s="263"/>
      <c r="LQ72" s="263"/>
      <c r="LR72" s="263"/>
      <c r="LS72" s="263"/>
      <c r="LT72" s="263"/>
      <c r="LU72" s="263"/>
      <c r="LV72" s="263"/>
      <c r="LW72" s="263"/>
      <c r="LX72" s="263"/>
      <c r="LY72" s="263"/>
      <c r="LZ72" s="263"/>
      <c r="MA72" s="263"/>
      <c r="MB72" s="263"/>
      <c r="MC72" s="263"/>
      <c r="MD72" s="263"/>
      <c r="ME72" s="263"/>
      <c r="MF72" s="263"/>
      <c r="MG72" s="263"/>
      <c r="MH72" s="263"/>
      <c r="MI72" s="263"/>
      <c r="MJ72" s="263"/>
      <c r="MK72" s="263"/>
      <c r="ML72" s="263"/>
      <c r="MM72" s="263"/>
      <c r="MN72" s="263"/>
      <c r="MO72" s="263"/>
      <c r="MP72" s="263"/>
      <c r="MQ72" s="263"/>
      <c r="MR72" s="263"/>
      <c r="MS72" s="263"/>
      <c r="MT72" s="263"/>
      <c r="MU72" s="263"/>
      <c r="MV72" s="263"/>
      <c r="MW72" s="263"/>
      <c r="MX72" s="263"/>
      <c r="MY72" s="263"/>
      <c r="MZ72" s="263"/>
      <c r="NA72" s="263"/>
      <c r="NB72" s="263"/>
      <c r="NC72" s="263"/>
      <c r="ND72" s="263"/>
      <c r="NE72" s="263"/>
      <c r="NF72" s="263"/>
      <c r="NG72" s="263"/>
      <c r="NH72" s="263"/>
      <c r="NI72" s="263"/>
      <c r="NJ72" s="263"/>
      <c r="NK72" s="263"/>
      <c r="NL72" s="263"/>
      <c r="NM72" s="263"/>
      <c r="NN72" s="263"/>
      <c r="NO72" s="263"/>
      <c r="NP72" s="263"/>
      <c r="NQ72" s="263"/>
      <c r="NR72" s="263"/>
      <c r="NS72" s="263"/>
      <c r="NT72" s="263"/>
      <c r="NU72" s="263"/>
      <c r="NV72" s="263"/>
      <c r="NW72" s="263"/>
      <c r="NX72" s="263"/>
      <c r="NY72" s="263"/>
      <c r="NZ72" s="263"/>
      <c r="OA72" s="263"/>
      <c r="OB72" s="263"/>
      <c r="OC72" s="263"/>
      <c r="OD72" s="263"/>
      <c r="OE72" s="263"/>
      <c r="OF72" s="263"/>
      <c r="OG72" s="263"/>
      <c r="OH72" s="263"/>
      <c r="OI72" s="263"/>
      <c r="OJ72" s="263"/>
      <c r="OK72" s="263"/>
      <c r="OL72" s="263"/>
      <c r="OM72" s="263"/>
      <c r="ON72" s="263"/>
      <c r="OO72" s="263"/>
      <c r="OP72" s="263"/>
      <c r="OQ72" s="263"/>
      <c r="OR72" s="263"/>
      <c r="OS72" s="263"/>
      <c r="OT72" s="263"/>
      <c r="OU72" s="263"/>
      <c r="OV72" s="263"/>
      <c r="OW72" s="263"/>
      <c r="OX72" s="263"/>
      <c r="OY72" s="263"/>
      <c r="OZ72" s="263"/>
      <c r="PA72" s="263"/>
      <c r="PB72" s="263"/>
      <c r="PC72" s="263"/>
      <c r="PD72" s="263"/>
      <c r="PE72" s="263"/>
      <c r="PF72" s="263"/>
      <c r="PG72" s="263"/>
      <c r="PH72" s="263"/>
    </row>
    <row r="73">
      <c r="B73" s="448" t="s">
        <v>191</v>
      </c>
      <c r="C73" s="404"/>
      <c r="D73" s="404"/>
      <c r="E73" s="404"/>
      <c r="F73" s="53" t="n">
        <f>I73/Project_Cost_Total</f>
        <v>0.025878105731849132</v>
      </c>
      <c r="G73" s="135"/>
      <c r="H73" s="419" t="n">
        <f>I73/Units_SF_M2</f>
        <v>138.37758559066714</v>
      </c>
      <c r="I73" s="449" t="n">
        <f>SUM(L73:EN73)</f>
        <v>10836678.06625885</v>
      </c>
      <c r="L73" s="421" t="n">
        <f>IF(COUNTIF(DEBT!$F$64:$DV$64,L$24)=0,0,INDEX(DEBT!$F$82:$DV$82,1,MATCH(L$24,DEBT!$F$64:$DV$64,0)))</f>
        <v>0</v>
      </c>
      <c r="M73" s="421" t="n">
        <f>IF(COUNTIF(DEBT!$F$64:$DV$64,M$24)=0,0,INDEX(DEBT!$F$82:$DV$82,1,MATCH(M$24,DEBT!$F$64:$DV$64,0)))</f>
        <v>313055.55555555556</v>
      </c>
      <c r="N73" s="421" t="n">
        <f>IF(COUNTIF(DEBT!$F$64:$DV$64,N$24)=0,0,INDEX(DEBT!$F$82:$DV$82,1,MATCH(N$24,DEBT!$F$64:$DV$64,0)))</f>
        <v>313055.55555555556</v>
      </c>
      <c r="O73" s="421" t="n">
        <f>IF(COUNTIF(DEBT!$F$64:$DV$64,O$24)=0,0,INDEX(DEBT!$F$82:$DV$82,1,MATCH(O$24,DEBT!$F$64:$DV$64,0)))</f>
        <v>313055.55555555556</v>
      </c>
      <c r="P73" s="421" t="n">
        <f>IF(COUNTIF(DEBT!$F$64:$DV$64,P$24)=0,0,INDEX(DEBT!$F$82:$DV$82,1,MATCH(P$24,DEBT!$F$64:$DV$64,0)))</f>
        <v>313055.55555555556</v>
      </c>
      <c r="Q73" s="421" t="n">
        <f>IF(COUNTIF(DEBT!$F$64:$DV$64,Q$24)=0,0,INDEX(DEBT!$F$82:$DV$82,1,MATCH(Q$24,DEBT!$F$64:$DV$64,0)))</f>
        <v>313055.55555555556</v>
      </c>
      <c r="R73" s="421" t="n">
        <f>IF(COUNTIF(DEBT!$F$64:$DV$64,R$24)=0,0,INDEX(DEBT!$F$82:$DV$82,1,MATCH(R$24,DEBT!$F$64:$DV$64,0)))</f>
        <v>313055.55555555556</v>
      </c>
      <c r="S73" s="421" t="n">
        <f>IF(COUNTIF(DEBT!$F$64:$DV$64,S$24)=0,0,INDEX(DEBT!$F$82:$DV$82,1,MATCH(S$24,DEBT!$F$64:$DV$64,0)))</f>
        <v>313055.55555555556</v>
      </c>
      <c r="T73" s="421" t="n">
        <f>IF(COUNTIF(DEBT!$F$64:$DV$64,T$24)=0,0,INDEX(DEBT!$F$82:$DV$82,1,MATCH(T$24,DEBT!$F$64:$DV$64,0)))</f>
        <v>313055.55555555556</v>
      </c>
      <c r="U73" s="421" t="n">
        <f>IF(COUNTIF(DEBT!$F$64:$DV$64,U$24)=0,0,INDEX(DEBT!$F$82:$DV$82,1,MATCH(U$24,DEBT!$F$64:$DV$64,0)))</f>
        <v>313055.55555555556</v>
      </c>
      <c r="V73" s="421" t="n">
        <f>IF(COUNTIF(DEBT!$F$64:$DV$64,V$24)=0,0,INDEX(DEBT!$F$82:$DV$82,1,MATCH(V$24,DEBT!$F$64:$DV$64,0)))</f>
        <v>313055.55555555556</v>
      </c>
      <c r="W73" s="421" t="n">
        <f>IF(COUNTIF(DEBT!$F$64:$DV$64,W$24)=0,0,INDEX(DEBT!$F$82:$DV$82,1,MATCH(W$24,DEBT!$F$64:$DV$64,0)))</f>
        <v>313055.55555555556</v>
      </c>
      <c r="X73" s="421" t="n">
        <f>IF(COUNTIF(DEBT!$F$64:$DV$64,X$24)=0,0,INDEX(DEBT!$F$82:$DV$82,1,MATCH(X$24,DEBT!$F$64:$DV$64,0)))</f>
        <v>313055.55555555556</v>
      </c>
      <c r="Y73" s="421" t="n">
        <f>IF(COUNTIF(DEBT!$F$64:$DV$64,Y$24)=0,0,INDEX(DEBT!$F$82:$DV$82,1,MATCH(Y$24,DEBT!$F$64:$DV$64,0)))</f>
        <v>313055.55555555556</v>
      </c>
      <c r="Z73" s="421" t="n">
        <f>IF(COUNTIF(DEBT!$F$64:$DV$64,Z$24)=0,0,INDEX(DEBT!$F$82:$DV$82,1,MATCH(Z$24,DEBT!$F$64:$DV$64,0)))</f>
        <v>313055.55555555556</v>
      </c>
      <c r="AA73" s="421" t="n">
        <f>IF(COUNTIF(DEBT!$F$64:$DV$64,AA$24)=0,0,INDEX(DEBT!$F$82:$DV$82,1,MATCH(AA$24,DEBT!$F$64:$DV$64,0)))</f>
        <v>313055.55555555556</v>
      </c>
      <c r="AB73" s="421" t="n">
        <f>IF(COUNTIF(DEBT!$F$64:$DV$64,AB$24)=0,0,INDEX(DEBT!$F$82:$DV$82,1,MATCH(AB$24,DEBT!$F$64:$DV$64,0)))</f>
        <v>313055.55555555556</v>
      </c>
      <c r="AC73" s="421" t="n">
        <f>IF(COUNTIF(DEBT!$F$64:$DV$64,AC$24)=0,0,INDEX(DEBT!$F$82:$DV$82,1,MATCH(AC$24,DEBT!$F$64:$DV$64,0)))</f>
        <v>313055.55555555556</v>
      </c>
      <c r="AD73" s="421" t="n">
        <f>IF(COUNTIF(DEBT!$F$64:$DV$64,AD$24)=0,0,INDEX(DEBT!$F$82:$DV$82,1,MATCH(AD$24,DEBT!$F$64:$DV$64,0)))</f>
        <v>313055.55555555556</v>
      </c>
      <c r="AE73" s="421" t="n">
        <f>IF(COUNTIF(DEBT!$F$64:$DV$64,AE$24)=0,0,INDEX(DEBT!$F$82:$DV$82,1,MATCH(AE$24,DEBT!$F$64:$DV$64,0)))</f>
        <v>313055.55555555556</v>
      </c>
      <c r="AF73" s="421" t="n">
        <f>IF(COUNTIF(DEBT!$F$64:$DV$64,AF$24)=0,0,INDEX(DEBT!$F$82:$DV$82,1,MATCH(AF$24,DEBT!$F$64:$DV$64,0)))</f>
        <v>313055.55555555556</v>
      </c>
      <c r="AG73" s="421" t="n">
        <f>IF(COUNTIF(DEBT!$F$64:$DV$64,AG$24)=0,0,INDEX(DEBT!$F$82:$DV$82,1,MATCH(AG$24,DEBT!$F$64:$DV$64,0)))</f>
        <v>313055.55555555556</v>
      </c>
      <c r="AH73" s="421" t="n">
        <f>IF(COUNTIF(DEBT!$F$64:$DV$64,AH$24)=0,0,INDEX(DEBT!$F$82:$DV$82,1,MATCH(AH$24,DEBT!$F$64:$DV$64,0)))</f>
        <v>313055.55555555556</v>
      </c>
      <c r="AI73" s="421" t="n">
        <f>IF(COUNTIF(DEBT!$F$64:$DV$64,AI$24)=0,0,INDEX(DEBT!$F$82:$DV$82,1,MATCH(AI$24,DEBT!$F$64:$DV$64,0)))</f>
        <v>313055.55555555556</v>
      </c>
      <c r="AJ73" s="421" t="n">
        <f>IF(COUNTIF(DEBT!$F$64:$DV$64,AJ$24)=0,0,INDEX(DEBT!$F$82:$DV$82,1,MATCH(AJ$24,DEBT!$F$64:$DV$64,0)))</f>
        <v>313055.55555555556</v>
      </c>
      <c r="AK73" s="421" t="n">
        <f>IF(COUNTIF(DEBT!$F$64:$DV$64,AK$24)=0,0,INDEX(DEBT!$F$82:$DV$82,1,MATCH(AK$24,DEBT!$F$64:$DV$64,0)))</f>
        <v>313055.55555555556</v>
      </c>
      <c r="AL73" s="421" t="n">
        <f>IF(COUNTIF(DEBT!$F$64:$DV$64,AL$24)=0,0,INDEX(DEBT!$F$82:$DV$82,1,MATCH(AL$24,DEBT!$F$64:$DV$64,0)))</f>
        <v>313055.55555555556</v>
      </c>
      <c r="AM73" s="421" t="n">
        <f>IF(COUNTIF(DEBT!$F$64:$DV$64,AM$24)=0,0,INDEX(DEBT!$F$82:$DV$82,1,MATCH(AM$24,DEBT!$F$64:$DV$64,0)))</f>
        <v>313055.55555555556</v>
      </c>
      <c r="AN73" s="421" t="n">
        <f>IF(COUNTIF(DEBT!$F$64:$DV$64,AN$24)=0,0,INDEX(DEBT!$F$82:$DV$82,1,MATCH(AN$24,DEBT!$F$64:$DV$64,0)))</f>
        <v>313055.55555555556</v>
      </c>
      <c r="AO73" s="421" t="n">
        <f>IF(COUNTIF(DEBT!$F$64:$DV$64,AO$24)=0,0,INDEX(DEBT!$F$82:$DV$82,1,MATCH(AO$24,DEBT!$F$64:$DV$64,0)))</f>
        <v>313055.55555555556</v>
      </c>
      <c r="AP73" s="421" t="n">
        <f>IF(COUNTIF(DEBT!$F$64:$DV$64,AP$24)=0,0,INDEX(DEBT!$F$82:$DV$82,1,MATCH(AP$24,DEBT!$F$64:$DV$64,0)))</f>
        <v>313055.55555555556</v>
      </c>
      <c r="AQ73" s="421" t="n">
        <f>IF(COUNTIF(DEBT!$F$64:$DV$64,AQ$24)=0,0,INDEX(DEBT!$F$82:$DV$82,1,MATCH(AQ$24,DEBT!$F$64:$DV$64,0)))</f>
        <v>313055.55555555556</v>
      </c>
      <c r="AR73" s="421" t="n">
        <f>IF(COUNTIF(DEBT!$F$64:$DV$64,AR$24)=0,0,INDEX(DEBT!$F$82:$DV$82,1,MATCH(AR$24,DEBT!$F$64:$DV$64,0)))</f>
        <v>313055.55555555556</v>
      </c>
      <c r="AS73" s="421" t="n">
        <f>IF(COUNTIF(DEBT!$F$64:$DV$64,AS$24)=0,0,INDEX(DEBT!$F$82:$DV$82,1,MATCH(AS$24,DEBT!$F$64:$DV$64,0)))</f>
        <v>313055.55555555556</v>
      </c>
      <c r="AT73" s="421" t="n">
        <f>IF(COUNTIF(DEBT!$F$64:$DV$64,AT$24)=0,0,INDEX(DEBT!$F$82:$DV$82,1,MATCH(AT$24,DEBT!$F$64:$DV$64,0)))</f>
        <v>313055.55555555556</v>
      </c>
      <c r="AU73" s="421" t="n">
        <f>IF(COUNTIF(DEBT!$F$64:$DV$64,AU$24)=0,0,INDEX(DEBT!$F$82:$DV$82,1,MATCH(AU$24,DEBT!$F$64:$DV$64,0)))</f>
        <v>148177.12503796816</v>
      </c>
      <c r="AV73" s="421" t="n">
        <f>IF(COUNTIF(DEBT!$F$64:$DV$64,AV$24)=0,0,INDEX(DEBT!$F$82:$DV$82,1,MATCH(AV$24,DEBT!$F$64:$DV$64,0)))</f>
        <v>44612.05233198404</v>
      </c>
      <c r="AW73" s="421" t="n">
        <f>IF(COUNTIF(DEBT!$F$64:$DV$64,AW$24)=0,0,INDEX(DEBT!$F$82:$DV$82,1,MATCH(AW$24,DEBT!$F$64:$DV$64,0)))</f>
        <v>0</v>
      </c>
      <c r="AX73" s="421" t="n">
        <f>IF(COUNTIF(DEBT!$F$64:$DV$64,AX$24)=0,0,INDEX(DEBT!$F$82:$DV$82,1,MATCH(AX$24,DEBT!$F$64:$DV$64,0)))</f>
        <v>0</v>
      </c>
      <c r="AY73" s="421" t="n">
        <f>IF(COUNTIF(DEBT!$F$64:$DV$64,AY$24)=0,0,INDEX(DEBT!$F$82:$DV$82,1,MATCH(AY$24,DEBT!$F$64:$DV$64,0)))</f>
        <v>0</v>
      </c>
      <c r="AZ73" s="421" t="n">
        <f>IF(COUNTIF(DEBT!$F$64:$DV$64,AZ$24)=0,0,INDEX(DEBT!$F$82:$DV$82,1,MATCH(AZ$24,DEBT!$F$64:$DV$64,0)))</f>
        <v>0</v>
      </c>
      <c r="BA73" s="421" t="n">
        <f>IF(COUNTIF(DEBT!$F$64:$DV$64,BA$24)=0,0,INDEX(DEBT!$F$82:$DV$82,1,MATCH(BA$24,DEBT!$F$64:$DV$64,0)))</f>
        <v>0</v>
      </c>
      <c r="BB73" s="421" t="n">
        <f>IF(COUNTIF(DEBT!$F$64:$DV$64,BB$24)=0,0,INDEX(DEBT!$F$82:$DV$82,1,MATCH(BB$24,DEBT!$F$64:$DV$64,0)))</f>
        <v>0</v>
      </c>
      <c r="BC73" s="421" t="n">
        <f>IF(COUNTIF(DEBT!$F$64:$DV$64,BC$24)=0,0,INDEX(DEBT!$F$82:$DV$82,1,MATCH(BC$24,DEBT!$F$64:$DV$64,0)))</f>
        <v>0</v>
      </c>
      <c r="BD73" s="421" t="n">
        <f>IF(COUNTIF(DEBT!$F$64:$DV$64,BD$24)=0,0,INDEX(DEBT!$F$82:$DV$82,1,MATCH(BD$24,DEBT!$F$64:$DV$64,0)))</f>
        <v>0</v>
      </c>
      <c r="BE73" s="421" t="n">
        <f>IF(COUNTIF(DEBT!$F$64:$DV$64,BE$24)=0,0,INDEX(DEBT!$F$82:$DV$82,1,MATCH(BE$24,DEBT!$F$64:$DV$64,0)))</f>
        <v>0</v>
      </c>
      <c r="BF73" s="421" t="n">
        <f>IF(COUNTIF(DEBT!$F$64:$DV$64,BF$24)=0,0,INDEX(DEBT!$F$82:$DV$82,1,MATCH(BF$24,DEBT!$F$64:$DV$64,0)))</f>
        <v>0</v>
      </c>
      <c r="BG73" s="421" t="n">
        <f>IF(COUNTIF(DEBT!$F$64:$DV$64,BG$24)=0,0,INDEX(DEBT!$F$82:$DV$82,1,MATCH(BG$24,DEBT!$F$64:$DV$64,0)))</f>
        <v>0</v>
      </c>
      <c r="BH73" s="421" t="n">
        <f>IF(COUNTIF(DEBT!$F$64:$DV$64,BH$24)=0,0,INDEX(DEBT!$F$82:$DV$82,1,MATCH(BH$24,DEBT!$F$64:$DV$64,0)))</f>
        <v>0</v>
      </c>
      <c r="BI73" s="421" t="n">
        <f>IF(COUNTIF(DEBT!$F$64:$DV$64,BI$24)=0,0,INDEX(DEBT!$F$82:$DV$82,1,MATCH(BI$24,DEBT!$F$64:$DV$64,0)))</f>
        <v>0</v>
      </c>
      <c r="BJ73" s="421" t="n">
        <f>IF(COUNTIF(DEBT!$F$64:$DV$64,BJ$24)=0,0,INDEX(DEBT!$F$82:$DV$82,1,MATCH(BJ$24,DEBT!$F$64:$DV$64,0)))</f>
        <v>0</v>
      </c>
      <c r="BK73" s="421" t="n">
        <f>IF(COUNTIF(DEBT!$F$64:$DV$64,BK$24)=0,0,INDEX(DEBT!$F$82:$DV$82,1,MATCH(BK$24,DEBT!$F$64:$DV$64,0)))</f>
        <v>0</v>
      </c>
      <c r="BL73" s="421" t="n">
        <f>IF(COUNTIF(DEBT!$F$64:$DV$64,BL$24)=0,0,INDEX(DEBT!$F$82:$DV$82,1,MATCH(BL$24,DEBT!$F$64:$DV$64,0)))</f>
        <v>0</v>
      </c>
      <c r="BM73" s="421" t="n">
        <f>IF(COUNTIF(DEBT!$F$64:$DV$64,BM$24)=0,0,INDEX(DEBT!$F$82:$DV$82,1,MATCH(BM$24,DEBT!$F$64:$DV$64,0)))</f>
        <v>0</v>
      </c>
      <c r="BN73" s="421" t="n">
        <f>IF(COUNTIF(DEBT!$F$64:$DV$64,BN$24)=0,0,INDEX(DEBT!$F$82:$DV$82,1,MATCH(BN$24,DEBT!$F$64:$DV$64,0)))</f>
        <v>0</v>
      </c>
      <c r="BO73" s="421" t="n">
        <f>IF(COUNTIF(DEBT!$F$64:$DV$64,BO$24)=0,0,INDEX(DEBT!$F$82:$DV$82,1,MATCH(BO$24,DEBT!$F$64:$DV$64,0)))</f>
        <v>0</v>
      </c>
      <c r="BP73" s="421" t="n">
        <f>IF(COUNTIF(DEBT!$F$64:$DV$64,BP$24)=0,0,INDEX(DEBT!$F$82:$DV$82,1,MATCH(BP$24,DEBT!$F$64:$DV$64,0)))</f>
        <v>0</v>
      </c>
      <c r="BQ73" s="421" t="n">
        <f>IF(COUNTIF(DEBT!$F$64:$DV$64,BQ$24)=0,0,INDEX(DEBT!$F$82:$DV$82,1,MATCH(BQ$24,DEBT!$F$64:$DV$64,0)))</f>
        <v>0</v>
      </c>
      <c r="BR73" s="421" t="n">
        <f>IF(COUNTIF(DEBT!$F$64:$DV$64,BR$24)=0,0,INDEX(DEBT!$F$82:$DV$82,1,MATCH(BR$24,DEBT!$F$64:$DV$64,0)))</f>
        <v>0</v>
      </c>
      <c r="BS73" s="421" t="n">
        <f>IF(COUNTIF(DEBT!$F$64:$DV$64,BS$24)=0,0,INDEX(DEBT!$F$82:$DV$82,1,MATCH(BS$24,DEBT!$F$64:$DV$64,0)))</f>
        <v>0</v>
      </c>
      <c r="BT73" s="421" t="n">
        <f>IF(COUNTIF(DEBT!$F$64:$DV$64,BT$24)=0,0,INDEX(DEBT!$F$82:$DV$82,1,MATCH(BT$24,DEBT!$F$64:$DV$64,0)))</f>
        <v>0</v>
      </c>
      <c r="BU73" s="421" t="n">
        <f>IF(COUNTIF(DEBT!$F$64:$DV$64,BU$24)=0,0,INDEX(DEBT!$F$82:$DV$82,1,MATCH(BU$24,DEBT!$F$64:$DV$64,0)))</f>
        <v>0</v>
      </c>
      <c r="BV73" s="421" t="n">
        <f>IF(COUNTIF(DEBT!$F$64:$DV$64,BV$24)=0,0,INDEX(DEBT!$F$82:$DV$82,1,MATCH(BV$24,DEBT!$F$64:$DV$64,0)))</f>
        <v>0</v>
      </c>
      <c r="BW73" s="421" t="n">
        <f>IF(COUNTIF(DEBT!$F$64:$DV$64,BW$24)=0,0,INDEX(DEBT!$F$82:$DV$82,1,MATCH(BW$24,DEBT!$F$64:$DV$64,0)))</f>
        <v>0</v>
      </c>
      <c r="BX73" s="421" t="n">
        <f>IF(COUNTIF(DEBT!$F$64:$DV$64,BX$24)=0,0,INDEX(DEBT!$F$82:$DV$82,1,MATCH(BX$24,DEBT!$F$64:$DV$64,0)))</f>
        <v>0</v>
      </c>
      <c r="BY73" s="421" t="n">
        <f>IF(COUNTIF(DEBT!$F$64:$DV$64,BY$24)=0,0,INDEX(DEBT!$F$82:$DV$82,1,MATCH(BY$24,DEBT!$F$64:$DV$64,0)))</f>
        <v>0</v>
      </c>
      <c r="BZ73" s="421" t="n">
        <f>IF(COUNTIF(DEBT!$F$64:$DV$64,BZ$24)=0,0,INDEX(DEBT!$F$82:$DV$82,1,MATCH(BZ$24,DEBT!$F$64:$DV$64,0)))</f>
        <v>0</v>
      </c>
      <c r="CA73" s="421" t="n">
        <f>IF(COUNTIF(DEBT!$F$64:$DV$64,CA$24)=0,0,INDEX(DEBT!$F$82:$DV$82,1,MATCH(CA$24,DEBT!$F$64:$DV$64,0)))</f>
        <v>0</v>
      </c>
      <c r="CB73" s="421" t="n">
        <f>IF(COUNTIF(DEBT!$F$64:$DV$64,CB$24)=0,0,INDEX(DEBT!$F$82:$DV$82,1,MATCH(CB$24,DEBT!$F$64:$DV$64,0)))</f>
        <v>0</v>
      </c>
      <c r="CC73" s="421" t="n">
        <f>IF(COUNTIF(DEBT!$F$64:$DV$64,CC$24)=0,0,INDEX(DEBT!$F$82:$DV$82,1,MATCH(CC$24,DEBT!$F$64:$DV$64,0)))</f>
        <v>0</v>
      </c>
      <c r="CD73" s="421" t="n">
        <f>IF(COUNTIF(DEBT!$F$64:$DV$64,CD$24)=0,0,INDEX(DEBT!$F$82:$DV$82,1,MATCH(CD$24,DEBT!$F$64:$DV$64,0)))</f>
        <v>0</v>
      </c>
      <c r="CE73" s="421" t="n">
        <f>IF(COUNTIF(DEBT!$F$64:$DV$64,CE$24)=0,0,INDEX(DEBT!$F$82:$DV$82,1,MATCH(CE$24,DEBT!$F$64:$DV$64,0)))</f>
        <v>0</v>
      </c>
      <c r="CF73" s="421" t="n">
        <f>IF(COUNTIF(DEBT!$F$64:$DV$64,CF$24)=0,0,INDEX(DEBT!$F$82:$DV$82,1,MATCH(CF$24,DEBT!$F$64:$DV$64,0)))</f>
        <v>0</v>
      </c>
      <c r="CG73" s="421" t="n">
        <f>IF(COUNTIF(DEBT!$F$64:$DV$64,CG$24)=0,0,INDEX(DEBT!$F$82:$DV$82,1,MATCH(CG$24,DEBT!$F$64:$DV$64,0)))</f>
        <v>0</v>
      </c>
      <c r="CH73" s="421" t="n">
        <f>IF(COUNTIF(DEBT!$F$64:$DV$64,CH$24)=0,0,INDEX(DEBT!$F$82:$DV$82,1,MATCH(CH$24,DEBT!$F$64:$DV$64,0)))</f>
        <v>0</v>
      </c>
      <c r="CI73" s="421" t="n">
        <f>IF(COUNTIF(DEBT!$F$64:$DV$64,CI$24)=0,0,INDEX(DEBT!$F$82:$DV$82,1,MATCH(CI$24,DEBT!$F$64:$DV$64,0)))</f>
        <v>0</v>
      </c>
      <c r="CJ73" s="421" t="n">
        <f>IF(COUNTIF(DEBT!$F$64:$DV$64,CJ$24)=0,0,INDEX(DEBT!$F$82:$DV$82,1,MATCH(CJ$24,DEBT!$F$64:$DV$64,0)))</f>
        <v>0</v>
      </c>
      <c r="CK73" s="421" t="n">
        <f>IF(COUNTIF(DEBT!$F$64:$DV$64,CK$24)=0,0,INDEX(DEBT!$F$82:$DV$82,1,MATCH(CK$24,DEBT!$F$64:$DV$64,0)))</f>
        <v>0</v>
      </c>
      <c r="CL73" s="421" t="n">
        <f>IF(COUNTIF(DEBT!$F$64:$DV$64,CL$24)=0,0,INDEX(DEBT!$F$82:$DV$82,1,MATCH(CL$24,DEBT!$F$64:$DV$64,0)))</f>
        <v>0</v>
      </c>
      <c r="CM73" s="421" t="n">
        <f>IF(COUNTIF(DEBT!$F$64:$DV$64,CM$24)=0,0,INDEX(DEBT!$F$82:$DV$82,1,MATCH(CM$24,DEBT!$F$64:$DV$64,0)))</f>
        <v>0</v>
      </c>
      <c r="CN73" s="421" t="n">
        <f>IF(COUNTIF(DEBT!$F$64:$DV$64,CN$24)=0,0,INDEX(DEBT!$F$82:$DV$82,1,MATCH(CN$24,DEBT!$F$64:$DV$64,0)))</f>
        <v>0</v>
      </c>
      <c r="CO73" s="421" t="n">
        <f>IF(COUNTIF(DEBT!$F$64:$DV$64,CO$24)=0,0,INDEX(DEBT!$F$82:$DV$82,1,MATCH(CO$24,DEBT!$F$64:$DV$64,0)))</f>
        <v>0</v>
      </c>
      <c r="CP73" s="421" t="n">
        <f>IF(COUNTIF(DEBT!$F$64:$DV$64,CP$24)=0,0,INDEX(DEBT!$F$82:$DV$82,1,MATCH(CP$24,DEBT!$F$64:$DV$64,0)))</f>
        <v>0</v>
      </c>
      <c r="CQ73" s="421" t="n">
        <f>IF(COUNTIF(DEBT!$F$64:$DV$64,CQ$24)=0,0,INDEX(DEBT!$F$82:$DV$82,1,MATCH(CQ$24,DEBT!$F$64:$DV$64,0)))</f>
        <v>0</v>
      </c>
      <c r="CR73" s="421" t="n">
        <f>IF(COUNTIF(DEBT!$F$64:$DV$64,CR$24)=0,0,INDEX(DEBT!$F$82:$DV$82,1,MATCH(CR$24,DEBT!$F$64:$DV$64,0)))</f>
        <v>0</v>
      </c>
      <c r="CS73" s="421" t="n">
        <f>IF(COUNTIF(DEBT!$F$64:$DV$64,CS$24)=0,0,INDEX(DEBT!$F$82:$DV$82,1,MATCH(CS$24,DEBT!$F$64:$DV$64,0)))</f>
        <v>0</v>
      </c>
      <c r="CT73" s="421" t="n">
        <f>IF(COUNTIF(DEBT!$F$64:$DV$64,CT$24)=0,0,INDEX(DEBT!$F$82:$DV$82,1,MATCH(CT$24,DEBT!$F$64:$DV$64,0)))</f>
        <v>0</v>
      </c>
      <c r="CU73" s="421" t="n">
        <f>IF(COUNTIF(DEBT!$F$64:$DV$64,CU$24)=0,0,INDEX(DEBT!$F$82:$DV$82,1,MATCH(CU$24,DEBT!$F$64:$DV$64,0)))</f>
        <v>0</v>
      </c>
      <c r="CV73" s="421" t="n">
        <f>IF(COUNTIF(DEBT!$F$64:$DV$64,CV$24)=0,0,INDEX(DEBT!$F$82:$DV$82,1,MATCH(CV$24,DEBT!$F$64:$DV$64,0)))</f>
        <v>0</v>
      </c>
      <c r="CW73" s="421" t="n">
        <f>IF(COUNTIF(DEBT!$F$64:$DV$64,CW$24)=0,0,INDEX(DEBT!$F$82:$DV$82,1,MATCH(CW$24,DEBT!$F$64:$DV$64,0)))</f>
        <v>0</v>
      </c>
      <c r="CX73" s="421" t="n">
        <f>IF(COUNTIF(DEBT!$F$64:$DV$64,CX$24)=0,0,INDEX(DEBT!$F$82:$DV$82,1,MATCH(CX$24,DEBT!$F$64:$DV$64,0)))</f>
        <v>0</v>
      </c>
      <c r="CY73" s="421" t="n">
        <f>IF(COUNTIF(DEBT!$F$64:$DV$64,CY$24)=0,0,INDEX(DEBT!$F$82:$DV$82,1,MATCH(CY$24,DEBT!$F$64:$DV$64,0)))</f>
        <v>0</v>
      </c>
      <c r="CZ73" s="421" t="n">
        <f>IF(COUNTIF(DEBT!$F$64:$DV$64,CZ$24)=0,0,INDEX(DEBT!$F$82:$DV$82,1,MATCH(CZ$24,DEBT!$F$64:$DV$64,0)))</f>
        <v>0</v>
      </c>
      <c r="DA73" s="421" t="n">
        <f>IF(COUNTIF(DEBT!$F$64:$DV$64,DA$24)=0,0,INDEX(DEBT!$F$82:$DV$82,1,MATCH(DA$24,DEBT!$F$64:$DV$64,0)))</f>
        <v>0</v>
      </c>
      <c r="DB73" s="421" t="n">
        <f>IF(COUNTIF(DEBT!$F$64:$DV$64,DB$24)=0,0,INDEX(DEBT!$F$82:$DV$82,1,MATCH(DB$24,DEBT!$F$64:$DV$64,0)))</f>
        <v>0</v>
      </c>
      <c r="DC73" s="421" t="n">
        <f>IF(COUNTIF(DEBT!$F$64:$DV$64,DC$24)=0,0,INDEX(DEBT!$F$82:$DV$82,1,MATCH(DC$24,DEBT!$F$64:$DV$64,0)))</f>
        <v>0</v>
      </c>
      <c r="DD73" s="421" t="n">
        <f>IF(COUNTIF(DEBT!$F$64:$DV$64,DD$24)=0,0,INDEX(DEBT!$F$82:$DV$82,1,MATCH(DD$24,DEBT!$F$64:$DV$64,0)))</f>
        <v>0</v>
      </c>
      <c r="DE73" s="421" t="n">
        <f>IF(COUNTIF(DEBT!$F$64:$DV$64,DE$24)=0,0,INDEX(DEBT!$F$82:$DV$82,1,MATCH(DE$24,DEBT!$F$64:$DV$64,0)))</f>
        <v>0</v>
      </c>
      <c r="DF73" s="421" t="n">
        <f>IF(COUNTIF(DEBT!$F$64:$DV$64,DF$24)=0,0,INDEX(DEBT!$F$82:$DV$82,1,MATCH(DF$24,DEBT!$F$64:$DV$64,0)))</f>
        <v>0</v>
      </c>
      <c r="DG73" s="421" t="n">
        <f>IF(COUNTIF(DEBT!$F$64:$DV$64,DG$24)=0,0,INDEX(DEBT!$F$82:$DV$82,1,MATCH(DG$24,DEBT!$F$64:$DV$64,0)))</f>
        <v>0</v>
      </c>
      <c r="DH73" s="421" t="n">
        <f>IF(COUNTIF(DEBT!$F$64:$DV$64,DH$24)=0,0,INDEX(DEBT!$F$82:$DV$82,1,MATCH(DH$24,DEBT!$F$64:$DV$64,0)))</f>
        <v>0</v>
      </c>
      <c r="DI73" s="421" t="n">
        <f>IF(COUNTIF(DEBT!$F$64:$DV$64,DI$24)=0,0,INDEX(DEBT!$F$82:$DV$82,1,MATCH(DI$24,DEBT!$F$64:$DV$64,0)))</f>
        <v>0</v>
      </c>
      <c r="DJ73" s="421" t="n">
        <f>IF(COUNTIF(DEBT!$F$64:$DV$64,DJ$24)=0,0,INDEX(DEBT!$F$82:$DV$82,1,MATCH(DJ$24,DEBT!$F$64:$DV$64,0)))</f>
        <v>0</v>
      </c>
      <c r="DK73" s="421" t="n">
        <f>IF(COUNTIF(DEBT!$F$64:$DV$64,DK$24)=0,0,INDEX(DEBT!$F$82:$DV$82,1,MATCH(DK$24,DEBT!$F$64:$DV$64,0)))</f>
        <v>0</v>
      </c>
      <c r="DL73" s="421" t="n">
        <f>IF(COUNTIF(DEBT!$F$64:$DV$64,DL$24)=0,0,INDEX(DEBT!$F$82:$DV$82,1,MATCH(DL$24,DEBT!$F$64:$DV$64,0)))</f>
        <v>0</v>
      </c>
      <c r="DM73" s="421" t="n">
        <f>IF(COUNTIF(DEBT!$F$64:$DV$64,DM$24)=0,0,INDEX(DEBT!$F$82:$DV$82,1,MATCH(DM$24,DEBT!$F$64:$DV$64,0)))</f>
        <v>0</v>
      </c>
      <c r="DN73" s="421" t="n">
        <f>IF(COUNTIF(DEBT!$F$64:$DV$64,DN$24)=0,0,INDEX(DEBT!$F$82:$DV$82,1,MATCH(DN$24,DEBT!$F$64:$DV$64,0)))</f>
        <v>0</v>
      </c>
      <c r="DO73" s="421" t="n">
        <f>IF(COUNTIF(DEBT!$F$64:$DV$64,DO$24)=0,0,INDEX(DEBT!$F$82:$DV$82,1,MATCH(DO$24,DEBT!$F$64:$DV$64,0)))</f>
        <v>0</v>
      </c>
      <c r="DP73" s="421" t="n">
        <f>IF(COUNTIF(DEBT!$F$64:$DV$64,DP$24)=0,0,INDEX(DEBT!$F$82:$DV$82,1,MATCH(DP$24,DEBT!$F$64:$DV$64,0)))</f>
        <v>0</v>
      </c>
      <c r="DQ73" s="421" t="n">
        <f>IF(COUNTIF(DEBT!$F$64:$DV$64,DQ$24)=0,0,INDEX(DEBT!$F$82:$DV$82,1,MATCH(DQ$24,DEBT!$F$64:$DV$64,0)))</f>
        <v>0</v>
      </c>
      <c r="DR73" s="421" t="n">
        <f>IF(COUNTIF(DEBT!$F$64:$DV$64,DR$24)=0,0,INDEX(DEBT!$F$82:$DV$82,1,MATCH(DR$24,DEBT!$F$64:$DV$64,0)))</f>
        <v>0</v>
      </c>
      <c r="DS73" s="421" t="n">
        <f>IF(COUNTIF(DEBT!$F$64:$DV$64,DS$24)=0,0,INDEX(DEBT!$F$82:$DV$82,1,MATCH(DS$24,DEBT!$F$64:$DV$64,0)))</f>
        <v>0</v>
      </c>
      <c r="DT73" s="421" t="n">
        <f>IF(COUNTIF(DEBT!$F$64:$DV$64,DT$24)=0,0,INDEX(DEBT!$F$82:$DV$82,1,MATCH(DT$24,DEBT!$F$64:$DV$64,0)))</f>
        <v>0</v>
      </c>
      <c r="DU73" s="421" t="n">
        <f>IF(COUNTIF(DEBT!$F$64:$DV$64,DU$24)=0,0,INDEX(DEBT!$F$82:$DV$82,1,MATCH(DU$24,DEBT!$F$64:$DV$64,0)))</f>
        <v>0</v>
      </c>
      <c r="DV73" s="421" t="n">
        <f>IF(COUNTIF(DEBT!$F$64:$DV$64,DV$24)=0,0,INDEX(DEBT!$F$82:$DV$82,1,MATCH(DV$24,DEBT!$F$64:$DV$64,0)))</f>
        <v>0</v>
      </c>
      <c r="DW73" s="421" t="n">
        <f>IF(COUNTIF(DEBT!$F$64:$DV$64,DW$24)=0,0,INDEX(DEBT!$F$82:$DV$82,1,MATCH(DW$24,DEBT!$F$64:$DV$64,0)))</f>
        <v>0</v>
      </c>
      <c r="DX73" s="421" t="n">
        <f>IF(COUNTIF(DEBT!$F$64:$DV$64,DX$24)=0,0,INDEX(DEBT!$F$82:$DV$82,1,MATCH(DX$24,DEBT!$F$64:$DV$64,0)))</f>
        <v>0</v>
      </c>
      <c r="DY73" s="421" t="n">
        <f>IF(COUNTIF(DEBT!$F$64:$DV$64,DY$24)=0,0,INDEX(DEBT!$F$82:$DV$82,1,MATCH(DY$24,DEBT!$F$64:$DV$64,0)))</f>
        <v>0</v>
      </c>
      <c r="DZ73" s="421" t="n">
        <f>IF(COUNTIF(DEBT!$F$64:$DV$64,DZ$24)=0,0,INDEX(DEBT!$F$82:$DV$82,1,MATCH(DZ$24,DEBT!$F$64:$DV$64,0)))</f>
        <v>0</v>
      </c>
      <c r="EA73" s="421" t="n">
        <f>IF(COUNTIF(DEBT!$F$64:$DV$64,EA$24)=0,0,INDEX(DEBT!$F$82:$DV$82,1,MATCH(EA$24,DEBT!$F$64:$DV$64,0)))</f>
        <v>0</v>
      </c>
      <c r="EB73" s="421" t="n">
        <f>IF(COUNTIF(DEBT!$F$64:$DV$64,EB$24)=0,0,INDEX(DEBT!$F$82:$DV$82,1,MATCH(EB$24,DEBT!$F$64:$DV$64,0)))</f>
        <v>0</v>
      </c>
      <c r="EC73" s="421" t="n">
        <f>IF(COUNTIF(DEBT!$F$64:$DV$64,EC$24)=0,0,INDEX(DEBT!$F$82:$DV$82,1,MATCH(EC$24,DEBT!$F$64:$DV$64,0)))</f>
        <v>0</v>
      </c>
      <c r="ED73" s="421" t="n">
        <f>IF(COUNTIF(DEBT!$F$64:$DV$64,ED$24)=0,0,INDEX(DEBT!$F$82:$DV$82,1,MATCH(ED$24,DEBT!$F$64:$DV$64,0)))</f>
        <v>0</v>
      </c>
      <c r="EE73" s="421" t="n">
        <f>IF(COUNTIF(DEBT!$F$64:$DV$64,EE$24)=0,0,INDEX(DEBT!$F$82:$DV$82,1,MATCH(EE$24,DEBT!$F$64:$DV$64,0)))</f>
        <v>0</v>
      </c>
      <c r="EF73" s="421" t="n">
        <f>IF(COUNTIF(DEBT!$F$64:$DV$64,EF$24)=0,0,INDEX(DEBT!$F$82:$DV$82,1,MATCH(EF$24,DEBT!$F$64:$DV$64,0)))</f>
        <v>0</v>
      </c>
      <c r="EG73" s="421" t="n">
        <f>IF(COUNTIF(DEBT!$F$64:$DV$64,EG$24)=0,0,INDEX(DEBT!$F$82:$DV$82,1,MATCH(EG$24,DEBT!$F$64:$DV$64,0)))</f>
        <v>0</v>
      </c>
      <c r="EH73" s="421" t="n">
        <f>IF(COUNTIF(DEBT!$F$64:$DV$64,EH$24)=0,0,INDEX(DEBT!$F$82:$DV$82,1,MATCH(EH$24,DEBT!$F$64:$DV$64,0)))</f>
        <v>0</v>
      </c>
      <c r="EI73" s="421" t="n">
        <f>IF(COUNTIF(DEBT!$F$64:$DV$64,EI$24)=0,0,INDEX(DEBT!$F$82:$DV$82,1,MATCH(EI$24,DEBT!$F$64:$DV$64,0)))</f>
        <v>0</v>
      </c>
      <c r="EJ73" s="421" t="n">
        <f>IF(COUNTIF(DEBT!$F$64:$DV$64,EJ$24)=0,0,INDEX(DEBT!$F$82:$DV$82,1,MATCH(EJ$24,DEBT!$F$64:$DV$64,0)))</f>
        <v>0</v>
      </c>
      <c r="EK73" s="421" t="n">
        <f>IF(COUNTIF(DEBT!$F$64:$DV$64,EK$24)=0,0,INDEX(DEBT!$F$82:$DV$82,1,MATCH(EK$24,DEBT!$F$64:$DV$64,0)))</f>
        <v>0</v>
      </c>
      <c r="EL73" s="421" t="n">
        <f>IF(COUNTIF(DEBT!$F$64:$DV$64,EL$24)=0,0,INDEX(DEBT!$F$82:$DV$82,1,MATCH(EL$24,DEBT!$F$64:$DV$64,0)))</f>
        <v>0</v>
      </c>
      <c r="EM73" s="421" t="n">
        <f>IF(COUNTIF(DEBT!$F$64:$DV$64,EM$24)=0,0,INDEX(DEBT!$F$82:$DV$82,1,MATCH(EM$24,DEBT!$F$64:$DV$64,0)))</f>
        <v>0</v>
      </c>
      <c r="EN73" s="421" t="n">
        <f>IF(COUNTIF(DEBT!$F$64:$DV$64,EN$24)=0,0,INDEX(DEBT!$F$82:$DV$82,1,MATCH(EN$24,DEBT!$F$64:$DV$64,0)))</f>
        <v>0</v>
      </c>
      <c r="EP73" s="220" t="s">
        <v>158</v>
      </c>
      <c r="EQ73" s="18"/>
      <c r="ER73" s="18"/>
      <c r="ES73" s="18" t="str">
        <f>IF(MAX(EV73:JX73)=SUM(EV57:JX57),"OK","ERROR")</f>
        <v>OK</v>
      </c>
      <c r="ET73" s="18" t="s">
        <v>192</v>
      </c>
      <c r="EU73" s="20">
        <v>0</v>
      </c>
      <c r="EV73" s="20" t="n">
        <f t="shared" ref="EV73:GA73" si="533">(EV$55&lt;=Timing_Analysis_End_Month)*(EU73+EV57)</f>
        <v>0</v>
      </c>
      <c r="EW73" s="20">
        <f t="shared" si="533"/>
        <v>0</v>
      </c>
      <c r="EX73" s="20">
        <f t="shared" si="533"/>
        <v>0</v>
      </c>
      <c r="EY73" s="20">
        <f t="shared" si="533"/>
        <v>0</v>
      </c>
      <c r="EZ73" s="20">
        <f t="shared" si="533"/>
        <v>0</v>
      </c>
      <c r="FA73" s="20">
        <f t="shared" si="533"/>
        <v>0</v>
      </c>
      <c r="FB73" s="20">
        <f t="shared" si="533"/>
        <v>0</v>
      </c>
      <c r="FC73" s="20">
        <f t="shared" si="533"/>
        <v>0</v>
      </c>
      <c r="FD73" s="20">
        <f t="shared" si="533"/>
        <v>0</v>
      </c>
      <c r="FE73" s="20">
        <f t="shared" si="533"/>
        <v>0</v>
      </c>
      <c r="FF73" s="20">
        <f t="shared" si="533"/>
        <v>0</v>
      </c>
      <c r="FG73" s="20">
        <f t="shared" si="533"/>
        <v>0</v>
      </c>
      <c r="FH73" s="20">
        <f t="shared" si="533"/>
        <v>0</v>
      </c>
      <c r="FI73" s="20">
        <f t="shared" si="533"/>
        <v>0</v>
      </c>
      <c r="FJ73" s="20">
        <f t="shared" si="533"/>
        <v>0</v>
      </c>
      <c r="FK73" s="20">
        <f t="shared" si="533"/>
        <v>0</v>
      </c>
      <c r="FL73" s="20">
        <f t="shared" si="533"/>
        <v>9480107.1724115983</v>
      </c>
      <c r="FM73" s="20">
        <f t="shared" si="533"/>
        <v>30777583.389595654</v>
      </c>
      <c r="FN73" s="20">
        <f t="shared" si="533"/>
        <v>52364255.671115994</v>
      </c>
      <c r="FO73" s="20">
        <f t="shared" si="533"/>
        <v>73661731.888300061</v>
      </c>
      <c r="FP73" s="20">
        <f t="shared" si="533"/>
        <v>94114039.956371337</v>
      </c>
      <c r="FQ73" s="20">
        <f t="shared" si="533"/>
        <v>113229596.01438445</v>
      </c>
      <c r="FR73" s="20">
        <f t="shared" si="533"/>
        <v>130615067.49644293</v>
      </c>
      <c r="FS73" s="20">
        <f t="shared" si="533"/>
        <v>145997314.00916791</v>
      </c>
      <c r="FT73" s="20">
        <f t="shared" si="533"/>
        <v>159231595.14716324</v>
      </c>
      <c r="FU73" s="20">
        <f t="shared" si="533"/>
        <v>170296400.75265303</v>
      </c>
      <c r="FV73" s="20">
        <f t="shared" si="533"/>
        <v>179277152.71598473</v>
      </c>
      <c r="FW73" s="20">
        <f t="shared" si="533"/>
        <v>186342316.36756858</v>
      </c>
      <c r="FX73" s="20">
        <f t="shared" si="533"/>
        <v>191715980.62511414</v>
      </c>
      <c r="FY73" s="20">
        <f t="shared" si="533"/>
        <v>195650740.73759392</v>
      </c>
      <c r="FZ73" s="20">
        <f t="shared" si="533"/>
        <v>198403918.40762332</v>
      </c>
      <c r="GA73" s="20">
        <f t="shared" si="533"/>
        <v>200219039.3792727</v>
      </c>
      <c r="GB73" s="20" t="n">
        <f t="shared" ref="GB73:HG73" si="534">(GB$55&lt;=Timing_Analysis_End_Month)*(GA73+GB57)</f>
        <v>201313326.86371538</v>
      </c>
      <c r="GC73" s="20">
        <f t="shared" si="534"/>
        <v>201870977.51786527</v>
      </c>
      <c r="GD73" s="20">
        <f t="shared" si="534"/>
        <v>202041295.09121743</v>
      </c>
      <c r="GE73" s="20">
        <f t="shared" si="534"/>
        <v>202041295.09121743</v>
      </c>
      <c r="GF73" s="20">
        <f t="shared" si="534"/>
        <v>202041295.09121743</v>
      </c>
      <c r="GG73" s="20">
        <f t="shared" si="534"/>
        <v>202041295.09121743</v>
      </c>
      <c r="GH73" s="20">
        <f t="shared" si="534"/>
        <v>202041295.09121743</v>
      </c>
      <c r="GI73" s="20">
        <f t="shared" si="534"/>
        <v>202041295.09121743</v>
      </c>
      <c r="GJ73" s="20">
        <f t="shared" si="534"/>
        <v>202041295.09121743</v>
      </c>
      <c r="GK73" s="20">
        <f t="shared" si="534"/>
        <v>202041295.09121743</v>
      </c>
      <c r="GL73" s="20">
        <f t="shared" si="534"/>
        <v>202041295.09121743</v>
      </c>
      <c r="GM73" s="20">
        <f t="shared" si="534"/>
        <v>202041295.09121743</v>
      </c>
      <c r="GN73" s="20">
        <f t="shared" si="534"/>
        <v>202041295.09121743</v>
      </c>
      <c r="GO73" s="20">
        <f t="shared" si="534"/>
        <v>202041295.09121743</v>
      </c>
      <c r="GP73" s="20">
        <f t="shared" si="534"/>
        <v>202041295.09121743</v>
      </c>
      <c r="GQ73" s="20">
        <f t="shared" si="534"/>
        <v>202041295.09121743</v>
      </c>
      <c r="GR73" s="20">
        <f t="shared" si="534"/>
        <v>202041295.09121743</v>
      </c>
      <c r="GS73" s="20">
        <f t="shared" si="534"/>
        <v>202041295.09121743</v>
      </c>
      <c r="GT73" s="20">
        <f t="shared" si="534"/>
        <v>202041295.09121743</v>
      </c>
      <c r="GU73" s="20">
        <f t="shared" si="534"/>
        <v>202041295.09121743</v>
      </c>
      <c r="GV73" s="20">
        <f t="shared" si="534"/>
        <v>202041295.09121743</v>
      </c>
      <c r="GW73" s="20">
        <f t="shared" si="534"/>
        <v>202041295.09121743</v>
      </c>
      <c r="GX73" s="20">
        <f t="shared" si="534"/>
        <v>202041295.09121743</v>
      </c>
      <c r="GY73" s="20">
        <f t="shared" si="534"/>
        <v>202041295.09121743</v>
      </c>
      <c r="GZ73" s="20">
        <f t="shared" si="534"/>
        <v>202041295.09121743</v>
      </c>
      <c r="HA73" s="20">
        <f t="shared" si="534"/>
        <v>202041295.09121743</v>
      </c>
      <c r="HB73" s="20">
        <f t="shared" si="534"/>
        <v>202041295.09121743</v>
      </c>
      <c r="HC73" s="20">
        <f t="shared" si="534"/>
        <v>202041295.09121743</v>
      </c>
      <c r="HD73" s="20">
        <f t="shared" si="534"/>
        <v>202041295.09121743</v>
      </c>
      <c r="HE73" s="20">
        <f t="shared" si="534"/>
        <v>202041295.09121743</v>
      </c>
      <c r="HF73" s="20">
        <f t="shared" si="534"/>
        <v>0</v>
      </c>
      <c r="HG73" s="20">
        <f t="shared" si="534"/>
        <v>0</v>
      </c>
      <c r="HH73" s="20" t="n">
        <f t="shared" ref="HH73:IM73" si="535">(HH$55&lt;=Timing_Analysis_End_Month)*(HG73+HH57)</f>
        <v>0</v>
      </c>
      <c r="HI73" s="20">
        <f t="shared" si="535"/>
        <v>0</v>
      </c>
      <c r="HJ73" s="20">
        <f t="shared" si="535"/>
        <v>0</v>
      </c>
      <c r="HK73" s="20">
        <f t="shared" si="535"/>
        <v>0</v>
      </c>
      <c r="HL73" s="20">
        <f t="shared" si="535"/>
        <v>0</v>
      </c>
      <c r="HM73" s="20">
        <f t="shared" si="535"/>
        <v>0</v>
      </c>
      <c r="HN73" s="20">
        <f t="shared" si="535"/>
        <v>0</v>
      </c>
      <c r="HO73" s="20">
        <f t="shared" si="535"/>
        <v>0</v>
      </c>
      <c r="HP73" s="20">
        <f t="shared" si="535"/>
        <v>0</v>
      </c>
      <c r="HQ73" s="20">
        <f t="shared" si="535"/>
        <v>0</v>
      </c>
      <c r="HR73" s="20">
        <f t="shared" si="535"/>
        <v>0</v>
      </c>
      <c r="HS73" s="20">
        <f t="shared" si="535"/>
        <v>0</v>
      </c>
      <c r="HT73" s="20">
        <f t="shared" si="535"/>
        <v>0</v>
      </c>
      <c r="HU73" s="20">
        <f t="shared" si="535"/>
        <v>0</v>
      </c>
      <c r="HV73" s="20">
        <f t="shared" si="535"/>
        <v>0</v>
      </c>
      <c r="HW73" s="20">
        <f t="shared" si="535"/>
        <v>0</v>
      </c>
      <c r="HX73" s="20">
        <f t="shared" si="535"/>
        <v>0</v>
      </c>
      <c r="HY73" s="20">
        <f t="shared" si="535"/>
        <v>0</v>
      </c>
      <c r="HZ73" s="20">
        <f t="shared" si="535"/>
        <v>0</v>
      </c>
      <c r="IA73" s="20">
        <f t="shared" si="535"/>
        <v>0</v>
      </c>
      <c r="IB73" s="20">
        <f t="shared" si="535"/>
        <v>0</v>
      </c>
      <c r="IC73" s="20">
        <f t="shared" si="535"/>
        <v>0</v>
      </c>
      <c r="ID73" s="20">
        <f t="shared" si="535"/>
        <v>0</v>
      </c>
      <c r="IE73" s="20">
        <f t="shared" si="535"/>
        <v>0</v>
      </c>
      <c r="IF73" s="20">
        <f t="shared" si="535"/>
        <v>0</v>
      </c>
      <c r="IG73" s="20">
        <f t="shared" si="535"/>
        <v>0</v>
      </c>
      <c r="IH73" s="20">
        <f t="shared" si="535"/>
        <v>0</v>
      </c>
      <c r="II73" s="20">
        <f t="shared" si="535"/>
        <v>0</v>
      </c>
      <c r="IJ73" s="20">
        <f t="shared" si="535"/>
        <v>0</v>
      </c>
      <c r="IK73" s="20">
        <f t="shared" si="535"/>
        <v>0</v>
      </c>
      <c r="IL73" s="20">
        <f t="shared" si="535"/>
        <v>0</v>
      </c>
      <c r="IM73" s="20">
        <f t="shared" si="535"/>
        <v>0</v>
      </c>
      <c r="IN73" s="20" t="n">
        <f t="shared" ref="IN73:JX73" si="536">(IN$55&lt;=Timing_Analysis_End_Month)*(IM73+IN57)</f>
        <v>0</v>
      </c>
      <c r="IO73" s="20">
        <f t="shared" si="536"/>
        <v>0</v>
      </c>
      <c r="IP73" s="20">
        <f t="shared" si="536"/>
        <v>0</v>
      </c>
      <c r="IQ73" s="20">
        <f t="shared" si="536"/>
        <v>0</v>
      </c>
      <c r="IR73" s="20">
        <f t="shared" si="536"/>
        <v>0</v>
      </c>
      <c r="IS73" s="20">
        <f t="shared" si="536"/>
        <v>0</v>
      </c>
      <c r="IT73" s="20">
        <f t="shared" si="536"/>
        <v>0</v>
      </c>
      <c r="IU73" s="20">
        <f t="shared" si="536"/>
        <v>0</v>
      </c>
      <c r="IV73" s="20">
        <f t="shared" si="536"/>
        <v>0</v>
      </c>
      <c r="IW73" s="20">
        <f t="shared" si="536"/>
        <v>0</v>
      </c>
      <c r="IX73" s="20">
        <f t="shared" si="536"/>
        <v>0</v>
      </c>
      <c r="IY73" s="20">
        <f t="shared" si="536"/>
        <v>0</v>
      </c>
      <c r="IZ73" s="20">
        <f t="shared" si="536"/>
        <v>0</v>
      </c>
      <c r="JA73" s="20">
        <f t="shared" si="536"/>
        <v>0</v>
      </c>
      <c r="JB73" s="20">
        <f t="shared" si="536"/>
        <v>0</v>
      </c>
      <c r="JC73" s="20">
        <f t="shared" si="536"/>
        <v>0</v>
      </c>
      <c r="JD73" s="20">
        <f t="shared" si="536"/>
        <v>0</v>
      </c>
      <c r="JE73" s="20">
        <f t="shared" si="536"/>
        <v>0</v>
      </c>
      <c r="JF73" s="20">
        <f t="shared" si="536"/>
        <v>0</v>
      </c>
      <c r="JG73" s="20">
        <f t="shared" si="536"/>
        <v>0</v>
      </c>
      <c r="JH73" s="20">
        <f t="shared" si="536"/>
        <v>0</v>
      </c>
      <c r="JI73" s="20">
        <f t="shared" si="536"/>
        <v>0</v>
      </c>
      <c r="JJ73" s="20">
        <f t="shared" si="536"/>
        <v>0</v>
      </c>
      <c r="JK73" s="20">
        <f t="shared" si="536"/>
        <v>0</v>
      </c>
      <c r="JL73" s="20">
        <f t="shared" si="536"/>
        <v>0</v>
      </c>
      <c r="JM73" s="20">
        <f t="shared" si="536"/>
        <v>0</v>
      </c>
      <c r="JN73" s="20">
        <f t="shared" si="536"/>
        <v>0</v>
      </c>
      <c r="JO73" s="20">
        <f t="shared" si="536"/>
        <v>0</v>
      </c>
      <c r="JP73" s="20">
        <f t="shared" si="536"/>
        <v>0</v>
      </c>
      <c r="JQ73" s="20">
        <f t="shared" si="536"/>
        <v>0</v>
      </c>
      <c r="JR73" s="20">
        <f t="shared" si="536"/>
        <v>0</v>
      </c>
      <c r="JS73" s="20">
        <f t="shared" si="536"/>
        <v>0</v>
      </c>
      <c r="JT73" s="20">
        <f t="shared" si="536"/>
        <v>0</v>
      </c>
      <c r="JU73" s="20">
        <f t="shared" si="536"/>
        <v>0</v>
      </c>
      <c r="JV73" s="20">
        <f t="shared" si="536"/>
        <v>0</v>
      </c>
      <c r="JW73" s="20">
        <f t="shared" si="536"/>
        <v>0</v>
      </c>
      <c r="JX73" s="20">
        <f t="shared" si="536"/>
        <v>0</v>
      </c>
      <c r="JZ73" s="263"/>
      <c r="KA73" s="263"/>
      <c r="KB73" s="263"/>
      <c r="KC73" s="263"/>
      <c r="KD73" s="263"/>
      <c r="KE73" s="263"/>
      <c r="KF73" s="263"/>
      <c r="KG73" s="263"/>
      <c r="KH73" s="263"/>
      <c r="KI73" s="263"/>
      <c r="KJ73" s="263"/>
      <c r="KK73" s="263"/>
      <c r="KL73" s="263"/>
      <c r="KM73" s="263"/>
      <c r="KN73" s="263"/>
      <c r="KO73" s="263"/>
      <c r="KP73" s="263"/>
      <c r="KQ73" s="263"/>
      <c r="KR73" s="263"/>
      <c r="KS73" s="263"/>
      <c r="KT73" s="263"/>
      <c r="KU73" s="263"/>
      <c r="KV73" s="263"/>
      <c r="KW73" s="263"/>
      <c r="KX73" s="263"/>
      <c r="KY73" s="263"/>
      <c r="KZ73" s="263"/>
      <c r="LA73" s="263"/>
      <c r="LB73" s="263"/>
      <c r="LC73" s="263"/>
      <c r="LD73" s="263"/>
      <c r="LE73" s="263"/>
      <c r="LF73" s="263"/>
      <c r="LG73" s="263"/>
      <c r="LH73" s="263"/>
      <c r="LI73" s="263"/>
      <c r="LJ73" s="263"/>
      <c r="LK73" s="263"/>
      <c r="LL73" s="263"/>
      <c r="LM73" s="263"/>
      <c r="LN73" s="263"/>
      <c r="LO73" s="263"/>
      <c r="LP73" s="263"/>
      <c r="LQ73" s="263"/>
      <c r="LR73" s="263"/>
      <c r="LS73" s="263"/>
      <c r="LT73" s="263"/>
      <c r="LU73" s="263"/>
      <c r="LV73" s="263"/>
      <c r="LW73" s="263"/>
      <c r="LX73" s="263"/>
      <c r="LY73" s="263"/>
      <c r="LZ73" s="263"/>
      <c r="MA73" s="263"/>
      <c r="MB73" s="263"/>
      <c r="MC73" s="263"/>
      <c r="MD73" s="263"/>
      <c r="ME73" s="263"/>
      <c r="MF73" s="263"/>
      <c r="MG73" s="263"/>
      <c r="MH73" s="263"/>
      <c r="MI73" s="263"/>
      <c r="MJ73" s="263"/>
      <c r="MK73" s="263"/>
      <c r="ML73" s="263"/>
      <c r="MM73" s="263"/>
      <c r="MN73" s="263"/>
      <c r="MO73" s="263"/>
      <c r="MP73" s="263"/>
      <c r="MQ73" s="263"/>
      <c r="MR73" s="263"/>
      <c r="MS73" s="263"/>
      <c r="MT73" s="263"/>
      <c r="MU73" s="263"/>
      <c r="MV73" s="263"/>
      <c r="MW73" s="263"/>
      <c r="MX73" s="263"/>
      <c r="MY73" s="263"/>
      <c r="MZ73" s="263"/>
      <c r="NA73" s="263"/>
      <c r="NB73" s="263"/>
      <c r="NC73" s="263"/>
      <c r="ND73" s="263"/>
      <c r="NE73" s="263"/>
      <c r="NF73" s="263"/>
      <c r="NG73" s="263"/>
      <c r="NH73" s="263"/>
      <c r="NI73" s="263"/>
      <c r="NJ73" s="263"/>
      <c r="NK73" s="263"/>
      <c r="NL73" s="263"/>
      <c r="NM73" s="263"/>
      <c r="NN73" s="263"/>
      <c r="NO73" s="263"/>
      <c r="NP73" s="263"/>
      <c r="NQ73" s="263"/>
      <c r="NR73" s="263"/>
      <c r="NS73" s="263"/>
      <c r="NT73" s="263"/>
      <c r="NU73" s="263"/>
      <c r="NV73" s="263"/>
      <c r="NW73" s="263"/>
      <c r="NX73" s="263"/>
      <c r="NY73" s="263"/>
      <c r="NZ73" s="263"/>
      <c r="OA73" s="263"/>
      <c r="OB73" s="263"/>
      <c r="OC73" s="263"/>
      <c r="OD73" s="263"/>
      <c r="OE73" s="263"/>
      <c r="OF73" s="263"/>
      <c r="OG73" s="263"/>
      <c r="OH73" s="263"/>
      <c r="OI73" s="263"/>
      <c r="OJ73" s="263"/>
      <c r="OK73" s="263"/>
      <c r="OL73" s="263"/>
      <c r="OM73" s="263"/>
      <c r="ON73" s="263"/>
      <c r="OO73" s="263"/>
      <c r="OP73" s="263"/>
      <c r="OQ73" s="263"/>
      <c r="OR73" s="263"/>
      <c r="OS73" s="263"/>
      <c r="OT73" s="263"/>
      <c r="OU73" s="263"/>
      <c r="OV73" s="263"/>
      <c r="OW73" s="263"/>
      <c r="OX73" s="263"/>
      <c r="OY73" s="263"/>
      <c r="OZ73" s="263"/>
      <c r="PA73" s="263"/>
      <c r="PB73" s="263"/>
      <c r="PC73" s="263"/>
      <c r="PD73" s="263"/>
      <c r="PE73" s="263"/>
      <c r="PF73" s="263"/>
      <c r="PG73" s="263"/>
      <c r="PH73" s="263"/>
    </row>
    <row r="74">
      <c r="B74" s="448" t="s">
        <v>193</v>
      </c>
      <c r="C74" s="404"/>
      <c r="D74" s="404"/>
      <c r="E74" s="416" t="s">
        <v>194</v>
      </c>
      <c r="F74" s="55" t="n">
        <f>I74/Project_Cost_Total</f>
        <v>0</v>
      </c>
      <c r="G74" s="136"/>
      <c r="H74" s="432" t="n">
        <f>I74/Units_SF_M2</f>
        <v>0</v>
      </c>
      <c r="I74" s="424" t="n">
        <f>SUM(L74:EN74)</f>
        <v>0</v>
      </c>
      <c r="L74" s="426">
        <v>0</v>
      </c>
      <c r="M74" s="426">
        <v>0</v>
      </c>
      <c r="N74" s="426">
        <v>0</v>
      </c>
      <c r="O74" s="426">
        <v>0</v>
      </c>
      <c r="P74" s="426">
        <v>0</v>
      </c>
      <c r="Q74" s="426">
        <v>0</v>
      </c>
      <c r="R74" s="426">
        <v>0</v>
      </c>
      <c r="S74" s="426">
        <v>0</v>
      </c>
      <c r="T74" s="426">
        <v>0</v>
      </c>
      <c r="U74" s="426">
        <v>0</v>
      </c>
      <c r="V74" s="426">
        <v>0</v>
      </c>
      <c r="W74" s="426">
        <v>0</v>
      </c>
      <c r="X74" s="426">
        <v>0</v>
      </c>
      <c r="Y74" s="426">
        <v>0</v>
      </c>
      <c r="Z74" s="426">
        <v>0</v>
      </c>
      <c r="AA74" s="426">
        <v>0</v>
      </c>
      <c r="AB74" s="426">
        <v>0</v>
      </c>
      <c r="AC74" s="426">
        <v>0</v>
      </c>
      <c r="AD74" s="426">
        <v>0</v>
      </c>
      <c r="AE74" s="426">
        <v>0</v>
      </c>
      <c r="AF74" s="426">
        <v>0</v>
      </c>
      <c r="AG74" s="426">
        <v>0</v>
      </c>
      <c r="AH74" s="426">
        <v>0</v>
      </c>
      <c r="AI74" s="426">
        <v>0</v>
      </c>
      <c r="AJ74" s="426">
        <v>0</v>
      </c>
      <c r="AK74" s="426">
        <v>0</v>
      </c>
      <c r="AL74" s="426">
        <v>0</v>
      </c>
      <c r="AM74" s="426">
        <v>0</v>
      </c>
      <c r="AN74" s="426">
        <v>0</v>
      </c>
      <c r="AO74" s="426">
        <v>0</v>
      </c>
      <c r="AP74" s="426">
        <v>0</v>
      </c>
      <c r="AQ74" s="426">
        <v>0</v>
      </c>
      <c r="AR74" s="426">
        <v>0</v>
      </c>
      <c r="AS74" s="426">
        <v>0</v>
      </c>
      <c r="AT74" s="426">
        <v>0</v>
      </c>
      <c r="AU74" s="426">
        <v>0</v>
      </c>
      <c r="AV74" s="426">
        <v>0</v>
      </c>
      <c r="AW74" s="426">
        <v>0</v>
      </c>
      <c r="AX74" s="426">
        <v>0</v>
      </c>
      <c r="AY74" s="426">
        <v>0</v>
      </c>
      <c r="AZ74" s="426">
        <v>0</v>
      </c>
      <c r="BA74" s="426">
        <v>0</v>
      </c>
      <c r="BB74" s="426">
        <v>0</v>
      </c>
      <c r="BC74" s="426">
        <v>0</v>
      </c>
      <c r="BD74" s="426">
        <v>0</v>
      </c>
      <c r="BE74" s="426">
        <v>0</v>
      </c>
      <c r="BF74" s="426">
        <v>0</v>
      </c>
      <c r="BG74" s="426">
        <v>0</v>
      </c>
      <c r="BH74" s="426">
        <v>0</v>
      </c>
      <c r="BI74" s="426">
        <v>0</v>
      </c>
      <c r="BJ74" s="426">
        <v>0</v>
      </c>
      <c r="BK74" s="426">
        <v>0</v>
      </c>
      <c r="BL74" s="426">
        <v>0</v>
      </c>
      <c r="BM74" s="426">
        <v>0</v>
      </c>
      <c r="BN74" s="426">
        <v>0</v>
      </c>
      <c r="BO74" s="426">
        <v>0</v>
      </c>
      <c r="BP74" s="426">
        <v>0</v>
      </c>
      <c r="BQ74" s="426">
        <v>0</v>
      </c>
      <c r="BR74" s="426">
        <v>0</v>
      </c>
      <c r="BS74" s="426">
        <v>0</v>
      </c>
      <c r="BT74" s="426">
        <v>0</v>
      </c>
      <c r="BU74" s="426">
        <v>0</v>
      </c>
      <c r="BV74" s="426">
        <v>0</v>
      </c>
      <c r="BW74" s="426">
        <v>0</v>
      </c>
      <c r="BX74" s="426">
        <v>0</v>
      </c>
      <c r="BY74" s="426">
        <v>0</v>
      </c>
      <c r="BZ74" s="426">
        <v>0</v>
      </c>
      <c r="CA74" s="426">
        <v>0</v>
      </c>
      <c r="CB74" s="426">
        <v>0</v>
      </c>
      <c r="CC74" s="426">
        <v>0</v>
      </c>
      <c r="CD74" s="426">
        <v>0</v>
      </c>
      <c r="CE74" s="426">
        <v>0</v>
      </c>
      <c r="CF74" s="426">
        <v>0</v>
      </c>
      <c r="CG74" s="426">
        <v>0</v>
      </c>
      <c r="CH74" s="426">
        <v>0</v>
      </c>
      <c r="CI74" s="426">
        <v>0</v>
      </c>
      <c r="CJ74" s="426">
        <v>0</v>
      </c>
      <c r="CK74" s="426">
        <v>0</v>
      </c>
      <c r="CL74" s="426">
        <v>0</v>
      </c>
      <c r="CM74" s="426">
        <v>0</v>
      </c>
      <c r="CN74" s="426">
        <v>0</v>
      </c>
      <c r="CO74" s="426">
        <v>0</v>
      </c>
      <c r="CP74" s="426">
        <v>0</v>
      </c>
      <c r="CQ74" s="426">
        <v>0</v>
      </c>
      <c r="CR74" s="426">
        <v>0</v>
      </c>
      <c r="CS74" s="426">
        <v>0</v>
      </c>
      <c r="CT74" s="426">
        <v>0</v>
      </c>
      <c r="CU74" s="426">
        <v>0</v>
      </c>
      <c r="CV74" s="426">
        <v>0</v>
      </c>
      <c r="CW74" s="426">
        <v>0</v>
      </c>
      <c r="CX74" s="426">
        <v>0</v>
      </c>
      <c r="CY74" s="426">
        <v>0</v>
      </c>
      <c r="CZ74" s="426">
        <v>0</v>
      </c>
      <c r="DA74" s="426">
        <v>0</v>
      </c>
      <c r="DB74" s="426">
        <v>0</v>
      </c>
      <c r="DC74" s="426">
        <v>0</v>
      </c>
      <c r="DD74" s="426">
        <v>0</v>
      </c>
      <c r="DE74" s="426">
        <v>0</v>
      </c>
      <c r="DF74" s="426">
        <v>0</v>
      </c>
      <c r="DG74" s="426">
        <v>0</v>
      </c>
      <c r="DH74" s="426">
        <v>0</v>
      </c>
      <c r="DI74" s="426">
        <v>0</v>
      </c>
      <c r="DJ74" s="426">
        <v>0</v>
      </c>
      <c r="DK74" s="426">
        <v>0</v>
      </c>
      <c r="DL74" s="426">
        <v>0</v>
      </c>
      <c r="DM74" s="426">
        <v>0</v>
      </c>
      <c r="DN74" s="426">
        <v>0</v>
      </c>
      <c r="DO74" s="426">
        <v>0</v>
      </c>
      <c r="DP74" s="426">
        <v>0</v>
      </c>
      <c r="DQ74" s="426">
        <v>0</v>
      </c>
      <c r="DR74" s="426">
        <v>0</v>
      </c>
      <c r="DS74" s="426">
        <v>0</v>
      </c>
      <c r="DT74" s="426">
        <v>0</v>
      </c>
      <c r="DU74" s="426">
        <v>0</v>
      </c>
      <c r="DV74" s="426">
        <v>0</v>
      </c>
      <c r="DW74" s="426">
        <v>0</v>
      </c>
      <c r="DX74" s="426">
        <v>0</v>
      </c>
      <c r="DY74" s="426">
        <v>0</v>
      </c>
      <c r="DZ74" s="426">
        <v>0</v>
      </c>
      <c r="EA74" s="426">
        <v>0</v>
      </c>
      <c r="EB74" s="426">
        <v>0</v>
      </c>
      <c r="EC74" s="426">
        <v>0</v>
      </c>
      <c r="ED74" s="426">
        <v>0</v>
      </c>
      <c r="EE74" s="426">
        <v>0</v>
      </c>
      <c r="EF74" s="426">
        <v>0</v>
      </c>
      <c r="EG74" s="426">
        <v>0</v>
      </c>
      <c r="EH74" s="426">
        <v>0</v>
      </c>
      <c r="EI74" s="426">
        <v>0</v>
      </c>
      <c r="EJ74" s="426">
        <v>0</v>
      </c>
      <c r="EK74" s="426">
        <v>0</v>
      </c>
      <c r="EL74" s="426">
        <v>0</v>
      </c>
      <c r="EM74" s="426">
        <v>0</v>
      </c>
      <c r="EN74" s="426">
        <v>0</v>
      </c>
      <c r="EP74" s="220" t="s">
        <v>188</v>
      </c>
      <c r="EQ74" s="18"/>
      <c r="ER74" s="18"/>
      <c r="ES74" s="18" t="str">
        <f>IF(MAX(EV74:JX74)=SUM(EV58:JX58),"OK","ERROR")</f>
        <v>OK</v>
      </c>
      <c r="ET74" s="18" t="s">
        <v>192</v>
      </c>
      <c r="EU74" s="20">
        <v>0</v>
      </c>
      <c r="EV74" s="20" t="n">
        <f t="shared" ref="EV74:GA74" si="537">+EU74+EV58</f>
        <v>0</v>
      </c>
      <c r="EW74" s="20">
        <f t="shared" si="537"/>
        <v>0</v>
      </c>
      <c r="EX74" s="20">
        <f t="shared" si="537"/>
        <v>0</v>
      </c>
      <c r="EY74" s="20">
        <f t="shared" si="537"/>
        <v>0</v>
      </c>
      <c r="EZ74" s="20">
        <f t="shared" si="537"/>
        <v>0</v>
      </c>
      <c r="FA74" s="20">
        <f t="shared" si="537"/>
        <v>0</v>
      </c>
      <c r="FB74" s="20">
        <f t="shared" si="537"/>
        <v>857.54167226929167</v>
      </c>
      <c r="FC74" s="20">
        <f t="shared" si="537"/>
        <v>1721.5149070806028</v>
      </c>
      <c r="FD74" s="20">
        <f t="shared" si="537"/>
        <v>2591.9679411529992</v>
      </c>
      <c r="FE74" s="20">
        <f t="shared" si="537"/>
        <v>3468.9493729809383</v>
      </c>
      <c r="FF74" s="20">
        <f t="shared" si="537"/>
        <v>4352.5081655475869</v>
      </c>
      <c r="FG74" s="20">
        <f t="shared" si="537"/>
        <v>5242.6936490584858</v>
      </c>
      <c r="FH74" s="20">
        <f t="shared" si="537"/>
        <v>6139.5555236957161</v>
      </c>
      <c r="FI74" s="20">
        <f t="shared" si="537"/>
        <v>7043.1438623927261</v>
      </c>
      <c r="FJ74" s="20">
        <f t="shared" si="537"/>
        <v>7953.5091136299634</v>
      </c>
      <c r="FK74" s="20">
        <f t="shared" si="537"/>
        <v>8870.7021042514789</v>
      </c>
      <c r="FL74" s="20">
        <f t="shared" si="537"/>
        <v>9794.7740423026571</v>
      </c>
      <c r="FM74" s="20">
        <f t="shared" si="537"/>
        <v>81826.580312976221</v>
      </c>
      <c r="FN74" s="20">
        <f t="shared" si="537"/>
        <v>314129.6967595602</v>
      </c>
      <c r="FO74" s="20">
        <f t="shared" si="537"/>
        <v>710075.12869089609</v>
      </c>
      <c r="FP74" s="20">
        <f t="shared" si="537"/>
        <v>1268721.2229905976</v>
      </c>
      <c r="FQ74" s="20">
        <f t="shared" si="537"/>
        <v>1984949.4735080814</v>
      </c>
      <c r="FR74" s="20">
        <f t="shared" si="537"/>
        <v>2849916.106339545</v>
      </c>
      <c r="FS74" s="20">
        <f t="shared" si="537"/>
        <v>3851761.0250326828</v>
      </c>
      <c r="FT74" s="20">
        <f t="shared" si="537"/>
        <v>4976486.6294614561</v>
      </c>
      <c r="FU74" s="20">
        <f t="shared" si="537"/>
        <v>6208904.78445841</v>
      </c>
      <c r="FV74" s="20">
        <f t="shared" si="537"/>
        <v>7533552.1176590146</v>
      </c>
      <c r="FW74" s="20">
        <f t="shared" si="537"/>
        <v>8935489.9455836117</v>
      </c>
      <c r="FX74" s="20">
        <f t="shared" si="537"/>
        <v>10400931.034604523</v>
      </c>
      <c r="FY74" s="20">
        <f t="shared" si="537"/>
        <v>11917665.413724683</v>
      </c>
      <c r="FZ74" s="20">
        <f t="shared" si="537"/>
        <v>13475286.001531841</v>
      </c>
      <c r="GA74" s="20">
        <f t="shared" si="537"/>
        <v>15065237.576272774</v>
      </c>
      <c r="GB74" s="20" t="n">
        <f t="shared" ref="GB74:HG74" si="538">+GA74+GB58</f>
        <v>16680727.195111634</v>
      </c>
      <c r="GC74" s="20">
        <f t="shared" si="538"/>
        <v>18316540.142225105</v>
      </c>
      <c r="GD74" s="20">
        <f t="shared" si="538"/>
        <v>19968804.066348054</v>
      </c>
      <c r="GE74" s="20">
        <f t="shared" si="538"/>
        <v>21634737.351702064</v>
      </c>
      <c r="GF74" s="20">
        <f t="shared" si="538"/>
        <v>23313165.136696231</v>
      </c>
      <c r="GG74" s="20">
        <f t="shared" si="538"/>
        <v>25004181.130077854</v>
      </c>
      <c r="GH74" s="20">
        <f t="shared" si="538"/>
        <v>26707879.743409839</v>
      </c>
      <c r="GI74" s="20">
        <f t="shared" si="538"/>
        <v>28424356.096341811</v>
      </c>
      <c r="GJ74" s="20">
        <f t="shared" si="538"/>
        <v>30153706.021920774</v>
      </c>
      <c r="GK74" s="20">
        <f t="shared" si="538"/>
        <v>31896026.071941581</v>
      </c>
      <c r="GL74" s="20">
        <f t="shared" si="538"/>
        <v>33651413.522337541</v>
      </c>
      <c r="GM74" s="20">
        <f t="shared" si="538"/>
        <v>35419966.378611475</v>
      </c>
      <c r="GN74" s="20">
        <f t="shared" si="538"/>
        <v>37201783.38130746</v>
      </c>
      <c r="GO74" s="20">
        <f t="shared" si="538"/>
        <v>38996964.011523664</v>
      </c>
      <c r="GP74" s="20">
        <f t="shared" si="538"/>
        <v>40805608.496466488</v>
      </c>
      <c r="GQ74" s="20">
        <f t="shared" si="538"/>
        <v>42627817.815046385</v>
      </c>
      <c r="GR74" s="20">
        <f t="shared" si="538"/>
        <v>44463693.703515634</v>
      </c>
      <c r="GS74" s="20">
        <f t="shared" si="538"/>
        <v>46313338.661148399</v>
      </c>
      <c r="GT74" s="20">
        <f t="shared" si="538"/>
        <v>48176855.95596341</v>
      </c>
      <c r="GU74" s="20">
        <f t="shared" si="538"/>
        <v>50054349.630489536</v>
      </c>
      <c r="GV74" s="20">
        <f t="shared" si="538"/>
        <v>51945924.50757461</v>
      </c>
      <c r="GW74" s="20">
        <f t="shared" si="538"/>
        <v>53851686.196237817</v>
      </c>
      <c r="GX74" s="20">
        <f t="shared" si="538"/>
        <v>55771741.097566001</v>
      </c>
      <c r="GY74" s="20">
        <f t="shared" si="538"/>
        <v>57706196.410654142</v>
      </c>
      <c r="GZ74" s="20">
        <f t="shared" si="538"/>
        <v>59655160.138590448</v>
      </c>
      <c r="HA74" s="20">
        <f t="shared" si="538"/>
        <v>61618741.094486274</v>
      </c>
      <c r="HB74" s="20">
        <f t="shared" si="538"/>
        <v>63597048.907551318</v>
      </c>
      <c r="HC74" s="20">
        <f t="shared" si="538"/>
        <v>65590194.029214352</v>
      </c>
      <c r="HD74" s="20">
        <f t="shared" si="538"/>
        <v>67598287.739289865</v>
      </c>
      <c r="HE74" s="20">
        <f t="shared" si="538"/>
        <v>69621442.152190939</v>
      </c>
      <c r="HF74" s="20">
        <f t="shared" si="538"/>
        <v>69621442.152190939</v>
      </c>
      <c r="HG74" s="20">
        <f t="shared" si="538"/>
        <v>69621442.152190939</v>
      </c>
      <c r="HH74" s="20" t="n">
        <f t="shared" ref="HH74:IM74" si="539">+HG74+HH58</f>
        <v>69621442.15219094</v>
      </c>
      <c r="HI74" s="20">
        <f t="shared" si="539"/>
        <v>69621442.152190939</v>
      </c>
      <c r="HJ74" s="20">
        <f t="shared" si="539"/>
        <v>69621442.152190939</v>
      </c>
      <c r="HK74" s="20">
        <f t="shared" si="539"/>
        <v>69621442.152190939</v>
      </c>
      <c r="HL74" s="20">
        <f t="shared" si="539"/>
        <v>69621442.152190939</v>
      </c>
      <c r="HM74" s="20">
        <f t="shared" si="539"/>
        <v>69621442.152190939</v>
      </c>
      <c r="HN74" s="20">
        <f t="shared" si="539"/>
        <v>69621442.152190939</v>
      </c>
      <c r="HO74" s="20">
        <f t="shared" si="539"/>
        <v>69621442.152190939</v>
      </c>
      <c r="HP74" s="20">
        <f t="shared" si="539"/>
        <v>69621442.152190939</v>
      </c>
      <c r="HQ74" s="20">
        <f t="shared" si="539"/>
        <v>69621442.152190939</v>
      </c>
      <c r="HR74" s="20">
        <f t="shared" si="539"/>
        <v>69621442.152190939</v>
      </c>
      <c r="HS74" s="20">
        <f t="shared" si="539"/>
        <v>69621442.152190939</v>
      </c>
      <c r="HT74" s="20">
        <f t="shared" si="539"/>
        <v>69621442.152190939</v>
      </c>
      <c r="HU74" s="20">
        <f t="shared" si="539"/>
        <v>69621442.152190939</v>
      </c>
      <c r="HV74" s="20">
        <f t="shared" si="539"/>
        <v>69621442.152190939</v>
      </c>
      <c r="HW74" s="20">
        <f t="shared" si="539"/>
        <v>69621442.152190939</v>
      </c>
      <c r="HX74" s="20">
        <f t="shared" si="539"/>
        <v>69621442.152190939</v>
      </c>
      <c r="HY74" s="20">
        <f t="shared" si="539"/>
        <v>69621442.152190939</v>
      </c>
      <c r="HZ74" s="20">
        <f t="shared" si="539"/>
        <v>69621442.152190939</v>
      </c>
      <c r="IA74" s="20">
        <f t="shared" si="539"/>
        <v>69621442.152190939</v>
      </c>
      <c r="IB74" s="20">
        <f t="shared" si="539"/>
        <v>69621442.152190939</v>
      </c>
      <c r="IC74" s="20">
        <f t="shared" si="539"/>
        <v>69621442.152190939</v>
      </c>
      <c r="ID74" s="20">
        <f t="shared" si="539"/>
        <v>69621442.152190939</v>
      </c>
      <c r="IE74" s="20">
        <f t="shared" si="539"/>
        <v>69621442.152190939</v>
      </c>
      <c r="IF74" s="20">
        <f t="shared" si="539"/>
        <v>69621442.152190939</v>
      </c>
      <c r="IG74" s="20">
        <f t="shared" si="539"/>
        <v>69621442.152190939</v>
      </c>
      <c r="IH74" s="20">
        <f t="shared" si="539"/>
        <v>69621442.152190939</v>
      </c>
      <c r="II74" s="20">
        <f t="shared" si="539"/>
        <v>69621442.152190939</v>
      </c>
      <c r="IJ74" s="20">
        <f t="shared" si="539"/>
        <v>69621442.152190939</v>
      </c>
      <c r="IK74" s="20">
        <f t="shared" si="539"/>
        <v>69621442.152190939</v>
      </c>
      <c r="IL74" s="20">
        <f t="shared" si="539"/>
        <v>69621442.152190939</v>
      </c>
      <c r="IM74" s="20">
        <f t="shared" si="539"/>
        <v>69621442.152190939</v>
      </c>
      <c r="IN74" s="20" t="n">
        <f t="shared" ref="IN74:JX74" si="540">+IM74+IN58</f>
        <v>69621442.15219094</v>
      </c>
      <c r="IO74" s="20">
        <f t="shared" si="540"/>
        <v>69621442.152190939</v>
      </c>
      <c r="IP74" s="20">
        <f t="shared" si="540"/>
        <v>69621442.152190939</v>
      </c>
      <c r="IQ74" s="20">
        <f t="shared" si="540"/>
        <v>69621442.152190939</v>
      </c>
      <c r="IR74" s="20">
        <f t="shared" si="540"/>
        <v>69621442.152190939</v>
      </c>
      <c r="IS74" s="20">
        <f t="shared" si="540"/>
        <v>69621442.152190939</v>
      </c>
      <c r="IT74" s="20">
        <f t="shared" si="540"/>
        <v>69621442.152190939</v>
      </c>
      <c r="IU74" s="20">
        <f t="shared" si="540"/>
        <v>69621442.152190939</v>
      </c>
      <c r="IV74" s="20">
        <f t="shared" si="540"/>
        <v>69621442.152190939</v>
      </c>
      <c r="IW74" s="20">
        <f t="shared" si="540"/>
        <v>69621442.152190939</v>
      </c>
      <c r="IX74" s="20">
        <f t="shared" si="540"/>
        <v>69621442.152190939</v>
      </c>
      <c r="IY74" s="20">
        <f t="shared" si="540"/>
        <v>69621442.152190939</v>
      </c>
      <c r="IZ74" s="20">
        <f t="shared" si="540"/>
        <v>69621442.152190939</v>
      </c>
      <c r="JA74" s="20">
        <f t="shared" si="540"/>
        <v>69621442.152190939</v>
      </c>
      <c r="JB74" s="20">
        <f t="shared" si="540"/>
        <v>69621442.152190939</v>
      </c>
      <c r="JC74" s="20">
        <f t="shared" si="540"/>
        <v>69621442.152190939</v>
      </c>
      <c r="JD74" s="20">
        <f t="shared" si="540"/>
        <v>69621442.152190939</v>
      </c>
      <c r="JE74" s="20">
        <f t="shared" si="540"/>
        <v>69621442.152190939</v>
      </c>
      <c r="JF74" s="20">
        <f t="shared" si="540"/>
        <v>69621442.152190939</v>
      </c>
      <c r="JG74" s="20">
        <f t="shared" si="540"/>
        <v>69621442.152190939</v>
      </c>
      <c r="JH74" s="20">
        <f t="shared" si="540"/>
        <v>69621442.152190939</v>
      </c>
      <c r="JI74" s="20">
        <f t="shared" si="540"/>
        <v>69621442.152190939</v>
      </c>
      <c r="JJ74" s="20">
        <f t="shared" si="540"/>
        <v>69621442.152190939</v>
      </c>
      <c r="JK74" s="20">
        <f t="shared" si="540"/>
        <v>69621442.152190939</v>
      </c>
      <c r="JL74" s="20">
        <f t="shared" si="540"/>
        <v>69621442.152190939</v>
      </c>
      <c r="JM74" s="20">
        <f t="shared" si="540"/>
        <v>69621442.152190939</v>
      </c>
      <c r="JN74" s="20">
        <f t="shared" si="540"/>
        <v>69621442.152190939</v>
      </c>
      <c r="JO74" s="20">
        <f t="shared" si="540"/>
        <v>69621442.152190939</v>
      </c>
      <c r="JP74" s="20">
        <f t="shared" si="540"/>
        <v>69621442.152190939</v>
      </c>
      <c r="JQ74" s="20">
        <f t="shared" si="540"/>
        <v>69621442.152190939</v>
      </c>
      <c r="JR74" s="20">
        <f t="shared" si="540"/>
        <v>69621442.152190939</v>
      </c>
      <c r="JS74" s="20">
        <f t="shared" si="540"/>
        <v>69621442.152190939</v>
      </c>
      <c r="JT74" s="20">
        <f t="shared" si="540"/>
        <v>69621442.152190939</v>
      </c>
      <c r="JU74" s="20">
        <f t="shared" si="540"/>
        <v>69621442.152190939</v>
      </c>
      <c r="JV74" s="20">
        <f t="shared" si="540"/>
        <v>69621442.152190939</v>
      </c>
      <c r="JW74" s="20">
        <f t="shared" si="540"/>
        <v>69621442.152190939</v>
      </c>
      <c r="JX74" s="20">
        <f t="shared" si="540"/>
        <v>69621442.152190939</v>
      </c>
      <c r="JZ74" s="263"/>
      <c r="KA74" s="263"/>
      <c r="KB74" s="263"/>
      <c r="KC74" s="263"/>
      <c r="KD74" s="263"/>
      <c r="KE74" s="263"/>
      <c r="KF74" s="263"/>
      <c r="KG74" s="263"/>
      <c r="KH74" s="263"/>
      <c r="KI74" s="263"/>
      <c r="KJ74" s="263"/>
      <c r="KK74" s="263"/>
      <c r="KL74" s="263"/>
      <c r="KM74" s="263"/>
      <c r="KN74" s="263"/>
      <c r="KO74" s="263"/>
      <c r="KP74" s="263"/>
      <c r="KQ74" s="263"/>
      <c r="KR74" s="263"/>
      <c r="KS74" s="263"/>
      <c r="KT74" s="263"/>
      <c r="KU74" s="263"/>
      <c r="KV74" s="263"/>
      <c r="KW74" s="263"/>
      <c r="KX74" s="263"/>
      <c r="KY74" s="263"/>
      <c r="KZ74" s="263"/>
      <c r="LA74" s="263"/>
      <c r="LB74" s="263"/>
      <c r="LC74" s="263"/>
      <c r="LD74" s="263"/>
      <c r="LE74" s="263"/>
      <c r="LF74" s="263"/>
      <c r="LG74" s="263"/>
      <c r="LH74" s="263"/>
      <c r="LI74" s="263"/>
      <c r="LJ74" s="263"/>
      <c r="LK74" s="263"/>
      <c r="LL74" s="263"/>
      <c r="LM74" s="263"/>
      <c r="LN74" s="263"/>
      <c r="LO74" s="263"/>
      <c r="LP74" s="263"/>
      <c r="LQ74" s="263"/>
      <c r="LR74" s="263"/>
      <c r="LS74" s="263"/>
      <c r="LT74" s="263"/>
      <c r="LU74" s="263"/>
      <c r="LV74" s="263"/>
      <c r="LW74" s="263"/>
      <c r="LX74" s="263"/>
      <c r="LY74" s="263"/>
      <c r="LZ74" s="263"/>
      <c r="MA74" s="263"/>
      <c r="MB74" s="263"/>
      <c r="MC74" s="263"/>
      <c r="MD74" s="263"/>
      <c r="ME74" s="263"/>
      <c r="MF74" s="263"/>
      <c r="MG74" s="263"/>
      <c r="MH74" s="263"/>
      <c r="MI74" s="263"/>
      <c r="MJ74" s="263"/>
      <c r="MK74" s="263"/>
      <c r="ML74" s="263"/>
      <c r="MM74" s="263"/>
      <c r="MN74" s="263"/>
      <c r="MO74" s="263"/>
      <c r="MP74" s="263"/>
      <c r="MQ74" s="263"/>
      <c r="MR74" s="263"/>
      <c r="MS74" s="263"/>
      <c r="MT74" s="263"/>
      <c r="MU74" s="263"/>
      <c r="MV74" s="263"/>
      <c r="MW74" s="263"/>
      <c r="MX74" s="263"/>
      <c r="MY74" s="263"/>
      <c r="MZ74" s="263"/>
      <c r="NA74" s="263"/>
      <c r="NB74" s="263"/>
      <c r="NC74" s="263"/>
      <c r="ND74" s="263"/>
      <c r="NE74" s="263"/>
      <c r="NF74" s="263"/>
      <c r="NG74" s="263"/>
      <c r="NH74" s="263"/>
      <c r="NI74" s="263"/>
      <c r="NJ74" s="263"/>
      <c r="NK74" s="263"/>
      <c r="NL74" s="263"/>
      <c r="NM74" s="263"/>
      <c r="NN74" s="263"/>
      <c r="NO74" s="263"/>
      <c r="NP74" s="263"/>
      <c r="NQ74" s="263"/>
      <c r="NR74" s="263"/>
      <c r="NS74" s="263"/>
      <c r="NT74" s="263"/>
      <c r="NU74" s="263"/>
      <c r="NV74" s="263"/>
      <c r="NW74" s="263"/>
      <c r="NX74" s="263"/>
      <c r="NY74" s="263"/>
      <c r="NZ74" s="263"/>
      <c r="OA74" s="263"/>
      <c r="OB74" s="263"/>
      <c r="OC74" s="263"/>
      <c r="OD74" s="263"/>
      <c r="OE74" s="263"/>
      <c r="OF74" s="263"/>
      <c r="OG74" s="263"/>
      <c r="OH74" s="263"/>
      <c r="OI74" s="263"/>
      <c r="OJ74" s="263"/>
      <c r="OK74" s="263"/>
      <c r="OL74" s="263"/>
      <c r="OM74" s="263"/>
      <c r="ON74" s="263"/>
      <c r="OO74" s="263"/>
      <c r="OP74" s="263"/>
      <c r="OQ74" s="263"/>
      <c r="OR74" s="263"/>
      <c r="OS74" s="263"/>
      <c r="OT74" s="263"/>
      <c r="OU74" s="263"/>
      <c r="OV74" s="263"/>
      <c r="OW74" s="263"/>
      <c r="OX74" s="263"/>
      <c r="OY74" s="263"/>
      <c r="OZ74" s="263"/>
      <c r="PA74" s="263"/>
      <c r="PB74" s="263"/>
      <c r="PC74" s="263"/>
      <c r="PD74" s="263"/>
      <c r="PE74" s="263"/>
      <c r="PF74" s="263"/>
      <c r="PG74" s="263"/>
      <c r="PH74" s="263"/>
    </row>
    <row r="75">
      <c r="B75" s="34" t="s">
        <v>195</v>
      </c>
      <c r="C75" s="404"/>
      <c r="D75" s="404"/>
      <c r="E75" s="47" t="n">
        <f>IF(Perm_Debt?=0,Timing_Reversion_Month,PermDebt_Fund)</f>
        <v>61</v>
      </c>
      <c r="F75" s="53" t="n">
        <f>I75/Project_Cost_Total</f>
        <v>0.5086913049442029</v>
      </c>
      <c r="G75" s="135"/>
      <c r="H75" s="419" t="n">
        <f>SUM(H72:H74)</f>
        <v>2720.1169714099756</v>
      </c>
      <c r="I75" s="449" t="n">
        <f>SUM(I72:I74)</f>
        <v>213018833.90950716</v>
      </c>
      <c r="K75" s="22" t="str">
        <f>IF(AND(ROUND(SUM(L75:EN75),0)=ROUND(Debt_Total,0),ROUND(SUM(L61:EN62),0)=ROUND(SUM(I65:I66),0)),"","ERROR")</f>
        <v>ERROR</v>
      </c>
      <c r="L75" s="421" t="n">
        <f t="shared" ref="L75:AQ75" si="541">SUM(L72:L74)</f>
        <v>0</v>
      </c>
      <c r="M75" s="421">
        <f t="shared" si="541"/>
        <v>313055.55555555556</v>
      </c>
      <c r="N75" s="421">
        <f t="shared" si="541"/>
        <v>313055.55555555556</v>
      </c>
      <c r="O75" s="421">
        <f t="shared" si="541"/>
        <v>313055.55555555556</v>
      </c>
      <c r="P75" s="421">
        <f t="shared" si="541"/>
        <v>313055.55555555556</v>
      </c>
      <c r="Q75" s="421">
        <f t="shared" si="541"/>
        <v>313055.55555555556</v>
      </c>
      <c r="R75" s="421">
        <f t="shared" si="541"/>
        <v>313055.55555555556</v>
      </c>
      <c r="S75" s="421">
        <f t="shared" si="541"/>
        <v>313055.55555555556</v>
      </c>
      <c r="T75" s="421">
        <f t="shared" si="541"/>
        <v>313055.55555555556</v>
      </c>
      <c r="U75" s="421">
        <f t="shared" si="541"/>
        <v>313055.55555555556</v>
      </c>
      <c r="V75" s="421">
        <f t="shared" si="541"/>
        <v>313055.55555555556</v>
      </c>
      <c r="W75" s="421">
        <f t="shared" si="541"/>
        <v>313055.55555555556</v>
      </c>
      <c r="X75" s="421">
        <f t="shared" si="541"/>
        <v>313055.55555555556</v>
      </c>
      <c r="Y75" s="421">
        <f t="shared" si="541"/>
        <v>313055.55555555556</v>
      </c>
      <c r="Z75" s="421">
        <f t="shared" si="541"/>
        <v>313055.55555555556</v>
      </c>
      <c r="AA75" s="421">
        <f t="shared" si="541"/>
        <v>313055.55555555556</v>
      </c>
      <c r="AB75" s="421">
        <f t="shared" si="541"/>
        <v>16462723.177979652</v>
      </c>
      <c r="AC75" s="421">
        <f t="shared" si="541"/>
        <v>21785085.385473285</v>
      </c>
      <c r="AD75" s="421">
        <f t="shared" si="541"/>
        <v>21990476.974151812</v>
      </c>
      <c r="AE75" s="421">
        <f t="shared" si="541"/>
        <v>21610531.77273963</v>
      </c>
      <c r="AF75" s="421">
        <f t="shared" si="541"/>
        <v>20765363.623626839</v>
      </c>
      <c r="AG75" s="421">
        <f t="shared" si="541"/>
        <v>19428611.61356866</v>
      </c>
      <c r="AH75" s="421">
        <f t="shared" si="541"/>
        <v>17698527.037614021</v>
      </c>
      <c r="AI75" s="421">
        <f t="shared" si="541"/>
        <v>15695302.068280539</v>
      </c>
      <c r="AJ75" s="421">
        <f t="shared" si="541"/>
        <v>13547336.693550859</v>
      </c>
      <c r="AK75" s="421">
        <f t="shared" si="541"/>
        <v>11377861.161045346</v>
      </c>
      <c r="AL75" s="421">
        <f t="shared" si="541"/>
        <v>9293807.5188872553</v>
      </c>
      <c r="AM75" s="421">
        <f t="shared" si="541"/>
        <v>7378219.2071393942</v>
      </c>
      <c r="AN75" s="421">
        <f t="shared" si="541"/>
        <v>5058549.9080417454</v>
      </c>
      <c r="AO75" s="421">
        <f t="shared" si="541"/>
        <v>2255947.0727027655</v>
      </c>
      <c r="AP75" s="421">
        <f t="shared" si="541"/>
        <v>1627021.1181430221</v>
      </c>
      <c r="AQ75" s="421">
        <f t="shared" si="541"/>
        <v>1117199.4128260016</v>
      </c>
      <c r="AR75" s="421" t="n">
        <f t="shared" ref="AR75:BW75" si="542">SUM(AR72:AR74)</f>
        <v>313055.55555555556</v>
      </c>
      <c r="AS75" s="421">
        <f t="shared" si="542"/>
        <v>411536.54192188382</v>
      </c>
      <c r="AT75" s="421">
        <f t="shared" si="542"/>
        <v>313055.55555555556</v>
      </c>
      <c r="AU75" s="421">
        <f t="shared" si="542"/>
        <v>148177.12503796816</v>
      </c>
      <c r="AV75" s="421">
        <f t="shared" si="542"/>
        <v>44612.052331984043</v>
      </c>
      <c r="AW75" s="421">
        <f t="shared" si="542"/>
        <v>0</v>
      </c>
      <c r="AX75" s="421">
        <f t="shared" si="542"/>
        <v>0</v>
      </c>
      <c r="AY75" s="421">
        <f t="shared" si="542"/>
        <v>0</v>
      </c>
      <c r="AZ75" s="421">
        <f t="shared" si="542"/>
        <v>0</v>
      </c>
      <c r="BA75" s="421">
        <f t="shared" si="542"/>
        <v>0</v>
      </c>
      <c r="BB75" s="421">
        <f t="shared" si="542"/>
        <v>0</v>
      </c>
      <c r="BC75" s="421">
        <f t="shared" si="542"/>
        <v>0</v>
      </c>
      <c r="BD75" s="421">
        <f t="shared" si="542"/>
        <v>0</v>
      </c>
      <c r="BE75" s="421">
        <f t="shared" si="542"/>
        <v>0</v>
      </c>
      <c r="BF75" s="421">
        <f t="shared" si="542"/>
        <v>0</v>
      </c>
      <c r="BG75" s="421">
        <f t="shared" si="542"/>
        <v>0</v>
      </c>
      <c r="BH75" s="421">
        <f t="shared" si="542"/>
        <v>0</v>
      </c>
      <c r="BI75" s="421">
        <f t="shared" si="542"/>
        <v>0</v>
      </c>
      <c r="BJ75" s="421">
        <f t="shared" si="542"/>
        <v>0</v>
      </c>
      <c r="BK75" s="421">
        <f t="shared" si="542"/>
        <v>0</v>
      </c>
      <c r="BL75" s="421">
        <f t="shared" si="542"/>
        <v>0</v>
      </c>
      <c r="BM75" s="421">
        <f t="shared" si="542"/>
        <v>0</v>
      </c>
      <c r="BN75" s="421">
        <f t="shared" si="542"/>
        <v>0</v>
      </c>
      <c r="BO75" s="421">
        <f t="shared" si="542"/>
        <v>0</v>
      </c>
      <c r="BP75" s="421">
        <f t="shared" si="542"/>
        <v>0</v>
      </c>
      <c r="BQ75" s="421">
        <f t="shared" si="542"/>
        <v>0</v>
      </c>
      <c r="BR75" s="421">
        <f t="shared" si="542"/>
        <v>0</v>
      </c>
      <c r="BS75" s="421">
        <f t="shared" si="542"/>
        <v>0</v>
      </c>
      <c r="BT75" s="421">
        <f t="shared" si="542"/>
        <v>0</v>
      </c>
      <c r="BU75" s="421">
        <f t="shared" si="542"/>
        <v>0</v>
      </c>
      <c r="BV75" s="421">
        <f t="shared" si="542"/>
        <v>0</v>
      </c>
      <c r="BW75" s="421">
        <f t="shared" si="542"/>
        <v>0</v>
      </c>
      <c r="BX75" s="421" t="n">
        <f t="shared" ref="BX75:DC75" si="543">SUM(BX72:BX74)</f>
        <v>0</v>
      </c>
      <c r="BY75" s="421">
        <f t="shared" si="543"/>
        <v>0</v>
      </c>
      <c r="BZ75" s="421">
        <f t="shared" si="543"/>
        <v>0</v>
      </c>
      <c r="CA75" s="421">
        <f t="shared" si="543"/>
        <v>0</v>
      </c>
      <c r="CB75" s="421">
        <f t="shared" si="543"/>
        <v>0</v>
      </c>
      <c r="CC75" s="421">
        <f t="shared" si="543"/>
        <v>0</v>
      </c>
      <c r="CD75" s="421">
        <f t="shared" si="543"/>
        <v>0</v>
      </c>
      <c r="CE75" s="421">
        <f t="shared" si="543"/>
        <v>0</v>
      </c>
      <c r="CF75" s="421">
        <f t="shared" si="543"/>
        <v>0</v>
      </c>
      <c r="CG75" s="421">
        <f t="shared" si="543"/>
        <v>0</v>
      </c>
      <c r="CH75" s="421">
        <f t="shared" si="543"/>
        <v>0</v>
      </c>
      <c r="CI75" s="421">
        <f t="shared" si="543"/>
        <v>0</v>
      </c>
      <c r="CJ75" s="421">
        <f t="shared" si="543"/>
        <v>0</v>
      </c>
      <c r="CK75" s="421">
        <f t="shared" si="543"/>
        <v>0</v>
      </c>
      <c r="CL75" s="421">
        <f t="shared" si="543"/>
        <v>0</v>
      </c>
      <c r="CM75" s="421">
        <f t="shared" si="543"/>
        <v>0</v>
      </c>
      <c r="CN75" s="421">
        <f t="shared" si="543"/>
        <v>0</v>
      </c>
      <c r="CO75" s="421">
        <f t="shared" si="543"/>
        <v>0</v>
      </c>
      <c r="CP75" s="421">
        <f t="shared" si="543"/>
        <v>0</v>
      </c>
      <c r="CQ75" s="421">
        <f t="shared" si="543"/>
        <v>0</v>
      </c>
      <c r="CR75" s="421">
        <f t="shared" si="543"/>
        <v>0</v>
      </c>
      <c r="CS75" s="421">
        <f t="shared" si="543"/>
        <v>0</v>
      </c>
      <c r="CT75" s="421">
        <f t="shared" si="543"/>
        <v>0</v>
      </c>
      <c r="CU75" s="421">
        <f t="shared" si="543"/>
        <v>0</v>
      </c>
      <c r="CV75" s="421">
        <f t="shared" si="543"/>
        <v>0</v>
      </c>
      <c r="CW75" s="421">
        <f t="shared" si="543"/>
        <v>0</v>
      </c>
      <c r="CX75" s="421">
        <f t="shared" si="543"/>
        <v>0</v>
      </c>
      <c r="CY75" s="421">
        <f t="shared" si="543"/>
        <v>0</v>
      </c>
      <c r="CZ75" s="421">
        <f t="shared" si="543"/>
        <v>0</v>
      </c>
      <c r="DA75" s="421">
        <f t="shared" si="543"/>
        <v>0</v>
      </c>
      <c r="DB75" s="421">
        <f t="shared" si="543"/>
        <v>0</v>
      </c>
      <c r="DC75" s="421">
        <f t="shared" si="543"/>
        <v>0</v>
      </c>
      <c r="DD75" s="421" t="n">
        <f t="shared" ref="DD75:EI75" si="544">SUM(DD72:DD74)</f>
        <v>0</v>
      </c>
      <c r="DE75" s="421">
        <f t="shared" si="544"/>
        <v>0</v>
      </c>
      <c r="DF75" s="421">
        <f t="shared" si="544"/>
        <v>0</v>
      </c>
      <c r="DG75" s="421">
        <f t="shared" si="544"/>
        <v>0</v>
      </c>
      <c r="DH75" s="421">
        <f t="shared" si="544"/>
        <v>0</v>
      </c>
      <c r="DI75" s="421">
        <f t="shared" si="544"/>
        <v>0</v>
      </c>
      <c r="DJ75" s="421">
        <f t="shared" si="544"/>
        <v>0</v>
      </c>
      <c r="DK75" s="421">
        <f t="shared" si="544"/>
        <v>0</v>
      </c>
      <c r="DL75" s="421">
        <f t="shared" si="544"/>
        <v>0</v>
      </c>
      <c r="DM75" s="421">
        <f t="shared" si="544"/>
        <v>0</v>
      </c>
      <c r="DN75" s="421">
        <f t="shared" si="544"/>
        <v>0</v>
      </c>
      <c r="DO75" s="421">
        <f t="shared" si="544"/>
        <v>0</v>
      </c>
      <c r="DP75" s="421">
        <f t="shared" si="544"/>
        <v>0</v>
      </c>
      <c r="DQ75" s="421">
        <f t="shared" si="544"/>
        <v>0</v>
      </c>
      <c r="DR75" s="421">
        <f t="shared" si="544"/>
        <v>0</v>
      </c>
      <c r="DS75" s="421">
        <f t="shared" si="544"/>
        <v>0</v>
      </c>
      <c r="DT75" s="421">
        <f t="shared" si="544"/>
        <v>0</v>
      </c>
      <c r="DU75" s="421">
        <f t="shared" si="544"/>
        <v>0</v>
      </c>
      <c r="DV75" s="421">
        <f t="shared" si="544"/>
        <v>0</v>
      </c>
      <c r="DW75" s="421">
        <f t="shared" si="544"/>
        <v>0</v>
      </c>
      <c r="DX75" s="421">
        <f t="shared" si="544"/>
        <v>0</v>
      </c>
      <c r="DY75" s="421">
        <f t="shared" si="544"/>
        <v>0</v>
      </c>
      <c r="DZ75" s="421">
        <f t="shared" si="544"/>
        <v>0</v>
      </c>
      <c r="EA75" s="421">
        <f t="shared" si="544"/>
        <v>0</v>
      </c>
      <c r="EB75" s="421">
        <f t="shared" si="544"/>
        <v>0</v>
      </c>
      <c r="EC75" s="421">
        <f t="shared" si="544"/>
        <v>0</v>
      </c>
      <c r="ED75" s="421">
        <f t="shared" si="544"/>
        <v>0</v>
      </c>
      <c r="EE75" s="421">
        <f t="shared" si="544"/>
        <v>0</v>
      </c>
      <c r="EF75" s="421">
        <f t="shared" si="544"/>
        <v>0</v>
      </c>
      <c r="EG75" s="421">
        <f t="shared" si="544"/>
        <v>0</v>
      </c>
      <c r="EH75" s="421">
        <f t="shared" si="544"/>
        <v>0</v>
      </c>
      <c r="EI75" s="421">
        <f t="shared" si="544"/>
        <v>0</v>
      </c>
      <c r="EJ75" s="421" t="n">
        <f t="shared" ref="EJ75:EN75" si="545">SUM(EJ72:EJ74)</f>
        <v>0</v>
      </c>
      <c r="EK75" s="421">
        <f t="shared" si="545"/>
        <v>0</v>
      </c>
      <c r="EL75" s="421">
        <f t="shared" si="545"/>
        <v>0</v>
      </c>
      <c r="EM75" s="421">
        <f t="shared" si="545"/>
        <v>0</v>
      </c>
      <c r="EN75" s="421">
        <f t="shared" si="545"/>
        <v>0</v>
      </c>
      <c r="EP75" s="220" t="s">
        <v>190</v>
      </c>
      <c r="EQ75" s="18"/>
      <c r="ER75" s="18"/>
      <c r="ES75" s="18" t="str">
        <f>IF(MAX(EV75:JX75)=SUM(EV59:JX59),"OK","ERROR")</f>
        <v>OK</v>
      </c>
      <c r="ET75" s="18" t="s">
        <v>192</v>
      </c>
      <c r="EU75" s="20">
        <v>0</v>
      </c>
      <c r="EV75" s="20" t="n">
        <f t="shared" ref="EV75:GA75" si="546">+EU75+EV59</f>
        <v>0</v>
      </c>
      <c r="EW75" s="20">
        <f t="shared" si="546"/>
        <v>0</v>
      </c>
      <c r="EX75" s="20">
        <f t="shared" si="546"/>
        <v>0</v>
      </c>
      <c r="EY75" s="20">
        <f t="shared" si="546"/>
        <v>0</v>
      </c>
      <c r="EZ75" s="20">
        <f t="shared" si="546"/>
        <v>0</v>
      </c>
      <c r="FA75" s="20">
        <f t="shared" si="546"/>
        <v>114338.88963590557</v>
      </c>
      <c r="FB75" s="20">
        <f t="shared" si="546"/>
        <v>114338.88963590557</v>
      </c>
      <c r="FC75" s="20">
        <f t="shared" si="546"/>
        <v>114338.88963590557</v>
      </c>
      <c r="FD75" s="20">
        <f t="shared" si="546"/>
        <v>114338.88963590557</v>
      </c>
      <c r="FE75" s="20">
        <f t="shared" si="546"/>
        <v>114338.88963590557</v>
      </c>
      <c r="FF75" s="20">
        <f t="shared" si="546"/>
        <v>114338.88963590557</v>
      </c>
      <c r="FG75" s="20">
        <f t="shared" si="546"/>
        <v>114338.88963590557</v>
      </c>
      <c r="FH75" s="20">
        <f t="shared" si="546"/>
        <v>114338.88963590557</v>
      </c>
      <c r="FI75" s="20">
        <f t="shared" si="546"/>
        <v>114338.88963590557</v>
      </c>
      <c r="FJ75" s="20">
        <f t="shared" si="546"/>
        <v>114338.88963590557</v>
      </c>
      <c r="FK75" s="20">
        <f t="shared" si="546"/>
        <v>114338.88963590557</v>
      </c>
      <c r="FL75" s="20">
        <f t="shared" si="546"/>
        <v>114338.88963590557</v>
      </c>
      <c r="FM75" s="20">
        <f t="shared" si="546"/>
        <v>114338.88963590557</v>
      </c>
      <c r="FN75" s="20">
        <f t="shared" si="546"/>
        <v>114338.88963590557</v>
      </c>
      <c r="FO75" s="20">
        <f t="shared" si="546"/>
        <v>114338.88963590557</v>
      </c>
      <c r="FP75" s="20">
        <f t="shared" si="546"/>
        <v>114338.88963590557</v>
      </c>
      <c r="FQ75" s="20">
        <f t="shared" si="546"/>
        <v>114338.88963590557</v>
      </c>
      <c r="FR75" s="20">
        <f t="shared" si="546"/>
        <v>114338.88963590557</v>
      </c>
      <c r="FS75" s="20">
        <f t="shared" si="546"/>
        <v>114338.88963590557</v>
      </c>
      <c r="FT75" s="20">
        <f t="shared" si="546"/>
        <v>114338.88963590557</v>
      </c>
      <c r="FU75" s="20">
        <f t="shared" si="546"/>
        <v>114338.88963590557</v>
      </c>
      <c r="FV75" s="20">
        <f t="shared" si="546"/>
        <v>114338.88963590557</v>
      </c>
      <c r="FW75" s="20">
        <f t="shared" si="546"/>
        <v>114338.88963590557</v>
      </c>
      <c r="FX75" s="20">
        <f t="shared" si="546"/>
        <v>114338.88963590557</v>
      </c>
      <c r="FY75" s="20">
        <f t="shared" si="546"/>
        <v>114338.88963590557</v>
      </c>
      <c r="FZ75" s="20">
        <f t="shared" si="546"/>
        <v>114338.88963590557</v>
      </c>
      <c r="GA75" s="20">
        <f t="shared" si="546"/>
        <v>114338.88963590557</v>
      </c>
      <c r="GB75" s="20" t="n">
        <f t="shared" ref="GB75:HG75" si="547">+GA75+GB59</f>
        <v>114338.88963590557</v>
      </c>
      <c r="GC75" s="20">
        <f t="shared" si="547"/>
        <v>114338.88963590557</v>
      </c>
      <c r="GD75" s="20">
        <f t="shared" si="547"/>
        <v>114338.88963590557</v>
      </c>
      <c r="GE75" s="20">
        <f t="shared" si="547"/>
        <v>114338.88963590557</v>
      </c>
      <c r="GF75" s="20">
        <f t="shared" si="547"/>
        <v>114338.88963590557</v>
      </c>
      <c r="GG75" s="20">
        <f t="shared" si="547"/>
        <v>114338.88963590557</v>
      </c>
      <c r="GH75" s="20">
        <f t="shared" si="547"/>
        <v>114338.88963590557</v>
      </c>
      <c r="GI75" s="20">
        <f t="shared" si="547"/>
        <v>114338.88963590557</v>
      </c>
      <c r="GJ75" s="20">
        <f t="shared" si="547"/>
        <v>114338.88963590557</v>
      </c>
      <c r="GK75" s="20">
        <f t="shared" si="547"/>
        <v>114338.88963590557</v>
      </c>
      <c r="GL75" s="20">
        <f t="shared" si="547"/>
        <v>114338.88963590557</v>
      </c>
      <c r="GM75" s="20">
        <f t="shared" si="547"/>
        <v>114338.88963590557</v>
      </c>
      <c r="GN75" s="20">
        <f t="shared" si="547"/>
        <v>114338.88963590557</v>
      </c>
      <c r="GO75" s="20">
        <f t="shared" si="547"/>
        <v>114338.88963590557</v>
      </c>
      <c r="GP75" s="20">
        <f t="shared" si="547"/>
        <v>114338.88963590557</v>
      </c>
      <c r="GQ75" s="20">
        <f t="shared" si="547"/>
        <v>114338.88963590557</v>
      </c>
      <c r="GR75" s="20">
        <f t="shared" si="547"/>
        <v>114338.88963590557</v>
      </c>
      <c r="GS75" s="20">
        <f t="shared" si="547"/>
        <v>114338.88963590557</v>
      </c>
      <c r="GT75" s="20">
        <f t="shared" si="547"/>
        <v>114338.88963590557</v>
      </c>
      <c r="GU75" s="20">
        <f t="shared" si="547"/>
        <v>114338.88963590557</v>
      </c>
      <c r="GV75" s="20">
        <f t="shared" si="547"/>
        <v>114338.88963590557</v>
      </c>
      <c r="GW75" s="20">
        <f t="shared" si="547"/>
        <v>114338.88963590557</v>
      </c>
      <c r="GX75" s="20">
        <f t="shared" si="547"/>
        <v>114338.88963590557</v>
      </c>
      <c r="GY75" s="20">
        <f t="shared" si="547"/>
        <v>114338.88963590557</v>
      </c>
      <c r="GZ75" s="20">
        <f t="shared" si="547"/>
        <v>114338.88963590557</v>
      </c>
      <c r="HA75" s="20">
        <f t="shared" si="547"/>
        <v>114338.88963590557</v>
      </c>
      <c r="HB75" s="20">
        <f t="shared" si="547"/>
        <v>114338.88963590557</v>
      </c>
      <c r="HC75" s="20">
        <f t="shared" si="547"/>
        <v>114338.88963590557</v>
      </c>
      <c r="HD75" s="20">
        <f t="shared" si="547"/>
        <v>114338.88963590557</v>
      </c>
      <c r="HE75" s="20">
        <f t="shared" si="547"/>
        <v>114338.88963590557</v>
      </c>
      <c r="HF75" s="20">
        <f t="shared" si="547"/>
        <v>114338.88963590557</v>
      </c>
      <c r="HG75" s="20">
        <f t="shared" si="547"/>
        <v>114338.88963590557</v>
      </c>
      <c r="HH75" s="20" t="n">
        <f t="shared" ref="HH75:IM75" si="548">+HG75+HH59</f>
        <v>114338.88963590557</v>
      </c>
      <c r="HI75" s="20">
        <f t="shared" si="548"/>
        <v>114338.88963590557</v>
      </c>
      <c r="HJ75" s="20">
        <f t="shared" si="548"/>
        <v>114338.88963590557</v>
      </c>
      <c r="HK75" s="20">
        <f t="shared" si="548"/>
        <v>114338.88963590557</v>
      </c>
      <c r="HL75" s="20">
        <f t="shared" si="548"/>
        <v>114338.88963590557</v>
      </c>
      <c r="HM75" s="20">
        <f t="shared" si="548"/>
        <v>114338.88963590557</v>
      </c>
      <c r="HN75" s="20">
        <f t="shared" si="548"/>
        <v>114338.88963590557</v>
      </c>
      <c r="HO75" s="20">
        <f t="shared" si="548"/>
        <v>114338.88963590557</v>
      </c>
      <c r="HP75" s="20">
        <f t="shared" si="548"/>
        <v>114338.88963590557</v>
      </c>
      <c r="HQ75" s="20">
        <f t="shared" si="548"/>
        <v>114338.88963590557</v>
      </c>
      <c r="HR75" s="20">
        <f t="shared" si="548"/>
        <v>114338.88963590557</v>
      </c>
      <c r="HS75" s="20">
        <f t="shared" si="548"/>
        <v>114338.88963590557</v>
      </c>
      <c r="HT75" s="20">
        <f t="shared" si="548"/>
        <v>114338.88963590557</v>
      </c>
      <c r="HU75" s="20">
        <f t="shared" si="548"/>
        <v>114338.88963590557</v>
      </c>
      <c r="HV75" s="20">
        <f t="shared" si="548"/>
        <v>114338.88963590557</v>
      </c>
      <c r="HW75" s="20">
        <f t="shared" si="548"/>
        <v>114338.88963590557</v>
      </c>
      <c r="HX75" s="20">
        <f t="shared" si="548"/>
        <v>114338.88963590557</v>
      </c>
      <c r="HY75" s="20">
        <f t="shared" si="548"/>
        <v>114338.88963590557</v>
      </c>
      <c r="HZ75" s="20">
        <f t="shared" si="548"/>
        <v>114338.88963590557</v>
      </c>
      <c r="IA75" s="20">
        <f t="shared" si="548"/>
        <v>114338.88963590557</v>
      </c>
      <c r="IB75" s="20">
        <f t="shared" si="548"/>
        <v>114338.88963590557</v>
      </c>
      <c r="IC75" s="20">
        <f t="shared" si="548"/>
        <v>114338.88963590557</v>
      </c>
      <c r="ID75" s="20">
        <f t="shared" si="548"/>
        <v>114338.88963590557</v>
      </c>
      <c r="IE75" s="20">
        <f t="shared" si="548"/>
        <v>114338.88963590557</v>
      </c>
      <c r="IF75" s="20">
        <f t="shared" si="548"/>
        <v>114338.88963590557</v>
      </c>
      <c r="IG75" s="20">
        <f t="shared" si="548"/>
        <v>114338.88963590557</v>
      </c>
      <c r="IH75" s="20">
        <f t="shared" si="548"/>
        <v>114338.88963590557</v>
      </c>
      <c r="II75" s="20">
        <f t="shared" si="548"/>
        <v>114338.88963590557</v>
      </c>
      <c r="IJ75" s="20">
        <f t="shared" si="548"/>
        <v>114338.88963590557</v>
      </c>
      <c r="IK75" s="20">
        <f t="shared" si="548"/>
        <v>114338.88963590557</v>
      </c>
      <c r="IL75" s="20">
        <f t="shared" si="548"/>
        <v>114338.88963590557</v>
      </c>
      <c r="IM75" s="20">
        <f t="shared" si="548"/>
        <v>114338.88963590557</v>
      </c>
      <c r="IN75" s="20" t="n">
        <f t="shared" ref="IN75:JX75" si="549">+IM75+IN59</f>
        <v>114338.88963590557</v>
      </c>
      <c r="IO75" s="20">
        <f t="shared" si="549"/>
        <v>114338.88963590557</v>
      </c>
      <c r="IP75" s="20">
        <f t="shared" si="549"/>
        <v>114338.88963590557</v>
      </c>
      <c r="IQ75" s="20">
        <f t="shared" si="549"/>
        <v>114338.88963590557</v>
      </c>
      <c r="IR75" s="20">
        <f t="shared" si="549"/>
        <v>114338.88963590557</v>
      </c>
      <c r="IS75" s="20">
        <f t="shared" si="549"/>
        <v>114338.88963590557</v>
      </c>
      <c r="IT75" s="20">
        <f t="shared" si="549"/>
        <v>114338.88963590557</v>
      </c>
      <c r="IU75" s="20">
        <f t="shared" si="549"/>
        <v>114338.88963590557</v>
      </c>
      <c r="IV75" s="20">
        <f t="shared" si="549"/>
        <v>114338.88963590557</v>
      </c>
      <c r="IW75" s="20">
        <f t="shared" si="549"/>
        <v>114338.88963590557</v>
      </c>
      <c r="IX75" s="20">
        <f t="shared" si="549"/>
        <v>114338.88963590557</v>
      </c>
      <c r="IY75" s="20">
        <f t="shared" si="549"/>
        <v>114338.88963590557</v>
      </c>
      <c r="IZ75" s="20">
        <f t="shared" si="549"/>
        <v>114338.88963590557</v>
      </c>
      <c r="JA75" s="20">
        <f t="shared" si="549"/>
        <v>114338.88963590557</v>
      </c>
      <c r="JB75" s="20">
        <f t="shared" si="549"/>
        <v>114338.88963590557</v>
      </c>
      <c r="JC75" s="20">
        <f t="shared" si="549"/>
        <v>114338.88963590557</v>
      </c>
      <c r="JD75" s="20">
        <f t="shared" si="549"/>
        <v>114338.88963590557</v>
      </c>
      <c r="JE75" s="20">
        <f t="shared" si="549"/>
        <v>114338.88963590557</v>
      </c>
      <c r="JF75" s="20">
        <f t="shared" si="549"/>
        <v>114338.88963590557</v>
      </c>
      <c r="JG75" s="20">
        <f t="shared" si="549"/>
        <v>114338.88963590557</v>
      </c>
      <c r="JH75" s="20">
        <f t="shared" si="549"/>
        <v>114338.88963590557</v>
      </c>
      <c r="JI75" s="20">
        <f t="shared" si="549"/>
        <v>114338.88963590557</v>
      </c>
      <c r="JJ75" s="20">
        <f t="shared" si="549"/>
        <v>114338.88963590557</v>
      </c>
      <c r="JK75" s="20">
        <f t="shared" si="549"/>
        <v>114338.88963590557</v>
      </c>
      <c r="JL75" s="20">
        <f t="shared" si="549"/>
        <v>114338.88963590557</v>
      </c>
      <c r="JM75" s="20">
        <f t="shared" si="549"/>
        <v>114338.88963590557</v>
      </c>
      <c r="JN75" s="20">
        <f t="shared" si="549"/>
        <v>114338.88963590557</v>
      </c>
      <c r="JO75" s="20">
        <f t="shared" si="549"/>
        <v>114338.88963590557</v>
      </c>
      <c r="JP75" s="20">
        <f t="shared" si="549"/>
        <v>114338.88963590557</v>
      </c>
      <c r="JQ75" s="20">
        <f t="shared" si="549"/>
        <v>114338.88963590557</v>
      </c>
      <c r="JR75" s="20">
        <f t="shared" si="549"/>
        <v>114338.88963590557</v>
      </c>
      <c r="JS75" s="20">
        <f t="shared" si="549"/>
        <v>114338.88963590557</v>
      </c>
      <c r="JT75" s="20">
        <f t="shared" si="549"/>
        <v>114338.88963590557</v>
      </c>
      <c r="JU75" s="20">
        <f t="shared" si="549"/>
        <v>114338.88963590557</v>
      </c>
      <c r="JV75" s="20">
        <f t="shared" si="549"/>
        <v>114338.88963590557</v>
      </c>
      <c r="JW75" s="20">
        <f t="shared" si="549"/>
        <v>114338.88963590557</v>
      </c>
      <c r="JX75" s="20">
        <f t="shared" si="549"/>
        <v>114338.88963590557</v>
      </c>
      <c r="JZ75" s="263"/>
      <c r="KA75" s="263"/>
      <c r="KB75" s="263"/>
      <c r="KC75" s="263"/>
      <c r="KD75" s="263"/>
      <c r="KE75" s="263"/>
      <c r="KF75" s="263"/>
      <c r="KG75" s="263"/>
      <c r="KH75" s="263"/>
      <c r="KI75" s="263"/>
      <c r="KJ75" s="263"/>
      <c r="KK75" s="263"/>
      <c r="KL75" s="263"/>
      <c r="KM75" s="263"/>
      <c r="KN75" s="263"/>
      <c r="KO75" s="263"/>
      <c r="KP75" s="263"/>
      <c r="KQ75" s="263"/>
      <c r="KR75" s="263"/>
      <c r="KS75" s="263"/>
      <c r="KT75" s="263"/>
      <c r="KU75" s="263"/>
      <c r="KV75" s="263"/>
      <c r="KW75" s="263"/>
      <c r="KX75" s="263"/>
      <c r="KY75" s="263"/>
      <c r="KZ75" s="263"/>
      <c r="LA75" s="263"/>
      <c r="LB75" s="263"/>
      <c r="LC75" s="263"/>
      <c r="LD75" s="263"/>
      <c r="LE75" s="263"/>
      <c r="LF75" s="263"/>
      <c r="LG75" s="263"/>
      <c r="LH75" s="263"/>
      <c r="LI75" s="263"/>
      <c r="LJ75" s="263"/>
      <c r="LK75" s="263"/>
      <c r="LL75" s="263"/>
      <c r="LM75" s="263"/>
      <c r="LN75" s="263"/>
      <c r="LO75" s="263"/>
      <c r="LP75" s="263"/>
      <c r="LQ75" s="263"/>
      <c r="LR75" s="263"/>
      <c r="LS75" s="263"/>
      <c r="LT75" s="263"/>
      <c r="LU75" s="263"/>
      <c r="LV75" s="263"/>
      <c r="LW75" s="263"/>
      <c r="LX75" s="263"/>
      <c r="LY75" s="263"/>
      <c r="LZ75" s="263"/>
      <c r="MA75" s="263"/>
      <c r="MB75" s="263"/>
      <c r="MC75" s="263"/>
      <c r="MD75" s="263"/>
      <c r="ME75" s="263"/>
      <c r="MF75" s="263"/>
      <c r="MG75" s="263"/>
      <c r="MH75" s="263"/>
      <c r="MI75" s="263"/>
      <c r="MJ75" s="263"/>
      <c r="MK75" s="263"/>
      <c r="ML75" s="263"/>
      <c r="MM75" s="263"/>
      <c r="MN75" s="263"/>
      <c r="MO75" s="263"/>
      <c r="MP75" s="263"/>
      <c r="MQ75" s="263"/>
      <c r="MR75" s="263"/>
      <c r="MS75" s="263"/>
      <c r="MT75" s="263"/>
      <c r="MU75" s="263"/>
      <c r="MV75" s="263"/>
      <c r="MW75" s="263"/>
      <c r="MX75" s="263"/>
      <c r="MY75" s="263"/>
      <c r="MZ75" s="263"/>
      <c r="NA75" s="263"/>
      <c r="NB75" s="263"/>
      <c r="NC75" s="263"/>
      <c r="ND75" s="263"/>
      <c r="NE75" s="263"/>
      <c r="NF75" s="263"/>
      <c r="NG75" s="263"/>
      <c r="NH75" s="263"/>
      <c r="NI75" s="263"/>
      <c r="NJ75" s="263"/>
      <c r="NK75" s="263"/>
      <c r="NL75" s="263"/>
      <c r="NM75" s="263"/>
      <c r="NN75" s="263"/>
      <c r="NO75" s="263"/>
      <c r="NP75" s="263"/>
      <c r="NQ75" s="263"/>
      <c r="NR75" s="263"/>
      <c r="NS75" s="263"/>
      <c r="NT75" s="263"/>
      <c r="NU75" s="263"/>
      <c r="NV75" s="263"/>
      <c r="NW75" s="263"/>
      <c r="NX75" s="263"/>
      <c r="NY75" s="263"/>
      <c r="NZ75" s="263"/>
      <c r="OA75" s="263"/>
      <c r="OB75" s="263"/>
      <c r="OC75" s="263"/>
      <c r="OD75" s="263"/>
      <c r="OE75" s="263"/>
      <c r="OF75" s="263"/>
      <c r="OG75" s="263"/>
      <c r="OH75" s="263"/>
      <c r="OI75" s="263"/>
      <c r="OJ75" s="263"/>
      <c r="OK75" s="263"/>
      <c r="OL75" s="263"/>
      <c r="OM75" s="263"/>
      <c r="ON75" s="263"/>
      <c r="OO75" s="263"/>
      <c r="OP75" s="263"/>
      <c r="OQ75" s="263"/>
      <c r="OR75" s="263"/>
      <c r="OS75" s="263"/>
      <c r="OT75" s="263"/>
      <c r="OU75" s="263"/>
      <c r="OV75" s="263"/>
      <c r="OW75" s="263"/>
      <c r="OX75" s="263"/>
      <c r="OY75" s="263"/>
      <c r="OZ75" s="263"/>
      <c r="PA75" s="263"/>
      <c r="PB75" s="263"/>
      <c r="PC75" s="263"/>
      <c r="PD75" s="263"/>
      <c r="PE75" s="263"/>
      <c r="PF75" s="263"/>
      <c r="PG75" s="263"/>
      <c r="PH75" s="263"/>
    </row>
    <row r="76">
      <c r="B76" s="34"/>
      <c r="C76" s="404"/>
      <c r="D76" s="404"/>
      <c r="E76" s="404"/>
      <c r="F76" s="404"/>
      <c r="G76" s="135"/>
      <c r="H76" s="135"/>
      <c r="I76" s="404"/>
      <c r="EP76" s="220"/>
      <c r="EQ76" s="18"/>
      <c r="ER76" s="18"/>
      <c r="ES76" s="18"/>
      <c r="ET76" s="18"/>
      <c r="EU76" s="18"/>
      <c r="EV76" s="18"/>
      <c r="EW76" s="18"/>
      <c r="EX76" s="18"/>
      <c r="EY76" s="18"/>
      <c r="EZ76" s="18"/>
      <c r="FA76" s="18"/>
      <c r="FB76" s="18"/>
      <c r="FC76" s="18"/>
      <c r="FD76" s="18"/>
      <c r="FE76" s="18"/>
      <c r="FF76" s="18"/>
      <c r="FG76" s="18"/>
      <c r="FH76" s="18"/>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8"/>
      <c r="GN76" s="18"/>
      <c r="GO76" s="18"/>
      <c r="GP76" s="18"/>
      <c r="GQ76" s="18"/>
      <c r="GR76" s="18"/>
      <c r="GS76" s="18"/>
      <c r="GT76" s="18"/>
      <c r="GU76" s="18"/>
      <c r="GV76" s="18"/>
      <c r="GW76" s="18"/>
      <c r="GX76" s="18"/>
      <c r="GY76" s="18"/>
      <c r="GZ76" s="18"/>
      <c r="HA76" s="18"/>
      <c r="HB76" s="18"/>
      <c r="HC76" s="18"/>
      <c r="HD76" s="18"/>
      <c r="HE76" s="18"/>
      <c r="HF76" s="18"/>
      <c r="HG76" s="18"/>
      <c r="HH76" s="18"/>
      <c r="HI76" s="18"/>
      <c r="HJ76" s="18"/>
      <c r="HK76" s="18"/>
      <c r="HL76" s="18"/>
      <c r="HM76" s="18"/>
      <c r="HN76" s="18"/>
      <c r="HO76" s="18"/>
      <c r="HP76" s="18"/>
      <c r="HQ76" s="18"/>
      <c r="HR76" s="18"/>
      <c r="HS76" s="18"/>
      <c r="HT76" s="18"/>
      <c r="HU76" s="18"/>
      <c r="HV76" s="18"/>
      <c r="HW76" s="18"/>
      <c r="HX76" s="18"/>
      <c r="HY76" s="18"/>
      <c r="HZ76" s="18"/>
      <c r="IA76" s="18"/>
      <c r="IB76" s="18"/>
      <c r="IC76" s="18"/>
      <c r="ID76" s="18"/>
      <c r="IE76" s="18"/>
      <c r="IF76" s="18"/>
      <c r="IG76" s="18"/>
      <c r="IH76" s="18"/>
      <c r="II76" s="18"/>
      <c r="IJ76" s="18"/>
      <c r="IK76" s="18"/>
      <c r="IL76" s="18"/>
      <c r="IM76" s="18"/>
      <c r="IN76" s="18"/>
      <c r="IO76" s="18"/>
      <c r="IP76" s="18"/>
      <c r="IQ76" s="18"/>
      <c r="IR76" s="18"/>
      <c r="IS76" s="18"/>
      <c r="IT76" s="18"/>
      <c r="IU76" s="18"/>
      <c r="IV76" s="18"/>
      <c r="IW76" s="18"/>
      <c r="IX76" s="18"/>
      <c r="IY76" s="18"/>
      <c r="IZ76" s="18"/>
      <c r="JA76" s="18"/>
      <c r="JB76" s="18"/>
      <c r="JC76" s="18"/>
      <c r="JD76" s="18"/>
      <c r="JE76" s="18"/>
      <c r="JF76" s="18"/>
      <c r="JG76" s="18"/>
      <c r="JH76" s="18"/>
      <c r="JI76" s="18"/>
      <c r="JJ76" s="18"/>
      <c r="JK76" s="18"/>
      <c r="JL76" s="18"/>
      <c r="JM76" s="18"/>
      <c r="JN76" s="18"/>
      <c r="JO76" s="18"/>
      <c r="JP76" s="18"/>
      <c r="JQ76" s="18"/>
      <c r="JR76" s="18"/>
      <c r="JS76" s="18"/>
      <c r="JT76" s="18"/>
      <c r="JU76" s="18"/>
      <c r="JV76" s="18"/>
      <c r="JW76" s="18"/>
      <c r="JX76" s="18"/>
      <c r="JZ76" s="263"/>
      <c r="KA76" s="263"/>
      <c r="KB76" s="263"/>
      <c r="KC76" s="263"/>
      <c r="KD76" s="263"/>
      <c r="KE76" s="263"/>
      <c r="KF76" s="263"/>
      <c r="KG76" s="263"/>
      <c r="KH76" s="263"/>
      <c r="KI76" s="263"/>
      <c r="KJ76" s="263"/>
      <c r="KK76" s="263"/>
      <c r="KL76" s="263"/>
      <c r="KM76" s="263"/>
      <c r="KN76" s="263"/>
      <c r="KO76" s="263"/>
      <c r="KP76" s="263"/>
      <c r="KQ76" s="263"/>
      <c r="KR76" s="263"/>
      <c r="KS76" s="263"/>
      <c r="KT76" s="263"/>
      <c r="KU76" s="263"/>
      <c r="KV76" s="263"/>
      <c r="KW76" s="263"/>
      <c r="KX76" s="263"/>
      <c r="KY76" s="263"/>
      <c r="KZ76" s="263"/>
      <c r="LA76" s="263"/>
      <c r="LB76" s="263"/>
      <c r="LC76" s="263"/>
      <c r="LD76" s="263"/>
      <c r="LE76" s="263"/>
      <c r="LF76" s="263"/>
      <c r="LG76" s="263"/>
      <c r="LH76" s="263"/>
      <c r="LI76" s="263"/>
      <c r="LJ76" s="263"/>
      <c r="LK76" s="263"/>
      <c r="LL76" s="263"/>
      <c r="LM76" s="263"/>
      <c r="LN76" s="263"/>
      <c r="LO76" s="263"/>
      <c r="LP76" s="263"/>
      <c r="LQ76" s="263"/>
      <c r="LR76" s="263"/>
      <c r="LS76" s="263"/>
      <c r="LT76" s="263"/>
      <c r="LU76" s="263"/>
      <c r="LV76" s="263"/>
      <c r="LW76" s="263"/>
      <c r="LX76" s="263"/>
      <c r="LY76" s="263"/>
      <c r="LZ76" s="263"/>
      <c r="MA76" s="263"/>
      <c r="MB76" s="263"/>
      <c r="MC76" s="263"/>
      <c r="MD76" s="263"/>
      <c r="ME76" s="263"/>
      <c r="MF76" s="263"/>
      <c r="MG76" s="263"/>
      <c r="MH76" s="263"/>
      <c r="MI76" s="263"/>
      <c r="MJ76" s="263"/>
      <c r="MK76" s="263"/>
      <c r="ML76" s="263"/>
      <c r="MM76" s="263"/>
      <c r="MN76" s="263"/>
      <c r="MO76" s="263"/>
      <c r="MP76" s="263"/>
      <c r="MQ76" s="263"/>
      <c r="MR76" s="263"/>
      <c r="MS76" s="263"/>
      <c r="MT76" s="263"/>
      <c r="MU76" s="263"/>
      <c r="MV76" s="263"/>
      <c r="MW76" s="263"/>
      <c r="MX76" s="263"/>
      <c r="MY76" s="263"/>
      <c r="MZ76" s="263"/>
      <c r="NA76" s="263"/>
      <c r="NB76" s="263"/>
      <c r="NC76" s="263"/>
      <c r="ND76" s="263"/>
      <c r="NE76" s="263"/>
      <c r="NF76" s="263"/>
      <c r="NG76" s="263"/>
      <c r="NH76" s="263"/>
      <c r="NI76" s="263"/>
      <c r="NJ76" s="263"/>
      <c r="NK76" s="263"/>
      <c r="NL76" s="263"/>
      <c r="NM76" s="263"/>
      <c r="NN76" s="263"/>
      <c r="NO76" s="263"/>
      <c r="NP76" s="263"/>
      <c r="NQ76" s="263"/>
      <c r="NR76" s="263"/>
      <c r="NS76" s="263"/>
      <c r="NT76" s="263"/>
      <c r="NU76" s="263"/>
      <c r="NV76" s="263"/>
      <c r="NW76" s="263"/>
      <c r="NX76" s="263"/>
      <c r="NY76" s="263"/>
      <c r="NZ76" s="263"/>
      <c r="OA76" s="263"/>
      <c r="OB76" s="263"/>
      <c r="OC76" s="263"/>
      <c r="OD76" s="263"/>
      <c r="OE76" s="263"/>
      <c r="OF76" s="263"/>
      <c r="OG76" s="263"/>
      <c r="OH76" s="263"/>
      <c r="OI76" s="263"/>
      <c r="OJ76" s="263"/>
      <c r="OK76" s="263"/>
      <c r="OL76" s="263"/>
      <c r="OM76" s="263"/>
      <c r="ON76" s="263"/>
      <c r="OO76" s="263"/>
      <c r="OP76" s="263"/>
      <c r="OQ76" s="263"/>
      <c r="OR76" s="263"/>
      <c r="OS76" s="263"/>
      <c r="OT76" s="263"/>
      <c r="OU76" s="263"/>
      <c r="OV76" s="263"/>
      <c r="OW76" s="263"/>
      <c r="OX76" s="263"/>
      <c r="OY76" s="263"/>
      <c r="OZ76" s="263"/>
      <c r="PA76" s="263"/>
      <c r="PB76" s="263"/>
      <c r="PC76" s="263"/>
      <c r="PD76" s="263"/>
      <c r="PE76" s="263"/>
      <c r="PF76" s="263"/>
      <c r="PG76" s="263"/>
      <c r="PH76" s="263"/>
    </row>
    <row r="77" s="24" customFormat="1">
      <c r="A77" s="441"/>
      <c r="B77" s="62" t="s">
        <v>171</v>
      </c>
      <c r="C77" s="458"/>
      <c r="D77" s="458"/>
      <c r="E77" s="458"/>
      <c r="F77" s="63" t="n">
        <f>I77/Project_Cost_Total</f>
        <v>0.7933475159255259</v>
      </c>
      <c r="G77" s="137"/>
      <c r="H77" s="459" t="n">
        <f>H75+H69</f>
        <v>4242.254627355336</v>
      </c>
      <c r="I77" s="64" t="n">
        <f>I75+I69</f>
        <v>332221056.43420947</v>
      </c>
      <c r="K77" s="444"/>
      <c r="L77" s="445" t="n">
        <f>+L75+L69</f>
        <v>0</v>
      </c>
      <c r="M77" s="445" t="n">
        <f t="shared" ref="M77:BX77" si="550">+M75+M69</f>
        <v>313055.55555555556</v>
      </c>
      <c r="N77" s="445">
        <f t="shared" si="550"/>
        <v>483373.12890771433</v>
      </c>
      <c r="O77" s="445">
        <f t="shared" si="550"/>
        <v>870706.20970547642</v>
      </c>
      <c r="P77" s="445">
        <f t="shared" si="550"/>
        <v>1407343.039998231</v>
      </c>
      <c r="Q77" s="445">
        <f t="shared" si="550"/>
        <v>2242515.4168408588</v>
      </c>
      <c r="R77" s="445">
        <f t="shared" si="550"/>
        <v>3066233.2255849475</v>
      </c>
      <c r="S77" s="445">
        <f t="shared" si="550"/>
        <v>4247815.6680353265</v>
      </c>
      <c r="T77" s="445">
        <f t="shared" si="550"/>
        <v>5686719.8131011408</v>
      </c>
      <c r="U77" s="445">
        <f t="shared" si="550"/>
        <v>7378219.20713937</v>
      </c>
      <c r="V77" s="445">
        <f t="shared" si="550"/>
        <v>9293807.5188872609</v>
      </c>
      <c r="W77" s="445">
        <f t="shared" si="550"/>
        <v>11377861.161045389</v>
      </c>
      <c r="X77" s="445">
        <f t="shared" si="550"/>
        <v>13547336.693550857</v>
      </c>
      <c r="Y77" s="445">
        <f t="shared" si="550"/>
        <v>15695302.068280539</v>
      </c>
      <c r="Z77" s="445">
        <f t="shared" si="550"/>
        <v>17698527.037614059</v>
      </c>
      <c r="AA77" s="445">
        <f t="shared" si="550"/>
        <v>19428611.613568623</v>
      </c>
      <c r="AB77" s="445">
        <f t="shared" si="550"/>
        <v>20765363.623626877</v>
      </c>
      <c r="AC77" s="445">
        <f t="shared" si="550"/>
        <v>21785085.385473285</v>
      </c>
      <c r="AD77" s="445">
        <f t="shared" si="550"/>
        <v>21990476.974151812</v>
      </c>
      <c r="AE77" s="445">
        <f t="shared" si="550"/>
        <v>21610531.77273963</v>
      </c>
      <c r="AF77" s="445">
        <f t="shared" si="550"/>
        <v>20765363.623626839</v>
      </c>
      <c r="AG77" s="445">
        <f t="shared" si="550"/>
        <v>19428611.61356866</v>
      </c>
      <c r="AH77" s="445">
        <f t="shared" si="550"/>
        <v>17698527.037614033</v>
      </c>
      <c r="AI77" s="445">
        <f t="shared" si="550"/>
        <v>15695302.068280539</v>
      </c>
      <c r="AJ77" s="445">
        <f t="shared" si="550"/>
        <v>13547336.693550883</v>
      </c>
      <c r="AK77" s="445">
        <f t="shared" si="550"/>
        <v>11377861.161045359</v>
      </c>
      <c r="AL77" s="445">
        <f t="shared" si="550"/>
        <v>9293807.5188872609</v>
      </c>
      <c r="AM77" s="445">
        <f t="shared" si="550"/>
        <v>7378219.2071393942</v>
      </c>
      <c r="AN77" s="445">
        <f t="shared" si="550"/>
        <v>5686719.813101124</v>
      </c>
      <c r="AO77" s="445">
        <f t="shared" si="550"/>
        <v>4247815.6680353275</v>
      </c>
      <c r="AP77" s="445">
        <f t="shared" si="550"/>
        <v>3066233.2255849615</v>
      </c>
      <c r="AQ77" s="445">
        <f t="shared" si="550"/>
        <v>2128176.5272049378</v>
      </c>
      <c r="AR77" s="445">
        <f t="shared" si="550"/>
        <v>1407343.039998237</v>
      </c>
      <c r="AS77" s="445">
        <f t="shared" si="550"/>
        <v>870706.20970545732</v>
      </c>
      <c r="AT77" s="445">
        <f t="shared" si="550"/>
        <v>483373.12890773668</v>
      </c>
      <c r="AU77" s="445">
        <f t="shared" si="550"/>
        <v>212162.73181972333</v>
      </c>
      <c r="AV77" s="445">
        <f t="shared" si="550"/>
        <v>44612.052331984043</v>
      </c>
      <c r="AW77" s="445">
        <f t="shared" si="550"/>
        <v>0</v>
      </c>
      <c r="AX77" s="445">
        <f t="shared" si="550"/>
        <v>0</v>
      </c>
      <c r="AY77" s="445">
        <f t="shared" si="550"/>
        <v>0</v>
      </c>
      <c r="AZ77" s="445">
        <f t="shared" si="550"/>
        <v>0</v>
      </c>
      <c r="BA77" s="445">
        <f t="shared" si="550"/>
        <v>0</v>
      </c>
      <c r="BB77" s="445">
        <f t="shared" si="550"/>
        <v>0</v>
      </c>
      <c r="BC77" s="445">
        <f t="shared" si="550"/>
        <v>0</v>
      </c>
      <c r="BD77" s="445">
        <f t="shared" si="550"/>
        <v>0</v>
      </c>
      <c r="BE77" s="445">
        <f t="shared" si="550"/>
        <v>0</v>
      </c>
      <c r="BF77" s="445">
        <f t="shared" si="550"/>
        <v>0</v>
      </c>
      <c r="BG77" s="445">
        <f t="shared" si="550"/>
        <v>0</v>
      </c>
      <c r="BH77" s="445">
        <f t="shared" si="550"/>
        <v>0</v>
      </c>
      <c r="BI77" s="445">
        <f t="shared" si="550"/>
        <v>0</v>
      </c>
      <c r="BJ77" s="445">
        <f t="shared" si="550"/>
        <v>0</v>
      </c>
      <c r="BK77" s="445">
        <f t="shared" si="550"/>
        <v>0</v>
      </c>
      <c r="BL77" s="445">
        <f t="shared" si="550"/>
        <v>0</v>
      </c>
      <c r="BM77" s="445">
        <f t="shared" si="550"/>
        <v>0</v>
      </c>
      <c r="BN77" s="445">
        <f t="shared" si="550"/>
        <v>0</v>
      </c>
      <c r="BO77" s="445">
        <f t="shared" si="550"/>
        <v>0</v>
      </c>
      <c r="BP77" s="445">
        <f t="shared" si="550"/>
        <v>0</v>
      </c>
      <c r="BQ77" s="445">
        <f t="shared" si="550"/>
        <v>0</v>
      </c>
      <c r="BR77" s="445">
        <f t="shared" si="550"/>
        <v>0</v>
      </c>
      <c r="BS77" s="445">
        <f t="shared" si="550"/>
        <v>0</v>
      </c>
      <c r="BT77" s="445">
        <f t="shared" si="550"/>
        <v>0</v>
      </c>
      <c r="BU77" s="445">
        <f t="shared" si="550"/>
        <v>0</v>
      </c>
      <c r="BV77" s="445">
        <f t="shared" si="550"/>
        <v>0</v>
      </c>
      <c r="BW77" s="445">
        <f t="shared" si="550"/>
        <v>0</v>
      </c>
      <c r="BX77" s="445">
        <f t="shared" si="550"/>
        <v>0</v>
      </c>
      <c r="BY77" s="445" t="n">
        <f t="shared" ref="BY77:EJ77" si="551">+BY75+BY69</f>
        <v>0</v>
      </c>
      <c r="BZ77" s="445">
        <f t="shared" si="551"/>
        <v>0</v>
      </c>
      <c r="CA77" s="445">
        <f t="shared" si="551"/>
        <v>0</v>
      </c>
      <c r="CB77" s="445">
        <f t="shared" si="551"/>
        <v>0</v>
      </c>
      <c r="CC77" s="445">
        <f t="shared" si="551"/>
        <v>0</v>
      </c>
      <c r="CD77" s="445">
        <f t="shared" si="551"/>
        <v>0</v>
      </c>
      <c r="CE77" s="445">
        <f t="shared" si="551"/>
        <v>0</v>
      </c>
      <c r="CF77" s="445">
        <f t="shared" si="551"/>
        <v>0</v>
      </c>
      <c r="CG77" s="445">
        <f t="shared" si="551"/>
        <v>0</v>
      </c>
      <c r="CH77" s="445">
        <f t="shared" si="551"/>
        <v>0</v>
      </c>
      <c r="CI77" s="445">
        <f t="shared" si="551"/>
        <v>0</v>
      </c>
      <c r="CJ77" s="445">
        <f t="shared" si="551"/>
        <v>0</v>
      </c>
      <c r="CK77" s="445">
        <f t="shared" si="551"/>
        <v>0</v>
      </c>
      <c r="CL77" s="445">
        <f t="shared" si="551"/>
        <v>0</v>
      </c>
      <c r="CM77" s="445">
        <f t="shared" si="551"/>
        <v>0</v>
      </c>
      <c r="CN77" s="445">
        <f t="shared" si="551"/>
        <v>0</v>
      </c>
      <c r="CO77" s="445">
        <f t="shared" si="551"/>
        <v>0</v>
      </c>
      <c r="CP77" s="445">
        <f t="shared" si="551"/>
        <v>0</v>
      </c>
      <c r="CQ77" s="445">
        <f t="shared" si="551"/>
        <v>0</v>
      </c>
      <c r="CR77" s="445">
        <f t="shared" si="551"/>
        <v>0</v>
      </c>
      <c r="CS77" s="445">
        <f t="shared" si="551"/>
        <v>0</v>
      </c>
      <c r="CT77" s="445">
        <f t="shared" si="551"/>
        <v>0</v>
      </c>
      <c r="CU77" s="445">
        <f t="shared" si="551"/>
        <v>0</v>
      </c>
      <c r="CV77" s="445">
        <f t="shared" si="551"/>
        <v>0</v>
      </c>
      <c r="CW77" s="445">
        <f t="shared" si="551"/>
        <v>0</v>
      </c>
      <c r="CX77" s="445">
        <f t="shared" si="551"/>
        <v>0</v>
      </c>
      <c r="CY77" s="445">
        <f t="shared" si="551"/>
        <v>0</v>
      </c>
      <c r="CZ77" s="445">
        <f t="shared" si="551"/>
        <v>0</v>
      </c>
      <c r="DA77" s="445">
        <f t="shared" si="551"/>
        <v>0</v>
      </c>
      <c r="DB77" s="445">
        <f t="shared" si="551"/>
        <v>0</v>
      </c>
      <c r="DC77" s="445">
        <f t="shared" si="551"/>
        <v>0</v>
      </c>
      <c r="DD77" s="445">
        <f t="shared" si="551"/>
        <v>0</v>
      </c>
      <c r="DE77" s="445">
        <f t="shared" si="551"/>
        <v>0</v>
      </c>
      <c r="DF77" s="445">
        <f t="shared" si="551"/>
        <v>0</v>
      </c>
      <c r="DG77" s="445">
        <f t="shared" si="551"/>
        <v>0</v>
      </c>
      <c r="DH77" s="445">
        <f t="shared" si="551"/>
        <v>0</v>
      </c>
      <c r="DI77" s="445">
        <f t="shared" si="551"/>
        <v>0</v>
      </c>
      <c r="DJ77" s="445">
        <f t="shared" si="551"/>
        <v>0</v>
      </c>
      <c r="DK77" s="445">
        <f t="shared" si="551"/>
        <v>0</v>
      </c>
      <c r="DL77" s="445">
        <f t="shared" si="551"/>
        <v>0</v>
      </c>
      <c r="DM77" s="445">
        <f t="shared" si="551"/>
        <v>0</v>
      </c>
      <c r="DN77" s="445">
        <f t="shared" si="551"/>
        <v>0</v>
      </c>
      <c r="DO77" s="445">
        <f t="shared" si="551"/>
        <v>0</v>
      </c>
      <c r="DP77" s="445">
        <f t="shared" si="551"/>
        <v>0</v>
      </c>
      <c r="DQ77" s="445">
        <f t="shared" si="551"/>
        <v>0</v>
      </c>
      <c r="DR77" s="445">
        <f t="shared" si="551"/>
        <v>0</v>
      </c>
      <c r="DS77" s="445">
        <f t="shared" si="551"/>
        <v>0</v>
      </c>
      <c r="DT77" s="445">
        <f t="shared" si="551"/>
        <v>0</v>
      </c>
      <c r="DU77" s="445">
        <f t="shared" si="551"/>
        <v>0</v>
      </c>
      <c r="DV77" s="445">
        <f t="shared" si="551"/>
        <v>0</v>
      </c>
      <c r="DW77" s="445">
        <f t="shared" si="551"/>
        <v>0</v>
      </c>
      <c r="DX77" s="445">
        <f t="shared" si="551"/>
        <v>0</v>
      </c>
      <c r="DY77" s="445">
        <f t="shared" si="551"/>
        <v>0</v>
      </c>
      <c r="DZ77" s="445">
        <f t="shared" si="551"/>
        <v>0</v>
      </c>
      <c r="EA77" s="445">
        <f t="shared" si="551"/>
        <v>0</v>
      </c>
      <c r="EB77" s="445">
        <f t="shared" si="551"/>
        <v>0</v>
      </c>
      <c r="EC77" s="445">
        <f t="shared" si="551"/>
        <v>0</v>
      </c>
      <c r="ED77" s="445">
        <f t="shared" si="551"/>
        <v>0</v>
      </c>
      <c r="EE77" s="445">
        <f t="shared" si="551"/>
        <v>0</v>
      </c>
      <c r="EF77" s="445">
        <f t="shared" si="551"/>
        <v>0</v>
      </c>
      <c r="EG77" s="445">
        <f t="shared" si="551"/>
        <v>0</v>
      </c>
      <c r="EH77" s="445">
        <f t="shared" si="551"/>
        <v>0</v>
      </c>
      <c r="EI77" s="445">
        <f t="shared" si="551"/>
        <v>0</v>
      </c>
      <c r="EJ77" s="445">
        <f t="shared" si="551"/>
        <v>0</v>
      </c>
      <c r="EK77" s="445" t="n">
        <f>+EK75+EK69</f>
        <v>0</v>
      </c>
      <c r="EL77" s="445" t="n">
        <f>+EL75+EL69</f>
        <v>0</v>
      </c>
      <c r="EM77" s="445" t="n">
        <f>+EM75+EM69</f>
        <v>0</v>
      </c>
      <c r="EN77" s="445" t="n">
        <f>+EN75+EN69</f>
        <v>0</v>
      </c>
      <c r="EO77" s="444"/>
      <c r="EP77" s="220" t="s">
        <v>196</v>
      </c>
      <c r="EQ77" s="20" t="n">
        <f>MAX(EV77:JX77)</f>
        <v>16</v>
      </c>
      <c r="ER77" s="18"/>
      <c r="ES77" s="18"/>
      <c r="ET77" s="18"/>
      <c r="EU77" s="18"/>
      <c r="EV77" s="20" t="n">
        <f>AND(EV73&gt;0,SUM($EU$77:EU77)=0)*EV51</f>
        <v>0</v>
      </c>
      <c r="EW77" s="20" t="n">
        <f>AND(EW73&gt;0,SUM($EU$77:EV77)=0)*EW51</f>
        <v>0</v>
      </c>
      <c r="EX77" s="20" t="n">
        <f>AND(EX73&gt;0,SUM($EU$77:EW77)=0)*EX51</f>
        <v>0</v>
      </c>
      <c r="EY77" s="20" t="n">
        <f>AND(EY73&gt;0,SUM($EU$77:EX77)=0)*EY51</f>
        <v>0</v>
      </c>
      <c r="EZ77" s="20" t="n">
        <f>AND(EZ73&gt;0,SUM($EU$77:EY77)=0)*EZ51</f>
        <v>0</v>
      </c>
      <c r="FA77" s="20" t="n">
        <f>AND(FA73&gt;0,SUM($EU$77:EZ77)=0)*FA51</f>
        <v>0</v>
      </c>
      <c r="FB77" s="20" t="n">
        <f>AND(FB73&gt;0,SUM($EU$77:FA77)=0)*FB51</f>
        <v>0</v>
      </c>
      <c r="FC77" s="20" t="n">
        <f>AND(FC73&gt;0,SUM($EU$77:FB77)=0)*FC51</f>
        <v>0</v>
      </c>
      <c r="FD77" s="20" t="n">
        <f>AND(FD73&gt;0,SUM($EU$77:FC77)=0)*FD51</f>
        <v>0</v>
      </c>
      <c r="FE77" s="20" t="n">
        <f>AND(FE73&gt;0,SUM($EU$77:FD77)=0)*FE51</f>
        <v>0</v>
      </c>
      <c r="FF77" s="20" t="n">
        <f>AND(FF73&gt;0,SUM($EU$77:FE77)=0)*FF51</f>
        <v>0</v>
      </c>
      <c r="FG77" s="20" t="n">
        <f>AND(FG73&gt;0,SUM($EU$77:FF77)=0)*FG51</f>
        <v>0</v>
      </c>
      <c r="FH77" s="20" t="n">
        <f>AND(FH73&gt;0,SUM($EU$77:FG77)=0)*FH51</f>
        <v>0</v>
      </c>
      <c r="FI77" s="20" t="n">
        <f>AND(FI73&gt;0,SUM($EU$77:FH77)=0)*FI51</f>
        <v>0</v>
      </c>
      <c r="FJ77" s="20" t="n">
        <f>AND(FJ73&gt;0,SUM($EU$77:FI77)=0)*FJ51</f>
        <v>0</v>
      </c>
      <c r="FK77" s="20" t="n">
        <f>AND(FK73&gt;0,SUM($EU$77:FJ77)=0)*FK51</f>
        <v>0</v>
      </c>
      <c r="FL77" s="20" t="n">
        <f>AND(FL73&gt;0,SUM($EU$77:FK77)=0)*FL51</f>
        <v>16</v>
      </c>
      <c r="FM77" s="20" t="n">
        <f>AND(FM73&gt;0,SUM($EU$77:FL77)=0)*FM51</f>
        <v>0</v>
      </c>
      <c r="FN77" s="20" t="n">
        <f>AND(FN73&gt;0,SUM($EU$77:FM77)=0)*FN51</f>
        <v>0</v>
      </c>
      <c r="FO77" s="20" t="n">
        <f>AND(FO73&gt;0,SUM($EU$77:FN77)=0)*FO51</f>
        <v>0</v>
      </c>
      <c r="FP77" s="20" t="n">
        <f>AND(FP73&gt;0,SUM($EU$77:FO77)=0)*FP51</f>
        <v>0</v>
      </c>
      <c r="FQ77" s="20" t="n">
        <f>AND(FQ73&gt;0,SUM($EU$77:FP77)=0)*FQ51</f>
        <v>0</v>
      </c>
      <c r="FR77" s="20" t="n">
        <f>AND(FR73&gt;0,SUM($EU$77:FQ77)=0)*FR51</f>
        <v>0</v>
      </c>
      <c r="FS77" s="20" t="n">
        <f>AND(FS73&gt;0,SUM($EU$77:FR77)=0)*FS51</f>
        <v>0</v>
      </c>
      <c r="FT77" s="20" t="n">
        <f>AND(FT73&gt;0,SUM($EU$77:FS77)=0)*FT51</f>
        <v>0</v>
      </c>
      <c r="FU77" s="20" t="n">
        <f>AND(FU73&gt;0,SUM($EU$77:FT77)=0)*FU51</f>
        <v>0</v>
      </c>
      <c r="FV77" s="20" t="n">
        <f>AND(FV73&gt;0,SUM($EU$77:FU77)=0)*FV51</f>
        <v>0</v>
      </c>
      <c r="FW77" s="20" t="n">
        <f>AND(FW73&gt;0,SUM($EU$77:FV77)=0)*FW51</f>
        <v>0</v>
      </c>
      <c r="FX77" s="20" t="n">
        <f>AND(FX73&gt;0,SUM($EU$77:FW77)=0)*FX51</f>
        <v>0</v>
      </c>
      <c r="FY77" s="20" t="n">
        <f>AND(FY73&gt;0,SUM($EU$77:FX77)=0)*FY51</f>
        <v>0</v>
      </c>
      <c r="FZ77" s="20" t="n">
        <f>AND(FZ73&gt;0,SUM($EU$77:FY77)=0)*FZ51</f>
        <v>0</v>
      </c>
      <c r="GA77" s="20" t="n">
        <f>AND(GA73&gt;0,SUM($EU$77:FZ77)=0)*GA51</f>
        <v>0</v>
      </c>
      <c r="GB77" s="20" t="n">
        <f>AND(GB73&gt;0,SUM($EU$77:GA77)=0)*GB51</f>
        <v>0</v>
      </c>
      <c r="GC77" s="20" t="n">
        <f>AND(GC73&gt;0,SUM($EU$77:GB77)=0)*GC51</f>
        <v>0</v>
      </c>
      <c r="GD77" s="20" t="n">
        <f>AND(GD73&gt;0,SUM($EU$77:GC77)=0)*GD51</f>
        <v>0</v>
      </c>
      <c r="GE77" s="20" t="n">
        <f>AND(GE73&gt;0,SUM($EU$77:GD77)=0)*GE51</f>
        <v>0</v>
      </c>
      <c r="GF77" s="20" t="n">
        <f>AND(GF73&gt;0,SUM($EU$77:GE77)=0)*GF51</f>
        <v>0</v>
      </c>
      <c r="GG77" s="20" t="n">
        <f>AND(GG73&gt;0,SUM($EU$77:GF77)=0)*GG51</f>
        <v>0</v>
      </c>
      <c r="GH77" s="20" t="n">
        <f>AND(GH73&gt;0,SUM($EU$77:GG77)=0)*GH51</f>
        <v>0</v>
      </c>
      <c r="GI77" s="20" t="n">
        <f>AND(GI73&gt;0,SUM($EU$77:GH77)=0)*GI51</f>
        <v>0</v>
      </c>
      <c r="GJ77" s="20" t="n">
        <f>AND(GJ73&gt;0,SUM($EU$77:GI77)=0)*GJ51</f>
        <v>0</v>
      </c>
      <c r="GK77" s="20" t="n">
        <f>AND(GK73&gt;0,SUM($EU$77:GJ77)=0)*GK51</f>
        <v>0</v>
      </c>
      <c r="GL77" s="20" t="n">
        <f>AND(GL73&gt;0,SUM($EU$77:GK77)=0)*GL51</f>
        <v>0</v>
      </c>
      <c r="GM77" s="20" t="n">
        <f>AND(GM73&gt;0,SUM($EU$77:GL77)=0)*GM51</f>
        <v>0</v>
      </c>
      <c r="GN77" s="20" t="n">
        <f>AND(GN73&gt;0,SUM($EU$77:GM77)=0)*GN51</f>
        <v>0</v>
      </c>
      <c r="GO77" s="20" t="n">
        <f>AND(GO73&gt;0,SUM($EU$77:GN77)=0)*GO51</f>
        <v>0</v>
      </c>
      <c r="GP77" s="20" t="n">
        <f>AND(GP73&gt;0,SUM($EU$77:GO77)=0)*GP51</f>
        <v>0</v>
      </c>
      <c r="GQ77" s="20" t="n">
        <f>AND(GQ73&gt;0,SUM($EU$77:GP77)=0)*GQ51</f>
        <v>0</v>
      </c>
      <c r="GR77" s="20" t="n">
        <f>AND(GR73&gt;0,SUM($EU$77:GQ77)=0)*GR51</f>
        <v>0</v>
      </c>
      <c r="GS77" s="20" t="n">
        <f>AND(GS73&gt;0,SUM($EU$77:GR77)=0)*GS51</f>
        <v>0</v>
      </c>
      <c r="GT77" s="20" t="n">
        <f>AND(GT73&gt;0,SUM($EU$77:GS77)=0)*GT51</f>
        <v>0</v>
      </c>
      <c r="GU77" s="20" t="n">
        <f>AND(GU73&gt;0,SUM($EU$77:GT77)=0)*GU51</f>
        <v>0</v>
      </c>
      <c r="GV77" s="20" t="n">
        <f>AND(GV73&gt;0,SUM($EU$77:GU77)=0)*GV51</f>
        <v>0</v>
      </c>
      <c r="GW77" s="20" t="n">
        <f>AND(GW73&gt;0,SUM($EU$77:GV77)=0)*GW51</f>
        <v>0</v>
      </c>
      <c r="GX77" s="20" t="n">
        <f>AND(GX73&gt;0,SUM($EU$77:GW77)=0)*GX51</f>
        <v>0</v>
      </c>
      <c r="GY77" s="20" t="n">
        <f>AND(GY73&gt;0,SUM($EU$77:GX77)=0)*GY51</f>
        <v>0</v>
      </c>
      <c r="GZ77" s="20" t="n">
        <f>AND(GZ73&gt;0,SUM($EU$77:GY77)=0)*GZ51</f>
        <v>0</v>
      </c>
      <c r="HA77" s="20" t="n">
        <f>AND(HA73&gt;0,SUM($EU$77:GZ77)=0)*HA51</f>
        <v>0</v>
      </c>
      <c r="HB77" s="20" t="n">
        <f>AND(HB73&gt;0,SUM($EU$77:HA77)=0)*HB51</f>
        <v>0</v>
      </c>
      <c r="HC77" s="20" t="n">
        <f>AND(HC73&gt;0,SUM($EU$77:HB77)=0)*HC51</f>
        <v>0</v>
      </c>
      <c r="HD77" s="20" t="n">
        <f>AND(HD73&gt;0,SUM($EU$77:HC77)=0)*HD51</f>
        <v>0</v>
      </c>
      <c r="HE77" s="20" t="n">
        <f>AND(HE73&gt;0,SUM($EU$77:HD77)=0)*HE51</f>
        <v>0</v>
      </c>
      <c r="HF77" s="20" t="n">
        <f>AND(HF73&gt;0,SUM($EU$77:HE77)=0)*HF51</f>
        <v>0</v>
      </c>
      <c r="HG77" s="20" t="n">
        <f>AND(HG73&gt;0,SUM($EU$77:HF77)=0)*HG51</f>
        <v>0</v>
      </c>
      <c r="HH77" s="20" t="n">
        <f>AND(HH73&gt;0,SUM($EU$77:HG77)=0)*HH51</f>
        <v>0</v>
      </c>
      <c r="HI77" s="20" t="n">
        <f>AND(HI73&gt;0,SUM($EU$77:HH77)=0)*HI51</f>
        <v>0</v>
      </c>
      <c r="HJ77" s="20" t="n">
        <f>AND(HJ73&gt;0,SUM($EU$77:HI77)=0)*HJ51</f>
        <v>0</v>
      </c>
      <c r="HK77" s="20" t="n">
        <f>AND(HK73&gt;0,SUM($EU$77:HJ77)=0)*HK51</f>
        <v>0</v>
      </c>
      <c r="HL77" s="20" t="n">
        <f>AND(HL73&gt;0,SUM($EU$77:HK77)=0)*HL51</f>
        <v>0</v>
      </c>
      <c r="HM77" s="20" t="n">
        <f>AND(HM73&gt;0,SUM($EU$77:HL77)=0)*HM51</f>
        <v>0</v>
      </c>
      <c r="HN77" s="20" t="n">
        <f>AND(HN73&gt;0,SUM($EU$77:HM77)=0)*HN51</f>
        <v>0</v>
      </c>
      <c r="HO77" s="20" t="n">
        <f>AND(HO73&gt;0,SUM($EU$77:HN77)=0)*HO51</f>
        <v>0</v>
      </c>
      <c r="HP77" s="20" t="n">
        <f>AND(HP73&gt;0,SUM($EU$77:HO77)=0)*HP51</f>
        <v>0</v>
      </c>
      <c r="HQ77" s="20" t="n">
        <f>AND(HQ73&gt;0,SUM($EU$77:HP77)=0)*HQ51</f>
        <v>0</v>
      </c>
      <c r="HR77" s="20" t="n">
        <f>AND(HR73&gt;0,SUM($EU$77:HQ77)=0)*HR51</f>
        <v>0</v>
      </c>
      <c r="HS77" s="20" t="n">
        <f>AND(HS73&gt;0,SUM($EU$77:HR77)=0)*HS51</f>
        <v>0</v>
      </c>
      <c r="HT77" s="20" t="n">
        <f>AND(HT73&gt;0,SUM($EU$77:HS77)=0)*HT51</f>
        <v>0</v>
      </c>
      <c r="HU77" s="20" t="n">
        <f>AND(HU73&gt;0,SUM($EU$77:HT77)=0)*HU51</f>
        <v>0</v>
      </c>
      <c r="HV77" s="20" t="n">
        <f>AND(HV73&gt;0,SUM($EU$77:HU77)=0)*HV51</f>
        <v>0</v>
      </c>
      <c r="HW77" s="20" t="n">
        <f>AND(HW73&gt;0,SUM($EU$77:HV77)=0)*HW51</f>
        <v>0</v>
      </c>
      <c r="HX77" s="20" t="n">
        <f>AND(HX73&gt;0,SUM($EU$77:HW77)=0)*HX51</f>
        <v>0</v>
      </c>
      <c r="HY77" s="20" t="n">
        <f>AND(HY73&gt;0,SUM($EU$77:HX77)=0)*HY51</f>
        <v>0</v>
      </c>
      <c r="HZ77" s="20" t="n">
        <f>AND(HZ73&gt;0,SUM($EU$77:HY77)=0)*HZ51</f>
        <v>0</v>
      </c>
      <c r="IA77" s="20" t="n">
        <f>AND(IA73&gt;0,SUM($EU$77:HZ77)=0)*IA51</f>
        <v>0</v>
      </c>
      <c r="IB77" s="20" t="n">
        <f>AND(IB73&gt;0,SUM($EU$77:IA77)=0)*IB51</f>
        <v>0</v>
      </c>
      <c r="IC77" s="20" t="n">
        <f>AND(IC73&gt;0,SUM($EU$77:IB77)=0)*IC51</f>
        <v>0</v>
      </c>
      <c r="ID77" s="20" t="n">
        <f>AND(ID73&gt;0,SUM($EU$77:IC77)=0)*ID51</f>
        <v>0</v>
      </c>
      <c r="IE77" s="20" t="n">
        <f>AND(IE73&gt;0,SUM($EU$77:ID77)=0)*IE51</f>
        <v>0</v>
      </c>
      <c r="IF77" s="20" t="n">
        <f>AND(IF73&gt;0,SUM($EU$77:IE77)=0)*IF51</f>
        <v>0</v>
      </c>
      <c r="IG77" s="20" t="n">
        <f>AND(IG73&gt;0,SUM($EU$77:IF77)=0)*IG51</f>
        <v>0</v>
      </c>
      <c r="IH77" s="20" t="n">
        <f>AND(IH73&gt;0,SUM($EU$77:IG77)=0)*IH51</f>
        <v>0</v>
      </c>
      <c r="II77" s="20" t="n">
        <f>AND(II73&gt;0,SUM($EU$77:IH77)=0)*II51</f>
        <v>0</v>
      </c>
      <c r="IJ77" s="20" t="n">
        <f>AND(IJ73&gt;0,SUM($EU$77:II77)=0)*IJ51</f>
        <v>0</v>
      </c>
      <c r="IK77" s="20" t="n">
        <f>AND(IK73&gt;0,SUM($EU$77:IJ77)=0)*IK51</f>
        <v>0</v>
      </c>
      <c r="IL77" s="20" t="n">
        <f>AND(IL73&gt;0,SUM($EU$77:IK77)=0)*IL51</f>
        <v>0</v>
      </c>
      <c r="IM77" s="20" t="n">
        <f>AND(IM73&gt;0,SUM($EU$77:IL77)=0)*IM51</f>
        <v>0</v>
      </c>
      <c r="IN77" s="20" t="n">
        <f>AND(IN73&gt;0,SUM($EU$77:IM77)=0)*IN51</f>
        <v>0</v>
      </c>
      <c r="IO77" s="20" t="n">
        <f>AND(IO73&gt;0,SUM($EU$77:IN77)=0)*IO51</f>
        <v>0</v>
      </c>
      <c r="IP77" s="20" t="n">
        <f>AND(IP73&gt;0,SUM($EU$77:IO77)=0)*IP51</f>
        <v>0</v>
      </c>
      <c r="IQ77" s="20" t="n">
        <f>AND(IQ73&gt;0,SUM($EU$77:IP77)=0)*IQ51</f>
        <v>0</v>
      </c>
      <c r="IR77" s="20" t="n">
        <f>AND(IR73&gt;0,SUM($EU$77:IQ77)=0)*IR51</f>
        <v>0</v>
      </c>
      <c r="IS77" s="20" t="n">
        <f>AND(IS73&gt;0,SUM($EU$77:IR77)=0)*IS51</f>
        <v>0</v>
      </c>
      <c r="IT77" s="20" t="n">
        <f>AND(IT73&gt;0,SUM($EU$77:IS77)=0)*IT51</f>
        <v>0</v>
      </c>
      <c r="IU77" s="20" t="n">
        <f>AND(IU73&gt;0,SUM($EU$77:IT77)=0)*IU51</f>
        <v>0</v>
      </c>
      <c r="IV77" s="20" t="n">
        <f>AND(IV73&gt;0,SUM($EU$77:IU77)=0)*IV51</f>
        <v>0</v>
      </c>
      <c r="IW77" s="20" t="n">
        <f>AND(IW73&gt;0,SUM($EU$77:IV77)=0)*IW51</f>
        <v>0</v>
      </c>
      <c r="IX77" s="20" t="n">
        <f>AND(IX73&gt;0,SUM($EU$77:IW77)=0)*IX51</f>
        <v>0</v>
      </c>
      <c r="IY77" s="20" t="n">
        <f>AND(IY73&gt;0,SUM($EU$77:IX77)=0)*IY51</f>
        <v>0</v>
      </c>
      <c r="IZ77" s="20" t="n">
        <f>AND(IZ73&gt;0,SUM($EU$77:IY77)=0)*IZ51</f>
        <v>0</v>
      </c>
      <c r="JA77" s="20" t="n">
        <f>AND(JA73&gt;0,SUM($EU$77:IZ77)=0)*JA51</f>
        <v>0</v>
      </c>
      <c r="JB77" s="20" t="n">
        <f>AND(JB73&gt;0,SUM($EU$77:JA77)=0)*JB51</f>
        <v>0</v>
      </c>
      <c r="JC77" s="20" t="n">
        <f>AND(JC73&gt;0,SUM($EU$77:JB77)=0)*JC51</f>
        <v>0</v>
      </c>
      <c r="JD77" s="20" t="n">
        <f>AND(JD73&gt;0,SUM($EU$77:JC77)=0)*JD51</f>
        <v>0</v>
      </c>
      <c r="JE77" s="20" t="n">
        <f>AND(JE73&gt;0,SUM($EU$77:JD77)=0)*JE51</f>
        <v>0</v>
      </c>
      <c r="JF77" s="20" t="n">
        <f>AND(JF73&gt;0,SUM($EU$77:JE77)=0)*JF51</f>
        <v>0</v>
      </c>
      <c r="JG77" s="20" t="n">
        <f>AND(JG73&gt;0,SUM($EU$77:JF77)=0)*JG51</f>
        <v>0</v>
      </c>
      <c r="JH77" s="20" t="n">
        <f>AND(JH73&gt;0,SUM($EU$77:JG77)=0)*JH51</f>
        <v>0</v>
      </c>
      <c r="JI77" s="20" t="n">
        <f>AND(JI73&gt;0,SUM($EU$77:JH77)=0)*JI51</f>
        <v>0</v>
      </c>
      <c r="JJ77" s="20" t="n">
        <f>AND(JJ73&gt;0,SUM($EU$77:JI77)=0)*JJ51</f>
        <v>0</v>
      </c>
      <c r="JK77" s="20" t="n">
        <f>AND(JK73&gt;0,SUM($EU$77:JJ77)=0)*JK51</f>
        <v>0</v>
      </c>
      <c r="JL77" s="20" t="n">
        <f>AND(JL73&gt;0,SUM($EU$77:JK77)=0)*JL51</f>
        <v>0</v>
      </c>
      <c r="JM77" s="20" t="n">
        <f>AND(JM73&gt;0,SUM($EU$77:JL77)=0)*JM51</f>
        <v>0</v>
      </c>
      <c r="JN77" s="20" t="n">
        <f>AND(JN73&gt;0,SUM($EU$77:JM77)=0)*JN51</f>
        <v>0</v>
      </c>
      <c r="JO77" s="20" t="n">
        <f>AND(JO73&gt;0,SUM($EU$77:JN77)=0)*JO51</f>
        <v>0</v>
      </c>
      <c r="JP77" s="20" t="n">
        <f>AND(JP73&gt;0,SUM($EU$77:JO77)=0)*JP51</f>
        <v>0</v>
      </c>
      <c r="JQ77" s="20" t="n">
        <f>AND(JQ73&gt;0,SUM($EU$77:JP77)=0)*JQ51</f>
        <v>0</v>
      </c>
      <c r="JR77" s="20" t="n">
        <f>AND(JR73&gt;0,SUM($EU$77:JQ77)=0)*JR51</f>
        <v>0</v>
      </c>
      <c r="JS77" s="20" t="n">
        <f>AND(JS73&gt;0,SUM($EU$77:JR77)=0)*JS51</f>
        <v>0</v>
      </c>
      <c r="JT77" s="20" t="n">
        <f>AND(JT73&gt;0,SUM($EU$77:JS77)=0)*JT51</f>
        <v>0</v>
      </c>
      <c r="JU77" s="20" t="n">
        <f>AND(JU73&gt;0,SUM($EU$77:JT77)=0)*JU51</f>
        <v>0</v>
      </c>
      <c r="JV77" s="20" t="n">
        <f>AND(JV73&gt;0,SUM($EU$77:JU77)=0)*JV51</f>
        <v>0</v>
      </c>
      <c r="JW77" s="20" t="n">
        <f>AND(JW73&gt;0,SUM($EU$77:JV77)=0)*JW51</f>
        <v>0</v>
      </c>
      <c r="JX77" s="20" t="n">
        <f>AND(JX73&gt;0,SUM($EU$77:JW77)=0)*JX51</f>
        <v>0</v>
      </c>
      <c r="JZ77" s="446"/>
      <c r="KA77" s="446"/>
      <c r="KB77" s="446"/>
      <c r="KC77" s="446"/>
      <c r="KD77" s="446"/>
      <c r="KE77" s="446"/>
      <c r="KF77" s="446"/>
      <c r="KG77" s="446"/>
      <c r="KH77" s="446"/>
      <c r="KI77" s="446"/>
      <c r="KJ77" s="446"/>
      <c r="KK77" s="446"/>
      <c r="KL77" s="446"/>
      <c r="KM77" s="446"/>
      <c r="KN77" s="446"/>
      <c r="KO77" s="446"/>
      <c r="KP77" s="446"/>
      <c r="KQ77" s="446"/>
      <c r="KR77" s="446"/>
      <c r="KS77" s="446"/>
      <c r="KT77" s="446"/>
      <c r="KU77" s="446"/>
      <c r="KV77" s="446"/>
      <c r="KW77" s="446"/>
      <c r="KX77" s="446"/>
      <c r="KY77" s="446"/>
      <c r="KZ77" s="446"/>
      <c r="LA77" s="446"/>
      <c r="LB77" s="446"/>
      <c r="LC77" s="446"/>
      <c r="LD77" s="446"/>
      <c r="LE77" s="446"/>
      <c r="LF77" s="446"/>
      <c r="LG77" s="446"/>
      <c r="LH77" s="446"/>
      <c r="LI77" s="446"/>
      <c r="LJ77" s="446"/>
      <c r="LK77" s="446"/>
      <c r="LL77" s="446"/>
      <c r="LM77" s="446"/>
      <c r="LN77" s="446"/>
      <c r="LO77" s="446"/>
      <c r="LP77" s="446"/>
      <c r="LQ77" s="446"/>
      <c r="LR77" s="446"/>
      <c r="LS77" s="446"/>
      <c r="LT77" s="446"/>
      <c r="LU77" s="446"/>
      <c r="LV77" s="446"/>
      <c r="LW77" s="446"/>
      <c r="LX77" s="446"/>
      <c r="LY77" s="446"/>
      <c r="LZ77" s="446"/>
      <c r="MA77" s="446"/>
      <c r="MB77" s="446"/>
      <c r="MC77" s="446"/>
      <c r="MD77" s="446"/>
      <c r="ME77" s="446"/>
      <c r="MF77" s="446"/>
      <c r="MG77" s="446"/>
      <c r="MH77" s="446"/>
      <c r="MI77" s="446"/>
      <c r="MJ77" s="446"/>
      <c r="MK77" s="446"/>
      <c r="ML77" s="446"/>
      <c r="MM77" s="446"/>
      <c r="MN77" s="446"/>
      <c r="MO77" s="446"/>
      <c r="MP77" s="446"/>
      <c r="MQ77" s="446"/>
      <c r="MR77" s="446"/>
      <c r="MS77" s="446"/>
      <c r="MT77" s="446"/>
      <c r="MU77" s="446"/>
      <c r="MV77" s="446"/>
      <c r="MW77" s="446"/>
      <c r="MX77" s="446"/>
      <c r="MY77" s="446"/>
      <c r="MZ77" s="446"/>
      <c r="NA77" s="446"/>
      <c r="NB77" s="446"/>
      <c r="NC77" s="446"/>
      <c r="ND77" s="446"/>
      <c r="NE77" s="446"/>
      <c r="NF77" s="446"/>
      <c r="NG77" s="446"/>
      <c r="NH77" s="446"/>
      <c r="NI77" s="446"/>
      <c r="NJ77" s="446"/>
      <c r="NK77" s="446"/>
      <c r="NL77" s="446"/>
      <c r="NM77" s="446"/>
      <c r="NN77" s="446"/>
      <c r="NO77" s="446"/>
      <c r="NP77" s="446"/>
      <c r="NQ77" s="446"/>
      <c r="NR77" s="446"/>
      <c r="NS77" s="446"/>
      <c r="NT77" s="446"/>
      <c r="NU77" s="446"/>
      <c r="NV77" s="446"/>
      <c r="NW77" s="446"/>
      <c r="NX77" s="446"/>
      <c r="NY77" s="446"/>
      <c r="NZ77" s="446"/>
      <c r="OA77" s="446"/>
      <c r="OB77" s="446"/>
      <c r="OC77" s="446"/>
      <c r="OD77" s="446"/>
      <c r="OE77" s="446"/>
      <c r="OF77" s="446"/>
      <c r="OG77" s="446"/>
      <c r="OH77" s="446"/>
      <c r="OI77" s="446"/>
      <c r="OJ77" s="446"/>
      <c r="OK77" s="446"/>
      <c r="OL77" s="446"/>
      <c r="OM77" s="446"/>
      <c r="ON77" s="446"/>
      <c r="OO77" s="446"/>
      <c r="OP77" s="446"/>
      <c r="OQ77" s="446"/>
      <c r="OR77" s="446"/>
      <c r="OS77" s="446"/>
      <c r="OT77" s="446"/>
      <c r="OU77" s="446"/>
      <c r="OV77" s="446"/>
      <c r="OW77" s="446"/>
      <c r="OX77" s="446"/>
      <c r="OY77" s="446"/>
      <c r="OZ77" s="446"/>
      <c r="PA77" s="446"/>
      <c r="PB77" s="446"/>
      <c r="PC77" s="446"/>
      <c r="PD77" s="446"/>
      <c r="PE77" s="446"/>
      <c r="PF77" s="446"/>
      <c r="PG77" s="446"/>
      <c r="PH77" s="446"/>
    </row>
    <row r="78" s="24" customFormat="1" ht="13.5">
      <c r="B78" s="411" t="str">
        <f>IF(Perm_Debt?=0,"PERMANENT DEBT - NOT IN USE","PERMANENT DEBT - ACTIVE")</f>
        <v>PERMANENT DEBT - NOT IN USE</v>
      </c>
      <c r="C78" s="460"/>
      <c r="D78" s="460"/>
      <c r="E78" s="460"/>
      <c r="F78" s="460"/>
      <c r="G78" s="460"/>
      <c r="H78" s="456" t="s">
        <v>197</v>
      </c>
      <c r="I78" s="457" t="s">
        <v>198</v>
      </c>
      <c r="K78" s="444"/>
      <c r="L78" s="205"/>
      <c r="M78" s="205"/>
      <c r="N78" s="205"/>
      <c r="O78" s="205"/>
      <c r="P78" s="205"/>
      <c r="Q78" s="205"/>
      <c r="R78" s="205"/>
      <c r="S78" s="205"/>
      <c r="T78" s="205"/>
      <c r="U78" s="205"/>
      <c r="V78" s="205"/>
      <c r="W78" s="205"/>
      <c r="X78" s="205"/>
      <c r="Y78" s="205"/>
      <c r="Z78" s="205"/>
      <c r="AA78" s="205"/>
      <c r="AB78" s="205"/>
      <c r="AC78" s="205"/>
      <c r="AD78" s="205"/>
      <c r="AE78" s="205"/>
      <c r="AF78" s="205"/>
      <c r="AG78" s="205"/>
      <c r="AH78" s="205"/>
      <c r="AI78" s="205"/>
      <c r="AJ78" s="205"/>
      <c r="AK78" s="205"/>
      <c r="AL78" s="205"/>
      <c r="AM78" s="205"/>
      <c r="AN78" s="205"/>
      <c r="AO78" s="205"/>
      <c r="AP78" s="205"/>
      <c r="AQ78" s="205"/>
      <c r="AR78" s="205"/>
      <c r="AS78" s="205"/>
      <c r="AT78" s="205"/>
      <c r="AU78" s="205"/>
      <c r="AV78" s="205"/>
      <c r="AW78" s="205"/>
      <c r="AX78" s="205"/>
      <c r="AY78" s="205"/>
      <c r="AZ78" s="205"/>
      <c r="BA78" s="205"/>
      <c r="BB78" s="205"/>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c r="BY78" s="205"/>
      <c r="BZ78" s="205"/>
      <c r="CA78" s="205"/>
      <c r="CB78" s="205"/>
      <c r="CC78" s="205"/>
      <c r="CD78" s="205"/>
      <c r="CE78" s="205"/>
      <c r="CF78" s="205"/>
      <c r="CG78" s="205"/>
      <c r="CH78" s="205"/>
      <c r="CI78" s="205"/>
      <c r="CJ78" s="205"/>
      <c r="CK78" s="205"/>
      <c r="CL78" s="205"/>
      <c r="CM78" s="205"/>
      <c r="CN78" s="205"/>
      <c r="CO78" s="205"/>
      <c r="CP78" s="205"/>
      <c r="CQ78" s="205"/>
      <c r="CR78" s="205"/>
      <c r="CS78" s="205"/>
      <c r="CT78" s="205"/>
      <c r="CU78" s="205"/>
      <c r="CV78" s="205"/>
      <c r="CW78" s="205"/>
      <c r="CX78" s="205"/>
      <c r="CY78" s="205"/>
      <c r="CZ78" s="205"/>
      <c r="DA78" s="205"/>
      <c r="DB78" s="205"/>
      <c r="DC78" s="205"/>
      <c r="DD78" s="205"/>
      <c r="DE78" s="205"/>
      <c r="DF78" s="205"/>
      <c r="DG78" s="205"/>
      <c r="DH78" s="205"/>
      <c r="DI78" s="205"/>
      <c r="DJ78" s="205"/>
      <c r="DK78" s="205"/>
      <c r="DL78" s="205"/>
      <c r="DM78" s="205"/>
      <c r="DN78" s="205"/>
      <c r="DO78" s="205"/>
      <c r="DP78" s="205"/>
      <c r="DQ78" s="205"/>
      <c r="DR78" s="205"/>
      <c r="DS78" s="205"/>
      <c r="DT78" s="205"/>
      <c r="DU78" s="205"/>
      <c r="DV78" s="205"/>
      <c r="DW78" s="205"/>
      <c r="DX78" s="205"/>
      <c r="DY78" s="205"/>
      <c r="DZ78" s="205"/>
      <c r="EA78" s="205"/>
      <c r="EB78" s="205"/>
      <c r="EC78" s="205"/>
      <c r="ED78" s="205"/>
      <c r="EE78" s="205"/>
      <c r="EF78" s="205"/>
      <c r="EG78" s="205"/>
      <c r="EH78" s="205"/>
      <c r="EI78" s="205"/>
      <c r="EJ78" s="205"/>
      <c r="EK78" s="205"/>
      <c r="EL78" s="205"/>
      <c r="EM78" s="205"/>
      <c r="EN78" s="205"/>
      <c r="EO78" s="444"/>
      <c r="EP78" s="220"/>
      <c r="EQ78" s="18"/>
      <c r="ER78" s="18"/>
      <c r="ES78" s="18"/>
      <c r="ET78" s="18"/>
      <c r="EU78" s="18"/>
      <c r="EV78" s="18"/>
      <c r="EW78" s="18"/>
      <c r="EX78" s="18"/>
      <c r="EY78" s="18"/>
      <c r="EZ78" s="18"/>
      <c r="FA78" s="18"/>
      <c r="FB78" s="18"/>
      <c r="FC78" s="18"/>
      <c r="FD78" s="18"/>
      <c r="FE78" s="18"/>
      <c r="FF78" s="18"/>
      <c r="FG78" s="18"/>
      <c r="FH78" s="18"/>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8"/>
      <c r="GN78" s="18"/>
      <c r="GO78" s="18"/>
      <c r="GP78" s="18"/>
      <c r="GQ78" s="18"/>
      <c r="GR78" s="18"/>
      <c r="GS78" s="18"/>
      <c r="GT78" s="18"/>
      <c r="GU78" s="18"/>
      <c r="GV78" s="18"/>
      <c r="GW78" s="18"/>
      <c r="GX78" s="18"/>
      <c r="GY78" s="18"/>
      <c r="GZ78" s="18"/>
      <c r="HA78" s="18"/>
      <c r="HB78" s="18"/>
      <c r="HC78" s="18"/>
      <c r="HD78" s="18"/>
      <c r="HE78" s="18"/>
      <c r="HF78" s="18"/>
      <c r="HG78" s="18"/>
      <c r="HH78" s="18"/>
      <c r="HI78" s="18"/>
      <c r="HJ78" s="18"/>
      <c r="HK78" s="18"/>
      <c r="HL78" s="18"/>
      <c r="HM78" s="18"/>
      <c r="HN78" s="18"/>
      <c r="HO78" s="18"/>
      <c r="HP78" s="18"/>
      <c r="HQ78" s="18"/>
      <c r="HR78" s="18"/>
      <c r="HS78" s="18"/>
      <c r="HT78" s="18"/>
      <c r="HU78" s="18"/>
      <c r="HV78" s="18"/>
      <c r="HW78" s="18"/>
      <c r="HX78" s="18"/>
      <c r="HY78" s="18"/>
      <c r="HZ78" s="18"/>
      <c r="IA78" s="18"/>
      <c r="IB78" s="18"/>
      <c r="IC78" s="18"/>
      <c r="ID78" s="18"/>
      <c r="IE78" s="18"/>
      <c r="IF78" s="18"/>
      <c r="IG78" s="18"/>
      <c r="IH78" s="18"/>
      <c r="II78" s="18"/>
      <c r="IJ78" s="18"/>
      <c r="IK78" s="18"/>
      <c r="IL78" s="18"/>
      <c r="IM78" s="18"/>
      <c r="IN78" s="18"/>
      <c r="IO78" s="18"/>
      <c r="IP78" s="18"/>
      <c r="IQ78" s="18"/>
      <c r="IR78" s="18"/>
      <c r="IS78" s="18"/>
      <c r="IT78" s="18"/>
      <c r="IU78" s="18"/>
      <c r="IV78" s="18"/>
      <c r="IW78" s="18"/>
      <c r="IX78" s="18"/>
      <c r="IY78" s="18"/>
      <c r="IZ78" s="18"/>
      <c r="JA78" s="18"/>
      <c r="JB78" s="18"/>
      <c r="JC78" s="18"/>
      <c r="JD78" s="18"/>
      <c r="JE78" s="18"/>
      <c r="JF78" s="18"/>
      <c r="JG78" s="18"/>
      <c r="JH78" s="18"/>
      <c r="JI78" s="18"/>
      <c r="JJ78" s="18"/>
      <c r="JK78" s="18"/>
      <c r="JL78" s="18"/>
      <c r="JM78" s="18"/>
      <c r="JN78" s="18"/>
      <c r="JO78" s="18"/>
      <c r="JP78" s="18"/>
      <c r="JQ78" s="18"/>
      <c r="JR78" s="18"/>
      <c r="JS78" s="18"/>
      <c r="JT78" s="18"/>
      <c r="JU78" s="18"/>
      <c r="JV78" s="18"/>
      <c r="JW78" s="18"/>
      <c r="JX78" s="18"/>
      <c r="JZ78" s="446"/>
      <c r="KA78" s="446"/>
      <c r="KB78" s="446"/>
      <c r="KC78" s="446"/>
      <c r="KD78" s="446"/>
      <c r="KE78" s="446"/>
      <c r="KF78" s="446"/>
      <c r="KG78" s="446"/>
      <c r="KH78" s="446"/>
      <c r="KI78" s="446"/>
      <c r="KJ78" s="446"/>
      <c r="KK78" s="446"/>
      <c r="KL78" s="446"/>
      <c r="KM78" s="446"/>
      <c r="KN78" s="446"/>
      <c r="KO78" s="446"/>
      <c r="KP78" s="446"/>
      <c r="KQ78" s="446"/>
      <c r="KR78" s="446"/>
      <c r="KS78" s="446"/>
      <c r="KT78" s="446"/>
      <c r="KU78" s="446"/>
      <c r="KV78" s="446"/>
      <c r="KW78" s="446"/>
      <c r="KX78" s="446"/>
      <c r="KY78" s="446"/>
      <c r="KZ78" s="446"/>
      <c r="LA78" s="446"/>
      <c r="LB78" s="446"/>
      <c r="LC78" s="446"/>
      <c r="LD78" s="446"/>
      <c r="LE78" s="446"/>
      <c r="LF78" s="446"/>
      <c r="LG78" s="446"/>
      <c r="LH78" s="446"/>
      <c r="LI78" s="446"/>
      <c r="LJ78" s="446"/>
      <c r="LK78" s="446"/>
      <c r="LL78" s="446"/>
      <c r="LM78" s="446"/>
      <c r="LN78" s="446"/>
      <c r="LO78" s="446"/>
      <c r="LP78" s="446"/>
      <c r="LQ78" s="446"/>
      <c r="LR78" s="446"/>
      <c r="LS78" s="446"/>
      <c r="LT78" s="446"/>
      <c r="LU78" s="446"/>
      <c r="LV78" s="446"/>
      <c r="LW78" s="446"/>
      <c r="LX78" s="446"/>
      <c r="LY78" s="446"/>
      <c r="LZ78" s="446"/>
      <c r="MA78" s="446"/>
      <c r="MB78" s="446"/>
      <c r="MC78" s="446"/>
      <c r="MD78" s="446"/>
      <c r="ME78" s="446"/>
      <c r="MF78" s="446"/>
      <c r="MG78" s="446"/>
      <c r="MH78" s="446"/>
      <c r="MI78" s="446"/>
      <c r="MJ78" s="446"/>
      <c r="MK78" s="446"/>
      <c r="ML78" s="446"/>
      <c r="MM78" s="446"/>
      <c r="MN78" s="446"/>
      <c r="MO78" s="446"/>
      <c r="MP78" s="446"/>
      <c r="MQ78" s="446"/>
      <c r="MR78" s="446"/>
      <c r="MS78" s="446"/>
      <c r="MT78" s="446"/>
      <c r="MU78" s="446"/>
      <c r="MV78" s="446"/>
      <c r="MW78" s="446"/>
      <c r="MX78" s="446"/>
      <c r="MY78" s="446"/>
      <c r="MZ78" s="446"/>
      <c r="NA78" s="446"/>
      <c r="NB78" s="446"/>
      <c r="NC78" s="446"/>
      <c r="ND78" s="446"/>
      <c r="NE78" s="446"/>
      <c r="NF78" s="446"/>
      <c r="NG78" s="446"/>
      <c r="NH78" s="446"/>
      <c r="NI78" s="446"/>
      <c r="NJ78" s="446"/>
      <c r="NK78" s="446"/>
      <c r="NL78" s="446"/>
      <c r="NM78" s="446"/>
      <c r="NN78" s="446"/>
      <c r="NO78" s="446"/>
      <c r="NP78" s="446"/>
      <c r="NQ78" s="446"/>
      <c r="NR78" s="446"/>
      <c r="NS78" s="446"/>
      <c r="NT78" s="446"/>
      <c r="NU78" s="446"/>
      <c r="NV78" s="446"/>
      <c r="NW78" s="446"/>
      <c r="NX78" s="446"/>
      <c r="NY78" s="446"/>
      <c r="NZ78" s="446"/>
      <c r="OA78" s="446"/>
      <c r="OB78" s="446"/>
      <c r="OC78" s="446"/>
      <c r="OD78" s="446"/>
      <c r="OE78" s="446"/>
      <c r="OF78" s="446"/>
      <c r="OG78" s="446"/>
      <c r="OH78" s="446"/>
      <c r="OI78" s="446"/>
      <c r="OJ78" s="446"/>
      <c r="OK78" s="446"/>
      <c r="OL78" s="446"/>
      <c r="OM78" s="446"/>
      <c r="ON78" s="446"/>
      <c r="OO78" s="446"/>
      <c r="OP78" s="446"/>
      <c r="OQ78" s="446"/>
      <c r="OR78" s="446"/>
      <c r="OS78" s="446"/>
      <c r="OT78" s="446"/>
      <c r="OU78" s="446"/>
      <c r="OV78" s="446"/>
      <c r="OW78" s="446"/>
      <c r="OX78" s="446"/>
      <c r="OY78" s="446"/>
      <c r="OZ78" s="446"/>
      <c r="PA78" s="446"/>
      <c r="PB78" s="446"/>
      <c r="PC78" s="446"/>
      <c r="PD78" s="446"/>
      <c r="PE78" s="446"/>
      <c r="PF78" s="446"/>
      <c r="PG78" s="446"/>
      <c r="PH78" s="446"/>
    </row>
    <row r="79" s="24" customFormat="1">
      <c r="A79" s="461">
        <v>0</v>
      </c>
      <c r="B79" s="62"/>
      <c r="C79" s="458"/>
      <c r="D79" s="458"/>
      <c r="E79" s="458"/>
      <c r="F79" s="63"/>
      <c r="G79" s="137"/>
      <c r="H79" s="137"/>
      <c r="I79" s="64"/>
      <c r="K79" s="444"/>
      <c r="L79" s="205"/>
      <c r="M79" s="205"/>
      <c r="N79" s="205"/>
      <c r="O79" s="205"/>
      <c r="P79" s="205"/>
      <c r="Q79" s="205"/>
      <c r="R79" s="205"/>
      <c r="S79" s="205"/>
      <c r="T79" s="205"/>
      <c r="U79" s="205"/>
      <c r="V79" s="205"/>
      <c r="W79" s="205"/>
      <c r="X79" s="205"/>
      <c r="Y79" s="205"/>
      <c r="Z79" s="205"/>
      <c r="AA79" s="205"/>
      <c r="AB79" s="205"/>
      <c r="AC79" s="205"/>
      <c r="AD79" s="205"/>
      <c r="AE79" s="205"/>
      <c r="AF79" s="205"/>
      <c r="AG79" s="205"/>
      <c r="AH79" s="205"/>
      <c r="AI79" s="205"/>
      <c r="AJ79" s="205"/>
      <c r="AK79" s="205"/>
      <c r="AL79" s="205"/>
      <c r="AM79" s="205"/>
      <c r="AN79" s="205"/>
      <c r="AO79" s="205"/>
      <c r="AP79" s="205"/>
      <c r="AQ79" s="205"/>
      <c r="AR79" s="205"/>
      <c r="AS79" s="205"/>
      <c r="AT79" s="205"/>
      <c r="AU79" s="205"/>
      <c r="AV79" s="205"/>
      <c r="AW79" s="205"/>
      <c r="AX79" s="205"/>
      <c r="AY79" s="205"/>
      <c r="AZ79" s="205"/>
      <c r="BA79" s="205"/>
      <c r="BB79" s="205"/>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c r="BY79" s="205"/>
      <c r="BZ79" s="205"/>
      <c r="CA79" s="205"/>
      <c r="CB79" s="205"/>
      <c r="CC79" s="205"/>
      <c r="CD79" s="205"/>
      <c r="CE79" s="205"/>
      <c r="CF79" s="205"/>
      <c r="CG79" s="205"/>
      <c r="CH79" s="205"/>
      <c r="CI79" s="205"/>
      <c r="CJ79" s="205"/>
      <c r="CK79" s="205"/>
      <c r="CL79" s="205"/>
      <c r="CM79" s="205"/>
      <c r="CN79" s="205"/>
      <c r="CO79" s="205"/>
      <c r="CP79" s="205"/>
      <c r="CQ79" s="205"/>
      <c r="CR79" s="205"/>
      <c r="CS79" s="205"/>
      <c r="CT79" s="205"/>
      <c r="CU79" s="205"/>
      <c r="CV79" s="205"/>
      <c r="CW79" s="205"/>
      <c r="CX79" s="205"/>
      <c r="CY79" s="205"/>
      <c r="CZ79" s="205"/>
      <c r="DA79" s="205"/>
      <c r="DB79" s="205"/>
      <c r="DC79" s="205"/>
      <c r="DD79" s="205"/>
      <c r="DE79" s="205"/>
      <c r="DF79" s="205"/>
      <c r="DG79" s="205"/>
      <c r="DH79" s="205"/>
      <c r="DI79" s="205"/>
      <c r="DJ79" s="205"/>
      <c r="DK79" s="205"/>
      <c r="DL79" s="205"/>
      <c r="DM79" s="205"/>
      <c r="DN79" s="205"/>
      <c r="DO79" s="205"/>
      <c r="DP79" s="205"/>
      <c r="DQ79" s="205"/>
      <c r="DR79" s="205"/>
      <c r="DS79" s="205"/>
      <c r="DT79" s="205"/>
      <c r="DU79" s="205"/>
      <c r="DV79" s="205"/>
      <c r="DW79" s="205"/>
      <c r="DX79" s="205"/>
      <c r="DY79" s="205"/>
      <c r="DZ79" s="205"/>
      <c r="EA79" s="205"/>
      <c r="EB79" s="205"/>
      <c r="EC79" s="205"/>
      <c r="ED79" s="205"/>
      <c r="EE79" s="205"/>
      <c r="EF79" s="205"/>
      <c r="EG79" s="205"/>
      <c r="EH79" s="205"/>
      <c r="EI79" s="205"/>
      <c r="EJ79" s="205"/>
      <c r="EK79" s="205"/>
      <c r="EL79" s="205"/>
      <c r="EM79" s="205"/>
      <c r="EN79" s="205"/>
      <c r="EO79" s="444"/>
      <c r="EP79" s="220"/>
      <c r="EQ79" s="18"/>
      <c r="ER79" s="18"/>
      <c r="ES79" s="18"/>
      <c r="ET79" s="18"/>
      <c r="EU79" s="18"/>
      <c r="EV79" s="18"/>
      <c r="EW79" s="18"/>
      <c r="EX79" s="18"/>
      <c r="EY79" s="18"/>
      <c r="EZ79" s="18"/>
      <c r="FA79" s="18"/>
      <c r="FB79" s="18"/>
      <c r="FC79" s="18"/>
      <c r="FD79" s="18"/>
      <c r="FE79" s="18"/>
      <c r="FF79" s="18"/>
      <c r="FG79" s="18"/>
      <c r="FH79" s="18"/>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8"/>
      <c r="GN79" s="18"/>
      <c r="GO79" s="18"/>
      <c r="GP79" s="18"/>
      <c r="GQ79" s="18"/>
      <c r="GR79" s="18"/>
      <c r="GS79" s="18"/>
      <c r="GT79" s="18"/>
      <c r="GU79" s="18"/>
      <c r="GV79" s="18"/>
      <c r="GW79" s="18"/>
      <c r="GX79" s="18"/>
      <c r="GY79" s="18"/>
      <c r="GZ79" s="18"/>
      <c r="HA79" s="18"/>
      <c r="HB79" s="18"/>
      <c r="HC79" s="18"/>
      <c r="HD79" s="18"/>
      <c r="HE79" s="18"/>
      <c r="HF79" s="18"/>
      <c r="HG79" s="18"/>
      <c r="HH79" s="18"/>
      <c r="HI79" s="18"/>
      <c r="HJ79" s="18"/>
      <c r="HK79" s="18"/>
      <c r="HL79" s="18"/>
      <c r="HM79" s="18"/>
      <c r="HN79" s="18"/>
      <c r="HO79" s="18"/>
      <c r="HP79" s="18"/>
      <c r="HQ79" s="18"/>
      <c r="HR79" s="18"/>
      <c r="HS79" s="18"/>
      <c r="HT79" s="18"/>
      <c r="HU79" s="18"/>
      <c r="HV79" s="18"/>
      <c r="HW79" s="18"/>
      <c r="HX79" s="18"/>
      <c r="HY79" s="18"/>
      <c r="HZ79" s="18"/>
      <c r="IA79" s="18"/>
      <c r="IB79" s="18"/>
      <c r="IC79" s="18"/>
      <c r="ID79" s="18"/>
      <c r="IE79" s="18"/>
      <c r="IF79" s="18"/>
      <c r="IG79" s="18"/>
      <c r="IH79" s="18"/>
      <c r="II79" s="18"/>
      <c r="IJ79" s="18"/>
      <c r="IK79" s="18"/>
      <c r="IL79" s="18"/>
      <c r="IM79" s="18"/>
      <c r="IN79" s="18"/>
      <c r="IO79" s="18"/>
      <c r="IP79" s="18"/>
      <c r="IQ79" s="18"/>
      <c r="IR79" s="18"/>
      <c r="IS79" s="18"/>
      <c r="IT79" s="18"/>
      <c r="IU79" s="18"/>
      <c r="IV79" s="18"/>
      <c r="IW79" s="18"/>
      <c r="IX79" s="18"/>
      <c r="IY79" s="18"/>
      <c r="IZ79" s="18"/>
      <c r="JA79" s="18"/>
      <c r="JB79" s="18"/>
      <c r="JC79" s="18"/>
      <c r="JD79" s="18"/>
      <c r="JE79" s="18"/>
      <c r="JF79" s="18"/>
      <c r="JG79" s="18"/>
      <c r="JH79" s="18"/>
      <c r="JI79" s="18"/>
      <c r="JJ79" s="18"/>
      <c r="JK79" s="18"/>
      <c r="JL79" s="18"/>
      <c r="JM79" s="18"/>
      <c r="JN79" s="18"/>
      <c r="JO79" s="18"/>
      <c r="JP79" s="18"/>
      <c r="JQ79" s="18"/>
      <c r="JR79" s="18"/>
      <c r="JS79" s="18"/>
      <c r="JT79" s="18"/>
      <c r="JU79" s="18"/>
      <c r="JV79" s="18"/>
      <c r="JW79" s="18"/>
      <c r="JX79" s="18"/>
      <c r="JZ79" s="446"/>
      <c r="KA79" s="446"/>
      <c r="KB79" s="446"/>
      <c r="KC79" s="446"/>
      <c r="KD79" s="446"/>
      <c r="KE79" s="446"/>
      <c r="KF79" s="446"/>
      <c r="KG79" s="446"/>
      <c r="KH79" s="446"/>
      <c r="KI79" s="446"/>
      <c r="KJ79" s="446"/>
      <c r="KK79" s="446"/>
      <c r="KL79" s="446"/>
      <c r="KM79" s="446"/>
      <c r="KN79" s="446"/>
      <c r="KO79" s="446"/>
      <c r="KP79" s="446"/>
      <c r="KQ79" s="446"/>
      <c r="KR79" s="446"/>
      <c r="KS79" s="446"/>
      <c r="KT79" s="446"/>
      <c r="KU79" s="446"/>
      <c r="KV79" s="446"/>
      <c r="KW79" s="446"/>
      <c r="KX79" s="446"/>
      <c r="KY79" s="446"/>
      <c r="KZ79" s="446"/>
      <c r="LA79" s="446"/>
      <c r="LB79" s="446"/>
      <c r="LC79" s="446"/>
      <c r="LD79" s="446"/>
      <c r="LE79" s="446"/>
      <c r="LF79" s="446"/>
      <c r="LG79" s="446"/>
      <c r="LH79" s="446"/>
      <c r="LI79" s="446"/>
      <c r="LJ79" s="446"/>
      <c r="LK79" s="446"/>
      <c r="LL79" s="446"/>
      <c r="LM79" s="446"/>
      <c r="LN79" s="446"/>
      <c r="LO79" s="446"/>
      <c r="LP79" s="446"/>
      <c r="LQ79" s="446"/>
      <c r="LR79" s="446"/>
      <c r="LS79" s="446"/>
      <c r="LT79" s="446"/>
      <c r="LU79" s="446"/>
      <c r="LV79" s="446"/>
      <c r="LW79" s="446"/>
      <c r="LX79" s="446"/>
      <c r="LY79" s="446"/>
      <c r="LZ79" s="446"/>
      <c r="MA79" s="446"/>
      <c r="MB79" s="446"/>
      <c r="MC79" s="446"/>
      <c r="MD79" s="446"/>
      <c r="ME79" s="446"/>
      <c r="MF79" s="446"/>
      <c r="MG79" s="446"/>
      <c r="MH79" s="446"/>
      <c r="MI79" s="446"/>
      <c r="MJ79" s="446"/>
      <c r="MK79" s="446"/>
      <c r="ML79" s="446"/>
      <c r="MM79" s="446"/>
      <c r="MN79" s="446"/>
      <c r="MO79" s="446"/>
      <c r="MP79" s="446"/>
      <c r="MQ79" s="446"/>
      <c r="MR79" s="446"/>
      <c r="MS79" s="446"/>
      <c r="MT79" s="446"/>
      <c r="MU79" s="446"/>
      <c r="MV79" s="446"/>
      <c r="MW79" s="446"/>
      <c r="MX79" s="446"/>
      <c r="MY79" s="446"/>
      <c r="MZ79" s="446"/>
      <c r="NA79" s="446"/>
      <c r="NB79" s="446"/>
      <c r="NC79" s="446"/>
      <c r="ND79" s="446"/>
      <c r="NE79" s="446"/>
      <c r="NF79" s="446"/>
      <c r="NG79" s="446"/>
      <c r="NH79" s="446"/>
      <c r="NI79" s="446"/>
      <c r="NJ79" s="446"/>
      <c r="NK79" s="446"/>
      <c r="NL79" s="446"/>
      <c r="NM79" s="446"/>
      <c r="NN79" s="446"/>
      <c r="NO79" s="446"/>
      <c r="NP79" s="446"/>
      <c r="NQ79" s="446"/>
      <c r="NR79" s="446"/>
      <c r="NS79" s="446"/>
      <c r="NT79" s="446"/>
      <c r="NU79" s="446"/>
      <c r="NV79" s="446"/>
      <c r="NW79" s="446"/>
      <c r="NX79" s="446"/>
      <c r="NY79" s="446"/>
      <c r="NZ79" s="446"/>
      <c r="OA79" s="446"/>
      <c r="OB79" s="446"/>
      <c r="OC79" s="446"/>
      <c r="OD79" s="446"/>
      <c r="OE79" s="446"/>
      <c r="OF79" s="446"/>
      <c r="OG79" s="446"/>
      <c r="OH79" s="446"/>
      <c r="OI79" s="446"/>
      <c r="OJ79" s="446"/>
      <c r="OK79" s="446"/>
      <c r="OL79" s="446"/>
      <c r="OM79" s="446"/>
      <c r="ON79" s="446"/>
      <c r="OO79" s="446"/>
      <c r="OP79" s="446"/>
      <c r="OQ79" s="446"/>
      <c r="OR79" s="446"/>
      <c r="OS79" s="446"/>
      <c r="OT79" s="446"/>
      <c r="OU79" s="446"/>
      <c r="OV79" s="446"/>
      <c r="OW79" s="446"/>
      <c r="OX79" s="446"/>
      <c r="OY79" s="446"/>
      <c r="OZ79" s="446"/>
      <c r="PA79" s="446"/>
      <c r="PB79" s="446"/>
      <c r="PC79" s="446"/>
      <c r="PD79" s="446"/>
      <c r="PE79" s="446"/>
      <c r="PF79" s="446"/>
      <c r="PG79" s="446"/>
      <c r="PH79" s="446"/>
    </row>
    <row r="80" s="24" customFormat="1">
      <c r="A80" s="441"/>
      <c r="B80" s="427"/>
      <c r="C80" s="416" t="s">
        <v>199</v>
      </c>
      <c r="D80" s="416" t="s">
        <v>200</v>
      </c>
      <c r="E80" s="416" t="s">
        <v>162</v>
      </c>
      <c r="F80" s="136" t="s">
        <v>201</v>
      </c>
      <c r="G80" s="136" t="s">
        <v>202</v>
      </c>
      <c r="H80" s="416" t="s">
        <v>203</v>
      </c>
      <c r="I80" s="416" t="s">
        <v>130</v>
      </c>
      <c r="K80" s="444"/>
      <c r="L80" s="205"/>
      <c r="M80" s="205"/>
      <c r="N80" s="205"/>
      <c r="O80" s="205"/>
      <c r="P80" s="205"/>
      <c r="Q80" s="205"/>
      <c r="R80" s="205"/>
      <c r="S80" s="205"/>
      <c r="T80" s="205"/>
      <c r="U80" s="205"/>
      <c r="V80" s="205"/>
      <c r="W80" s="205"/>
      <c r="X80" s="205"/>
      <c r="Y80" s="205"/>
      <c r="Z80" s="205"/>
      <c r="AA80" s="205"/>
      <c r="AB80" s="205"/>
      <c r="AC80" s="205"/>
      <c r="AD80" s="205"/>
      <c r="AE80" s="205"/>
      <c r="AF80" s="205"/>
      <c r="AG80" s="205"/>
      <c r="AH80" s="205"/>
      <c r="AI80" s="205"/>
      <c r="AJ80" s="205"/>
      <c r="AK80" s="205"/>
      <c r="AL80" s="205"/>
      <c r="AM80" s="205"/>
      <c r="AN80" s="205"/>
      <c r="AO80" s="205"/>
      <c r="AP80" s="205"/>
      <c r="AQ80" s="205"/>
      <c r="AR80" s="205"/>
      <c r="AS80" s="205"/>
      <c r="AT80" s="205"/>
      <c r="AU80" s="205"/>
      <c r="AV80" s="205"/>
      <c r="AW80" s="205"/>
      <c r="AX80" s="205"/>
      <c r="AY80" s="205"/>
      <c r="AZ80" s="205"/>
      <c r="BA80" s="205"/>
      <c r="BB80" s="205"/>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c r="BY80" s="205"/>
      <c r="BZ80" s="205"/>
      <c r="CA80" s="205"/>
      <c r="CB80" s="205"/>
      <c r="CC80" s="205"/>
      <c r="CD80" s="205"/>
      <c r="CE80" s="205"/>
      <c r="CF80" s="205"/>
      <c r="CG80" s="205"/>
      <c r="CH80" s="205"/>
      <c r="CI80" s="205"/>
      <c r="CJ80" s="205"/>
      <c r="CK80" s="205"/>
      <c r="CL80" s="205"/>
      <c r="CM80" s="205"/>
      <c r="CN80" s="205"/>
      <c r="CO80" s="205"/>
      <c r="CP80" s="205"/>
      <c r="CQ80" s="205"/>
      <c r="CR80" s="205"/>
      <c r="CS80" s="205"/>
      <c r="CT80" s="205"/>
      <c r="CU80" s="205"/>
      <c r="CV80" s="205"/>
      <c r="CW80" s="205"/>
      <c r="CX80" s="205"/>
      <c r="CY80" s="205"/>
      <c r="CZ80" s="205"/>
      <c r="DA80" s="205"/>
      <c r="DB80" s="205"/>
      <c r="DC80" s="205"/>
      <c r="DD80" s="205"/>
      <c r="DE80" s="205"/>
      <c r="DF80" s="205"/>
      <c r="DG80" s="205"/>
      <c r="DH80" s="205"/>
      <c r="DI80" s="205"/>
      <c r="DJ80" s="205"/>
      <c r="DK80" s="205"/>
      <c r="DL80" s="205"/>
      <c r="DM80" s="205"/>
      <c r="DN80" s="205"/>
      <c r="DO80" s="205"/>
      <c r="DP80" s="205"/>
      <c r="DQ80" s="205"/>
      <c r="DR80" s="205"/>
      <c r="DS80" s="205"/>
      <c r="DT80" s="205"/>
      <c r="DU80" s="205"/>
      <c r="DV80" s="205"/>
      <c r="DW80" s="205"/>
      <c r="DX80" s="205"/>
      <c r="DY80" s="205"/>
      <c r="DZ80" s="205"/>
      <c r="EA80" s="205"/>
      <c r="EB80" s="205"/>
      <c r="EC80" s="205"/>
      <c r="ED80" s="205"/>
      <c r="EE80" s="205"/>
      <c r="EF80" s="205"/>
      <c r="EG80" s="205"/>
      <c r="EH80" s="205"/>
      <c r="EI80" s="205"/>
      <c r="EJ80" s="205"/>
      <c r="EK80" s="205"/>
      <c r="EL80" s="205"/>
      <c r="EM80" s="205"/>
      <c r="EN80" s="205"/>
      <c r="EO80" s="444"/>
      <c r="EP80" s="220"/>
      <c r="EQ80" s="18"/>
      <c r="ER80" s="18"/>
      <c r="ES80" s="18"/>
      <c r="ET80" s="18"/>
      <c r="EU80" s="18"/>
      <c r="EV80" s="18"/>
      <c r="EW80" s="18"/>
      <c r="EX80" s="18"/>
      <c r="EY80" s="18"/>
      <c r="EZ80" s="18"/>
      <c r="FA80" s="18"/>
      <c r="FB80" s="18"/>
      <c r="FC80" s="18"/>
      <c r="FD80" s="18"/>
      <c r="FE80" s="18"/>
      <c r="FF80" s="18"/>
      <c r="FG80" s="18"/>
      <c r="FH80" s="18"/>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8"/>
      <c r="GN80" s="18"/>
      <c r="GO80" s="18"/>
      <c r="GP80" s="18"/>
      <c r="GQ80" s="18"/>
      <c r="GR80" s="18"/>
      <c r="GS80" s="18"/>
      <c r="GT80" s="18"/>
      <c r="GU80" s="18"/>
      <c r="GV80" s="18"/>
      <c r="GW80" s="18"/>
      <c r="GX80" s="18"/>
      <c r="GY80" s="18"/>
      <c r="GZ80" s="18"/>
      <c r="HA80" s="18"/>
      <c r="HB80" s="18"/>
      <c r="HC80" s="18"/>
      <c r="HD80" s="18"/>
      <c r="HE80" s="18"/>
      <c r="HF80" s="18"/>
      <c r="HG80" s="18"/>
      <c r="HH80" s="18"/>
      <c r="HI80" s="18"/>
      <c r="HJ80" s="18"/>
      <c r="HK80" s="18"/>
      <c r="HL80" s="18"/>
      <c r="HM80" s="18"/>
      <c r="HN80" s="18"/>
      <c r="HO80" s="18"/>
      <c r="HP80" s="18"/>
      <c r="HQ80" s="18"/>
      <c r="HR80" s="18"/>
      <c r="HS80" s="18"/>
      <c r="HT80" s="18"/>
      <c r="HU80" s="18"/>
      <c r="HV80" s="18"/>
      <c r="HW80" s="18"/>
      <c r="HX80" s="18"/>
      <c r="HY80" s="18"/>
      <c r="HZ80" s="18"/>
      <c r="IA80" s="18"/>
      <c r="IB80" s="18"/>
      <c r="IC80" s="18"/>
      <c r="ID80" s="18"/>
      <c r="IE80" s="18"/>
      <c r="IF80" s="18"/>
      <c r="IG80" s="18"/>
      <c r="IH80" s="18"/>
      <c r="II80" s="18"/>
      <c r="IJ80" s="18"/>
      <c r="IK80" s="18"/>
      <c r="IL80" s="18"/>
      <c r="IM80" s="18"/>
      <c r="IN80" s="18"/>
      <c r="IO80" s="18"/>
      <c r="IP80" s="18"/>
      <c r="IQ80" s="18"/>
      <c r="IR80" s="18"/>
      <c r="IS80" s="18"/>
      <c r="IT80" s="18"/>
      <c r="IU80" s="18"/>
      <c r="IV80" s="18"/>
      <c r="IW80" s="18"/>
      <c r="IX80" s="18"/>
      <c r="IY80" s="18"/>
      <c r="IZ80" s="18"/>
      <c r="JA80" s="18"/>
      <c r="JB80" s="18"/>
      <c r="JC80" s="18"/>
      <c r="JD80" s="18"/>
      <c r="JE80" s="18"/>
      <c r="JF80" s="18"/>
      <c r="JG80" s="18"/>
      <c r="JH80" s="18"/>
      <c r="JI80" s="18"/>
      <c r="JJ80" s="18"/>
      <c r="JK80" s="18"/>
      <c r="JL80" s="18"/>
      <c r="JM80" s="18"/>
      <c r="JN80" s="18"/>
      <c r="JO80" s="18"/>
      <c r="JP80" s="18"/>
      <c r="JQ80" s="18"/>
      <c r="JR80" s="18"/>
      <c r="JS80" s="18"/>
      <c r="JT80" s="18"/>
      <c r="JU80" s="18"/>
      <c r="JV80" s="18"/>
      <c r="JW80" s="18"/>
      <c r="JX80" s="18"/>
      <c r="JZ80" s="446"/>
      <c r="KA80" s="446"/>
      <c r="KB80" s="446"/>
      <c r="KC80" s="446"/>
      <c r="KD80" s="446"/>
      <c r="KE80" s="446"/>
      <c r="KF80" s="446"/>
      <c r="KG80" s="446"/>
      <c r="KH80" s="446"/>
      <c r="KI80" s="446"/>
      <c r="KJ80" s="446"/>
      <c r="KK80" s="446"/>
      <c r="KL80" s="446"/>
      <c r="KM80" s="446"/>
      <c r="KN80" s="446"/>
      <c r="KO80" s="446"/>
      <c r="KP80" s="446"/>
      <c r="KQ80" s="446"/>
      <c r="KR80" s="446"/>
      <c r="KS80" s="446"/>
      <c r="KT80" s="446"/>
      <c r="KU80" s="446"/>
      <c r="KV80" s="446"/>
      <c r="KW80" s="446"/>
      <c r="KX80" s="446"/>
      <c r="KY80" s="446"/>
      <c r="KZ80" s="446"/>
      <c r="LA80" s="446"/>
      <c r="LB80" s="446"/>
      <c r="LC80" s="446"/>
      <c r="LD80" s="446"/>
      <c r="LE80" s="446"/>
      <c r="LF80" s="446"/>
      <c r="LG80" s="446"/>
      <c r="LH80" s="446"/>
      <c r="LI80" s="446"/>
      <c r="LJ80" s="446"/>
      <c r="LK80" s="446"/>
      <c r="LL80" s="446"/>
      <c r="LM80" s="446"/>
      <c r="LN80" s="446"/>
      <c r="LO80" s="446"/>
      <c r="LP80" s="446"/>
      <c r="LQ80" s="446"/>
      <c r="LR80" s="446"/>
      <c r="LS80" s="446"/>
      <c r="LT80" s="446"/>
      <c r="LU80" s="446"/>
      <c r="LV80" s="446"/>
      <c r="LW80" s="446"/>
      <c r="LX80" s="446"/>
      <c r="LY80" s="446"/>
      <c r="LZ80" s="446"/>
      <c r="MA80" s="446"/>
      <c r="MB80" s="446"/>
      <c r="MC80" s="446"/>
      <c r="MD80" s="446"/>
      <c r="ME80" s="446"/>
      <c r="MF80" s="446"/>
      <c r="MG80" s="446"/>
      <c r="MH80" s="446"/>
      <c r="MI80" s="446"/>
      <c r="MJ80" s="446"/>
      <c r="MK80" s="446"/>
      <c r="ML80" s="446"/>
      <c r="MM80" s="446"/>
      <c r="MN80" s="446"/>
      <c r="MO80" s="446"/>
      <c r="MP80" s="446"/>
      <c r="MQ80" s="446"/>
      <c r="MR80" s="446"/>
      <c r="MS80" s="446"/>
      <c r="MT80" s="446"/>
      <c r="MU80" s="446"/>
      <c r="MV80" s="446"/>
      <c r="MW80" s="446"/>
      <c r="MX80" s="446"/>
      <c r="MY80" s="446"/>
      <c r="MZ80" s="446"/>
      <c r="NA80" s="446"/>
      <c r="NB80" s="446"/>
      <c r="NC80" s="446"/>
      <c r="ND80" s="446"/>
      <c r="NE80" s="446"/>
      <c r="NF80" s="446"/>
      <c r="NG80" s="446"/>
      <c r="NH80" s="446"/>
      <c r="NI80" s="446"/>
      <c r="NJ80" s="446"/>
      <c r="NK80" s="446"/>
      <c r="NL80" s="446"/>
      <c r="NM80" s="446"/>
      <c r="NN80" s="446"/>
      <c r="NO80" s="446"/>
      <c r="NP80" s="446"/>
      <c r="NQ80" s="446"/>
      <c r="NR80" s="446"/>
      <c r="NS80" s="446"/>
      <c r="NT80" s="446"/>
      <c r="NU80" s="446"/>
      <c r="NV80" s="446"/>
      <c r="NW80" s="446"/>
      <c r="NX80" s="446"/>
      <c r="NY80" s="446"/>
      <c r="NZ80" s="446"/>
      <c r="OA80" s="446"/>
      <c r="OB80" s="446"/>
      <c r="OC80" s="446"/>
      <c r="OD80" s="446"/>
      <c r="OE80" s="446"/>
      <c r="OF80" s="446"/>
      <c r="OG80" s="446"/>
      <c r="OH80" s="446"/>
      <c r="OI80" s="446"/>
      <c r="OJ80" s="446"/>
      <c r="OK80" s="446"/>
      <c r="OL80" s="446"/>
      <c r="OM80" s="446"/>
      <c r="ON80" s="446"/>
      <c r="OO80" s="446"/>
      <c r="OP80" s="446"/>
      <c r="OQ80" s="446"/>
      <c r="OR80" s="446"/>
      <c r="OS80" s="446"/>
      <c r="OT80" s="446"/>
      <c r="OU80" s="446"/>
      <c r="OV80" s="446"/>
      <c r="OW80" s="446"/>
      <c r="OX80" s="446"/>
      <c r="OY80" s="446"/>
      <c r="OZ80" s="446"/>
      <c r="PA80" s="446"/>
      <c r="PB80" s="446"/>
      <c r="PC80" s="446"/>
      <c r="PD80" s="446"/>
      <c r="PE80" s="446"/>
      <c r="PF80" s="446"/>
      <c r="PG80" s="446"/>
      <c r="PH80" s="446"/>
    </row>
    <row r="81" s="24" customFormat="1">
      <c r="A81" s="441"/>
      <c r="B81" s="427" t="s">
        <v>204</v>
      </c>
      <c r="C81" s="53" t="n">
        <f>+I81/Valuation_Trended</f>
        <v>0.31659159897088096</v>
      </c>
      <c r="D81" s="53" t="n">
        <f>+I81/Project_Cost_Total</f>
        <v>0.5138296009537403</v>
      </c>
      <c r="E81" s="44" t="n">
        <f>PROJECTS!$AP$83</f>
        <v>0.065</v>
      </c>
      <c r="F81" s="138" t="s">
        <v>205</v>
      </c>
      <c r="G81" s="160">
        <v>30</v>
      </c>
      <c r="H81" s="449" t="n">
        <f>IF(F81="Yes",I81*E81,PMT(E81/12,G81*12,-I81)*12)</f>
        <v>13986085.054664612</v>
      </c>
      <c r="I81" s="420" t="n">
        <f>+I75/(1-H82)</f>
        <v>215170539.3025325</v>
      </c>
      <c r="K81" s="444"/>
      <c r="L81" s="271" t="n">
        <f t="shared" ref="L81:AQ81" si="552">+L3</f>
        <v>0</v>
      </c>
      <c r="M81" s="271">
        <f t="shared" si="552"/>
        <v>1</v>
      </c>
      <c r="N81" s="271">
        <f t="shared" si="552"/>
        <v>2</v>
      </c>
      <c r="O81" s="271">
        <f t="shared" si="552"/>
        <v>3</v>
      </c>
      <c r="P81" s="271">
        <f t="shared" si="552"/>
        <v>4</v>
      </c>
      <c r="Q81" s="271">
        <f t="shared" si="552"/>
        <v>5</v>
      </c>
      <c r="R81" s="271">
        <f t="shared" si="552"/>
        <v>6</v>
      </c>
      <c r="S81" s="271">
        <f t="shared" si="552"/>
        <v>7</v>
      </c>
      <c r="T81" s="271">
        <f t="shared" si="552"/>
        <v>8</v>
      </c>
      <c r="U81" s="271">
        <f t="shared" si="552"/>
        <v>9</v>
      </c>
      <c r="V81" s="271">
        <f t="shared" si="552"/>
        <v>10</v>
      </c>
      <c r="W81" s="271">
        <f t="shared" si="552"/>
        <v>11</v>
      </c>
      <c r="X81" s="271">
        <f t="shared" si="552"/>
        <v>12</v>
      </c>
      <c r="Y81" s="271">
        <f t="shared" si="552"/>
        <v>13</v>
      </c>
      <c r="Z81" s="271">
        <f t="shared" si="552"/>
        <v>14</v>
      </c>
      <c r="AA81" s="271">
        <f t="shared" si="552"/>
        <v>15</v>
      </c>
      <c r="AB81" s="271">
        <f t="shared" si="552"/>
        <v>16</v>
      </c>
      <c r="AC81" s="271">
        <f t="shared" si="552"/>
        <v>17</v>
      </c>
      <c r="AD81" s="271">
        <f t="shared" si="552"/>
        <v>18</v>
      </c>
      <c r="AE81" s="271">
        <f t="shared" si="552"/>
        <v>19</v>
      </c>
      <c r="AF81" s="271">
        <f t="shared" si="552"/>
        <v>20</v>
      </c>
      <c r="AG81" s="271">
        <f t="shared" si="552"/>
        <v>21</v>
      </c>
      <c r="AH81" s="271">
        <f t="shared" si="552"/>
        <v>22</v>
      </c>
      <c r="AI81" s="271">
        <f t="shared" si="552"/>
        <v>23</v>
      </c>
      <c r="AJ81" s="271">
        <f t="shared" si="552"/>
        <v>24</v>
      </c>
      <c r="AK81" s="271">
        <f t="shared" si="552"/>
        <v>25</v>
      </c>
      <c r="AL81" s="271">
        <f t="shared" si="552"/>
        <v>26</v>
      </c>
      <c r="AM81" s="271">
        <f t="shared" si="552"/>
        <v>27</v>
      </c>
      <c r="AN81" s="271">
        <f t="shared" si="552"/>
        <v>28</v>
      </c>
      <c r="AO81" s="271">
        <f t="shared" si="552"/>
        <v>29</v>
      </c>
      <c r="AP81" s="271">
        <f t="shared" si="552"/>
        <v>30</v>
      </c>
      <c r="AQ81" s="271">
        <f t="shared" si="552"/>
        <v>31</v>
      </c>
      <c r="AR81" s="271" t="n">
        <f t="shared" ref="AR81:BW81" si="553">+AR3</f>
        <v>32</v>
      </c>
      <c r="AS81" s="271">
        <f t="shared" si="553"/>
        <v>33</v>
      </c>
      <c r="AT81" s="271">
        <f t="shared" si="553"/>
        <v>34</v>
      </c>
      <c r="AU81" s="271">
        <f t="shared" si="553"/>
        <v>35</v>
      </c>
      <c r="AV81" s="271">
        <f t="shared" si="553"/>
        <v>36</v>
      </c>
      <c r="AW81" s="271">
        <f t="shared" si="553"/>
        <v>37</v>
      </c>
      <c r="AX81" s="271">
        <f t="shared" si="553"/>
        <v>38</v>
      </c>
      <c r="AY81" s="271">
        <f t="shared" si="553"/>
        <v>39</v>
      </c>
      <c r="AZ81" s="271">
        <f t="shared" si="553"/>
        <v>40</v>
      </c>
      <c r="BA81" s="271">
        <f t="shared" si="553"/>
        <v>41</v>
      </c>
      <c r="BB81" s="271">
        <f t="shared" si="553"/>
        <v>42</v>
      </c>
      <c r="BC81" s="271">
        <f t="shared" si="553"/>
        <v>43</v>
      </c>
      <c r="BD81" s="271">
        <f t="shared" si="553"/>
        <v>44</v>
      </c>
      <c r="BE81" s="271">
        <f t="shared" si="553"/>
        <v>45</v>
      </c>
      <c r="BF81" s="271">
        <f t="shared" si="553"/>
        <v>46</v>
      </c>
      <c r="BG81" s="271">
        <f t="shared" si="553"/>
        <v>47</v>
      </c>
      <c r="BH81" s="271">
        <f t="shared" si="553"/>
        <v>48</v>
      </c>
      <c r="BI81" s="271">
        <f t="shared" si="553"/>
        <v>49</v>
      </c>
      <c r="BJ81" s="271">
        <f t="shared" si="553"/>
        <v>50</v>
      </c>
      <c r="BK81" s="271">
        <f t="shared" si="553"/>
        <v>51</v>
      </c>
      <c r="BL81" s="271">
        <f t="shared" si="553"/>
        <v>52</v>
      </c>
      <c r="BM81" s="271">
        <f t="shared" si="553"/>
        <v>53</v>
      </c>
      <c r="BN81" s="271">
        <f t="shared" si="553"/>
        <v>54</v>
      </c>
      <c r="BO81" s="271">
        <f t="shared" si="553"/>
        <v>55</v>
      </c>
      <c r="BP81" s="271">
        <f t="shared" si="553"/>
        <v>56</v>
      </c>
      <c r="BQ81" s="271">
        <f t="shared" si="553"/>
        <v>57</v>
      </c>
      <c r="BR81" s="271">
        <f t="shared" si="553"/>
        <v>58</v>
      </c>
      <c r="BS81" s="271">
        <f t="shared" si="553"/>
        <v>59</v>
      </c>
      <c r="BT81" s="271">
        <f t="shared" si="553"/>
        <v>60</v>
      </c>
      <c r="BU81" s="271">
        <f t="shared" si="553"/>
        <v>61</v>
      </c>
      <c r="BV81" s="271">
        <f t="shared" si="553"/>
        <v>62</v>
      </c>
      <c r="BW81" s="271">
        <f t="shared" si="553"/>
        <v>63</v>
      </c>
      <c r="BX81" s="271" t="n">
        <f t="shared" ref="BX81:DC81" si="554">+BX3</f>
        <v>64</v>
      </c>
      <c r="BY81" s="271">
        <f t="shared" si="554"/>
        <v>65</v>
      </c>
      <c r="BZ81" s="271">
        <f t="shared" si="554"/>
        <v>66</v>
      </c>
      <c r="CA81" s="271">
        <f t="shared" si="554"/>
        <v>67</v>
      </c>
      <c r="CB81" s="271">
        <f t="shared" si="554"/>
        <v>68</v>
      </c>
      <c r="CC81" s="271">
        <f t="shared" si="554"/>
        <v>69</v>
      </c>
      <c r="CD81" s="271">
        <f t="shared" si="554"/>
        <v>70</v>
      </c>
      <c r="CE81" s="271">
        <f t="shared" si="554"/>
        <v>71</v>
      </c>
      <c r="CF81" s="271">
        <f t="shared" si="554"/>
        <v>72</v>
      </c>
      <c r="CG81" s="271">
        <f t="shared" si="554"/>
        <v>73</v>
      </c>
      <c r="CH81" s="271">
        <f t="shared" si="554"/>
        <v>74</v>
      </c>
      <c r="CI81" s="271">
        <f t="shared" si="554"/>
        <v>75</v>
      </c>
      <c r="CJ81" s="271">
        <f t="shared" si="554"/>
        <v>76</v>
      </c>
      <c r="CK81" s="271">
        <f t="shared" si="554"/>
        <v>77</v>
      </c>
      <c r="CL81" s="271">
        <f t="shared" si="554"/>
        <v>78</v>
      </c>
      <c r="CM81" s="271">
        <f t="shared" si="554"/>
        <v>79</v>
      </c>
      <c r="CN81" s="271">
        <f t="shared" si="554"/>
        <v>80</v>
      </c>
      <c r="CO81" s="271">
        <f t="shared" si="554"/>
        <v>81</v>
      </c>
      <c r="CP81" s="271">
        <f t="shared" si="554"/>
        <v>82</v>
      </c>
      <c r="CQ81" s="271">
        <f t="shared" si="554"/>
        <v>83</v>
      </c>
      <c r="CR81" s="271">
        <f t="shared" si="554"/>
        <v>84</v>
      </c>
      <c r="CS81" s="271">
        <f t="shared" si="554"/>
        <v>85</v>
      </c>
      <c r="CT81" s="271">
        <f t="shared" si="554"/>
        <v>86</v>
      </c>
      <c r="CU81" s="271">
        <f t="shared" si="554"/>
        <v>87</v>
      </c>
      <c r="CV81" s="271">
        <f t="shared" si="554"/>
        <v>88</v>
      </c>
      <c r="CW81" s="271">
        <f t="shared" si="554"/>
        <v>89</v>
      </c>
      <c r="CX81" s="271">
        <f t="shared" si="554"/>
        <v>90</v>
      </c>
      <c r="CY81" s="271">
        <f t="shared" si="554"/>
        <v>91</v>
      </c>
      <c r="CZ81" s="271">
        <f t="shared" si="554"/>
        <v>92</v>
      </c>
      <c r="DA81" s="271">
        <f t="shared" si="554"/>
        <v>93</v>
      </c>
      <c r="DB81" s="271">
        <f t="shared" si="554"/>
        <v>94</v>
      </c>
      <c r="DC81" s="271">
        <f t="shared" si="554"/>
        <v>95</v>
      </c>
      <c r="DD81" s="271" t="n">
        <f t="shared" ref="DD81:EN81" si="555">+DD3</f>
        <v>96</v>
      </c>
      <c r="DE81" s="271">
        <f t="shared" si="555"/>
        <v>97</v>
      </c>
      <c r="DF81" s="271">
        <f t="shared" si="555"/>
        <v>98</v>
      </c>
      <c r="DG81" s="271">
        <f t="shared" si="555"/>
        <v>99</v>
      </c>
      <c r="DH81" s="271">
        <f t="shared" si="555"/>
        <v>100</v>
      </c>
      <c r="DI81" s="271">
        <f t="shared" si="555"/>
        <v>101</v>
      </c>
      <c r="DJ81" s="271">
        <f t="shared" si="555"/>
        <v>102</v>
      </c>
      <c r="DK81" s="271">
        <f t="shared" si="555"/>
        <v>103</v>
      </c>
      <c r="DL81" s="271">
        <f t="shared" si="555"/>
        <v>104</v>
      </c>
      <c r="DM81" s="271">
        <f t="shared" si="555"/>
        <v>105</v>
      </c>
      <c r="DN81" s="271">
        <f t="shared" si="555"/>
        <v>106</v>
      </c>
      <c r="DO81" s="271">
        <f t="shared" si="555"/>
        <v>107</v>
      </c>
      <c r="DP81" s="271">
        <f t="shared" si="555"/>
        <v>108</v>
      </c>
      <c r="DQ81" s="271">
        <f t="shared" si="555"/>
        <v>109</v>
      </c>
      <c r="DR81" s="271">
        <f t="shared" si="555"/>
        <v>110</v>
      </c>
      <c r="DS81" s="271">
        <f t="shared" si="555"/>
        <v>111</v>
      </c>
      <c r="DT81" s="271">
        <f t="shared" si="555"/>
        <v>112</v>
      </c>
      <c r="DU81" s="271">
        <f t="shared" si="555"/>
        <v>113</v>
      </c>
      <c r="DV81" s="271">
        <f t="shared" si="555"/>
        <v>114</v>
      </c>
      <c r="DW81" s="271">
        <f t="shared" si="555"/>
        <v>115</v>
      </c>
      <c r="DX81" s="271">
        <f t="shared" si="555"/>
        <v>116</v>
      </c>
      <c r="DY81" s="271">
        <f t="shared" si="555"/>
        <v>117</v>
      </c>
      <c r="DZ81" s="271">
        <f t="shared" si="555"/>
        <v>118</v>
      </c>
      <c r="EA81" s="271">
        <f t="shared" si="555"/>
        <v>119</v>
      </c>
      <c r="EB81" s="271">
        <f t="shared" si="555"/>
        <v>120</v>
      </c>
      <c r="EC81" s="271">
        <f t="shared" si="555"/>
        <v>121</v>
      </c>
      <c r="ED81" s="271">
        <f t="shared" si="555"/>
        <v>122</v>
      </c>
      <c r="EE81" s="271">
        <f t="shared" si="555"/>
        <v>123</v>
      </c>
      <c r="EF81" s="271">
        <f t="shared" si="555"/>
        <v>124</v>
      </c>
      <c r="EG81" s="271">
        <f t="shared" si="555"/>
        <v>125</v>
      </c>
      <c r="EH81" s="271">
        <f t="shared" si="555"/>
        <v>126</v>
      </c>
      <c r="EI81" s="271">
        <f t="shared" si="555"/>
        <v>127</v>
      </c>
      <c r="EJ81" s="271">
        <f t="shared" si="555"/>
        <v>128</v>
      </c>
      <c r="EK81" s="271">
        <f t="shared" si="555"/>
        <v>129</v>
      </c>
      <c r="EL81" s="271">
        <f t="shared" si="555"/>
        <v>130</v>
      </c>
      <c r="EM81" s="271">
        <f t="shared" si="555"/>
        <v>131</v>
      </c>
      <c r="EN81" s="271">
        <f t="shared" si="555"/>
        <v>132</v>
      </c>
      <c r="EO81" s="444"/>
      <c r="EP81" s="220"/>
      <c r="EQ81" s="18"/>
      <c r="ER81" s="18"/>
      <c r="ES81" s="18"/>
      <c r="ET81" s="18"/>
      <c r="EU81" s="18"/>
      <c r="EV81" s="18"/>
      <c r="EW81" s="18"/>
      <c r="EX81" s="18"/>
      <c r="EY81" s="18"/>
      <c r="EZ81" s="18"/>
      <c r="FA81" s="18"/>
      <c r="FB81" s="18"/>
      <c r="FC81" s="18"/>
      <c r="FD81" s="18"/>
      <c r="FE81" s="18"/>
      <c r="FF81" s="18"/>
      <c r="FG81" s="18"/>
      <c r="FH81" s="18"/>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8"/>
      <c r="GN81" s="18"/>
      <c r="GO81" s="18"/>
      <c r="GP81" s="18"/>
      <c r="GQ81" s="18"/>
      <c r="GR81" s="18"/>
      <c r="GS81" s="18"/>
      <c r="GT81" s="18"/>
      <c r="GU81" s="18"/>
      <c r="GV81" s="18"/>
      <c r="GW81" s="18"/>
      <c r="GX81" s="18"/>
      <c r="GY81" s="18"/>
      <c r="GZ81" s="18"/>
      <c r="HA81" s="18"/>
      <c r="HB81" s="18"/>
      <c r="HC81" s="18"/>
      <c r="HD81" s="18"/>
      <c r="HE81" s="18"/>
      <c r="HF81" s="18"/>
      <c r="HG81" s="18"/>
      <c r="HH81" s="18"/>
      <c r="HI81" s="18"/>
      <c r="HJ81" s="18"/>
      <c r="HK81" s="18"/>
      <c r="HL81" s="18"/>
      <c r="HM81" s="18"/>
      <c r="HN81" s="18"/>
      <c r="HO81" s="18"/>
      <c r="HP81" s="18"/>
      <c r="HQ81" s="18"/>
      <c r="HR81" s="18"/>
      <c r="HS81" s="18"/>
      <c r="HT81" s="18"/>
      <c r="HU81" s="18"/>
      <c r="HV81" s="18"/>
      <c r="HW81" s="18"/>
      <c r="HX81" s="18"/>
      <c r="HY81" s="18"/>
      <c r="HZ81" s="18"/>
      <c r="IA81" s="18"/>
      <c r="IB81" s="18"/>
      <c r="IC81" s="18"/>
      <c r="ID81" s="18"/>
      <c r="IE81" s="18"/>
      <c r="IF81" s="18"/>
      <c r="IG81" s="18"/>
      <c r="IH81" s="18"/>
      <c r="II81" s="18"/>
      <c r="IJ81" s="18"/>
      <c r="IK81" s="18"/>
      <c r="IL81" s="18"/>
      <c r="IM81" s="18"/>
      <c r="IN81" s="18"/>
      <c r="IO81" s="18"/>
      <c r="IP81" s="18"/>
      <c r="IQ81" s="18"/>
      <c r="IR81" s="18"/>
      <c r="IS81" s="18"/>
      <c r="IT81" s="18"/>
      <c r="IU81" s="18"/>
      <c r="IV81" s="18"/>
      <c r="IW81" s="18"/>
      <c r="IX81" s="18"/>
      <c r="IY81" s="18"/>
      <c r="IZ81" s="18"/>
      <c r="JA81" s="18"/>
      <c r="JB81" s="18"/>
      <c r="JC81" s="18"/>
      <c r="JD81" s="18"/>
      <c r="JE81" s="18"/>
      <c r="JF81" s="18"/>
      <c r="JG81" s="18"/>
      <c r="JH81" s="18"/>
      <c r="JI81" s="18"/>
      <c r="JJ81" s="18"/>
      <c r="JK81" s="18"/>
      <c r="JL81" s="18"/>
      <c r="JM81" s="18"/>
      <c r="JN81" s="18"/>
      <c r="JO81" s="18"/>
      <c r="JP81" s="18"/>
      <c r="JQ81" s="18"/>
      <c r="JR81" s="18"/>
      <c r="JS81" s="18"/>
      <c r="JT81" s="18"/>
      <c r="JU81" s="18"/>
      <c r="JV81" s="18"/>
      <c r="JW81" s="18"/>
      <c r="JX81" s="18"/>
      <c r="JZ81" s="446"/>
      <c r="KA81" s="446"/>
      <c r="KB81" s="446"/>
      <c r="KC81" s="446"/>
      <c r="KD81" s="446"/>
      <c r="KE81" s="446"/>
      <c r="KF81" s="446"/>
      <c r="KG81" s="446"/>
      <c r="KH81" s="446"/>
      <c r="KI81" s="446"/>
      <c r="KJ81" s="446"/>
      <c r="KK81" s="446"/>
      <c r="KL81" s="446"/>
      <c r="KM81" s="446"/>
      <c r="KN81" s="446"/>
      <c r="KO81" s="446"/>
      <c r="KP81" s="446"/>
      <c r="KQ81" s="446"/>
      <c r="KR81" s="446"/>
      <c r="KS81" s="446"/>
      <c r="KT81" s="446"/>
      <c r="KU81" s="446"/>
      <c r="KV81" s="446"/>
      <c r="KW81" s="446"/>
      <c r="KX81" s="446"/>
      <c r="KY81" s="446"/>
      <c r="KZ81" s="446"/>
      <c r="LA81" s="446"/>
      <c r="LB81" s="446"/>
      <c r="LC81" s="446"/>
      <c r="LD81" s="446"/>
      <c r="LE81" s="446"/>
      <c r="LF81" s="446"/>
      <c r="LG81" s="446"/>
      <c r="LH81" s="446"/>
      <c r="LI81" s="446"/>
      <c r="LJ81" s="446"/>
      <c r="LK81" s="446"/>
      <c r="LL81" s="446"/>
      <c r="LM81" s="446"/>
      <c r="LN81" s="446"/>
      <c r="LO81" s="446"/>
      <c r="LP81" s="446"/>
      <c r="LQ81" s="446"/>
      <c r="LR81" s="446"/>
      <c r="LS81" s="446"/>
      <c r="LT81" s="446"/>
      <c r="LU81" s="446"/>
      <c r="LV81" s="446"/>
      <c r="LW81" s="446"/>
      <c r="LX81" s="446"/>
      <c r="LY81" s="446"/>
      <c r="LZ81" s="446"/>
      <c r="MA81" s="446"/>
      <c r="MB81" s="446"/>
      <c r="MC81" s="446"/>
      <c r="MD81" s="446"/>
      <c r="ME81" s="446"/>
      <c r="MF81" s="446"/>
      <c r="MG81" s="446"/>
      <c r="MH81" s="446"/>
      <c r="MI81" s="446"/>
      <c r="MJ81" s="446"/>
      <c r="MK81" s="446"/>
      <c r="ML81" s="446"/>
      <c r="MM81" s="446"/>
      <c r="MN81" s="446"/>
      <c r="MO81" s="446"/>
      <c r="MP81" s="446"/>
      <c r="MQ81" s="446"/>
      <c r="MR81" s="446"/>
      <c r="MS81" s="446"/>
      <c r="MT81" s="446"/>
      <c r="MU81" s="446"/>
      <c r="MV81" s="446"/>
      <c r="MW81" s="446"/>
      <c r="MX81" s="446"/>
      <c r="MY81" s="446"/>
      <c r="MZ81" s="446"/>
      <c r="NA81" s="446"/>
      <c r="NB81" s="446"/>
      <c r="NC81" s="446"/>
      <c r="ND81" s="446"/>
      <c r="NE81" s="446"/>
      <c r="NF81" s="446"/>
      <c r="NG81" s="446"/>
      <c r="NH81" s="446"/>
      <c r="NI81" s="446"/>
      <c r="NJ81" s="446"/>
      <c r="NK81" s="446"/>
      <c r="NL81" s="446"/>
      <c r="NM81" s="446"/>
      <c r="NN81" s="446"/>
      <c r="NO81" s="446"/>
      <c r="NP81" s="446"/>
      <c r="NQ81" s="446"/>
      <c r="NR81" s="446"/>
      <c r="NS81" s="446"/>
      <c r="NT81" s="446"/>
      <c r="NU81" s="446"/>
      <c r="NV81" s="446"/>
      <c r="NW81" s="446"/>
      <c r="NX81" s="446"/>
      <c r="NY81" s="446"/>
      <c r="NZ81" s="446"/>
      <c r="OA81" s="446"/>
      <c r="OB81" s="446"/>
      <c r="OC81" s="446"/>
      <c r="OD81" s="446"/>
      <c r="OE81" s="446"/>
      <c r="OF81" s="446"/>
      <c r="OG81" s="446"/>
      <c r="OH81" s="446"/>
      <c r="OI81" s="446"/>
      <c r="OJ81" s="446"/>
      <c r="OK81" s="446"/>
      <c r="OL81" s="446"/>
      <c r="OM81" s="446"/>
      <c r="ON81" s="446"/>
      <c r="OO81" s="446"/>
      <c r="OP81" s="446"/>
      <c r="OQ81" s="446"/>
      <c r="OR81" s="446"/>
      <c r="OS81" s="446"/>
      <c r="OT81" s="446"/>
      <c r="OU81" s="446"/>
      <c r="OV81" s="446"/>
      <c r="OW81" s="446"/>
      <c r="OX81" s="446"/>
      <c r="OY81" s="446"/>
      <c r="OZ81" s="446"/>
      <c r="PA81" s="446"/>
      <c r="PB81" s="446"/>
      <c r="PC81" s="446"/>
      <c r="PD81" s="446"/>
      <c r="PE81" s="446"/>
      <c r="PF81" s="446"/>
      <c r="PG81" s="446"/>
      <c r="PH81" s="446"/>
    </row>
    <row r="82" s="24" customFormat="1">
      <c r="A82" s="441"/>
      <c r="B82" s="431" t="s">
        <v>206</v>
      </c>
      <c r="C82" s="46" t="n">
        <f>Stabilization_1st_Month</f>
        <v>49</v>
      </c>
      <c r="D82" s="458"/>
      <c r="E82" s="458"/>
      <c r="F82" s="63"/>
      <c r="G82" s="53" t="s">
        <v>207</v>
      </c>
      <c r="H82" s="269" t="n">
        <f>PROJECTS!$AP$84</f>
        <v>0.01</v>
      </c>
      <c r="I82" s="449" t="n">
        <f>-H82*I81</f>
        <v>-2151705.393025325</v>
      </c>
      <c r="K82" s="444"/>
      <c r="L82" s="462" t="n">
        <f t="shared" ref="L82:AQ82" si="556">(PermDebt_Fund=L3)*Perm_Debt?*$I81*(1-$H$82)</f>
        <v>0</v>
      </c>
      <c r="M82" s="462">
        <f t="shared" si="556"/>
        <v>0</v>
      </c>
      <c r="N82" s="462">
        <f t="shared" si="556"/>
        <v>0</v>
      </c>
      <c r="O82" s="462">
        <f t="shared" si="556"/>
        <v>0</v>
      </c>
      <c r="P82" s="462">
        <f t="shared" si="556"/>
        <v>0</v>
      </c>
      <c r="Q82" s="462">
        <f t="shared" si="556"/>
        <v>0</v>
      </c>
      <c r="R82" s="462">
        <f t="shared" si="556"/>
        <v>0</v>
      </c>
      <c r="S82" s="462">
        <f t="shared" si="556"/>
        <v>0</v>
      </c>
      <c r="T82" s="462">
        <f t="shared" si="556"/>
        <v>0</v>
      </c>
      <c r="U82" s="462">
        <f t="shared" si="556"/>
        <v>0</v>
      </c>
      <c r="V82" s="462">
        <f t="shared" si="556"/>
        <v>0</v>
      </c>
      <c r="W82" s="462">
        <f t="shared" si="556"/>
        <v>0</v>
      </c>
      <c r="X82" s="462">
        <f t="shared" si="556"/>
        <v>0</v>
      </c>
      <c r="Y82" s="462">
        <f t="shared" si="556"/>
        <v>0</v>
      </c>
      <c r="Z82" s="462">
        <f t="shared" si="556"/>
        <v>0</v>
      </c>
      <c r="AA82" s="462">
        <f t="shared" si="556"/>
        <v>0</v>
      </c>
      <c r="AB82" s="462">
        <f t="shared" si="556"/>
        <v>0</v>
      </c>
      <c r="AC82" s="462">
        <f t="shared" si="556"/>
        <v>0</v>
      </c>
      <c r="AD82" s="462">
        <f t="shared" si="556"/>
        <v>0</v>
      </c>
      <c r="AE82" s="462">
        <f t="shared" si="556"/>
        <v>0</v>
      </c>
      <c r="AF82" s="462">
        <f t="shared" si="556"/>
        <v>0</v>
      </c>
      <c r="AG82" s="462">
        <f t="shared" si="556"/>
        <v>0</v>
      </c>
      <c r="AH82" s="462">
        <f t="shared" si="556"/>
        <v>0</v>
      </c>
      <c r="AI82" s="462">
        <f t="shared" si="556"/>
        <v>0</v>
      </c>
      <c r="AJ82" s="462">
        <f t="shared" si="556"/>
        <v>0</v>
      </c>
      <c r="AK82" s="462">
        <f t="shared" si="556"/>
        <v>0</v>
      </c>
      <c r="AL82" s="462">
        <f t="shared" si="556"/>
        <v>0</v>
      </c>
      <c r="AM82" s="462">
        <f t="shared" si="556"/>
        <v>0</v>
      </c>
      <c r="AN82" s="462">
        <f t="shared" si="556"/>
        <v>0</v>
      </c>
      <c r="AO82" s="462">
        <f t="shared" si="556"/>
        <v>0</v>
      </c>
      <c r="AP82" s="462">
        <f t="shared" si="556"/>
        <v>0</v>
      </c>
      <c r="AQ82" s="462">
        <f t="shared" si="556"/>
        <v>0</v>
      </c>
      <c r="AR82" s="462" t="n">
        <f t="shared" ref="AR82:BW82" si="557">(PermDebt_Fund=AR3)*Perm_Debt?*$I81*(1-$H$82)</f>
        <v>0</v>
      </c>
      <c r="AS82" s="462">
        <f t="shared" si="557"/>
        <v>0</v>
      </c>
      <c r="AT82" s="462">
        <f t="shared" si="557"/>
        <v>0</v>
      </c>
      <c r="AU82" s="462">
        <f t="shared" si="557"/>
        <v>0</v>
      </c>
      <c r="AV82" s="462">
        <f t="shared" si="557"/>
        <v>0</v>
      </c>
      <c r="AW82" s="462">
        <f t="shared" si="557"/>
        <v>0</v>
      </c>
      <c r="AX82" s="462">
        <f t="shared" si="557"/>
        <v>0</v>
      </c>
      <c r="AY82" s="462">
        <f t="shared" si="557"/>
        <v>0</v>
      </c>
      <c r="AZ82" s="462">
        <f t="shared" si="557"/>
        <v>0</v>
      </c>
      <c r="BA82" s="462">
        <f t="shared" si="557"/>
        <v>0</v>
      </c>
      <c r="BB82" s="462">
        <f t="shared" si="557"/>
        <v>0</v>
      </c>
      <c r="BC82" s="462">
        <f t="shared" si="557"/>
        <v>0</v>
      </c>
      <c r="BD82" s="462">
        <f t="shared" si="557"/>
        <v>0</v>
      </c>
      <c r="BE82" s="462">
        <f t="shared" si="557"/>
        <v>0</v>
      </c>
      <c r="BF82" s="462">
        <f t="shared" si="557"/>
        <v>0</v>
      </c>
      <c r="BG82" s="462">
        <f t="shared" si="557"/>
        <v>0</v>
      </c>
      <c r="BH82" s="462">
        <f t="shared" si="557"/>
        <v>0</v>
      </c>
      <c r="BI82" s="462">
        <f t="shared" si="557"/>
        <v>0</v>
      </c>
      <c r="BJ82" s="462">
        <f t="shared" si="557"/>
        <v>0</v>
      </c>
      <c r="BK82" s="462">
        <f t="shared" si="557"/>
        <v>0</v>
      </c>
      <c r="BL82" s="462">
        <f t="shared" si="557"/>
        <v>0</v>
      </c>
      <c r="BM82" s="462">
        <f t="shared" si="557"/>
        <v>0</v>
      </c>
      <c r="BN82" s="462">
        <f t="shared" si="557"/>
        <v>0</v>
      </c>
      <c r="BO82" s="462">
        <f t="shared" si="557"/>
        <v>0</v>
      </c>
      <c r="BP82" s="462">
        <f t="shared" si="557"/>
        <v>0</v>
      </c>
      <c r="BQ82" s="462">
        <f t="shared" si="557"/>
        <v>0</v>
      </c>
      <c r="BR82" s="462">
        <f t="shared" si="557"/>
        <v>0</v>
      </c>
      <c r="BS82" s="462">
        <f t="shared" si="557"/>
        <v>0</v>
      </c>
      <c r="BT82" s="462">
        <f t="shared" si="557"/>
        <v>0</v>
      </c>
      <c r="BU82" s="462">
        <f t="shared" si="557"/>
        <v>0</v>
      </c>
      <c r="BV82" s="462">
        <f t="shared" si="557"/>
        <v>0</v>
      </c>
      <c r="BW82" s="462">
        <f t="shared" si="557"/>
        <v>0</v>
      </c>
      <c r="BX82" s="462" t="n">
        <f t="shared" ref="BX82:DC82" si="558">(PermDebt_Fund=BX3)*Perm_Debt?*$I81*(1-$H$82)</f>
        <v>0</v>
      </c>
      <c r="BY82" s="462">
        <f t="shared" si="558"/>
        <v>0</v>
      </c>
      <c r="BZ82" s="462">
        <f t="shared" si="558"/>
        <v>0</v>
      </c>
      <c r="CA82" s="462">
        <f t="shared" si="558"/>
        <v>0</v>
      </c>
      <c r="CB82" s="462">
        <f t="shared" si="558"/>
        <v>0</v>
      </c>
      <c r="CC82" s="462">
        <f t="shared" si="558"/>
        <v>0</v>
      </c>
      <c r="CD82" s="462">
        <f t="shared" si="558"/>
        <v>0</v>
      </c>
      <c r="CE82" s="462">
        <f t="shared" si="558"/>
        <v>0</v>
      </c>
      <c r="CF82" s="462">
        <f t="shared" si="558"/>
        <v>0</v>
      </c>
      <c r="CG82" s="462">
        <f t="shared" si="558"/>
        <v>0</v>
      </c>
      <c r="CH82" s="462">
        <f t="shared" si="558"/>
        <v>0</v>
      </c>
      <c r="CI82" s="462">
        <f t="shared" si="558"/>
        <v>0</v>
      </c>
      <c r="CJ82" s="462">
        <f t="shared" si="558"/>
        <v>0</v>
      </c>
      <c r="CK82" s="462">
        <f t="shared" si="558"/>
        <v>0</v>
      </c>
      <c r="CL82" s="462">
        <f t="shared" si="558"/>
        <v>0</v>
      </c>
      <c r="CM82" s="462">
        <f t="shared" si="558"/>
        <v>0</v>
      </c>
      <c r="CN82" s="462">
        <f t="shared" si="558"/>
        <v>0</v>
      </c>
      <c r="CO82" s="462">
        <f t="shared" si="558"/>
        <v>0</v>
      </c>
      <c r="CP82" s="462">
        <f t="shared" si="558"/>
        <v>0</v>
      </c>
      <c r="CQ82" s="462">
        <f t="shared" si="558"/>
        <v>0</v>
      </c>
      <c r="CR82" s="462">
        <f t="shared" si="558"/>
        <v>0</v>
      </c>
      <c r="CS82" s="462">
        <f t="shared" si="558"/>
        <v>0</v>
      </c>
      <c r="CT82" s="462">
        <f t="shared" si="558"/>
        <v>0</v>
      </c>
      <c r="CU82" s="462">
        <f t="shared" si="558"/>
        <v>0</v>
      </c>
      <c r="CV82" s="462">
        <f t="shared" si="558"/>
        <v>0</v>
      </c>
      <c r="CW82" s="462">
        <f t="shared" si="558"/>
        <v>0</v>
      </c>
      <c r="CX82" s="462">
        <f t="shared" si="558"/>
        <v>0</v>
      </c>
      <c r="CY82" s="462">
        <f t="shared" si="558"/>
        <v>0</v>
      </c>
      <c r="CZ82" s="462">
        <f t="shared" si="558"/>
        <v>0</v>
      </c>
      <c r="DA82" s="462">
        <f t="shared" si="558"/>
        <v>0</v>
      </c>
      <c r="DB82" s="462">
        <f t="shared" si="558"/>
        <v>0</v>
      </c>
      <c r="DC82" s="462">
        <f t="shared" si="558"/>
        <v>0</v>
      </c>
      <c r="DD82" s="462" t="n">
        <f t="shared" ref="DD82:EI82" si="559">(PermDebt_Fund=DD3)*Perm_Debt?*$I81*(1-$H$82)</f>
        <v>0</v>
      </c>
      <c r="DE82" s="462">
        <f t="shared" si="559"/>
        <v>0</v>
      </c>
      <c r="DF82" s="462">
        <f t="shared" si="559"/>
        <v>0</v>
      </c>
      <c r="DG82" s="462">
        <f t="shared" si="559"/>
        <v>0</v>
      </c>
      <c r="DH82" s="462">
        <f t="shared" si="559"/>
        <v>0</v>
      </c>
      <c r="DI82" s="462">
        <f t="shared" si="559"/>
        <v>0</v>
      </c>
      <c r="DJ82" s="462">
        <f t="shared" si="559"/>
        <v>0</v>
      </c>
      <c r="DK82" s="462">
        <f t="shared" si="559"/>
        <v>0</v>
      </c>
      <c r="DL82" s="462">
        <f t="shared" si="559"/>
        <v>0</v>
      </c>
      <c r="DM82" s="462">
        <f t="shared" si="559"/>
        <v>0</v>
      </c>
      <c r="DN82" s="462">
        <f t="shared" si="559"/>
        <v>0</v>
      </c>
      <c r="DO82" s="462">
        <f t="shared" si="559"/>
        <v>0</v>
      </c>
      <c r="DP82" s="462">
        <f t="shared" si="559"/>
        <v>0</v>
      </c>
      <c r="DQ82" s="462">
        <f t="shared" si="559"/>
        <v>0</v>
      </c>
      <c r="DR82" s="462">
        <f t="shared" si="559"/>
        <v>0</v>
      </c>
      <c r="DS82" s="462">
        <f t="shared" si="559"/>
        <v>0</v>
      </c>
      <c r="DT82" s="462">
        <f t="shared" si="559"/>
        <v>0</v>
      </c>
      <c r="DU82" s="462">
        <f t="shared" si="559"/>
        <v>0</v>
      </c>
      <c r="DV82" s="462">
        <f t="shared" si="559"/>
        <v>0</v>
      </c>
      <c r="DW82" s="462">
        <f t="shared" si="559"/>
        <v>0</v>
      </c>
      <c r="DX82" s="462">
        <f t="shared" si="559"/>
        <v>0</v>
      </c>
      <c r="DY82" s="462">
        <f t="shared" si="559"/>
        <v>0</v>
      </c>
      <c r="DZ82" s="462">
        <f t="shared" si="559"/>
        <v>0</v>
      </c>
      <c r="EA82" s="462">
        <f t="shared" si="559"/>
        <v>0</v>
      </c>
      <c r="EB82" s="462">
        <f t="shared" si="559"/>
        <v>0</v>
      </c>
      <c r="EC82" s="462">
        <f t="shared" si="559"/>
        <v>0</v>
      </c>
      <c r="ED82" s="462">
        <f t="shared" si="559"/>
        <v>0</v>
      </c>
      <c r="EE82" s="462">
        <f t="shared" si="559"/>
        <v>0</v>
      </c>
      <c r="EF82" s="462">
        <f t="shared" si="559"/>
        <v>0</v>
      </c>
      <c r="EG82" s="462">
        <f t="shared" si="559"/>
        <v>0</v>
      </c>
      <c r="EH82" s="462">
        <f t="shared" si="559"/>
        <v>0</v>
      </c>
      <c r="EI82" s="462">
        <f t="shared" si="559"/>
        <v>0</v>
      </c>
      <c r="EJ82" s="462" t="n">
        <f t="shared" ref="EJ82:EN82" si="560">(PermDebt_Fund=EJ3)*Perm_Debt?*$I81*(1-$H$82)</f>
        <v>0</v>
      </c>
      <c r="EK82" s="462">
        <f t="shared" si="560"/>
        <v>0</v>
      </c>
      <c r="EL82" s="462">
        <f t="shared" si="560"/>
        <v>0</v>
      </c>
      <c r="EM82" s="462">
        <f t="shared" si="560"/>
        <v>0</v>
      </c>
      <c r="EN82" s="462">
        <f t="shared" si="560"/>
        <v>0</v>
      </c>
      <c r="EO82" s="444"/>
      <c r="EP82" s="220"/>
      <c r="EQ82" s="18"/>
      <c r="ER82" s="18"/>
      <c r="ES82" s="18"/>
      <c r="ET82" s="18"/>
      <c r="EU82" s="18"/>
      <c r="EV82" s="18"/>
      <c r="EW82" s="18"/>
      <c r="EX82" s="18"/>
      <c r="EY82" s="18"/>
      <c r="EZ82" s="18"/>
      <c r="FA82" s="18"/>
      <c r="FB82" s="18"/>
      <c r="FC82" s="18"/>
      <c r="FD82" s="18"/>
      <c r="FE82" s="18"/>
      <c r="FF82" s="18"/>
      <c r="FG82" s="18"/>
      <c r="FH82" s="18"/>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8"/>
      <c r="GN82" s="18"/>
      <c r="GO82" s="18"/>
      <c r="GP82" s="18"/>
      <c r="GQ82" s="18"/>
      <c r="GR82" s="18"/>
      <c r="GS82" s="18"/>
      <c r="GT82" s="18"/>
      <c r="GU82" s="18"/>
      <c r="GV82" s="18"/>
      <c r="GW82" s="18"/>
      <c r="GX82" s="18"/>
      <c r="GY82" s="18"/>
      <c r="GZ82" s="18"/>
      <c r="HA82" s="18"/>
      <c r="HB82" s="18"/>
      <c r="HC82" s="18"/>
      <c r="HD82" s="18"/>
      <c r="HE82" s="18"/>
      <c r="HF82" s="18"/>
      <c r="HG82" s="18"/>
      <c r="HH82" s="18"/>
      <c r="HI82" s="18"/>
      <c r="HJ82" s="18"/>
      <c r="HK82" s="18"/>
      <c r="HL82" s="18"/>
      <c r="HM82" s="18"/>
      <c r="HN82" s="18"/>
      <c r="HO82" s="18"/>
      <c r="HP82" s="18"/>
      <c r="HQ82" s="18"/>
      <c r="HR82" s="18"/>
      <c r="HS82" s="18"/>
      <c r="HT82" s="18"/>
      <c r="HU82" s="18"/>
      <c r="HV82" s="18"/>
      <c r="HW82" s="18"/>
      <c r="HX82" s="18"/>
      <c r="HY82" s="18"/>
      <c r="HZ82" s="18"/>
      <c r="IA82" s="18"/>
      <c r="IB82" s="18"/>
      <c r="IC82" s="18"/>
      <c r="ID82" s="18"/>
      <c r="IE82" s="18"/>
      <c r="IF82" s="18"/>
      <c r="IG82" s="18"/>
      <c r="IH82" s="18"/>
      <c r="II82" s="18"/>
      <c r="IJ82" s="18"/>
      <c r="IK82" s="18"/>
      <c r="IL82" s="18"/>
      <c r="IM82" s="18"/>
      <c r="IN82" s="18"/>
      <c r="IO82" s="18"/>
      <c r="IP82" s="18"/>
      <c r="IQ82" s="18"/>
      <c r="IR82" s="18"/>
      <c r="IS82" s="18"/>
      <c r="IT82" s="18"/>
      <c r="IU82" s="18"/>
      <c r="IV82" s="18"/>
      <c r="IW82" s="18"/>
      <c r="IX82" s="18"/>
      <c r="IY82" s="18"/>
      <c r="IZ82" s="18"/>
      <c r="JA82" s="18"/>
      <c r="JB82" s="18"/>
      <c r="JC82" s="18"/>
      <c r="JD82" s="18"/>
      <c r="JE82" s="18"/>
      <c r="JF82" s="18"/>
      <c r="JG82" s="18"/>
      <c r="JH82" s="18"/>
      <c r="JI82" s="18"/>
      <c r="JJ82" s="18"/>
      <c r="JK82" s="18"/>
      <c r="JL82" s="18"/>
      <c r="JM82" s="18"/>
      <c r="JN82" s="18"/>
      <c r="JO82" s="18"/>
      <c r="JP82" s="18"/>
      <c r="JQ82" s="18"/>
      <c r="JR82" s="18"/>
      <c r="JS82" s="18"/>
      <c r="JT82" s="18"/>
      <c r="JU82" s="18"/>
      <c r="JV82" s="18"/>
      <c r="JW82" s="18"/>
      <c r="JX82" s="18"/>
      <c r="JZ82" s="446"/>
      <c r="KA82" s="446"/>
      <c r="KB82" s="446"/>
      <c r="KC82" s="446"/>
      <c r="KD82" s="446"/>
      <c r="KE82" s="446"/>
      <c r="KF82" s="446"/>
      <c r="KG82" s="446"/>
      <c r="KH82" s="446"/>
      <c r="KI82" s="446"/>
      <c r="KJ82" s="446"/>
      <c r="KK82" s="446"/>
      <c r="KL82" s="446"/>
      <c r="KM82" s="446"/>
      <c r="KN82" s="446"/>
      <c r="KO82" s="446"/>
      <c r="KP82" s="446"/>
      <c r="KQ82" s="446"/>
      <c r="KR82" s="446"/>
      <c r="KS82" s="446"/>
      <c r="KT82" s="446"/>
      <c r="KU82" s="446"/>
      <c r="KV82" s="446"/>
      <c r="KW82" s="446"/>
      <c r="KX82" s="446"/>
      <c r="KY82" s="446"/>
      <c r="KZ82" s="446"/>
      <c r="LA82" s="446"/>
      <c r="LB82" s="446"/>
      <c r="LC82" s="446"/>
      <c r="LD82" s="446"/>
      <c r="LE82" s="446"/>
      <c r="LF82" s="446"/>
      <c r="LG82" s="446"/>
      <c r="LH82" s="446"/>
      <c r="LI82" s="446"/>
      <c r="LJ82" s="446"/>
      <c r="LK82" s="446"/>
      <c r="LL82" s="446"/>
      <c r="LM82" s="446"/>
      <c r="LN82" s="446"/>
      <c r="LO82" s="446"/>
      <c r="LP82" s="446"/>
      <c r="LQ82" s="446"/>
      <c r="LR82" s="446"/>
      <c r="LS82" s="446"/>
      <c r="LT82" s="446"/>
      <c r="LU82" s="446"/>
      <c r="LV82" s="446"/>
      <c r="LW82" s="446"/>
      <c r="LX82" s="446"/>
      <c r="LY82" s="446"/>
      <c r="LZ82" s="446"/>
      <c r="MA82" s="446"/>
      <c r="MB82" s="446"/>
      <c r="MC82" s="446"/>
      <c r="MD82" s="446"/>
      <c r="ME82" s="446"/>
      <c r="MF82" s="446"/>
      <c r="MG82" s="446"/>
      <c r="MH82" s="446"/>
      <c r="MI82" s="446"/>
      <c r="MJ82" s="446"/>
      <c r="MK82" s="446"/>
      <c r="ML82" s="446"/>
      <c r="MM82" s="446"/>
      <c r="MN82" s="446"/>
      <c r="MO82" s="446"/>
      <c r="MP82" s="446"/>
      <c r="MQ82" s="446"/>
      <c r="MR82" s="446"/>
      <c r="MS82" s="446"/>
      <c r="MT82" s="446"/>
      <c r="MU82" s="446"/>
      <c r="MV82" s="446"/>
      <c r="MW82" s="446"/>
      <c r="MX82" s="446"/>
      <c r="MY82" s="446"/>
      <c r="MZ82" s="446"/>
      <c r="NA82" s="446"/>
      <c r="NB82" s="446"/>
      <c r="NC82" s="446"/>
      <c r="ND82" s="446"/>
      <c r="NE82" s="446"/>
      <c r="NF82" s="446"/>
      <c r="NG82" s="446"/>
      <c r="NH82" s="446"/>
      <c r="NI82" s="446"/>
      <c r="NJ82" s="446"/>
      <c r="NK82" s="446"/>
      <c r="NL82" s="446"/>
      <c r="NM82" s="446"/>
      <c r="NN82" s="446"/>
      <c r="NO82" s="446"/>
      <c r="NP82" s="446"/>
      <c r="NQ82" s="446"/>
      <c r="NR82" s="446"/>
      <c r="NS82" s="446"/>
      <c r="NT82" s="446"/>
      <c r="NU82" s="446"/>
      <c r="NV82" s="446"/>
      <c r="NW82" s="446"/>
      <c r="NX82" s="446"/>
      <c r="NY82" s="446"/>
      <c r="NZ82" s="446"/>
      <c r="OA82" s="446"/>
      <c r="OB82" s="446"/>
      <c r="OC82" s="446"/>
      <c r="OD82" s="446"/>
      <c r="OE82" s="446"/>
      <c r="OF82" s="446"/>
      <c r="OG82" s="446"/>
      <c r="OH82" s="446"/>
      <c r="OI82" s="446"/>
      <c r="OJ82" s="446"/>
      <c r="OK82" s="446"/>
      <c r="OL82" s="446"/>
      <c r="OM82" s="446"/>
      <c r="ON82" s="446"/>
      <c r="OO82" s="446"/>
      <c r="OP82" s="446"/>
      <c r="OQ82" s="446"/>
      <c r="OR82" s="446"/>
      <c r="OS82" s="446"/>
      <c r="OT82" s="446"/>
      <c r="OU82" s="446"/>
      <c r="OV82" s="446"/>
      <c r="OW82" s="446"/>
      <c r="OX82" s="446"/>
      <c r="OY82" s="446"/>
      <c r="OZ82" s="446"/>
      <c r="PA82" s="446"/>
      <c r="PB82" s="446"/>
      <c r="PC82" s="446"/>
      <c r="PD82" s="446"/>
      <c r="PE82" s="446"/>
      <c r="PF82" s="446"/>
      <c r="PG82" s="446"/>
      <c r="PH82" s="446"/>
    </row>
    <row r="83" s="24" customFormat="1">
      <c r="A83" s="441"/>
      <c r="B83" s="431" t="s">
        <v>208</v>
      </c>
      <c r="C83" s="47" t="n">
        <f>Timing_Reversion_Month</f>
        <v>61</v>
      </c>
      <c r="D83" s="458"/>
      <c r="E83" s="458"/>
      <c r="F83" s="63"/>
      <c r="G83" s="135" t="str">
        <f>"Debt Service Coverage Ratio (Month "&amp;PermDebt_Fund+1&amp;"):"</f>
        <v>Debt Service Coverage Ratio (Month 50):</v>
      </c>
      <c r="H83" s="270" t="str">
        <f>IF(Perm_Debt?=0,"",SUM(INDEX($M$140:$EN$140,1,PermDebt_Fund+1):INDEX($M$140:$EN$140,1,PermDebt_Fund+12))/H81)</f>
      </c>
      <c r="I83" s="449" t="n">
        <f>IF(F81="No",PV(E81/12,G81*12-(PermDebt_Payoff-PermDebt_Fund),H81/12),-I81)</f>
        <v>-215170539.3025325</v>
      </c>
      <c r="K83" s="444"/>
      <c r="L83" s="462" t="n">
        <f t="shared" ref="L83:AQ83" si="561">(PermDebt_Payoff=L3)*Perm_Debt?*$I83</f>
        <v>0</v>
      </c>
      <c r="M83" s="462">
        <f t="shared" si="561"/>
        <v>0</v>
      </c>
      <c r="N83" s="462">
        <f t="shared" si="561"/>
        <v>0</v>
      </c>
      <c r="O83" s="462">
        <f t="shared" si="561"/>
        <v>0</v>
      </c>
      <c r="P83" s="462">
        <f t="shared" si="561"/>
        <v>0</v>
      </c>
      <c r="Q83" s="462">
        <f t="shared" si="561"/>
        <v>0</v>
      </c>
      <c r="R83" s="462">
        <f t="shared" si="561"/>
        <v>0</v>
      </c>
      <c r="S83" s="462">
        <f t="shared" si="561"/>
        <v>0</v>
      </c>
      <c r="T83" s="462">
        <f t="shared" si="561"/>
        <v>0</v>
      </c>
      <c r="U83" s="462">
        <f t="shared" si="561"/>
        <v>0</v>
      </c>
      <c r="V83" s="462">
        <f t="shared" si="561"/>
        <v>0</v>
      </c>
      <c r="W83" s="462">
        <f t="shared" si="561"/>
        <v>0</v>
      </c>
      <c r="X83" s="462">
        <f t="shared" si="561"/>
        <v>0</v>
      </c>
      <c r="Y83" s="462">
        <f t="shared" si="561"/>
        <v>0</v>
      </c>
      <c r="Z83" s="462">
        <f t="shared" si="561"/>
        <v>0</v>
      </c>
      <c r="AA83" s="462">
        <f t="shared" si="561"/>
        <v>0</v>
      </c>
      <c r="AB83" s="462">
        <f t="shared" si="561"/>
        <v>0</v>
      </c>
      <c r="AC83" s="462">
        <f t="shared" si="561"/>
        <v>0</v>
      </c>
      <c r="AD83" s="462">
        <f t="shared" si="561"/>
        <v>0</v>
      </c>
      <c r="AE83" s="462">
        <f t="shared" si="561"/>
        <v>0</v>
      </c>
      <c r="AF83" s="462">
        <f t="shared" si="561"/>
        <v>0</v>
      </c>
      <c r="AG83" s="462">
        <f t="shared" si="561"/>
        <v>0</v>
      </c>
      <c r="AH83" s="462">
        <f t="shared" si="561"/>
        <v>0</v>
      </c>
      <c r="AI83" s="462">
        <f t="shared" si="561"/>
        <v>0</v>
      </c>
      <c r="AJ83" s="462">
        <f t="shared" si="561"/>
        <v>0</v>
      </c>
      <c r="AK83" s="462">
        <f t="shared" si="561"/>
        <v>0</v>
      </c>
      <c r="AL83" s="462">
        <f t="shared" si="561"/>
        <v>0</v>
      </c>
      <c r="AM83" s="462">
        <f t="shared" si="561"/>
        <v>0</v>
      </c>
      <c r="AN83" s="462">
        <f t="shared" si="561"/>
        <v>0</v>
      </c>
      <c r="AO83" s="462">
        <f t="shared" si="561"/>
        <v>0</v>
      </c>
      <c r="AP83" s="462">
        <f t="shared" si="561"/>
        <v>0</v>
      </c>
      <c r="AQ83" s="462">
        <f t="shared" si="561"/>
        <v>0</v>
      </c>
      <c r="AR83" s="462" t="n">
        <f t="shared" ref="AR83:BW83" si="562">(PermDebt_Payoff=AR3)*Perm_Debt?*$I83</f>
        <v>0</v>
      </c>
      <c r="AS83" s="462">
        <f t="shared" si="562"/>
        <v>0</v>
      </c>
      <c r="AT83" s="462">
        <f t="shared" si="562"/>
        <v>0</v>
      </c>
      <c r="AU83" s="462">
        <f t="shared" si="562"/>
        <v>0</v>
      </c>
      <c r="AV83" s="462">
        <f t="shared" si="562"/>
        <v>0</v>
      </c>
      <c r="AW83" s="462">
        <f t="shared" si="562"/>
        <v>0</v>
      </c>
      <c r="AX83" s="462">
        <f t="shared" si="562"/>
        <v>0</v>
      </c>
      <c r="AY83" s="462">
        <f t="shared" si="562"/>
        <v>0</v>
      </c>
      <c r="AZ83" s="462">
        <f t="shared" si="562"/>
        <v>0</v>
      </c>
      <c r="BA83" s="462">
        <f t="shared" si="562"/>
        <v>0</v>
      </c>
      <c r="BB83" s="462">
        <f t="shared" si="562"/>
        <v>0</v>
      </c>
      <c r="BC83" s="462">
        <f t="shared" si="562"/>
        <v>0</v>
      </c>
      <c r="BD83" s="462">
        <f t="shared" si="562"/>
        <v>0</v>
      </c>
      <c r="BE83" s="462">
        <f t="shared" si="562"/>
        <v>0</v>
      </c>
      <c r="BF83" s="462">
        <f t="shared" si="562"/>
        <v>0</v>
      </c>
      <c r="BG83" s="462">
        <f t="shared" si="562"/>
        <v>0</v>
      </c>
      <c r="BH83" s="462">
        <f t="shared" si="562"/>
        <v>0</v>
      </c>
      <c r="BI83" s="462">
        <f t="shared" si="562"/>
        <v>0</v>
      </c>
      <c r="BJ83" s="462">
        <f t="shared" si="562"/>
        <v>0</v>
      </c>
      <c r="BK83" s="462">
        <f t="shared" si="562"/>
        <v>0</v>
      </c>
      <c r="BL83" s="462">
        <f t="shared" si="562"/>
        <v>0</v>
      </c>
      <c r="BM83" s="462">
        <f t="shared" si="562"/>
        <v>0</v>
      </c>
      <c r="BN83" s="462">
        <f t="shared" si="562"/>
        <v>0</v>
      </c>
      <c r="BO83" s="462">
        <f t="shared" si="562"/>
        <v>0</v>
      </c>
      <c r="BP83" s="462">
        <f t="shared" si="562"/>
        <v>0</v>
      </c>
      <c r="BQ83" s="462">
        <f t="shared" si="562"/>
        <v>0</v>
      </c>
      <c r="BR83" s="462">
        <f t="shared" si="562"/>
        <v>0</v>
      </c>
      <c r="BS83" s="462">
        <f t="shared" si="562"/>
        <v>0</v>
      </c>
      <c r="BT83" s="462">
        <f t="shared" si="562"/>
        <v>0</v>
      </c>
      <c r="BU83" s="462">
        <f t="shared" si="562"/>
        <v>0</v>
      </c>
      <c r="BV83" s="462">
        <f t="shared" si="562"/>
        <v>0</v>
      </c>
      <c r="BW83" s="462">
        <f t="shared" si="562"/>
        <v>0</v>
      </c>
      <c r="BX83" s="462" t="n">
        <f t="shared" ref="BX83:DC83" si="563">(PermDebt_Payoff=BX3)*Perm_Debt?*$I83</f>
        <v>0</v>
      </c>
      <c r="BY83" s="462">
        <f t="shared" si="563"/>
        <v>0</v>
      </c>
      <c r="BZ83" s="462">
        <f t="shared" si="563"/>
        <v>0</v>
      </c>
      <c r="CA83" s="462">
        <f t="shared" si="563"/>
        <v>0</v>
      </c>
      <c r="CB83" s="462">
        <f t="shared" si="563"/>
        <v>0</v>
      </c>
      <c r="CC83" s="462">
        <f t="shared" si="563"/>
        <v>0</v>
      </c>
      <c r="CD83" s="462">
        <f t="shared" si="563"/>
        <v>0</v>
      </c>
      <c r="CE83" s="462">
        <f t="shared" si="563"/>
        <v>0</v>
      </c>
      <c r="CF83" s="462">
        <f t="shared" si="563"/>
        <v>0</v>
      </c>
      <c r="CG83" s="462">
        <f t="shared" si="563"/>
        <v>0</v>
      </c>
      <c r="CH83" s="462">
        <f t="shared" si="563"/>
        <v>0</v>
      </c>
      <c r="CI83" s="462">
        <f t="shared" si="563"/>
        <v>0</v>
      </c>
      <c r="CJ83" s="462">
        <f t="shared" si="563"/>
        <v>0</v>
      </c>
      <c r="CK83" s="462">
        <f t="shared" si="563"/>
        <v>0</v>
      </c>
      <c r="CL83" s="462">
        <f t="shared" si="563"/>
        <v>0</v>
      </c>
      <c r="CM83" s="462">
        <f t="shared" si="563"/>
        <v>0</v>
      </c>
      <c r="CN83" s="462">
        <f t="shared" si="563"/>
        <v>0</v>
      </c>
      <c r="CO83" s="462">
        <f t="shared" si="563"/>
        <v>0</v>
      </c>
      <c r="CP83" s="462">
        <f t="shared" si="563"/>
        <v>0</v>
      </c>
      <c r="CQ83" s="462">
        <f t="shared" si="563"/>
        <v>0</v>
      </c>
      <c r="CR83" s="462">
        <f t="shared" si="563"/>
        <v>0</v>
      </c>
      <c r="CS83" s="462">
        <f t="shared" si="563"/>
        <v>0</v>
      </c>
      <c r="CT83" s="462">
        <f t="shared" si="563"/>
        <v>0</v>
      </c>
      <c r="CU83" s="462">
        <f t="shared" si="563"/>
        <v>0</v>
      </c>
      <c r="CV83" s="462">
        <f t="shared" si="563"/>
        <v>0</v>
      </c>
      <c r="CW83" s="462">
        <f t="shared" si="563"/>
        <v>0</v>
      </c>
      <c r="CX83" s="462">
        <f t="shared" si="563"/>
        <v>0</v>
      </c>
      <c r="CY83" s="462">
        <f t="shared" si="563"/>
        <v>0</v>
      </c>
      <c r="CZ83" s="462">
        <f t="shared" si="563"/>
        <v>0</v>
      </c>
      <c r="DA83" s="462">
        <f t="shared" si="563"/>
        <v>0</v>
      </c>
      <c r="DB83" s="462">
        <f t="shared" si="563"/>
        <v>0</v>
      </c>
      <c r="DC83" s="462">
        <f t="shared" si="563"/>
        <v>0</v>
      </c>
      <c r="DD83" s="462" t="n">
        <f t="shared" ref="DD83:EN83" si="564">(PermDebt_Payoff=DD3)*Perm_Debt?*$I83</f>
        <v>0</v>
      </c>
      <c r="DE83" s="462">
        <f t="shared" si="564"/>
        <v>0</v>
      </c>
      <c r="DF83" s="462">
        <f t="shared" si="564"/>
        <v>0</v>
      </c>
      <c r="DG83" s="462">
        <f t="shared" si="564"/>
        <v>0</v>
      </c>
      <c r="DH83" s="462">
        <f t="shared" si="564"/>
        <v>0</v>
      </c>
      <c r="DI83" s="462">
        <f t="shared" si="564"/>
        <v>0</v>
      </c>
      <c r="DJ83" s="462">
        <f t="shared" si="564"/>
        <v>0</v>
      </c>
      <c r="DK83" s="462">
        <f t="shared" si="564"/>
        <v>0</v>
      </c>
      <c r="DL83" s="462">
        <f t="shared" si="564"/>
        <v>0</v>
      </c>
      <c r="DM83" s="462">
        <f t="shared" si="564"/>
        <v>0</v>
      </c>
      <c r="DN83" s="462">
        <f t="shared" si="564"/>
        <v>0</v>
      </c>
      <c r="DO83" s="462">
        <f t="shared" si="564"/>
        <v>0</v>
      </c>
      <c r="DP83" s="462">
        <f t="shared" si="564"/>
        <v>0</v>
      </c>
      <c r="DQ83" s="462">
        <f t="shared" si="564"/>
        <v>0</v>
      </c>
      <c r="DR83" s="462">
        <f t="shared" si="564"/>
        <v>0</v>
      </c>
      <c r="DS83" s="462">
        <f t="shared" si="564"/>
        <v>0</v>
      </c>
      <c r="DT83" s="462">
        <f t="shared" si="564"/>
        <v>0</v>
      </c>
      <c r="DU83" s="462">
        <f t="shared" si="564"/>
        <v>0</v>
      </c>
      <c r="DV83" s="462">
        <f t="shared" si="564"/>
        <v>0</v>
      </c>
      <c r="DW83" s="462">
        <f t="shared" si="564"/>
        <v>0</v>
      </c>
      <c r="DX83" s="462">
        <f t="shared" si="564"/>
        <v>0</v>
      </c>
      <c r="DY83" s="462">
        <f t="shared" si="564"/>
        <v>0</v>
      </c>
      <c r="DZ83" s="462">
        <f t="shared" si="564"/>
        <v>0</v>
      </c>
      <c r="EA83" s="462">
        <f t="shared" si="564"/>
        <v>0</v>
      </c>
      <c r="EB83" s="462">
        <f t="shared" si="564"/>
        <v>0</v>
      </c>
      <c r="EC83" s="462">
        <f t="shared" si="564"/>
        <v>0</v>
      </c>
      <c r="ED83" s="462">
        <f t="shared" si="564"/>
        <v>0</v>
      </c>
      <c r="EE83" s="462">
        <f t="shared" si="564"/>
        <v>0</v>
      </c>
      <c r="EF83" s="462">
        <f t="shared" si="564"/>
        <v>0</v>
      </c>
      <c r="EG83" s="462">
        <f t="shared" si="564"/>
        <v>0</v>
      </c>
      <c r="EH83" s="462">
        <f t="shared" si="564"/>
        <v>0</v>
      </c>
      <c r="EI83" s="462">
        <f t="shared" si="564"/>
        <v>0</v>
      </c>
      <c r="EJ83" s="462">
        <f t="shared" si="564"/>
        <v>0</v>
      </c>
      <c r="EK83" s="462">
        <f t="shared" si="564"/>
        <v>0</v>
      </c>
      <c r="EL83" s="462">
        <f t="shared" si="564"/>
        <v>0</v>
      </c>
      <c r="EM83" s="462">
        <f t="shared" si="564"/>
        <v>0</v>
      </c>
      <c r="EN83" s="462">
        <f t="shared" si="564"/>
        <v>0</v>
      </c>
      <c r="EO83" s="444"/>
      <c r="EP83" s="220"/>
      <c r="EQ83" s="18"/>
      <c r="ER83" s="18"/>
      <c r="ES83" s="18"/>
      <c r="ET83" s="18"/>
      <c r="EU83" s="18"/>
      <c r="EV83" s="18"/>
      <c r="EW83" s="18"/>
      <c r="EX83" s="18"/>
      <c r="EY83" s="18"/>
      <c r="EZ83" s="18"/>
      <c r="FA83" s="18"/>
      <c r="FB83" s="18"/>
      <c r="FC83" s="18"/>
      <c r="FD83" s="18"/>
      <c r="FE83" s="18"/>
      <c r="FF83" s="18"/>
      <c r="FG83" s="18"/>
      <c r="FH83" s="18"/>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8"/>
      <c r="GN83" s="18"/>
      <c r="GO83" s="18"/>
      <c r="GP83" s="18"/>
      <c r="GQ83" s="18"/>
      <c r="GR83" s="18"/>
      <c r="GS83" s="18"/>
      <c r="GT83" s="18"/>
      <c r="GU83" s="18"/>
      <c r="GV83" s="18"/>
      <c r="GW83" s="18"/>
      <c r="GX83" s="18"/>
      <c r="GY83" s="18"/>
      <c r="GZ83" s="18"/>
      <c r="HA83" s="18"/>
      <c r="HB83" s="18"/>
      <c r="HC83" s="18"/>
      <c r="HD83" s="18"/>
      <c r="HE83" s="18"/>
      <c r="HF83" s="18"/>
      <c r="HG83" s="18"/>
      <c r="HH83" s="18"/>
      <c r="HI83" s="18"/>
      <c r="HJ83" s="18"/>
      <c r="HK83" s="18"/>
      <c r="HL83" s="18"/>
      <c r="HM83" s="18"/>
      <c r="HN83" s="18"/>
      <c r="HO83" s="18"/>
      <c r="HP83" s="18"/>
      <c r="HQ83" s="18"/>
      <c r="HR83" s="18"/>
      <c r="HS83" s="18"/>
      <c r="HT83" s="18"/>
      <c r="HU83" s="18"/>
      <c r="HV83" s="18"/>
      <c r="HW83" s="18"/>
      <c r="HX83" s="18"/>
      <c r="HY83" s="18"/>
      <c r="HZ83" s="18"/>
      <c r="IA83" s="18"/>
      <c r="IB83" s="18"/>
      <c r="IC83" s="18"/>
      <c r="ID83" s="18"/>
      <c r="IE83" s="18"/>
      <c r="IF83" s="18"/>
      <c r="IG83" s="18"/>
      <c r="IH83" s="18"/>
      <c r="II83" s="18"/>
      <c r="IJ83" s="18"/>
      <c r="IK83" s="18"/>
      <c r="IL83" s="18"/>
      <c r="IM83" s="18"/>
      <c r="IN83" s="18"/>
      <c r="IO83" s="18"/>
      <c r="IP83" s="18"/>
      <c r="IQ83" s="18"/>
      <c r="IR83" s="18"/>
      <c r="IS83" s="18"/>
      <c r="IT83" s="18"/>
      <c r="IU83" s="18"/>
      <c r="IV83" s="18"/>
      <c r="IW83" s="18"/>
      <c r="IX83" s="18"/>
      <c r="IY83" s="18"/>
      <c r="IZ83" s="18"/>
      <c r="JA83" s="18"/>
      <c r="JB83" s="18"/>
      <c r="JC83" s="18"/>
      <c r="JD83" s="18"/>
      <c r="JE83" s="18"/>
      <c r="JF83" s="18"/>
      <c r="JG83" s="18"/>
      <c r="JH83" s="18"/>
      <c r="JI83" s="18"/>
      <c r="JJ83" s="18"/>
      <c r="JK83" s="18"/>
      <c r="JL83" s="18"/>
      <c r="JM83" s="18"/>
      <c r="JN83" s="18"/>
      <c r="JO83" s="18"/>
      <c r="JP83" s="18"/>
      <c r="JQ83" s="18"/>
      <c r="JR83" s="18"/>
      <c r="JS83" s="18"/>
      <c r="JT83" s="18"/>
      <c r="JU83" s="18"/>
      <c r="JV83" s="18"/>
      <c r="JW83" s="18"/>
      <c r="JX83" s="18"/>
      <c r="JZ83" s="446"/>
      <c r="KA83" s="446"/>
      <c r="KB83" s="446"/>
      <c r="KC83" s="446"/>
      <c r="KD83" s="446"/>
      <c r="KE83" s="446"/>
      <c r="KF83" s="446"/>
      <c r="KG83" s="446"/>
      <c r="KH83" s="446"/>
      <c r="KI83" s="446"/>
      <c r="KJ83" s="446"/>
      <c r="KK83" s="446"/>
      <c r="KL83" s="446"/>
      <c r="KM83" s="446"/>
      <c r="KN83" s="446"/>
      <c r="KO83" s="446"/>
      <c r="KP83" s="446"/>
      <c r="KQ83" s="446"/>
      <c r="KR83" s="446"/>
      <c r="KS83" s="446"/>
      <c r="KT83" s="446"/>
      <c r="KU83" s="446"/>
      <c r="KV83" s="446"/>
      <c r="KW83" s="446"/>
      <c r="KX83" s="446"/>
      <c r="KY83" s="446"/>
      <c r="KZ83" s="446"/>
      <c r="LA83" s="446"/>
      <c r="LB83" s="446"/>
      <c r="LC83" s="446"/>
      <c r="LD83" s="446"/>
      <c r="LE83" s="446"/>
      <c r="LF83" s="446"/>
      <c r="LG83" s="446"/>
      <c r="LH83" s="446"/>
      <c r="LI83" s="446"/>
      <c r="LJ83" s="446"/>
      <c r="LK83" s="446"/>
      <c r="LL83" s="446"/>
      <c r="LM83" s="446"/>
      <c r="LN83" s="446"/>
      <c r="LO83" s="446"/>
      <c r="LP83" s="446"/>
      <c r="LQ83" s="446"/>
      <c r="LR83" s="446"/>
      <c r="LS83" s="446"/>
      <c r="LT83" s="446"/>
      <c r="LU83" s="446"/>
      <c r="LV83" s="446"/>
      <c r="LW83" s="446"/>
      <c r="LX83" s="446"/>
      <c r="LY83" s="446"/>
      <c r="LZ83" s="446"/>
      <c r="MA83" s="446"/>
      <c r="MB83" s="446"/>
      <c r="MC83" s="446"/>
      <c r="MD83" s="446"/>
      <c r="ME83" s="446"/>
      <c r="MF83" s="446"/>
      <c r="MG83" s="446"/>
      <c r="MH83" s="446"/>
      <c r="MI83" s="446"/>
      <c r="MJ83" s="446"/>
      <c r="MK83" s="446"/>
      <c r="ML83" s="446"/>
      <c r="MM83" s="446"/>
      <c r="MN83" s="446"/>
      <c r="MO83" s="446"/>
      <c r="MP83" s="446"/>
      <c r="MQ83" s="446"/>
      <c r="MR83" s="446"/>
      <c r="MS83" s="446"/>
      <c r="MT83" s="446"/>
      <c r="MU83" s="446"/>
      <c r="MV83" s="446"/>
      <c r="MW83" s="446"/>
      <c r="MX83" s="446"/>
      <c r="MY83" s="446"/>
      <c r="MZ83" s="446"/>
      <c r="NA83" s="446"/>
      <c r="NB83" s="446"/>
      <c r="NC83" s="446"/>
      <c r="ND83" s="446"/>
      <c r="NE83" s="446"/>
      <c r="NF83" s="446"/>
      <c r="NG83" s="446"/>
      <c r="NH83" s="446"/>
      <c r="NI83" s="446"/>
      <c r="NJ83" s="446"/>
      <c r="NK83" s="446"/>
      <c r="NL83" s="446"/>
      <c r="NM83" s="446"/>
      <c r="NN83" s="446"/>
      <c r="NO83" s="446"/>
      <c r="NP83" s="446"/>
      <c r="NQ83" s="446"/>
      <c r="NR83" s="446"/>
      <c r="NS83" s="446"/>
      <c r="NT83" s="446"/>
      <c r="NU83" s="446"/>
      <c r="NV83" s="446"/>
      <c r="NW83" s="446"/>
      <c r="NX83" s="446"/>
      <c r="NY83" s="446"/>
      <c r="NZ83" s="446"/>
      <c r="OA83" s="446"/>
      <c r="OB83" s="446"/>
      <c r="OC83" s="446"/>
      <c r="OD83" s="446"/>
      <c r="OE83" s="446"/>
      <c r="OF83" s="446"/>
      <c r="OG83" s="446"/>
      <c r="OH83" s="446"/>
      <c r="OI83" s="446"/>
      <c r="OJ83" s="446"/>
      <c r="OK83" s="446"/>
      <c r="OL83" s="446"/>
      <c r="OM83" s="446"/>
      <c r="ON83" s="446"/>
      <c r="OO83" s="446"/>
      <c r="OP83" s="446"/>
      <c r="OQ83" s="446"/>
      <c r="OR83" s="446"/>
      <c r="OS83" s="446"/>
      <c r="OT83" s="446"/>
      <c r="OU83" s="446"/>
      <c r="OV83" s="446"/>
      <c r="OW83" s="446"/>
      <c r="OX83" s="446"/>
      <c r="OY83" s="446"/>
      <c r="OZ83" s="446"/>
      <c r="PA83" s="446"/>
      <c r="PB83" s="446"/>
      <c r="PC83" s="446"/>
      <c r="PD83" s="446"/>
      <c r="PE83" s="446"/>
      <c r="PF83" s="446"/>
      <c r="PG83" s="446"/>
      <c r="PH83" s="446"/>
    </row>
    <row r="84" s="24" customFormat="1">
      <c r="A84" s="441"/>
      <c r="B84" s="62"/>
      <c r="C84" s="458"/>
      <c r="D84" s="458"/>
      <c r="E84" s="458"/>
      <c r="F84" s="63"/>
      <c r="G84" s="135" t="str">
        <f>"Debt Yield (Month "&amp;PermDebt_Fund+1&amp;"):"</f>
        <v>Debt Yield (Month 50):</v>
      </c>
      <c r="H84" s="274" t="str">
        <f>IF(Perm_Debt?=0,"",SUM(INDEX($M$140:$EN$140,1,PermDebt_Fund+1):INDEX($M$140:$EN$140,1,PermDebt_Fund+12))/I81)</f>
      </c>
      <c r="I84" s="64"/>
      <c r="K84" s="444"/>
      <c r="L84" s="205"/>
      <c r="M84" s="205"/>
      <c r="N84" s="205"/>
      <c r="O84" s="205"/>
      <c r="P84" s="205"/>
      <c r="Q84" s="205"/>
      <c r="R84" s="205"/>
      <c r="S84" s="205"/>
      <c r="T84" s="205"/>
      <c r="U84" s="205"/>
      <c r="V84" s="205"/>
      <c r="W84" s="205"/>
      <c r="X84" s="205"/>
      <c r="Y84" s="205"/>
      <c r="Z84" s="205"/>
      <c r="AA84" s="205"/>
      <c r="AB84" s="205"/>
      <c r="AC84" s="205"/>
      <c r="AD84" s="205"/>
      <c r="AE84" s="205"/>
      <c r="AF84" s="205"/>
      <c r="AG84" s="205"/>
      <c r="AH84" s="205"/>
      <c r="AI84" s="205"/>
      <c r="AJ84" s="205"/>
      <c r="AK84" s="205"/>
      <c r="AL84" s="205"/>
      <c r="AM84" s="205"/>
      <c r="AN84" s="205"/>
      <c r="AO84" s="205"/>
      <c r="AP84" s="205"/>
      <c r="AQ84" s="205"/>
      <c r="AR84" s="205"/>
      <c r="AS84" s="205"/>
      <c r="AT84" s="205"/>
      <c r="AU84" s="205"/>
      <c r="AV84" s="205"/>
      <c r="AW84" s="205"/>
      <c r="AX84" s="205"/>
      <c r="AY84" s="205"/>
      <c r="AZ84" s="205"/>
      <c r="BA84" s="205"/>
      <c r="BB84" s="205"/>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c r="BY84" s="205"/>
      <c r="BZ84" s="205"/>
      <c r="CA84" s="205"/>
      <c r="CB84" s="205"/>
      <c r="CC84" s="205"/>
      <c r="CD84" s="205"/>
      <c r="CE84" s="205"/>
      <c r="CF84" s="205"/>
      <c r="CG84" s="205"/>
      <c r="CH84" s="205"/>
      <c r="CI84" s="205"/>
      <c r="CJ84" s="205"/>
      <c r="CK84" s="205"/>
      <c r="CL84" s="205"/>
      <c r="CM84" s="205"/>
      <c r="CN84" s="205"/>
      <c r="CO84" s="205"/>
      <c r="CP84" s="205"/>
      <c r="CQ84" s="205"/>
      <c r="CR84" s="205"/>
      <c r="CS84" s="205"/>
      <c r="CT84" s="205"/>
      <c r="CU84" s="205"/>
      <c r="CV84" s="205"/>
      <c r="CW84" s="205"/>
      <c r="CX84" s="205"/>
      <c r="CY84" s="205"/>
      <c r="CZ84" s="205"/>
      <c r="DA84" s="205"/>
      <c r="DB84" s="205"/>
      <c r="DC84" s="205"/>
      <c r="DD84" s="205"/>
      <c r="DE84" s="205"/>
      <c r="DF84" s="205"/>
      <c r="DG84" s="205"/>
      <c r="DH84" s="205"/>
      <c r="DI84" s="205"/>
      <c r="DJ84" s="205"/>
      <c r="DK84" s="205"/>
      <c r="DL84" s="205"/>
      <c r="DM84" s="205"/>
      <c r="DN84" s="205"/>
      <c r="DO84" s="205"/>
      <c r="DP84" s="205"/>
      <c r="DQ84" s="205"/>
      <c r="DR84" s="205"/>
      <c r="DS84" s="205"/>
      <c r="DT84" s="205"/>
      <c r="DU84" s="205"/>
      <c r="DV84" s="205"/>
      <c r="DW84" s="205"/>
      <c r="DX84" s="205"/>
      <c r="DY84" s="205"/>
      <c r="DZ84" s="205"/>
      <c r="EA84" s="205"/>
      <c r="EB84" s="205"/>
      <c r="EC84" s="205"/>
      <c r="ED84" s="205"/>
      <c r="EE84" s="205"/>
      <c r="EF84" s="205"/>
      <c r="EG84" s="205"/>
      <c r="EH84" s="205"/>
      <c r="EI84" s="205"/>
      <c r="EJ84" s="205"/>
      <c r="EK84" s="205"/>
      <c r="EL84" s="205"/>
      <c r="EM84" s="205"/>
      <c r="EN84" s="205"/>
      <c r="EO84" s="444"/>
      <c r="EP84" s="220"/>
      <c r="EQ84" s="18"/>
      <c r="ER84" s="18"/>
      <c r="ES84" s="18"/>
      <c r="ET84" s="18"/>
      <c r="EU84" s="18"/>
      <c r="EV84" s="18"/>
      <c r="EW84" s="18"/>
      <c r="EX84" s="18"/>
      <c r="EY84" s="18"/>
      <c r="EZ84" s="18"/>
      <c r="FA84" s="18"/>
      <c r="FB84" s="18"/>
      <c r="FC84" s="18"/>
      <c r="FD84" s="18"/>
      <c r="FE84" s="18"/>
      <c r="FF84" s="18"/>
      <c r="FG84" s="18"/>
      <c r="FH84" s="18"/>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8"/>
      <c r="GN84" s="18"/>
      <c r="GO84" s="18"/>
      <c r="GP84" s="18"/>
      <c r="GQ84" s="18"/>
      <c r="GR84" s="18"/>
      <c r="GS84" s="18"/>
      <c r="GT84" s="18"/>
      <c r="GU84" s="18"/>
      <c r="GV84" s="18"/>
      <c r="GW84" s="18"/>
      <c r="GX84" s="18"/>
      <c r="GY84" s="18"/>
      <c r="GZ84" s="18"/>
      <c r="HA84" s="18"/>
      <c r="HB84" s="18"/>
      <c r="HC84" s="18"/>
      <c r="HD84" s="18"/>
      <c r="HE84" s="18"/>
      <c r="HF84" s="18"/>
      <c r="HG84" s="18"/>
      <c r="HH84" s="18"/>
      <c r="HI84" s="18"/>
      <c r="HJ84" s="18"/>
      <c r="HK84" s="18"/>
      <c r="HL84" s="18"/>
      <c r="HM84" s="18"/>
      <c r="HN84" s="18"/>
      <c r="HO84" s="18"/>
      <c r="HP84" s="18"/>
      <c r="HQ84" s="18"/>
      <c r="HR84" s="18"/>
      <c r="HS84" s="18"/>
      <c r="HT84" s="18"/>
      <c r="HU84" s="18"/>
      <c r="HV84" s="18"/>
      <c r="HW84" s="18"/>
      <c r="HX84" s="18"/>
      <c r="HY84" s="18"/>
      <c r="HZ84" s="18"/>
      <c r="IA84" s="18"/>
      <c r="IB84" s="18"/>
      <c r="IC84" s="18"/>
      <c r="ID84" s="18"/>
      <c r="IE84" s="18"/>
      <c r="IF84" s="18"/>
      <c r="IG84" s="18"/>
      <c r="IH84" s="18"/>
      <c r="II84" s="18"/>
      <c r="IJ84" s="18"/>
      <c r="IK84" s="18"/>
      <c r="IL84" s="18"/>
      <c r="IM84" s="18"/>
      <c r="IN84" s="18"/>
      <c r="IO84" s="18"/>
      <c r="IP84" s="18"/>
      <c r="IQ84" s="18"/>
      <c r="IR84" s="18"/>
      <c r="IS84" s="18"/>
      <c r="IT84" s="18"/>
      <c r="IU84" s="18"/>
      <c r="IV84" s="18"/>
      <c r="IW84" s="18"/>
      <c r="IX84" s="18"/>
      <c r="IY84" s="18"/>
      <c r="IZ84" s="18"/>
      <c r="JA84" s="18"/>
      <c r="JB84" s="18"/>
      <c r="JC84" s="18"/>
      <c r="JD84" s="18"/>
      <c r="JE84" s="18"/>
      <c r="JF84" s="18"/>
      <c r="JG84" s="18"/>
      <c r="JH84" s="18"/>
      <c r="JI84" s="18"/>
      <c r="JJ84" s="18"/>
      <c r="JK84" s="18"/>
      <c r="JL84" s="18"/>
      <c r="JM84" s="18"/>
      <c r="JN84" s="18"/>
      <c r="JO84" s="18"/>
      <c r="JP84" s="18"/>
      <c r="JQ84" s="18"/>
      <c r="JR84" s="18"/>
      <c r="JS84" s="18"/>
      <c r="JT84" s="18"/>
      <c r="JU84" s="18"/>
      <c r="JV84" s="18"/>
      <c r="JW84" s="18"/>
      <c r="JX84" s="18"/>
      <c r="JZ84" s="446"/>
      <c r="KA84" s="446"/>
      <c r="KB84" s="446"/>
      <c r="KC84" s="446"/>
      <c r="KD84" s="446"/>
      <c r="KE84" s="446"/>
      <c r="KF84" s="446"/>
      <c r="KG84" s="446"/>
      <c r="KH84" s="446"/>
      <c r="KI84" s="446"/>
      <c r="KJ84" s="446"/>
      <c r="KK84" s="446"/>
      <c r="KL84" s="446"/>
      <c r="KM84" s="446"/>
      <c r="KN84" s="446"/>
      <c r="KO84" s="446"/>
      <c r="KP84" s="446"/>
      <c r="KQ84" s="446"/>
      <c r="KR84" s="446"/>
      <c r="KS84" s="446"/>
      <c r="KT84" s="446"/>
      <c r="KU84" s="446"/>
      <c r="KV84" s="446"/>
      <c r="KW84" s="446"/>
      <c r="KX84" s="446"/>
      <c r="KY84" s="446"/>
      <c r="KZ84" s="446"/>
      <c r="LA84" s="446"/>
      <c r="LB84" s="446"/>
      <c r="LC84" s="446"/>
      <c r="LD84" s="446"/>
      <c r="LE84" s="446"/>
      <c r="LF84" s="446"/>
      <c r="LG84" s="446"/>
      <c r="LH84" s="446"/>
      <c r="LI84" s="446"/>
      <c r="LJ84" s="446"/>
      <c r="LK84" s="446"/>
      <c r="LL84" s="446"/>
      <c r="LM84" s="446"/>
      <c r="LN84" s="446"/>
      <c r="LO84" s="446"/>
      <c r="LP84" s="446"/>
      <c r="LQ84" s="446"/>
      <c r="LR84" s="446"/>
      <c r="LS84" s="446"/>
      <c r="LT84" s="446"/>
      <c r="LU84" s="446"/>
      <c r="LV84" s="446"/>
      <c r="LW84" s="446"/>
      <c r="LX84" s="446"/>
      <c r="LY84" s="446"/>
      <c r="LZ84" s="446"/>
      <c r="MA84" s="446"/>
      <c r="MB84" s="446"/>
      <c r="MC84" s="446"/>
      <c r="MD84" s="446"/>
      <c r="ME84" s="446"/>
      <c r="MF84" s="446"/>
      <c r="MG84" s="446"/>
      <c r="MH84" s="446"/>
      <c r="MI84" s="446"/>
      <c r="MJ84" s="446"/>
      <c r="MK84" s="446"/>
      <c r="ML84" s="446"/>
      <c r="MM84" s="446"/>
      <c r="MN84" s="446"/>
      <c r="MO84" s="446"/>
      <c r="MP84" s="446"/>
      <c r="MQ84" s="446"/>
      <c r="MR84" s="446"/>
      <c r="MS84" s="446"/>
      <c r="MT84" s="446"/>
      <c r="MU84" s="446"/>
      <c r="MV84" s="446"/>
      <c r="MW84" s="446"/>
      <c r="MX84" s="446"/>
      <c r="MY84" s="446"/>
      <c r="MZ84" s="446"/>
      <c r="NA84" s="446"/>
      <c r="NB84" s="446"/>
      <c r="NC84" s="446"/>
      <c r="ND84" s="446"/>
      <c r="NE84" s="446"/>
      <c r="NF84" s="446"/>
      <c r="NG84" s="446"/>
      <c r="NH84" s="446"/>
      <c r="NI84" s="446"/>
      <c r="NJ84" s="446"/>
      <c r="NK84" s="446"/>
      <c r="NL84" s="446"/>
      <c r="NM84" s="446"/>
      <c r="NN84" s="446"/>
      <c r="NO84" s="446"/>
      <c r="NP84" s="446"/>
      <c r="NQ84" s="446"/>
      <c r="NR84" s="446"/>
      <c r="NS84" s="446"/>
      <c r="NT84" s="446"/>
      <c r="NU84" s="446"/>
      <c r="NV84" s="446"/>
      <c r="NW84" s="446"/>
      <c r="NX84" s="446"/>
      <c r="NY84" s="446"/>
      <c r="NZ84" s="446"/>
      <c r="OA84" s="446"/>
      <c r="OB84" s="446"/>
      <c r="OC84" s="446"/>
      <c r="OD84" s="446"/>
      <c r="OE84" s="446"/>
      <c r="OF84" s="446"/>
      <c r="OG84" s="446"/>
      <c r="OH84" s="446"/>
      <c r="OI84" s="446"/>
      <c r="OJ84" s="446"/>
      <c r="OK84" s="446"/>
      <c r="OL84" s="446"/>
      <c r="OM84" s="446"/>
      <c r="ON84" s="446"/>
      <c r="OO84" s="446"/>
      <c r="OP84" s="446"/>
      <c r="OQ84" s="446"/>
      <c r="OR84" s="446"/>
      <c r="OS84" s="446"/>
      <c r="OT84" s="446"/>
      <c r="OU84" s="446"/>
      <c r="OV84" s="446"/>
      <c r="OW84" s="446"/>
      <c r="OX84" s="446"/>
      <c r="OY84" s="446"/>
      <c r="OZ84" s="446"/>
      <c r="PA84" s="446"/>
      <c r="PB84" s="446"/>
      <c r="PC84" s="446"/>
      <c r="PD84" s="446"/>
      <c r="PE84" s="446"/>
      <c r="PF84" s="446"/>
      <c r="PG84" s="446"/>
      <c r="PH84" s="446"/>
    </row>
    <row r="85">
      <c r="B85" s="6"/>
      <c r="C85" s="391"/>
      <c r="D85" s="391"/>
      <c r="E85" s="391"/>
      <c r="F85" s="391"/>
      <c r="G85" s="391"/>
      <c r="H85" s="391"/>
      <c r="I85" s="391"/>
      <c r="J85" s="391"/>
      <c r="K85" s="392"/>
      <c r="L85" s="392"/>
      <c r="M85" s="392"/>
      <c r="N85" s="392"/>
      <c r="O85" s="392"/>
      <c r="P85" s="392"/>
      <c r="Q85" s="392"/>
      <c r="R85" s="392"/>
      <c r="S85" s="392"/>
      <c r="T85" s="392"/>
      <c r="U85" s="392"/>
      <c r="V85" s="392"/>
      <c r="W85" s="392"/>
      <c r="X85" s="392"/>
      <c r="Y85" s="392"/>
      <c r="Z85" s="392"/>
      <c r="AA85" s="392"/>
      <c r="AB85" s="392"/>
      <c r="AC85" s="392"/>
      <c r="AD85" s="392"/>
      <c r="AE85" s="392"/>
      <c r="AF85" s="392"/>
      <c r="AG85" s="392"/>
      <c r="AH85" s="392"/>
      <c r="AI85" s="392"/>
      <c r="AJ85" s="392"/>
      <c r="AK85" s="392"/>
      <c r="AL85" s="392"/>
      <c r="AM85" s="392"/>
      <c r="AN85" s="392"/>
      <c r="AO85" s="392"/>
      <c r="AP85" s="392"/>
      <c r="AQ85" s="392"/>
      <c r="AR85" s="392"/>
      <c r="AS85" s="392"/>
      <c r="AT85" s="392"/>
      <c r="AU85" s="392"/>
      <c r="AV85" s="392"/>
      <c r="AW85" s="392"/>
      <c r="AX85" s="392"/>
      <c r="AY85" s="392"/>
      <c r="AZ85" s="392"/>
      <c r="BA85" s="392"/>
      <c r="BB85" s="392"/>
      <c r="BC85" s="392"/>
      <c r="BD85" s="392"/>
      <c r="BE85" s="392"/>
      <c r="BF85" s="392"/>
      <c r="BG85" s="392"/>
      <c r="BH85" s="392"/>
      <c r="BI85" s="392"/>
      <c r="BJ85" s="392"/>
      <c r="BK85" s="392"/>
      <c r="BL85" s="392"/>
      <c r="BM85" s="392"/>
      <c r="BN85" s="392"/>
      <c r="BO85" s="392"/>
      <c r="BP85" s="392"/>
      <c r="BQ85" s="392"/>
      <c r="BR85" s="392"/>
      <c r="BS85" s="392"/>
      <c r="BT85" s="392"/>
      <c r="BU85" s="392"/>
      <c r="BV85" s="392"/>
      <c r="BW85" s="392"/>
      <c r="BX85" s="392"/>
      <c r="BY85" s="392"/>
      <c r="BZ85" s="392"/>
      <c r="CA85" s="392"/>
      <c r="CB85" s="392"/>
      <c r="CC85" s="392"/>
      <c r="CD85" s="392"/>
      <c r="CE85" s="392"/>
      <c r="CF85" s="392"/>
      <c r="CG85" s="392"/>
      <c r="CH85" s="392"/>
      <c r="CI85" s="392"/>
      <c r="CJ85" s="392"/>
      <c r="CK85" s="392"/>
      <c r="CL85" s="392"/>
      <c r="CM85" s="392"/>
      <c r="CN85" s="392"/>
      <c r="CO85" s="392"/>
      <c r="CP85" s="392"/>
      <c r="CQ85" s="392"/>
      <c r="CR85" s="392"/>
      <c r="CS85" s="392"/>
      <c r="CT85" s="392"/>
      <c r="CU85" s="392"/>
      <c r="CV85" s="392"/>
      <c r="CW85" s="392"/>
      <c r="CX85" s="392"/>
      <c r="CY85" s="392"/>
      <c r="CZ85" s="392"/>
      <c r="DA85" s="392"/>
      <c r="DB85" s="392"/>
      <c r="DC85" s="392"/>
      <c r="DD85" s="392"/>
      <c r="DE85" s="392"/>
      <c r="DF85" s="392"/>
      <c r="DG85" s="392"/>
      <c r="DH85" s="392"/>
      <c r="DI85" s="392"/>
      <c r="DJ85" s="392"/>
      <c r="DK85" s="392"/>
      <c r="DL85" s="392"/>
      <c r="DM85" s="392"/>
      <c r="DN85" s="392"/>
      <c r="DO85" s="392"/>
      <c r="DP85" s="392"/>
      <c r="DQ85" s="392"/>
      <c r="DR85" s="392"/>
      <c r="DS85" s="392"/>
      <c r="DT85" s="392"/>
      <c r="DU85" s="392"/>
      <c r="DV85" s="392"/>
      <c r="DW85" s="392"/>
      <c r="DX85" s="392"/>
      <c r="DY85" s="392"/>
      <c r="DZ85" s="392"/>
      <c r="EA85" s="392"/>
      <c r="EB85" s="392"/>
      <c r="EC85" s="392"/>
      <c r="ED85" s="392"/>
      <c r="EE85" s="392"/>
      <c r="EF85" s="392"/>
      <c r="EG85" s="392"/>
      <c r="EH85" s="392"/>
      <c r="EI85" s="392"/>
      <c r="EJ85" s="392"/>
      <c r="EK85" s="392"/>
      <c r="EL85" s="392"/>
      <c r="EM85" s="392"/>
      <c r="EN85" s="392"/>
      <c r="EO85" s="392"/>
      <c r="EP85" s="263"/>
      <c r="EQ85" s="263"/>
      <c r="ER85" s="414"/>
      <c r="ES85" s="414" t="s">
        <v>165</v>
      </c>
      <c r="ET85" s="414" t="s">
        <v>209</v>
      </c>
      <c r="EU85" s="414" t="s">
        <v>210</v>
      </c>
      <c r="EV85" s="263"/>
      <c r="EW85" s="263"/>
      <c r="EX85" s="263"/>
      <c r="EY85" s="263"/>
      <c r="EZ85" s="263"/>
      <c r="FA85" s="263"/>
      <c r="FB85" s="263"/>
      <c r="FC85" s="263"/>
      <c r="FD85" s="263"/>
      <c r="FE85" s="263"/>
      <c r="FF85" s="263"/>
      <c r="FG85" s="263"/>
      <c r="FH85" s="263"/>
      <c r="FI85" s="263"/>
      <c r="FJ85" s="263"/>
      <c r="FK85" s="263"/>
      <c r="FL85" s="263"/>
      <c r="FM85" s="263"/>
      <c r="FN85" s="263"/>
      <c r="FO85" s="263"/>
      <c r="FP85" s="263"/>
      <c r="FQ85" s="263"/>
      <c r="FR85" s="263"/>
      <c r="FS85" s="263"/>
      <c r="FT85" s="263"/>
      <c r="FU85" s="263"/>
      <c r="FV85" s="263"/>
      <c r="FW85" s="263"/>
      <c r="FX85" s="263"/>
      <c r="FY85" s="263"/>
      <c r="FZ85" s="263"/>
      <c r="GA85" s="263"/>
      <c r="GB85" s="263"/>
      <c r="GC85" s="263"/>
      <c r="GD85" s="263"/>
      <c r="GE85" s="263"/>
      <c r="GF85" s="263"/>
      <c r="GG85" s="263"/>
      <c r="GH85" s="263"/>
      <c r="GI85" s="263"/>
      <c r="GJ85" s="263"/>
      <c r="GK85" s="263"/>
      <c r="GL85" s="263"/>
      <c r="GM85" s="263"/>
      <c r="GN85" s="263"/>
      <c r="GO85" s="263"/>
      <c r="GP85" s="263"/>
      <c r="GQ85" s="263"/>
      <c r="GR85" s="263"/>
      <c r="GS85" s="263"/>
      <c r="GT85" s="263"/>
      <c r="GU85" s="263"/>
      <c r="GV85" s="263"/>
      <c r="GW85" s="263"/>
      <c r="GX85" s="263"/>
      <c r="GY85" s="263"/>
      <c r="GZ85" s="263"/>
      <c r="HA85" s="263"/>
      <c r="HB85" s="263"/>
      <c r="HC85" s="263"/>
      <c r="HD85" s="263"/>
      <c r="HE85" s="263"/>
      <c r="HF85" s="263"/>
      <c r="HG85" s="263"/>
      <c r="HH85" s="263"/>
      <c r="HI85" s="263"/>
      <c r="HJ85" s="263"/>
      <c r="HK85" s="263"/>
      <c r="HL85" s="263"/>
      <c r="HM85" s="263"/>
      <c r="HN85" s="263"/>
      <c r="HO85" s="263"/>
      <c r="HP85" s="263"/>
      <c r="HQ85" s="263"/>
      <c r="HR85" s="263"/>
      <c r="HS85" s="263"/>
      <c r="HT85" s="263"/>
      <c r="HU85" s="263"/>
      <c r="HV85" s="263"/>
      <c r="HW85" s="263"/>
      <c r="HX85" s="263"/>
      <c r="HY85" s="263"/>
      <c r="HZ85" s="263"/>
      <c r="IA85" s="263"/>
      <c r="IB85" s="263"/>
      <c r="IC85" s="263"/>
      <c r="ID85" s="263"/>
      <c r="IE85" s="263"/>
      <c r="IF85" s="263"/>
      <c r="IG85" s="263"/>
      <c r="IH85" s="263"/>
      <c r="II85" s="263"/>
      <c r="IJ85" s="263"/>
      <c r="IK85" s="263"/>
      <c r="IL85" s="263"/>
      <c r="IM85" s="263"/>
      <c r="IN85" s="263"/>
      <c r="IO85" s="263"/>
      <c r="IP85" s="263"/>
      <c r="IQ85" s="263"/>
      <c r="IR85" s="263"/>
      <c r="IS85" s="263"/>
      <c r="IT85" s="263"/>
      <c r="IU85" s="263"/>
      <c r="IV85" s="263"/>
      <c r="IW85" s="263"/>
      <c r="IX85" s="263"/>
      <c r="IY85" s="263"/>
      <c r="IZ85" s="263"/>
      <c r="JA85" s="263"/>
      <c r="JB85" s="263"/>
      <c r="JC85" s="263"/>
      <c r="JD85" s="263"/>
      <c r="JE85" s="263"/>
      <c r="JF85" s="263"/>
      <c r="JG85" s="263"/>
      <c r="JH85" s="263"/>
      <c r="JI85" s="263"/>
      <c r="JJ85" s="263"/>
      <c r="JK85" s="263"/>
      <c r="JL85" s="263"/>
      <c r="JM85" s="263"/>
      <c r="JN85" s="263"/>
      <c r="JO85" s="263"/>
      <c r="JP85" s="263"/>
      <c r="JQ85" s="263"/>
      <c r="JR85" s="263"/>
      <c r="JS85" s="263"/>
      <c r="JT85" s="263"/>
      <c r="JU85" s="263"/>
      <c r="JV85" s="263"/>
      <c r="JW85" s="263"/>
      <c r="JX85" s="263"/>
      <c r="JZ85" s="263"/>
      <c r="KA85" s="263"/>
      <c r="KB85" s="263"/>
      <c r="KC85" s="263"/>
      <c r="KD85" s="263"/>
      <c r="KE85" s="263"/>
      <c r="KF85" s="263"/>
      <c r="KG85" s="263"/>
      <c r="KH85" s="263"/>
      <c r="KI85" s="263"/>
      <c r="KJ85" s="263"/>
      <c r="KK85" s="263"/>
      <c r="KL85" s="263"/>
      <c r="KM85" s="263"/>
      <c r="KN85" s="263"/>
      <c r="KO85" s="263"/>
      <c r="KP85" s="263"/>
      <c r="KQ85" s="263"/>
      <c r="KR85" s="263"/>
      <c r="KS85" s="263"/>
      <c r="KT85" s="263"/>
      <c r="KU85" s="263"/>
      <c r="KV85" s="263"/>
      <c r="KW85" s="263"/>
      <c r="KX85" s="263"/>
      <c r="KY85" s="263"/>
      <c r="KZ85" s="263"/>
      <c r="LA85" s="263"/>
      <c r="LB85" s="263"/>
      <c r="LC85" s="263"/>
      <c r="LD85" s="263"/>
      <c r="LE85" s="263"/>
      <c r="LF85" s="263"/>
      <c r="LG85" s="263"/>
      <c r="LH85" s="263"/>
      <c r="LI85" s="263"/>
      <c r="LJ85" s="263"/>
      <c r="LK85" s="263"/>
      <c r="LL85" s="263"/>
      <c r="LM85" s="263"/>
      <c r="LN85" s="263"/>
      <c r="LO85" s="263"/>
      <c r="LP85" s="263"/>
      <c r="LQ85" s="263"/>
      <c r="LR85" s="263"/>
      <c r="LS85" s="263"/>
      <c r="LT85" s="263"/>
      <c r="LU85" s="263"/>
      <c r="LV85" s="263"/>
      <c r="LW85" s="263"/>
      <c r="LX85" s="263"/>
      <c r="LY85" s="263"/>
      <c r="LZ85" s="263"/>
      <c r="MA85" s="263"/>
      <c r="MB85" s="263"/>
      <c r="MC85" s="263"/>
      <c r="MD85" s="263"/>
      <c r="ME85" s="263"/>
      <c r="MF85" s="263"/>
      <c r="MG85" s="263"/>
      <c r="MH85" s="263"/>
      <c r="MI85" s="263"/>
      <c r="MJ85" s="263"/>
      <c r="MK85" s="263"/>
      <c r="ML85" s="263"/>
      <c r="MM85" s="263"/>
      <c r="MN85" s="263"/>
      <c r="MO85" s="263"/>
      <c r="MP85" s="263"/>
      <c r="MQ85" s="263"/>
      <c r="MR85" s="263"/>
      <c r="MS85" s="263"/>
      <c r="MT85" s="263"/>
      <c r="MU85" s="263"/>
      <c r="MV85" s="263"/>
      <c r="MW85" s="263"/>
      <c r="MX85" s="263"/>
      <c r="MY85" s="263"/>
      <c r="MZ85" s="263"/>
      <c r="NA85" s="263"/>
      <c r="NB85" s="263"/>
      <c r="NC85" s="263"/>
      <c r="ND85" s="263"/>
      <c r="NE85" s="263"/>
      <c r="NF85" s="263"/>
      <c r="NG85" s="263"/>
      <c r="NH85" s="263"/>
      <c r="NI85" s="263"/>
      <c r="NJ85" s="263"/>
      <c r="NK85" s="263"/>
      <c r="NL85" s="263"/>
      <c r="NM85" s="263"/>
      <c r="NN85" s="263"/>
      <c r="NO85" s="263"/>
      <c r="NP85" s="263"/>
      <c r="NQ85" s="263"/>
      <c r="NR85" s="263"/>
      <c r="NS85" s="263"/>
      <c r="NT85" s="263"/>
      <c r="NU85" s="263"/>
      <c r="NV85" s="263"/>
      <c r="NW85" s="263"/>
      <c r="NX85" s="263"/>
      <c r="NY85" s="263"/>
      <c r="NZ85" s="263"/>
      <c r="OA85" s="263"/>
      <c r="OB85" s="263"/>
      <c r="OC85" s="263"/>
      <c r="OD85" s="263"/>
      <c r="OE85" s="263"/>
      <c r="OF85" s="263"/>
      <c r="OG85" s="263"/>
      <c r="OH85" s="263"/>
      <c r="OI85" s="263"/>
      <c r="OJ85" s="263"/>
      <c r="OK85" s="263"/>
      <c r="OL85" s="263"/>
      <c r="OM85" s="263"/>
      <c r="ON85" s="263"/>
      <c r="OO85" s="263"/>
      <c r="OP85" s="263"/>
      <c r="OQ85" s="263"/>
      <c r="OR85" s="263"/>
      <c r="OS85" s="263"/>
      <c r="OT85" s="263"/>
      <c r="OU85" s="263"/>
      <c r="OV85" s="263"/>
      <c r="OW85" s="263"/>
      <c r="OX85" s="263"/>
      <c r="OY85" s="263"/>
      <c r="OZ85" s="263"/>
      <c r="PA85" s="263"/>
      <c r="PB85" s="263"/>
      <c r="PC85" s="263"/>
      <c r="PD85" s="263"/>
      <c r="PE85" s="263"/>
      <c r="PF85" s="263"/>
      <c r="PG85" s="263"/>
      <c r="PH85" s="263"/>
    </row>
    <row r="86">
      <c r="B86" s="2" t="s">
        <v>211</v>
      </c>
      <c r="C86" s="391"/>
      <c r="D86" s="391"/>
      <c r="E86" s="391"/>
      <c r="F86" s="391"/>
      <c r="G86" s="391"/>
      <c r="H86" s="391"/>
      <c r="I86" s="391"/>
      <c r="J86" s="162"/>
      <c r="K86" s="162" t="s">
        <v>89</v>
      </c>
      <c r="L86" s="199" t="n">
        <f t="shared" ref="L86:AQ86" si="565">L23</f>
        <v>0</v>
      </c>
      <c r="M86" s="199">
        <f t="shared" si="565"/>
        <v>1</v>
      </c>
      <c r="N86" s="199">
        <f t="shared" si="565"/>
        <v>2</v>
      </c>
      <c r="O86" s="199">
        <f t="shared" si="565"/>
        <v>3</v>
      </c>
      <c r="P86" s="199">
        <f t="shared" si="565"/>
        <v>4</v>
      </c>
      <c r="Q86" s="199">
        <f t="shared" si="565"/>
        <v>5</v>
      </c>
      <c r="R86" s="199">
        <f t="shared" si="565"/>
        <v>6</v>
      </c>
      <c r="S86" s="199">
        <f t="shared" si="565"/>
        <v>7</v>
      </c>
      <c r="T86" s="199">
        <f t="shared" si="565"/>
        <v>8</v>
      </c>
      <c r="U86" s="199">
        <f t="shared" si="565"/>
        <v>9</v>
      </c>
      <c r="V86" s="199">
        <f t="shared" si="565"/>
        <v>10</v>
      </c>
      <c r="W86" s="199">
        <f t="shared" si="565"/>
        <v>11</v>
      </c>
      <c r="X86" s="199">
        <f t="shared" si="565"/>
        <v>12</v>
      </c>
      <c r="Y86" s="199">
        <f t="shared" si="565"/>
        <v>13</v>
      </c>
      <c r="Z86" s="199">
        <f t="shared" si="565"/>
        <v>14</v>
      </c>
      <c r="AA86" s="199">
        <f t="shared" si="565"/>
        <v>15</v>
      </c>
      <c r="AB86" s="199">
        <f t="shared" si="565"/>
        <v>16</v>
      </c>
      <c r="AC86" s="199">
        <f t="shared" si="565"/>
        <v>17</v>
      </c>
      <c r="AD86" s="199">
        <f t="shared" si="565"/>
        <v>18</v>
      </c>
      <c r="AE86" s="199">
        <f t="shared" si="565"/>
        <v>19</v>
      </c>
      <c r="AF86" s="199">
        <f t="shared" si="565"/>
        <v>20</v>
      </c>
      <c r="AG86" s="199">
        <f t="shared" si="565"/>
        <v>21</v>
      </c>
      <c r="AH86" s="199">
        <f t="shared" si="565"/>
        <v>22</v>
      </c>
      <c r="AI86" s="199">
        <f t="shared" si="565"/>
        <v>23</v>
      </c>
      <c r="AJ86" s="199">
        <f t="shared" si="565"/>
        <v>24</v>
      </c>
      <c r="AK86" s="199">
        <f t="shared" si="565"/>
        <v>25</v>
      </c>
      <c r="AL86" s="199">
        <f t="shared" si="565"/>
        <v>26</v>
      </c>
      <c r="AM86" s="199">
        <f t="shared" si="565"/>
        <v>27</v>
      </c>
      <c r="AN86" s="199">
        <f t="shared" si="565"/>
        <v>28</v>
      </c>
      <c r="AO86" s="199">
        <f t="shared" si="565"/>
        <v>29</v>
      </c>
      <c r="AP86" s="199">
        <f t="shared" si="565"/>
        <v>30</v>
      </c>
      <c r="AQ86" s="199">
        <f t="shared" si="565"/>
        <v>31</v>
      </c>
      <c r="AR86" s="199" t="n">
        <f t="shared" ref="AR86:BW86" si="566">AR23</f>
        <v>32</v>
      </c>
      <c r="AS86" s="199">
        <f t="shared" si="566"/>
        <v>33</v>
      </c>
      <c r="AT86" s="199">
        <f t="shared" si="566"/>
        <v>34</v>
      </c>
      <c r="AU86" s="199">
        <f t="shared" si="566"/>
        <v>35</v>
      </c>
      <c r="AV86" s="199">
        <f t="shared" si="566"/>
        <v>36</v>
      </c>
      <c r="AW86" s="199">
        <f t="shared" si="566"/>
        <v>37</v>
      </c>
      <c r="AX86" s="199">
        <f t="shared" si="566"/>
        <v>38</v>
      </c>
      <c r="AY86" s="199">
        <f t="shared" si="566"/>
        <v>39</v>
      </c>
      <c r="AZ86" s="199">
        <f t="shared" si="566"/>
        <v>40</v>
      </c>
      <c r="BA86" s="199">
        <f t="shared" si="566"/>
        <v>41</v>
      </c>
      <c r="BB86" s="199">
        <f t="shared" si="566"/>
        <v>42</v>
      </c>
      <c r="BC86" s="199">
        <f t="shared" si="566"/>
        <v>43</v>
      </c>
      <c r="BD86" s="199">
        <f t="shared" si="566"/>
        <v>44</v>
      </c>
      <c r="BE86" s="199">
        <f t="shared" si="566"/>
        <v>45</v>
      </c>
      <c r="BF86" s="199">
        <f t="shared" si="566"/>
        <v>46</v>
      </c>
      <c r="BG86" s="199">
        <f t="shared" si="566"/>
        <v>47</v>
      </c>
      <c r="BH86" s="199">
        <f t="shared" si="566"/>
        <v>48</v>
      </c>
      <c r="BI86" s="199">
        <f t="shared" si="566"/>
        <v>49</v>
      </c>
      <c r="BJ86" s="199">
        <f t="shared" si="566"/>
        <v>50</v>
      </c>
      <c r="BK86" s="199">
        <f t="shared" si="566"/>
        <v>51</v>
      </c>
      <c r="BL86" s="199">
        <f t="shared" si="566"/>
        <v>52</v>
      </c>
      <c r="BM86" s="199">
        <f t="shared" si="566"/>
        <v>53</v>
      </c>
      <c r="BN86" s="199">
        <f t="shared" si="566"/>
        <v>54</v>
      </c>
      <c r="BO86" s="199">
        <f t="shared" si="566"/>
        <v>55</v>
      </c>
      <c r="BP86" s="199">
        <f t="shared" si="566"/>
        <v>56</v>
      </c>
      <c r="BQ86" s="199">
        <f t="shared" si="566"/>
        <v>57</v>
      </c>
      <c r="BR86" s="199">
        <f t="shared" si="566"/>
        <v>58</v>
      </c>
      <c r="BS86" s="199">
        <f t="shared" si="566"/>
        <v>59</v>
      </c>
      <c r="BT86" s="199">
        <f t="shared" si="566"/>
        <v>60</v>
      </c>
      <c r="BU86" s="199">
        <f t="shared" si="566"/>
        <v>61</v>
      </c>
      <c r="BV86" s="199">
        <f t="shared" si="566"/>
        <v>62</v>
      </c>
      <c r="BW86" s="199">
        <f t="shared" si="566"/>
        <v>63</v>
      </c>
      <c r="BX86" s="199" t="n">
        <f t="shared" ref="BX86:DC86" si="567">BX23</f>
        <v>64</v>
      </c>
      <c r="BY86" s="199">
        <f t="shared" si="567"/>
        <v>65</v>
      </c>
      <c r="BZ86" s="199">
        <f t="shared" si="567"/>
        <v>66</v>
      </c>
      <c r="CA86" s="199">
        <f t="shared" si="567"/>
        <v>67</v>
      </c>
      <c r="CB86" s="199">
        <f t="shared" si="567"/>
        <v>68</v>
      </c>
      <c r="CC86" s="199">
        <f t="shared" si="567"/>
        <v>69</v>
      </c>
      <c r="CD86" s="199">
        <f t="shared" si="567"/>
        <v>70</v>
      </c>
      <c r="CE86" s="199">
        <f t="shared" si="567"/>
        <v>71</v>
      </c>
      <c r="CF86" s="199">
        <f t="shared" si="567"/>
        <v>72</v>
      </c>
      <c r="CG86" s="199">
        <f t="shared" si="567"/>
        <v>73</v>
      </c>
      <c r="CH86" s="199">
        <f t="shared" si="567"/>
        <v>74</v>
      </c>
      <c r="CI86" s="199">
        <f t="shared" si="567"/>
        <v>75</v>
      </c>
      <c r="CJ86" s="199">
        <f t="shared" si="567"/>
        <v>76</v>
      </c>
      <c r="CK86" s="199">
        <f t="shared" si="567"/>
        <v>77</v>
      </c>
      <c r="CL86" s="199">
        <f t="shared" si="567"/>
        <v>78</v>
      </c>
      <c r="CM86" s="199">
        <f t="shared" si="567"/>
        <v>79</v>
      </c>
      <c r="CN86" s="199">
        <f t="shared" si="567"/>
        <v>80</v>
      </c>
      <c r="CO86" s="199">
        <f t="shared" si="567"/>
        <v>81</v>
      </c>
      <c r="CP86" s="199">
        <f t="shared" si="567"/>
        <v>82</v>
      </c>
      <c r="CQ86" s="199">
        <f t="shared" si="567"/>
        <v>83</v>
      </c>
      <c r="CR86" s="199">
        <f t="shared" si="567"/>
        <v>84</v>
      </c>
      <c r="CS86" s="199">
        <f t="shared" si="567"/>
        <v>85</v>
      </c>
      <c r="CT86" s="199">
        <f t="shared" si="567"/>
        <v>86</v>
      </c>
      <c r="CU86" s="199">
        <f t="shared" si="567"/>
        <v>87</v>
      </c>
      <c r="CV86" s="199">
        <f t="shared" si="567"/>
        <v>88</v>
      </c>
      <c r="CW86" s="199">
        <f t="shared" si="567"/>
        <v>89</v>
      </c>
      <c r="CX86" s="199">
        <f t="shared" si="567"/>
        <v>90</v>
      </c>
      <c r="CY86" s="199">
        <f t="shared" si="567"/>
        <v>91</v>
      </c>
      <c r="CZ86" s="199">
        <f t="shared" si="567"/>
        <v>92</v>
      </c>
      <c r="DA86" s="199">
        <f t="shared" si="567"/>
        <v>93</v>
      </c>
      <c r="DB86" s="199">
        <f t="shared" si="567"/>
        <v>94</v>
      </c>
      <c r="DC86" s="199">
        <f t="shared" si="567"/>
        <v>95</v>
      </c>
      <c r="DD86" s="199" t="n">
        <f t="shared" ref="DD86:EN86" si="568">DD23</f>
        <v>96</v>
      </c>
      <c r="DE86" s="199">
        <f t="shared" si="568"/>
        <v>97</v>
      </c>
      <c r="DF86" s="199">
        <f t="shared" si="568"/>
        <v>98</v>
      </c>
      <c r="DG86" s="199">
        <f t="shared" si="568"/>
        <v>99</v>
      </c>
      <c r="DH86" s="199">
        <f t="shared" si="568"/>
        <v>100</v>
      </c>
      <c r="DI86" s="199">
        <f t="shared" si="568"/>
        <v>101</v>
      </c>
      <c r="DJ86" s="199">
        <f t="shared" si="568"/>
        <v>102</v>
      </c>
      <c r="DK86" s="199">
        <f t="shared" si="568"/>
        <v>103</v>
      </c>
      <c r="DL86" s="199">
        <f t="shared" si="568"/>
        <v>104</v>
      </c>
      <c r="DM86" s="199">
        <f t="shared" si="568"/>
        <v>105</v>
      </c>
      <c r="DN86" s="199">
        <f t="shared" si="568"/>
        <v>106</v>
      </c>
      <c r="DO86" s="199">
        <f t="shared" si="568"/>
        <v>107</v>
      </c>
      <c r="DP86" s="199">
        <f t="shared" si="568"/>
        <v>108</v>
      </c>
      <c r="DQ86" s="199">
        <f t="shared" si="568"/>
        <v>109</v>
      </c>
      <c r="DR86" s="199">
        <f t="shared" si="568"/>
        <v>110</v>
      </c>
      <c r="DS86" s="199">
        <f t="shared" si="568"/>
        <v>111</v>
      </c>
      <c r="DT86" s="199">
        <f t="shared" si="568"/>
        <v>112</v>
      </c>
      <c r="DU86" s="199">
        <f t="shared" si="568"/>
        <v>113</v>
      </c>
      <c r="DV86" s="199">
        <f t="shared" si="568"/>
        <v>114</v>
      </c>
      <c r="DW86" s="199">
        <f t="shared" si="568"/>
        <v>115</v>
      </c>
      <c r="DX86" s="199">
        <f t="shared" si="568"/>
        <v>116</v>
      </c>
      <c r="DY86" s="199">
        <f t="shared" si="568"/>
        <v>117</v>
      </c>
      <c r="DZ86" s="199">
        <f t="shared" si="568"/>
        <v>118</v>
      </c>
      <c r="EA86" s="199">
        <f t="shared" si="568"/>
        <v>119</v>
      </c>
      <c r="EB86" s="199">
        <f t="shared" si="568"/>
        <v>120</v>
      </c>
      <c r="EC86" s="199">
        <f t="shared" si="568"/>
        <v>121</v>
      </c>
      <c r="ED86" s="199">
        <f t="shared" si="568"/>
        <v>122</v>
      </c>
      <c r="EE86" s="199">
        <f t="shared" si="568"/>
        <v>123</v>
      </c>
      <c r="EF86" s="199">
        <f t="shared" si="568"/>
        <v>124</v>
      </c>
      <c r="EG86" s="199">
        <f t="shared" si="568"/>
        <v>125</v>
      </c>
      <c r="EH86" s="199">
        <f t="shared" si="568"/>
        <v>126</v>
      </c>
      <c r="EI86" s="199">
        <f t="shared" si="568"/>
        <v>127</v>
      </c>
      <c r="EJ86" s="199">
        <f t="shared" si="568"/>
        <v>128</v>
      </c>
      <c r="EK86" s="199">
        <f t="shared" si="568"/>
        <v>129</v>
      </c>
      <c r="EL86" s="199">
        <f t="shared" si="568"/>
        <v>130</v>
      </c>
      <c r="EM86" s="199">
        <f t="shared" si="568"/>
        <v>131</v>
      </c>
      <c r="EN86" s="199">
        <f t="shared" si="568"/>
        <v>132</v>
      </c>
      <c r="EP86" s="263" t="s">
        <v>212</v>
      </c>
      <c r="EQ86" s="263"/>
      <c r="ER86" s="20"/>
      <c r="ES86" s="20" t="str">
        <f>IF(ROUND(MAX(EV86:JX86),0)=ROUND(EU86,0),"OK","ERROR")</f>
        <v>ERROR</v>
      </c>
      <c r="ET86" s="308" t="n">
        <f>+C65/Debt_LTC_Target</f>
        <v>1</v>
      </c>
      <c r="EU86" s="268" t="n">
        <f>+$I$72*ET86</f>
        <v>202182155.8432483</v>
      </c>
      <c r="EV86" s="268" t="n">
        <f t="shared" ref="EV86:HG86" si="569">MIN(EV73,$EU$86)</f>
        <v>0</v>
      </c>
      <c r="EW86" s="268">
        <f t="shared" si="569"/>
        <v>0</v>
      </c>
      <c r="EX86" s="268">
        <f t="shared" si="569"/>
        <v>0</v>
      </c>
      <c r="EY86" s="268">
        <f t="shared" si="569"/>
        <v>0</v>
      </c>
      <c r="EZ86" s="268">
        <f t="shared" si="569"/>
        <v>0</v>
      </c>
      <c r="FA86" s="268">
        <f t="shared" si="569"/>
        <v>0</v>
      </c>
      <c r="FB86" s="268">
        <f t="shared" si="569"/>
        <v>0</v>
      </c>
      <c r="FC86" s="268">
        <f t="shared" si="569"/>
        <v>0</v>
      </c>
      <c r="FD86" s="268">
        <f t="shared" si="569"/>
        <v>0</v>
      </c>
      <c r="FE86" s="268">
        <f t="shared" si="569"/>
        <v>0</v>
      </c>
      <c r="FF86" s="268">
        <f t="shared" si="569"/>
        <v>0</v>
      </c>
      <c r="FG86" s="268">
        <f t="shared" si="569"/>
        <v>0</v>
      </c>
      <c r="FH86" s="268">
        <f t="shared" si="569"/>
        <v>0</v>
      </c>
      <c r="FI86" s="268">
        <f t="shared" si="569"/>
        <v>0</v>
      </c>
      <c r="FJ86" s="268">
        <f t="shared" si="569"/>
        <v>0</v>
      </c>
      <c r="FK86" s="268">
        <f t="shared" si="569"/>
        <v>0</v>
      </c>
      <c r="FL86" s="268">
        <f t="shared" si="569"/>
        <v>9480107.1724115983</v>
      </c>
      <c r="FM86" s="268">
        <f t="shared" si="569"/>
        <v>30777583.389595654</v>
      </c>
      <c r="FN86" s="268">
        <f t="shared" si="569"/>
        <v>52364255.671115994</v>
      </c>
      <c r="FO86" s="268">
        <f t="shared" si="569"/>
        <v>73661731.888300061</v>
      </c>
      <c r="FP86" s="268">
        <f t="shared" si="569"/>
        <v>94114039.956371337</v>
      </c>
      <c r="FQ86" s="268">
        <f t="shared" si="569"/>
        <v>113229596.01438445</v>
      </c>
      <c r="FR86" s="268">
        <f t="shared" si="569"/>
        <v>130615067.49644293</v>
      </c>
      <c r="FS86" s="268">
        <f t="shared" si="569"/>
        <v>145997314.00916791</v>
      </c>
      <c r="FT86" s="268">
        <f t="shared" si="569"/>
        <v>159231595.14716324</v>
      </c>
      <c r="FU86" s="268">
        <f t="shared" si="569"/>
        <v>170296400.75265303</v>
      </c>
      <c r="FV86" s="268">
        <f t="shared" si="569"/>
        <v>179277152.71598473</v>
      </c>
      <c r="FW86" s="268">
        <f t="shared" si="569"/>
        <v>186342316.36756858</v>
      </c>
      <c r="FX86" s="268">
        <f t="shared" si="569"/>
        <v>191715980.62511414</v>
      </c>
      <c r="FY86" s="268">
        <f t="shared" si="569"/>
        <v>195650740.73759392</v>
      </c>
      <c r="FZ86" s="268">
        <f t="shared" si="569"/>
        <v>198403918.40762332</v>
      </c>
      <c r="GA86" s="268">
        <f t="shared" si="569"/>
        <v>200219039.3792727</v>
      </c>
      <c r="GB86" s="268">
        <f t="shared" si="569"/>
        <v>201313326.86371538</v>
      </c>
      <c r="GC86" s="268">
        <f t="shared" si="569"/>
        <v>201870977.51786527</v>
      </c>
      <c r="GD86" s="268">
        <f t="shared" si="569"/>
        <v>202041295.09121743</v>
      </c>
      <c r="GE86" s="268">
        <f t="shared" si="569"/>
        <v>202041295.09121743</v>
      </c>
      <c r="GF86" s="268">
        <f t="shared" si="569"/>
        <v>202041295.09121743</v>
      </c>
      <c r="GG86" s="268">
        <f t="shared" si="569"/>
        <v>202041295.09121743</v>
      </c>
      <c r="GH86" s="268">
        <f t="shared" si="569"/>
        <v>202041295.09121743</v>
      </c>
      <c r="GI86" s="268">
        <f t="shared" si="569"/>
        <v>202041295.09121743</v>
      </c>
      <c r="GJ86" s="268">
        <f t="shared" si="569"/>
        <v>202041295.09121743</v>
      </c>
      <c r="GK86" s="268">
        <f t="shared" si="569"/>
        <v>202041295.09121743</v>
      </c>
      <c r="GL86" s="268">
        <f t="shared" si="569"/>
        <v>202041295.09121743</v>
      </c>
      <c r="GM86" s="268">
        <f t="shared" si="569"/>
        <v>202041295.09121743</v>
      </c>
      <c r="GN86" s="268">
        <f t="shared" si="569"/>
        <v>202041295.09121743</v>
      </c>
      <c r="GO86" s="268">
        <f t="shared" si="569"/>
        <v>202041295.09121743</v>
      </c>
      <c r="GP86" s="268">
        <f t="shared" si="569"/>
        <v>202041295.09121743</v>
      </c>
      <c r="GQ86" s="268">
        <f t="shared" si="569"/>
        <v>202041295.09121743</v>
      </c>
      <c r="GR86" s="268">
        <f t="shared" si="569"/>
        <v>202041295.09121743</v>
      </c>
      <c r="GS86" s="268">
        <f t="shared" si="569"/>
        <v>202041295.09121743</v>
      </c>
      <c r="GT86" s="268">
        <f t="shared" si="569"/>
        <v>202041295.09121743</v>
      </c>
      <c r="GU86" s="268">
        <f t="shared" si="569"/>
        <v>202041295.09121743</v>
      </c>
      <c r="GV86" s="268">
        <f t="shared" si="569"/>
        <v>202041295.09121743</v>
      </c>
      <c r="GW86" s="268">
        <f t="shared" si="569"/>
        <v>202041295.09121743</v>
      </c>
      <c r="GX86" s="268">
        <f t="shared" si="569"/>
        <v>202041295.09121743</v>
      </c>
      <c r="GY86" s="268">
        <f t="shared" si="569"/>
        <v>202041295.09121743</v>
      </c>
      <c r="GZ86" s="268">
        <f t="shared" si="569"/>
        <v>202041295.09121743</v>
      </c>
      <c r="HA86" s="268">
        <f t="shared" si="569"/>
        <v>202041295.09121743</v>
      </c>
      <c r="HB86" s="268">
        <f t="shared" si="569"/>
        <v>202041295.09121743</v>
      </c>
      <c r="HC86" s="268">
        <f t="shared" si="569"/>
        <v>202041295.09121743</v>
      </c>
      <c r="HD86" s="268">
        <f t="shared" si="569"/>
        <v>202041295.09121743</v>
      </c>
      <c r="HE86" s="268">
        <f t="shared" si="569"/>
        <v>202041295.09121743</v>
      </c>
      <c r="HF86" s="268">
        <f t="shared" si="569"/>
        <v>0</v>
      </c>
      <c r="HG86" s="268">
        <f t="shared" si="569"/>
        <v>0</v>
      </c>
      <c r="HH86" s="268" t="n">
        <f t="shared" ref="HH86:JS86" si="570">MIN(HH73,$EU$86)</f>
        <v>0</v>
      </c>
      <c r="HI86" s="268">
        <f t="shared" si="570"/>
        <v>0</v>
      </c>
      <c r="HJ86" s="268">
        <f t="shared" si="570"/>
        <v>0</v>
      </c>
      <c r="HK86" s="268">
        <f t="shared" si="570"/>
        <v>0</v>
      </c>
      <c r="HL86" s="268">
        <f t="shared" si="570"/>
        <v>0</v>
      </c>
      <c r="HM86" s="268">
        <f t="shared" si="570"/>
        <v>0</v>
      </c>
      <c r="HN86" s="268">
        <f t="shared" si="570"/>
        <v>0</v>
      </c>
      <c r="HO86" s="268">
        <f t="shared" si="570"/>
        <v>0</v>
      </c>
      <c r="HP86" s="268">
        <f t="shared" si="570"/>
        <v>0</v>
      </c>
      <c r="HQ86" s="268">
        <f t="shared" si="570"/>
        <v>0</v>
      </c>
      <c r="HR86" s="268">
        <f t="shared" si="570"/>
        <v>0</v>
      </c>
      <c r="HS86" s="268">
        <f t="shared" si="570"/>
        <v>0</v>
      </c>
      <c r="HT86" s="268">
        <f t="shared" si="570"/>
        <v>0</v>
      </c>
      <c r="HU86" s="268">
        <f t="shared" si="570"/>
        <v>0</v>
      </c>
      <c r="HV86" s="268">
        <f t="shared" si="570"/>
        <v>0</v>
      </c>
      <c r="HW86" s="268">
        <f t="shared" si="570"/>
        <v>0</v>
      </c>
      <c r="HX86" s="268">
        <f t="shared" si="570"/>
        <v>0</v>
      </c>
      <c r="HY86" s="268">
        <f t="shared" si="570"/>
        <v>0</v>
      </c>
      <c r="HZ86" s="268">
        <f t="shared" si="570"/>
        <v>0</v>
      </c>
      <c r="IA86" s="268">
        <f t="shared" si="570"/>
        <v>0</v>
      </c>
      <c r="IB86" s="268">
        <f t="shared" si="570"/>
        <v>0</v>
      </c>
      <c r="IC86" s="268">
        <f t="shared" si="570"/>
        <v>0</v>
      </c>
      <c r="ID86" s="268">
        <f t="shared" si="570"/>
        <v>0</v>
      </c>
      <c r="IE86" s="268">
        <f t="shared" si="570"/>
        <v>0</v>
      </c>
      <c r="IF86" s="268">
        <f t="shared" si="570"/>
        <v>0</v>
      </c>
      <c r="IG86" s="268">
        <f t="shared" si="570"/>
        <v>0</v>
      </c>
      <c r="IH86" s="268">
        <f t="shared" si="570"/>
        <v>0</v>
      </c>
      <c r="II86" s="268">
        <f t="shared" si="570"/>
        <v>0</v>
      </c>
      <c r="IJ86" s="268">
        <f t="shared" si="570"/>
        <v>0</v>
      </c>
      <c r="IK86" s="268">
        <f t="shared" si="570"/>
        <v>0</v>
      </c>
      <c r="IL86" s="268">
        <f t="shared" si="570"/>
        <v>0</v>
      </c>
      <c r="IM86" s="268">
        <f t="shared" si="570"/>
        <v>0</v>
      </c>
      <c r="IN86" s="268">
        <f t="shared" si="570"/>
        <v>0</v>
      </c>
      <c r="IO86" s="268">
        <f t="shared" si="570"/>
        <v>0</v>
      </c>
      <c r="IP86" s="268">
        <f t="shared" si="570"/>
        <v>0</v>
      </c>
      <c r="IQ86" s="268">
        <f t="shared" si="570"/>
        <v>0</v>
      </c>
      <c r="IR86" s="268">
        <f t="shared" si="570"/>
        <v>0</v>
      </c>
      <c r="IS86" s="268">
        <f t="shared" si="570"/>
        <v>0</v>
      </c>
      <c r="IT86" s="268">
        <f t="shared" si="570"/>
        <v>0</v>
      </c>
      <c r="IU86" s="268">
        <f t="shared" si="570"/>
        <v>0</v>
      </c>
      <c r="IV86" s="268">
        <f t="shared" si="570"/>
        <v>0</v>
      </c>
      <c r="IW86" s="268">
        <f t="shared" si="570"/>
        <v>0</v>
      </c>
      <c r="IX86" s="268">
        <f t="shared" si="570"/>
        <v>0</v>
      </c>
      <c r="IY86" s="268">
        <f t="shared" si="570"/>
        <v>0</v>
      </c>
      <c r="IZ86" s="268">
        <f t="shared" si="570"/>
        <v>0</v>
      </c>
      <c r="JA86" s="268">
        <f t="shared" si="570"/>
        <v>0</v>
      </c>
      <c r="JB86" s="268">
        <f t="shared" si="570"/>
        <v>0</v>
      </c>
      <c r="JC86" s="268">
        <f t="shared" si="570"/>
        <v>0</v>
      </c>
      <c r="JD86" s="268">
        <f t="shared" si="570"/>
        <v>0</v>
      </c>
      <c r="JE86" s="268">
        <f t="shared" si="570"/>
        <v>0</v>
      </c>
      <c r="JF86" s="268">
        <f t="shared" si="570"/>
        <v>0</v>
      </c>
      <c r="JG86" s="268">
        <f t="shared" si="570"/>
        <v>0</v>
      </c>
      <c r="JH86" s="268">
        <f t="shared" si="570"/>
        <v>0</v>
      </c>
      <c r="JI86" s="268">
        <f t="shared" si="570"/>
        <v>0</v>
      </c>
      <c r="JJ86" s="268">
        <f t="shared" si="570"/>
        <v>0</v>
      </c>
      <c r="JK86" s="268">
        <f t="shared" si="570"/>
        <v>0</v>
      </c>
      <c r="JL86" s="268">
        <f t="shared" si="570"/>
        <v>0</v>
      </c>
      <c r="JM86" s="268">
        <f t="shared" si="570"/>
        <v>0</v>
      </c>
      <c r="JN86" s="268">
        <f t="shared" si="570"/>
        <v>0</v>
      </c>
      <c r="JO86" s="268">
        <f t="shared" si="570"/>
        <v>0</v>
      </c>
      <c r="JP86" s="268">
        <f t="shared" si="570"/>
        <v>0</v>
      </c>
      <c r="JQ86" s="268">
        <f t="shared" si="570"/>
        <v>0</v>
      </c>
      <c r="JR86" s="268">
        <f t="shared" si="570"/>
        <v>0</v>
      </c>
      <c r="JS86" s="268">
        <f t="shared" si="570"/>
        <v>0</v>
      </c>
      <c r="JT86" s="268" t="n">
        <f t="shared" ref="JT86:JX86" si="571">MIN(JT73,$EU$86)</f>
        <v>0</v>
      </c>
      <c r="JU86" s="268">
        <f t="shared" si="571"/>
        <v>0</v>
      </c>
      <c r="JV86" s="268">
        <f t="shared" si="571"/>
        <v>0</v>
      </c>
      <c r="JW86" s="268">
        <f t="shared" si="571"/>
        <v>0</v>
      </c>
      <c r="JX86" s="268">
        <f t="shared" si="571"/>
        <v>0</v>
      </c>
      <c r="JZ86" s="263"/>
      <c r="KA86" s="263"/>
      <c r="KB86" s="263"/>
      <c r="KC86" s="263"/>
      <c r="KD86" s="263"/>
      <c r="KE86" s="263"/>
      <c r="KF86" s="263"/>
      <c r="KG86" s="263"/>
      <c r="KH86" s="263"/>
      <c r="KI86" s="263"/>
      <c r="KJ86" s="263"/>
      <c r="KK86" s="263"/>
      <c r="KL86" s="263"/>
      <c r="KM86" s="263"/>
      <c r="KN86" s="263"/>
      <c r="KO86" s="263"/>
      <c r="KP86" s="263"/>
      <c r="KQ86" s="263"/>
      <c r="KR86" s="263"/>
      <c r="KS86" s="263"/>
      <c r="KT86" s="263"/>
      <c r="KU86" s="263"/>
      <c r="KV86" s="263"/>
      <c r="KW86" s="263"/>
      <c r="KX86" s="263"/>
      <c r="KY86" s="263"/>
      <c r="KZ86" s="263"/>
      <c r="LA86" s="263"/>
      <c r="LB86" s="263"/>
      <c r="LC86" s="263"/>
      <c r="LD86" s="263"/>
      <c r="LE86" s="263"/>
      <c r="LF86" s="263"/>
      <c r="LG86" s="263"/>
      <c r="LH86" s="263"/>
      <c r="LI86" s="263"/>
      <c r="LJ86" s="263"/>
      <c r="LK86" s="263"/>
      <c r="LL86" s="263"/>
      <c r="LM86" s="263"/>
      <c r="LN86" s="263"/>
      <c r="LO86" s="263"/>
      <c r="LP86" s="263"/>
      <c r="LQ86" s="263"/>
      <c r="LR86" s="263"/>
      <c r="LS86" s="263"/>
      <c r="LT86" s="263"/>
      <c r="LU86" s="263"/>
      <c r="LV86" s="263"/>
      <c r="LW86" s="263"/>
      <c r="LX86" s="263"/>
      <c r="LY86" s="263"/>
      <c r="LZ86" s="263"/>
      <c r="MA86" s="263"/>
      <c r="MB86" s="263"/>
      <c r="MC86" s="263"/>
      <c r="MD86" s="263"/>
      <c r="ME86" s="263"/>
      <c r="MF86" s="263"/>
      <c r="MG86" s="263"/>
      <c r="MH86" s="263"/>
      <c r="MI86" s="263"/>
      <c r="MJ86" s="263"/>
      <c r="MK86" s="263"/>
      <c r="ML86" s="263"/>
      <c r="MM86" s="263"/>
      <c r="MN86" s="263"/>
      <c r="MO86" s="263"/>
      <c r="MP86" s="263"/>
      <c r="MQ86" s="263"/>
      <c r="MR86" s="263"/>
      <c r="MS86" s="263"/>
      <c r="MT86" s="263"/>
      <c r="MU86" s="263"/>
      <c r="MV86" s="263"/>
      <c r="MW86" s="263"/>
      <c r="MX86" s="263"/>
      <c r="MY86" s="263"/>
      <c r="MZ86" s="263"/>
      <c r="NA86" s="263"/>
      <c r="NB86" s="263"/>
      <c r="NC86" s="263"/>
      <c r="ND86" s="263"/>
      <c r="NE86" s="263"/>
      <c r="NF86" s="263"/>
      <c r="NG86" s="263"/>
      <c r="NH86" s="263"/>
      <c r="NI86" s="263"/>
      <c r="NJ86" s="263"/>
      <c r="NK86" s="263"/>
      <c r="NL86" s="263"/>
      <c r="NM86" s="263"/>
      <c r="NN86" s="263"/>
      <c r="NO86" s="263"/>
      <c r="NP86" s="263"/>
      <c r="NQ86" s="263"/>
      <c r="NR86" s="263"/>
      <c r="NS86" s="263"/>
      <c r="NT86" s="263"/>
      <c r="NU86" s="263"/>
      <c r="NV86" s="263"/>
      <c r="NW86" s="263"/>
      <c r="NX86" s="263"/>
      <c r="NY86" s="263"/>
      <c r="NZ86" s="263"/>
      <c r="OA86" s="263"/>
      <c r="OB86" s="263"/>
      <c r="OC86" s="263"/>
      <c r="OD86" s="263"/>
      <c r="OE86" s="263"/>
      <c r="OF86" s="263"/>
      <c r="OG86" s="263"/>
      <c r="OH86" s="263"/>
      <c r="OI86" s="263"/>
      <c r="OJ86" s="263"/>
      <c r="OK86" s="263"/>
      <c r="OL86" s="263"/>
      <c r="OM86" s="263"/>
      <c r="ON86" s="263"/>
      <c r="OO86" s="263"/>
      <c r="OP86" s="263"/>
      <c r="OQ86" s="263"/>
      <c r="OR86" s="263"/>
      <c r="OS86" s="263"/>
      <c r="OT86" s="263"/>
      <c r="OU86" s="263"/>
      <c r="OV86" s="263"/>
      <c r="OW86" s="263"/>
      <c r="OX86" s="263"/>
      <c r="OY86" s="263"/>
      <c r="OZ86" s="263"/>
      <c r="PA86" s="263"/>
      <c r="PB86" s="263"/>
      <c r="PC86" s="263"/>
      <c r="PD86" s="263"/>
      <c r="PE86" s="263"/>
      <c r="PF86" s="263"/>
      <c r="PG86" s="263"/>
      <c r="PH86" s="263"/>
    </row>
    <row r="87">
      <c r="B87" s="411" t="s">
        <v>213</v>
      </c>
      <c r="C87" s="460"/>
      <c r="D87" s="460"/>
      <c r="E87" s="460"/>
      <c r="F87" s="460" t="s">
        <v>214</v>
      </c>
      <c r="G87" s="460"/>
      <c r="H87" s="460"/>
      <c r="I87" s="460"/>
      <c r="J87" s="378"/>
      <c r="K87" s="22" t="s">
        <v>121</v>
      </c>
      <c r="L87" s="201" t="n">
        <f t="shared" ref="L87:AQ87" si="572">L24</f>
        <v>46203</v>
      </c>
      <c r="M87" s="201">
        <f t="shared" si="572"/>
        <v>46234</v>
      </c>
      <c r="N87" s="201">
        <f t="shared" si="572"/>
        <v>46265</v>
      </c>
      <c r="O87" s="201">
        <f t="shared" si="572"/>
        <v>46295</v>
      </c>
      <c r="P87" s="201">
        <f t="shared" si="572"/>
        <v>46326</v>
      </c>
      <c r="Q87" s="201">
        <f t="shared" si="572"/>
        <v>46356</v>
      </c>
      <c r="R87" s="201">
        <f t="shared" si="572"/>
        <v>46387</v>
      </c>
      <c r="S87" s="201">
        <f t="shared" si="572"/>
        <v>46418</v>
      </c>
      <c r="T87" s="201">
        <f t="shared" si="572"/>
        <v>46446</v>
      </c>
      <c r="U87" s="201">
        <f t="shared" si="572"/>
        <v>46477</v>
      </c>
      <c r="V87" s="201">
        <f t="shared" si="572"/>
        <v>46507</v>
      </c>
      <c r="W87" s="201">
        <f t="shared" si="572"/>
        <v>46538</v>
      </c>
      <c r="X87" s="201">
        <f t="shared" si="572"/>
        <v>46568</v>
      </c>
      <c r="Y87" s="201">
        <f t="shared" si="572"/>
        <v>46599</v>
      </c>
      <c r="Z87" s="201">
        <f t="shared" si="572"/>
        <v>46630</v>
      </c>
      <c r="AA87" s="201">
        <f t="shared" si="572"/>
        <v>46660</v>
      </c>
      <c r="AB87" s="201">
        <f t="shared" si="572"/>
        <v>46691</v>
      </c>
      <c r="AC87" s="201">
        <f t="shared" si="572"/>
        <v>46721</v>
      </c>
      <c r="AD87" s="201">
        <f t="shared" si="572"/>
        <v>46752</v>
      </c>
      <c r="AE87" s="201">
        <f t="shared" si="572"/>
        <v>46783</v>
      </c>
      <c r="AF87" s="201">
        <f t="shared" si="572"/>
        <v>46812</v>
      </c>
      <c r="AG87" s="201">
        <f t="shared" si="572"/>
        <v>46843</v>
      </c>
      <c r="AH87" s="201">
        <f t="shared" si="572"/>
        <v>46873</v>
      </c>
      <c r="AI87" s="201">
        <f t="shared" si="572"/>
        <v>46904</v>
      </c>
      <c r="AJ87" s="201">
        <f t="shared" si="572"/>
        <v>46934</v>
      </c>
      <c r="AK87" s="201">
        <f t="shared" si="572"/>
        <v>46965</v>
      </c>
      <c r="AL87" s="201">
        <f t="shared" si="572"/>
        <v>46996</v>
      </c>
      <c r="AM87" s="201">
        <f t="shared" si="572"/>
        <v>47026</v>
      </c>
      <c r="AN87" s="201">
        <f t="shared" si="572"/>
        <v>47057</v>
      </c>
      <c r="AO87" s="201">
        <f t="shared" si="572"/>
        <v>47087</v>
      </c>
      <c r="AP87" s="201">
        <f t="shared" si="572"/>
        <v>47118</v>
      </c>
      <c r="AQ87" s="201">
        <f t="shared" si="572"/>
        <v>47149</v>
      </c>
      <c r="AR87" s="201" t="n">
        <f t="shared" ref="AR87:BW87" si="573">AR24</f>
        <v>47177</v>
      </c>
      <c r="AS87" s="201">
        <f t="shared" si="573"/>
        <v>47208</v>
      </c>
      <c r="AT87" s="201">
        <f t="shared" si="573"/>
        <v>47238</v>
      </c>
      <c r="AU87" s="201">
        <f t="shared" si="573"/>
        <v>47269</v>
      </c>
      <c r="AV87" s="201">
        <f t="shared" si="573"/>
        <v>47299</v>
      </c>
      <c r="AW87" s="201">
        <f t="shared" si="573"/>
        <v>47330</v>
      </c>
      <c r="AX87" s="201">
        <f t="shared" si="573"/>
        <v>47361</v>
      </c>
      <c r="AY87" s="201">
        <f t="shared" si="573"/>
        <v>47391</v>
      </c>
      <c r="AZ87" s="201">
        <f t="shared" si="573"/>
        <v>47422</v>
      </c>
      <c r="BA87" s="201">
        <f t="shared" si="573"/>
        <v>47452</v>
      </c>
      <c r="BB87" s="201">
        <f t="shared" si="573"/>
        <v>47483</v>
      </c>
      <c r="BC87" s="201">
        <f t="shared" si="573"/>
        <v>47514</v>
      </c>
      <c r="BD87" s="201">
        <f t="shared" si="573"/>
        <v>47542</v>
      </c>
      <c r="BE87" s="201">
        <f t="shared" si="573"/>
        <v>47573</v>
      </c>
      <c r="BF87" s="201">
        <f t="shared" si="573"/>
        <v>47603</v>
      </c>
      <c r="BG87" s="201">
        <f t="shared" si="573"/>
        <v>47634</v>
      </c>
      <c r="BH87" s="201">
        <f t="shared" si="573"/>
        <v>47664</v>
      </c>
      <c r="BI87" s="201">
        <f t="shared" si="573"/>
        <v>47695</v>
      </c>
      <c r="BJ87" s="201">
        <f t="shared" si="573"/>
        <v>47726</v>
      </c>
      <c r="BK87" s="201">
        <f t="shared" si="573"/>
        <v>47756</v>
      </c>
      <c r="BL87" s="201">
        <f t="shared" si="573"/>
        <v>47787</v>
      </c>
      <c r="BM87" s="201">
        <f t="shared" si="573"/>
        <v>47817</v>
      </c>
      <c r="BN87" s="201">
        <f t="shared" si="573"/>
        <v>47848</v>
      </c>
      <c r="BO87" s="201">
        <f t="shared" si="573"/>
        <v>47879</v>
      </c>
      <c r="BP87" s="201">
        <f t="shared" si="573"/>
        <v>47907</v>
      </c>
      <c r="BQ87" s="201">
        <f t="shared" si="573"/>
        <v>47938</v>
      </c>
      <c r="BR87" s="201">
        <f t="shared" si="573"/>
        <v>47968</v>
      </c>
      <c r="BS87" s="201">
        <f t="shared" si="573"/>
        <v>47999</v>
      </c>
      <c r="BT87" s="201">
        <f t="shared" si="573"/>
        <v>48029</v>
      </c>
      <c r="BU87" s="201">
        <f t="shared" si="573"/>
        <v>48060</v>
      </c>
      <c r="BV87" s="201">
        <f t="shared" si="573"/>
        <v>48091</v>
      </c>
      <c r="BW87" s="201">
        <f t="shared" si="573"/>
        <v>48121</v>
      </c>
      <c r="BX87" s="201" t="n">
        <f t="shared" ref="BX87:DC87" si="574">BX24</f>
        <v>48152</v>
      </c>
      <c r="BY87" s="201">
        <f t="shared" si="574"/>
        <v>48182</v>
      </c>
      <c r="BZ87" s="201">
        <f t="shared" si="574"/>
        <v>48213</v>
      </c>
      <c r="CA87" s="201">
        <f t="shared" si="574"/>
        <v>48244</v>
      </c>
      <c r="CB87" s="201">
        <f t="shared" si="574"/>
        <v>48273</v>
      </c>
      <c r="CC87" s="201">
        <f t="shared" si="574"/>
        <v>48304</v>
      </c>
      <c r="CD87" s="201">
        <f t="shared" si="574"/>
        <v>48334</v>
      </c>
      <c r="CE87" s="201">
        <f t="shared" si="574"/>
        <v>48365</v>
      </c>
      <c r="CF87" s="201">
        <f t="shared" si="574"/>
        <v>48395</v>
      </c>
      <c r="CG87" s="201">
        <f t="shared" si="574"/>
        <v>48426</v>
      </c>
      <c r="CH87" s="201">
        <f t="shared" si="574"/>
        <v>48457</v>
      </c>
      <c r="CI87" s="201">
        <f t="shared" si="574"/>
        <v>48487</v>
      </c>
      <c r="CJ87" s="201">
        <f t="shared" si="574"/>
        <v>48518</v>
      </c>
      <c r="CK87" s="201">
        <f t="shared" si="574"/>
        <v>48548</v>
      </c>
      <c r="CL87" s="201">
        <f t="shared" si="574"/>
        <v>48579</v>
      </c>
      <c r="CM87" s="201">
        <f t="shared" si="574"/>
        <v>48610</v>
      </c>
      <c r="CN87" s="201">
        <f t="shared" si="574"/>
        <v>48638</v>
      </c>
      <c r="CO87" s="201">
        <f t="shared" si="574"/>
        <v>48669</v>
      </c>
      <c r="CP87" s="201">
        <f t="shared" si="574"/>
        <v>48699</v>
      </c>
      <c r="CQ87" s="201">
        <f t="shared" si="574"/>
        <v>48730</v>
      </c>
      <c r="CR87" s="201">
        <f t="shared" si="574"/>
        <v>48760</v>
      </c>
      <c r="CS87" s="201">
        <f t="shared" si="574"/>
        <v>48791</v>
      </c>
      <c r="CT87" s="201">
        <f t="shared" si="574"/>
        <v>48822</v>
      </c>
      <c r="CU87" s="201">
        <f t="shared" si="574"/>
        <v>48852</v>
      </c>
      <c r="CV87" s="201">
        <f t="shared" si="574"/>
        <v>48883</v>
      </c>
      <c r="CW87" s="201">
        <f t="shared" si="574"/>
        <v>48913</v>
      </c>
      <c r="CX87" s="201">
        <f t="shared" si="574"/>
        <v>48944</v>
      </c>
      <c r="CY87" s="201">
        <f t="shared" si="574"/>
        <v>48975</v>
      </c>
      <c r="CZ87" s="201">
        <f t="shared" si="574"/>
        <v>49003</v>
      </c>
      <c r="DA87" s="201">
        <f t="shared" si="574"/>
        <v>49034</v>
      </c>
      <c r="DB87" s="201">
        <f t="shared" si="574"/>
        <v>49064</v>
      </c>
      <c r="DC87" s="201">
        <f t="shared" si="574"/>
        <v>49095</v>
      </c>
      <c r="DD87" s="201" t="n">
        <f t="shared" ref="DD87:EN87" si="575">DD24</f>
        <v>49125</v>
      </c>
      <c r="DE87" s="201">
        <f t="shared" si="575"/>
        <v>49156</v>
      </c>
      <c r="DF87" s="201">
        <f t="shared" si="575"/>
        <v>49187</v>
      </c>
      <c r="DG87" s="201">
        <f t="shared" si="575"/>
        <v>49217</v>
      </c>
      <c r="DH87" s="201">
        <f t="shared" si="575"/>
        <v>49248</v>
      </c>
      <c r="DI87" s="201">
        <f t="shared" si="575"/>
        <v>49278</v>
      </c>
      <c r="DJ87" s="201">
        <f t="shared" si="575"/>
        <v>49309</v>
      </c>
      <c r="DK87" s="201">
        <f t="shared" si="575"/>
        <v>49340</v>
      </c>
      <c r="DL87" s="201">
        <f t="shared" si="575"/>
        <v>49368</v>
      </c>
      <c r="DM87" s="201">
        <f t="shared" si="575"/>
        <v>49399</v>
      </c>
      <c r="DN87" s="201">
        <f t="shared" si="575"/>
        <v>49429</v>
      </c>
      <c r="DO87" s="201">
        <f t="shared" si="575"/>
        <v>49460</v>
      </c>
      <c r="DP87" s="201">
        <f t="shared" si="575"/>
        <v>49490</v>
      </c>
      <c r="DQ87" s="201">
        <f t="shared" si="575"/>
        <v>49521</v>
      </c>
      <c r="DR87" s="201">
        <f t="shared" si="575"/>
        <v>49552</v>
      </c>
      <c r="DS87" s="201">
        <f t="shared" si="575"/>
        <v>49582</v>
      </c>
      <c r="DT87" s="201">
        <f t="shared" si="575"/>
        <v>49613</v>
      </c>
      <c r="DU87" s="201">
        <f t="shared" si="575"/>
        <v>49643</v>
      </c>
      <c r="DV87" s="201">
        <f t="shared" si="575"/>
        <v>49674</v>
      </c>
      <c r="DW87" s="201">
        <f t="shared" si="575"/>
        <v>49705</v>
      </c>
      <c r="DX87" s="201">
        <f t="shared" si="575"/>
        <v>49734</v>
      </c>
      <c r="DY87" s="201">
        <f t="shared" si="575"/>
        <v>49765</v>
      </c>
      <c r="DZ87" s="201">
        <f t="shared" si="575"/>
        <v>49795</v>
      </c>
      <c r="EA87" s="201">
        <f t="shared" si="575"/>
        <v>49826</v>
      </c>
      <c r="EB87" s="201">
        <f t="shared" si="575"/>
        <v>49856</v>
      </c>
      <c r="EC87" s="201">
        <f t="shared" si="575"/>
        <v>49887</v>
      </c>
      <c r="ED87" s="201">
        <f t="shared" si="575"/>
        <v>49918</v>
      </c>
      <c r="EE87" s="201">
        <f t="shared" si="575"/>
        <v>49948</v>
      </c>
      <c r="EF87" s="201">
        <f t="shared" si="575"/>
        <v>49979</v>
      </c>
      <c r="EG87" s="201">
        <f t="shared" si="575"/>
        <v>50009</v>
      </c>
      <c r="EH87" s="201">
        <f t="shared" si="575"/>
        <v>50040</v>
      </c>
      <c r="EI87" s="201">
        <f t="shared" si="575"/>
        <v>50071</v>
      </c>
      <c r="EJ87" s="201">
        <f t="shared" si="575"/>
        <v>50099</v>
      </c>
      <c r="EK87" s="201">
        <f t="shared" si="575"/>
        <v>50130</v>
      </c>
      <c r="EL87" s="201">
        <f t="shared" si="575"/>
        <v>50160</v>
      </c>
      <c r="EM87" s="201">
        <f t="shared" si="575"/>
        <v>50191</v>
      </c>
      <c r="EN87" s="201">
        <f t="shared" si="575"/>
        <v>50221</v>
      </c>
      <c r="EP87" s="263" t="s">
        <v>215</v>
      </c>
      <c r="EQ87" s="263"/>
      <c r="ER87" s="20"/>
      <c r="ES87" s="20" t="str">
        <f>IF(ROUND(MAX(EV87:JX87),0)=ROUND(EU87,0),"OK","ERROR")</f>
        <v>OK</v>
      </c>
      <c r="ET87" s="308" t="n">
        <f>1-ET86</f>
        <v>0</v>
      </c>
      <c r="EU87" s="268" t="n">
        <f>+$I$72*ET87</f>
        <v>0</v>
      </c>
      <c r="EV87" s="268" t="n">
        <f>EV73-EV86</f>
        <v>0</v>
      </c>
      <c r="EW87" s="268" t="n">
        <f t="shared" ref="EW87:HH87" si="576">EW73-EW86</f>
        <v>0</v>
      </c>
      <c r="EX87" s="268">
        <f t="shared" si="576"/>
        <v>0</v>
      </c>
      <c r="EY87" s="268">
        <f t="shared" si="576"/>
        <v>0</v>
      </c>
      <c r="EZ87" s="268">
        <f t="shared" si="576"/>
        <v>0</v>
      </c>
      <c r="FA87" s="268">
        <f t="shared" si="576"/>
        <v>0</v>
      </c>
      <c r="FB87" s="268">
        <f t="shared" si="576"/>
        <v>0</v>
      </c>
      <c r="FC87" s="268">
        <f t="shared" si="576"/>
        <v>0</v>
      </c>
      <c r="FD87" s="268">
        <f t="shared" si="576"/>
        <v>0</v>
      </c>
      <c r="FE87" s="268">
        <f t="shared" si="576"/>
        <v>0</v>
      </c>
      <c r="FF87" s="268">
        <f t="shared" si="576"/>
        <v>0</v>
      </c>
      <c r="FG87" s="268">
        <f t="shared" si="576"/>
        <v>0</v>
      </c>
      <c r="FH87" s="268">
        <f t="shared" si="576"/>
        <v>0</v>
      </c>
      <c r="FI87" s="268">
        <f t="shared" si="576"/>
        <v>0</v>
      </c>
      <c r="FJ87" s="268">
        <f t="shared" si="576"/>
        <v>0</v>
      </c>
      <c r="FK87" s="268">
        <f t="shared" si="576"/>
        <v>0</v>
      </c>
      <c r="FL87" s="268">
        <f t="shared" si="576"/>
        <v>0</v>
      </c>
      <c r="FM87" s="268">
        <f t="shared" si="576"/>
        <v>0</v>
      </c>
      <c r="FN87" s="268">
        <f t="shared" si="576"/>
        <v>0</v>
      </c>
      <c r="FO87" s="268">
        <f t="shared" si="576"/>
        <v>0</v>
      </c>
      <c r="FP87" s="268">
        <f t="shared" si="576"/>
        <v>0</v>
      </c>
      <c r="FQ87" s="268">
        <f t="shared" si="576"/>
        <v>0</v>
      </c>
      <c r="FR87" s="268">
        <f t="shared" si="576"/>
        <v>0</v>
      </c>
      <c r="FS87" s="268">
        <f t="shared" si="576"/>
        <v>0</v>
      </c>
      <c r="FT87" s="268">
        <f t="shared" si="576"/>
        <v>0</v>
      </c>
      <c r="FU87" s="268">
        <f t="shared" si="576"/>
        <v>0</v>
      </c>
      <c r="FV87" s="268">
        <f t="shared" si="576"/>
        <v>0</v>
      </c>
      <c r="FW87" s="268">
        <f t="shared" si="576"/>
        <v>0</v>
      </c>
      <c r="FX87" s="268">
        <f t="shared" si="576"/>
        <v>0</v>
      </c>
      <c r="FY87" s="268">
        <f t="shared" si="576"/>
        <v>0</v>
      </c>
      <c r="FZ87" s="268">
        <f t="shared" si="576"/>
        <v>0</v>
      </c>
      <c r="GA87" s="268">
        <f t="shared" si="576"/>
        <v>0</v>
      </c>
      <c r="GB87" s="268">
        <f t="shared" si="576"/>
        <v>0</v>
      </c>
      <c r="GC87" s="268">
        <f t="shared" si="576"/>
        <v>0</v>
      </c>
      <c r="GD87" s="268">
        <f t="shared" si="576"/>
        <v>0</v>
      </c>
      <c r="GE87" s="268">
        <f t="shared" si="576"/>
        <v>0</v>
      </c>
      <c r="GF87" s="268">
        <f t="shared" si="576"/>
        <v>0</v>
      </c>
      <c r="GG87" s="268">
        <f t="shared" si="576"/>
        <v>0</v>
      </c>
      <c r="GH87" s="268">
        <f t="shared" si="576"/>
        <v>0</v>
      </c>
      <c r="GI87" s="268">
        <f t="shared" si="576"/>
        <v>0</v>
      </c>
      <c r="GJ87" s="268">
        <f t="shared" si="576"/>
        <v>0</v>
      </c>
      <c r="GK87" s="268">
        <f t="shared" si="576"/>
        <v>0</v>
      </c>
      <c r="GL87" s="268">
        <f t="shared" si="576"/>
        <v>0</v>
      </c>
      <c r="GM87" s="268">
        <f t="shared" si="576"/>
        <v>0</v>
      </c>
      <c r="GN87" s="268">
        <f t="shared" si="576"/>
        <v>0</v>
      </c>
      <c r="GO87" s="268">
        <f t="shared" si="576"/>
        <v>0</v>
      </c>
      <c r="GP87" s="268">
        <f t="shared" si="576"/>
        <v>0</v>
      </c>
      <c r="GQ87" s="268">
        <f t="shared" si="576"/>
        <v>0</v>
      </c>
      <c r="GR87" s="268">
        <f t="shared" si="576"/>
        <v>0</v>
      </c>
      <c r="GS87" s="268">
        <f t="shared" si="576"/>
        <v>0</v>
      </c>
      <c r="GT87" s="268">
        <f t="shared" si="576"/>
        <v>0</v>
      </c>
      <c r="GU87" s="268">
        <f t="shared" si="576"/>
        <v>0</v>
      </c>
      <c r="GV87" s="268">
        <f t="shared" si="576"/>
        <v>0</v>
      </c>
      <c r="GW87" s="268">
        <f t="shared" si="576"/>
        <v>0</v>
      </c>
      <c r="GX87" s="268">
        <f t="shared" si="576"/>
        <v>0</v>
      </c>
      <c r="GY87" s="268">
        <f t="shared" si="576"/>
        <v>0</v>
      </c>
      <c r="GZ87" s="268">
        <f t="shared" si="576"/>
        <v>0</v>
      </c>
      <c r="HA87" s="268">
        <f t="shared" si="576"/>
        <v>0</v>
      </c>
      <c r="HB87" s="268">
        <f t="shared" si="576"/>
        <v>0</v>
      </c>
      <c r="HC87" s="268">
        <f t="shared" si="576"/>
        <v>0</v>
      </c>
      <c r="HD87" s="268">
        <f t="shared" si="576"/>
        <v>0</v>
      </c>
      <c r="HE87" s="268">
        <f t="shared" si="576"/>
        <v>0</v>
      </c>
      <c r="HF87" s="268">
        <f t="shared" si="576"/>
        <v>0</v>
      </c>
      <c r="HG87" s="268">
        <f t="shared" si="576"/>
        <v>0</v>
      </c>
      <c r="HH87" s="268">
        <f t="shared" si="576"/>
        <v>0</v>
      </c>
      <c r="HI87" s="268" t="n">
        <f t="shared" ref="HI87:JT87" si="577">HI73-HI86</f>
        <v>0</v>
      </c>
      <c r="HJ87" s="268">
        <f t="shared" si="577"/>
        <v>0</v>
      </c>
      <c r="HK87" s="268">
        <f t="shared" si="577"/>
        <v>0</v>
      </c>
      <c r="HL87" s="268">
        <f t="shared" si="577"/>
        <v>0</v>
      </c>
      <c r="HM87" s="268">
        <f t="shared" si="577"/>
        <v>0</v>
      </c>
      <c r="HN87" s="268">
        <f t="shared" si="577"/>
        <v>0</v>
      </c>
      <c r="HO87" s="268">
        <f t="shared" si="577"/>
        <v>0</v>
      </c>
      <c r="HP87" s="268">
        <f t="shared" si="577"/>
        <v>0</v>
      </c>
      <c r="HQ87" s="268">
        <f t="shared" si="577"/>
        <v>0</v>
      </c>
      <c r="HR87" s="268">
        <f t="shared" si="577"/>
        <v>0</v>
      </c>
      <c r="HS87" s="268">
        <f t="shared" si="577"/>
        <v>0</v>
      </c>
      <c r="HT87" s="268">
        <f t="shared" si="577"/>
        <v>0</v>
      </c>
      <c r="HU87" s="268">
        <f t="shared" si="577"/>
        <v>0</v>
      </c>
      <c r="HV87" s="268">
        <f t="shared" si="577"/>
        <v>0</v>
      </c>
      <c r="HW87" s="268">
        <f t="shared" si="577"/>
        <v>0</v>
      </c>
      <c r="HX87" s="268">
        <f t="shared" si="577"/>
        <v>0</v>
      </c>
      <c r="HY87" s="268">
        <f t="shared" si="577"/>
        <v>0</v>
      </c>
      <c r="HZ87" s="268">
        <f t="shared" si="577"/>
        <v>0</v>
      </c>
      <c r="IA87" s="268">
        <f t="shared" si="577"/>
        <v>0</v>
      </c>
      <c r="IB87" s="268">
        <f t="shared" si="577"/>
        <v>0</v>
      </c>
      <c r="IC87" s="268">
        <f t="shared" si="577"/>
        <v>0</v>
      </c>
      <c r="ID87" s="268">
        <f t="shared" si="577"/>
        <v>0</v>
      </c>
      <c r="IE87" s="268">
        <f t="shared" si="577"/>
        <v>0</v>
      </c>
      <c r="IF87" s="268">
        <f t="shared" si="577"/>
        <v>0</v>
      </c>
      <c r="IG87" s="268">
        <f t="shared" si="577"/>
        <v>0</v>
      </c>
      <c r="IH87" s="268">
        <f t="shared" si="577"/>
        <v>0</v>
      </c>
      <c r="II87" s="268">
        <f t="shared" si="577"/>
        <v>0</v>
      </c>
      <c r="IJ87" s="268">
        <f t="shared" si="577"/>
        <v>0</v>
      </c>
      <c r="IK87" s="268">
        <f t="shared" si="577"/>
        <v>0</v>
      </c>
      <c r="IL87" s="268">
        <f t="shared" si="577"/>
        <v>0</v>
      </c>
      <c r="IM87" s="268">
        <f t="shared" si="577"/>
        <v>0</v>
      </c>
      <c r="IN87" s="268">
        <f t="shared" si="577"/>
        <v>0</v>
      </c>
      <c r="IO87" s="268">
        <f t="shared" si="577"/>
        <v>0</v>
      </c>
      <c r="IP87" s="268">
        <f t="shared" si="577"/>
        <v>0</v>
      </c>
      <c r="IQ87" s="268">
        <f t="shared" si="577"/>
        <v>0</v>
      </c>
      <c r="IR87" s="268">
        <f t="shared" si="577"/>
        <v>0</v>
      </c>
      <c r="IS87" s="268">
        <f t="shared" si="577"/>
        <v>0</v>
      </c>
      <c r="IT87" s="268">
        <f t="shared" si="577"/>
        <v>0</v>
      </c>
      <c r="IU87" s="268">
        <f t="shared" si="577"/>
        <v>0</v>
      </c>
      <c r="IV87" s="268">
        <f t="shared" si="577"/>
        <v>0</v>
      </c>
      <c r="IW87" s="268">
        <f t="shared" si="577"/>
        <v>0</v>
      </c>
      <c r="IX87" s="268">
        <f t="shared" si="577"/>
        <v>0</v>
      </c>
      <c r="IY87" s="268">
        <f t="shared" si="577"/>
        <v>0</v>
      </c>
      <c r="IZ87" s="268">
        <f t="shared" si="577"/>
        <v>0</v>
      </c>
      <c r="JA87" s="268">
        <f t="shared" si="577"/>
        <v>0</v>
      </c>
      <c r="JB87" s="268">
        <f t="shared" si="577"/>
        <v>0</v>
      </c>
      <c r="JC87" s="268">
        <f t="shared" si="577"/>
        <v>0</v>
      </c>
      <c r="JD87" s="268">
        <f t="shared" si="577"/>
        <v>0</v>
      </c>
      <c r="JE87" s="268">
        <f t="shared" si="577"/>
        <v>0</v>
      </c>
      <c r="JF87" s="268">
        <f t="shared" si="577"/>
        <v>0</v>
      </c>
      <c r="JG87" s="268">
        <f t="shared" si="577"/>
        <v>0</v>
      </c>
      <c r="JH87" s="268">
        <f t="shared" si="577"/>
        <v>0</v>
      </c>
      <c r="JI87" s="268">
        <f t="shared" si="577"/>
        <v>0</v>
      </c>
      <c r="JJ87" s="268">
        <f t="shared" si="577"/>
        <v>0</v>
      </c>
      <c r="JK87" s="268">
        <f t="shared" si="577"/>
        <v>0</v>
      </c>
      <c r="JL87" s="268">
        <f t="shared" si="577"/>
        <v>0</v>
      </c>
      <c r="JM87" s="268">
        <f t="shared" si="577"/>
        <v>0</v>
      </c>
      <c r="JN87" s="268">
        <f t="shared" si="577"/>
        <v>0</v>
      </c>
      <c r="JO87" s="268">
        <f t="shared" si="577"/>
        <v>0</v>
      </c>
      <c r="JP87" s="268">
        <f t="shared" si="577"/>
        <v>0</v>
      </c>
      <c r="JQ87" s="268">
        <f t="shared" si="577"/>
        <v>0</v>
      </c>
      <c r="JR87" s="268">
        <f t="shared" si="577"/>
        <v>0</v>
      </c>
      <c r="JS87" s="268">
        <f t="shared" si="577"/>
        <v>0</v>
      </c>
      <c r="JT87" s="268">
        <f t="shared" si="577"/>
        <v>0</v>
      </c>
      <c r="JU87" s="268" t="n">
        <f t="shared" ref="JU87:JX87" si="578">JU73-JU86</f>
        <v>0</v>
      </c>
      <c r="JV87" s="268">
        <f t="shared" si="578"/>
        <v>0</v>
      </c>
      <c r="JW87" s="268">
        <f t="shared" si="578"/>
        <v>0</v>
      </c>
      <c r="JX87" s="268">
        <f t="shared" si="578"/>
        <v>0</v>
      </c>
      <c r="JZ87" s="263"/>
      <c r="KA87" s="263"/>
      <c r="KB87" s="263"/>
      <c r="KC87" s="263"/>
      <c r="KD87" s="263"/>
      <c r="KE87" s="263"/>
      <c r="KF87" s="263"/>
      <c r="KG87" s="263"/>
      <c r="KH87" s="263"/>
      <c r="KI87" s="263"/>
      <c r="KJ87" s="263"/>
      <c r="KK87" s="263"/>
      <c r="KL87" s="263"/>
      <c r="KM87" s="263"/>
      <c r="KN87" s="263"/>
      <c r="KO87" s="263"/>
      <c r="KP87" s="263"/>
      <c r="KQ87" s="263"/>
      <c r="KR87" s="263"/>
      <c r="KS87" s="263"/>
      <c r="KT87" s="263"/>
      <c r="KU87" s="263"/>
      <c r="KV87" s="263"/>
      <c r="KW87" s="263"/>
      <c r="KX87" s="263"/>
      <c r="KY87" s="263"/>
      <c r="KZ87" s="263"/>
      <c r="LA87" s="263"/>
      <c r="LB87" s="263"/>
      <c r="LC87" s="263"/>
      <c r="LD87" s="263"/>
      <c r="LE87" s="263"/>
      <c r="LF87" s="263"/>
      <c r="LG87" s="263"/>
      <c r="LH87" s="263"/>
      <c r="LI87" s="263"/>
      <c r="LJ87" s="263"/>
      <c r="LK87" s="263"/>
      <c r="LL87" s="263"/>
      <c r="LM87" s="263"/>
      <c r="LN87" s="263"/>
      <c r="LO87" s="263"/>
      <c r="LP87" s="263"/>
      <c r="LQ87" s="263"/>
      <c r="LR87" s="263"/>
      <c r="LS87" s="263"/>
      <c r="LT87" s="263"/>
      <c r="LU87" s="263"/>
      <c r="LV87" s="263"/>
      <c r="LW87" s="263"/>
      <c r="LX87" s="263"/>
      <c r="LY87" s="263"/>
      <c r="LZ87" s="263"/>
      <c r="MA87" s="263"/>
      <c r="MB87" s="263"/>
      <c r="MC87" s="263"/>
      <c r="MD87" s="263"/>
      <c r="ME87" s="263"/>
      <c r="MF87" s="263"/>
      <c r="MG87" s="263"/>
      <c r="MH87" s="263"/>
      <c r="MI87" s="263"/>
      <c r="MJ87" s="263"/>
      <c r="MK87" s="263"/>
      <c r="ML87" s="263"/>
      <c r="MM87" s="263"/>
      <c r="MN87" s="263"/>
      <c r="MO87" s="263"/>
      <c r="MP87" s="263"/>
      <c r="MQ87" s="263"/>
      <c r="MR87" s="263"/>
      <c r="MS87" s="263"/>
      <c r="MT87" s="263"/>
      <c r="MU87" s="263"/>
      <c r="MV87" s="263"/>
      <c r="MW87" s="263"/>
      <c r="MX87" s="263"/>
      <c r="MY87" s="263"/>
      <c r="MZ87" s="263"/>
      <c r="NA87" s="263"/>
      <c r="NB87" s="263"/>
      <c r="NC87" s="263"/>
      <c r="ND87" s="263"/>
      <c r="NE87" s="263"/>
      <c r="NF87" s="263"/>
      <c r="NG87" s="263"/>
      <c r="NH87" s="263"/>
      <c r="NI87" s="263"/>
      <c r="NJ87" s="263"/>
      <c r="NK87" s="263"/>
      <c r="NL87" s="263"/>
      <c r="NM87" s="263"/>
      <c r="NN87" s="263"/>
      <c r="NO87" s="263"/>
      <c r="NP87" s="263"/>
      <c r="NQ87" s="263"/>
      <c r="NR87" s="263"/>
      <c r="NS87" s="263"/>
      <c r="NT87" s="263"/>
      <c r="NU87" s="263"/>
      <c r="NV87" s="263"/>
      <c r="NW87" s="263"/>
      <c r="NX87" s="263"/>
      <c r="NY87" s="263"/>
      <c r="NZ87" s="263"/>
      <c r="OA87" s="263"/>
      <c r="OB87" s="263"/>
      <c r="OC87" s="263"/>
      <c r="OD87" s="263"/>
      <c r="OE87" s="263"/>
      <c r="OF87" s="263"/>
      <c r="OG87" s="263"/>
      <c r="OH87" s="263"/>
      <c r="OI87" s="263"/>
      <c r="OJ87" s="263"/>
      <c r="OK87" s="263"/>
      <c r="OL87" s="263"/>
      <c r="OM87" s="263"/>
      <c r="ON87" s="263"/>
      <c r="OO87" s="263"/>
      <c r="OP87" s="263"/>
      <c r="OQ87" s="263"/>
      <c r="OR87" s="263"/>
      <c r="OS87" s="263"/>
      <c r="OT87" s="263"/>
      <c r="OU87" s="263"/>
      <c r="OV87" s="263"/>
      <c r="OW87" s="263"/>
      <c r="OX87" s="263"/>
      <c r="OY87" s="263"/>
      <c r="OZ87" s="263"/>
      <c r="PA87" s="263"/>
      <c r="PB87" s="263"/>
      <c r="PC87" s="263"/>
      <c r="PD87" s="263"/>
      <c r="PE87" s="263"/>
      <c r="PF87" s="263"/>
      <c r="PG87" s="263"/>
      <c r="PH87" s="263"/>
    </row>
    <row r="88">
      <c r="A88" s="452">
        <v>0</v>
      </c>
      <c r="B88" s="34" t="s">
        <v>216</v>
      </c>
      <c r="C88" s="401"/>
      <c r="D88" s="35" t="n">
        <f>+Timing_Construction_End+1</f>
        <v>37</v>
      </c>
      <c r="E88" s="401"/>
      <c r="F88" s="463" t="s">
        <v>217</v>
      </c>
      <c r="G88" s="464">
        <v>0.5</v>
      </c>
      <c r="H88" s="463" t="s">
        <v>218</v>
      </c>
      <c r="I88" s="465">
        <v>1</v>
      </c>
      <c r="K88" s="450" t="s">
        <v>219</v>
      </c>
      <c r="L88" s="22" t="str">
        <f t="shared" ref="L88:AQ88" si="579">IF(L86&lt;Timing_Operation_Begin_Month,"Const.",IF(L89&lt;1,"Lease-Up","Stabilized"))</f>
        <v>Const.</v>
      </c>
      <c r="M88" s="22" t="str">
        <f t="shared" si="579"/>
        <v>Const.</v>
      </c>
      <c r="N88" s="22" t="str">
        <f t="shared" si="579"/>
        <v>Const.</v>
      </c>
      <c r="O88" s="22" t="str">
        <f t="shared" si="579"/>
        <v>Const.</v>
      </c>
      <c r="P88" s="22" t="str">
        <f t="shared" si="579"/>
        <v>Const.</v>
      </c>
      <c r="Q88" s="22" t="str">
        <f t="shared" si="579"/>
        <v>Const.</v>
      </c>
      <c r="R88" s="22" t="str">
        <f t="shared" si="579"/>
        <v>Const.</v>
      </c>
      <c r="S88" s="22" t="str">
        <f t="shared" si="579"/>
        <v>Const.</v>
      </c>
      <c r="T88" s="22" t="str">
        <f t="shared" si="579"/>
        <v>Const.</v>
      </c>
      <c r="U88" s="22" t="str">
        <f t="shared" si="579"/>
        <v>Const.</v>
      </c>
      <c r="V88" s="22" t="str">
        <f t="shared" si="579"/>
        <v>Const.</v>
      </c>
      <c r="W88" s="22" t="str">
        <f t="shared" si="579"/>
        <v>Const.</v>
      </c>
      <c r="X88" s="22" t="str">
        <f t="shared" si="579"/>
        <v>Const.</v>
      </c>
      <c r="Y88" s="22" t="str">
        <f t="shared" si="579"/>
        <v>Const.</v>
      </c>
      <c r="Z88" s="22" t="str">
        <f t="shared" si="579"/>
        <v>Const.</v>
      </c>
      <c r="AA88" s="22" t="str">
        <f t="shared" si="579"/>
        <v>Const.</v>
      </c>
      <c r="AB88" s="22" t="str">
        <f t="shared" si="579"/>
        <v>Const.</v>
      </c>
      <c r="AC88" s="22" t="str">
        <f t="shared" si="579"/>
        <v>Const.</v>
      </c>
      <c r="AD88" s="22" t="str">
        <f t="shared" si="579"/>
        <v>Const.</v>
      </c>
      <c r="AE88" s="22" t="str">
        <f t="shared" si="579"/>
        <v>Const.</v>
      </c>
      <c r="AF88" s="22" t="str">
        <f t="shared" si="579"/>
        <v>Const.</v>
      </c>
      <c r="AG88" s="22" t="str">
        <f t="shared" si="579"/>
        <v>Const.</v>
      </c>
      <c r="AH88" s="22" t="str">
        <f t="shared" si="579"/>
        <v>Const.</v>
      </c>
      <c r="AI88" s="22" t="str">
        <f t="shared" si="579"/>
        <v>Const.</v>
      </c>
      <c r="AJ88" s="22" t="str">
        <f t="shared" si="579"/>
        <v>Const.</v>
      </c>
      <c r="AK88" s="22" t="str">
        <f t="shared" si="579"/>
        <v>Const.</v>
      </c>
      <c r="AL88" s="22" t="str">
        <f t="shared" si="579"/>
        <v>Const.</v>
      </c>
      <c r="AM88" s="22" t="str">
        <f t="shared" si="579"/>
        <v>Const.</v>
      </c>
      <c r="AN88" s="22" t="str">
        <f t="shared" si="579"/>
        <v>Const.</v>
      </c>
      <c r="AO88" s="22" t="str">
        <f t="shared" si="579"/>
        <v>Const.</v>
      </c>
      <c r="AP88" s="22" t="str">
        <f t="shared" si="579"/>
        <v>Const.</v>
      </c>
      <c r="AQ88" s="22" t="str">
        <f t="shared" si="579"/>
        <v>Const.</v>
      </c>
      <c r="AR88" s="22" t="str">
        <f t="shared" ref="AR88:BW88" si="580">IF(AR86&lt;Timing_Operation_Begin_Month,"Const.",IF(AR89&lt;1,"Lease-Up","Stabilized"))</f>
        <v>Const.</v>
      </c>
      <c r="AS88" s="22" t="str">
        <f t="shared" si="580"/>
        <v>Const.</v>
      </c>
      <c r="AT88" s="22" t="str">
        <f t="shared" si="580"/>
        <v>Const.</v>
      </c>
      <c r="AU88" s="22" t="str">
        <f t="shared" si="580"/>
        <v>Const.</v>
      </c>
      <c r="AV88" s="22" t="str">
        <f t="shared" si="580"/>
        <v>Const.</v>
      </c>
      <c r="AW88" s="22" t="str">
        <f t="shared" si="580"/>
        <v>Stabilized</v>
      </c>
      <c r="AX88" s="22" t="str">
        <f t="shared" si="580"/>
        <v>Stabilized</v>
      </c>
      <c r="AY88" s="22" t="str">
        <f t="shared" si="580"/>
        <v>Stabilized</v>
      </c>
      <c r="AZ88" s="22" t="str">
        <f t="shared" si="580"/>
        <v>Stabilized</v>
      </c>
      <c r="BA88" s="22" t="str">
        <f t="shared" si="580"/>
        <v>Stabilized</v>
      </c>
      <c r="BB88" s="22" t="str">
        <f t="shared" si="580"/>
        <v>Stabilized</v>
      </c>
      <c r="BC88" s="22" t="str">
        <f t="shared" si="580"/>
        <v>Stabilized</v>
      </c>
      <c r="BD88" s="22" t="str">
        <f t="shared" si="580"/>
        <v>Stabilized</v>
      </c>
      <c r="BE88" s="22" t="str">
        <f t="shared" si="580"/>
        <v>Stabilized</v>
      </c>
      <c r="BF88" s="22" t="str">
        <f t="shared" si="580"/>
        <v>Stabilized</v>
      </c>
      <c r="BG88" s="22" t="str">
        <f t="shared" si="580"/>
        <v>Stabilized</v>
      </c>
      <c r="BH88" s="22" t="str">
        <f t="shared" si="580"/>
        <v>Stabilized</v>
      </c>
      <c r="BI88" s="22" t="str">
        <f t="shared" si="580"/>
        <v>Stabilized</v>
      </c>
      <c r="BJ88" s="22" t="str">
        <f t="shared" si="580"/>
        <v>Stabilized</v>
      </c>
      <c r="BK88" s="22" t="str">
        <f t="shared" si="580"/>
        <v>Stabilized</v>
      </c>
      <c r="BL88" s="22" t="str">
        <f t="shared" si="580"/>
        <v>Stabilized</v>
      </c>
      <c r="BM88" s="22" t="str">
        <f t="shared" si="580"/>
        <v>Stabilized</v>
      </c>
      <c r="BN88" s="22" t="str">
        <f t="shared" si="580"/>
        <v>Stabilized</v>
      </c>
      <c r="BO88" s="22" t="str">
        <f t="shared" si="580"/>
        <v>Stabilized</v>
      </c>
      <c r="BP88" s="22" t="str">
        <f t="shared" si="580"/>
        <v>Stabilized</v>
      </c>
      <c r="BQ88" s="22" t="str">
        <f t="shared" si="580"/>
        <v>Stabilized</v>
      </c>
      <c r="BR88" s="22" t="str">
        <f t="shared" si="580"/>
        <v>Stabilized</v>
      </c>
      <c r="BS88" s="22" t="str">
        <f t="shared" si="580"/>
        <v>Stabilized</v>
      </c>
      <c r="BT88" s="22" t="str">
        <f t="shared" si="580"/>
        <v>Stabilized</v>
      </c>
      <c r="BU88" s="22" t="str">
        <f t="shared" si="580"/>
        <v>Stabilized</v>
      </c>
      <c r="BV88" s="22" t="str">
        <f t="shared" si="580"/>
        <v>Stabilized</v>
      </c>
      <c r="BW88" s="22" t="str">
        <f t="shared" si="580"/>
        <v>Stabilized</v>
      </c>
      <c r="BX88" s="22" t="str">
        <f t="shared" ref="BX88:DC88" si="581">IF(BX86&lt;Timing_Operation_Begin_Month,"Const.",IF(BX89&lt;1,"Lease-Up","Stabilized"))</f>
        <v>Stabilized</v>
      </c>
      <c r="BY88" s="22" t="str">
        <f t="shared" si="581"/>
        <v>Stabilized</v>
      </c>
      <c r="BZ88" s="22" t="str">
        <f t="shared" si="581"/>
        <v>Stabilized</v>
      </c>
      <c r="CA88" s="22" t="str">
        <f t="shared" si="581"/>
        <v>Stabilized</v>
      </c>
      <c r="CB88" s="22" t="str">
        <f t="shared" si="581"/>
        <v>Stabilized</v>
      </c>
      <c r="CC88" s="22" t="str">
        <f t="shared" si="581"/>
        <v>Stabilized</v>
      </c>
      <c r="CD88" s="22" t="str">
        <f t="shared" si="581"/>
        <v>Stabilized</v>
      </c>
      <c r="CE88" s="22" t="str">
        <f t="shared" si="581"/>
        <v>Stabilized</v>
      </c>
      <c r="CF88" s="22" t="str">
        <f t="shared" si="581"/>
        <v>Stabilized</v>
      </c>
      <c r="CG88" s="22" t="str">
        <f t="shared" si="581"/>
        <v>Stabilized</v>
      </c>
      <c r="CH88" s="22" t="str">
        <f t="shared" si="581"/>
        <v>Stabilized</v>
      </c>
      <c r="CI88" s="22" t="str">
        <f t="shared" si="581"/>
        <v>Stabilized</v>
      </c>
      <c r="CJ88" s="22" t="str">
        <f t="shared" si="581"/>
        <v>Stabilized</v>
      </c>
      <c r="CK88" s="22" t="str">
        <f t="shared" si="581"/>
        <v>Stabilized</v>
      </c>
      <c r="CL88" s="22" t="str">
        <f t="shared" si="581"/>
        <v>Stabilized</v>
      </c>
      <c r="CM88" s="22" t="str">
        <f t="shared" si="581"/>
        <v>Stabilized</v>
      </c>
      <c r="CN88" s="22" t="str">
        <f t="shared" si="581"/>
        <v>Stabilized</v>
      </c>
      <c r="CO88" s="22" t="str">
        <f t="shared" si="581"/>
        <v>Stabilized</v>
      </c>
      <c r="CP88" s="22" t="str">
        <f t="shared" si="581"/>
        <v>Stabilized</v>
      </c>
      <c r="CQ88" s="22" t="str">
        <f t="shared" si="581"/>
        <v>Stabilized</v>
      </c>
      <c r="CR88" s="22" t="str">
        <f t="shared" si="581"/>
        <v>Stabilized</v>
      </c>
      <c r="CS88" s="22" t="str">
        <f t="shared" si="581"/>
        <v>Stabilized</v>
      </c>
      <c r="CT88" s="22" t="str">
        <f t="shared" si="581"/>
        <v>Stabilized</v>
      </c>
      <c r="CU88" s="22" t="str">
        <f t="shared" si="581"/>
        <v>Stabilized</v>
      </c>
      <c r="CV88" s="22" t="str">
        <f t="shared" si="581"/>
        <v>Stabilized</v>
      </c>
      <c r="CW88" s="22" t="str">
        <f t="shared" si="581"/>
        <v>Stabilized</v>
      </c>
      <c r="CX88" s="22" t="str">
        <f t="shared" si="581"/>
        <v>Stabilized</v>
      </c>
      <c r="CY88" s="22" t="str">
        <f t="shared" si="581"/>
        <v>Stabilized</v>
      </c>
      <c r="CZ88" s="22" t="str">
        <f t="shared" si="581"/>
        <v>Stabilized</v>
      </c>
      <c r="DA88" s="22" t="str">
        <f t="shared" si="581"/>
        <v>Stabilized</v>
      </c>
      <c r="DB88" s="22" t="str">
        <f t="shared" si="581"/>
        <v>Stabilized</v>
      </c>
      <c r="DC88" s="22" t="str">
        <f t="shared" si="581"/>
        <v>Stabilized</v>
      </c>
      <c r="DD88" s="22" t="str">
        <f t="shared" ref="DD88:EI88" si="582">IF(DD86&lt;Timing_Operation_Begin_Month,"Const.",IF(DD89&lt;1,"Lease-Up","Stabilized"))</f>
        <v>Stabilized</v>
      </c>
      <c r="DE88" s="22" t="str">
        <f t="shared" si="582"/>
        <v>Stabilized</v>
      </c>
      <c r="DF88" s="22" t="str">
        <f t="shared" si="582"/>
        <v>Stabilized</v>
      </c>
      <c r="DG88" s="22" t="str">
        <f t="shared" si="582"/>
        <v>Stabilized</v>
      </c>
      <c r="DH88" s="22" t="str">
        <f t="shared" si="582"/>
        <v>Stabilized</v>
      </c>
      <c r="DI88" s="22" t="str">
        <f t="shared" si="582"/>
        <v>Stabilized</v>
      </c>
      <c r="DJ88" s="22" t="str">
        <f t="shared" si="582"/>
        <v>Stabilized</v>
      </c>
      <c r="DK88" s="22" t="str">
        <f t="shared" si="582"/>
        <v>Stabilized</v>
      </c>
      <c r="DL88" s="22" t="str">
        <f t="shared" si="582"/>
        <v>Stabilized</v>
      </c>
      <c r="DM88" s="22" t="str">
        <f t="shared" si="582"/>
        <v>Stabilized</v>
      </c>
      <c r="DN88" s="22" t="str">
        <f t="shared" si="582"/>
        <v>Stabilized</v>
      </c>
      <c r="DO88" s="22" t="str">
        <f t="shared" si="582"/>
        <v>Stabilized</v>
      </c>
      <c r="DP88" s="22" t="str">
        <f t="shared" si="582"/>
        <v>Stabilized</v>
      </c>
      <c r="DQ88" s="22" t="str">
        <f t="shared" si="582"/>
        <v>Stabilized</v>
      </c>
      <c r="DR88" s="22" t="str">
        <f t="shared" si="582"/>
        <v>Stabilized</v>
      </c>
      <c r="DS88" s="22" t="str">
        <f t="shared" si="582"/>
        <v>Stabilized</v>
      </c>
      <c r="DT88" s="22" t="str">
        <f t="shared" si="582"/>
        <v>Stabilized</v>
      </c>
      <c r="DU88" s="22" t="str">
        <f t="shared" si="582"/>
        <v>Stabilized</v>
      </c>
      <c r="DV88" s="22" t="str">
        <f t="shared" si="582"/>
        <v>Stabilized</v>
      </c>
      <c r="DW88" s="22" t="str">
        <f t="shared" si="582"/>
        <v>Stabilized</v>
      </c>
      <c r="DX88" s="22" t="str">
        <f t="shared" si="582"/>
        <v>Stabilized</v>
      </c>
      <c r="DY88" s="22" t="str">
        <f t="shared" si="582"/>
        <v>Stabilized</v>
      </c>
      <c r="DZ88" s="22" t="str">
        <f t="shared" si="582"/>
        <v>Stabilized</v>
      </c>
      <c r="EA88" s="22" t="str">
        <f t="shared" si="582"/>
        <v>Stabilized</v>
      </c>
      <c r="EB88" s="22" t="str">
        <f t="shared" si="582"/>
        <v>Stabilized</v>
      </c>
      <c r="EC88" s="22" t="str">
        <f t="shared" si="582"/>
        <v>Stabilized</v>
      </c>
      <c r="ED88" s="22" t="str">
        <f t="shared" si="582"/>
        <v>Stabilized</v>
      </c>
      <c r="EE88" s="22" t="str">
        <f t="shared" si="582"/>
        <v>Stabilized</v>
      </c>
      <c r="EF88" s="22" t="str">
        <f t="shared" si="582"/>
        <v>Stabilized</v>
      </c>
      <c r="EG88" s="22" t="str">
        <f t="shared" si="582"/>
        <v>Stabilized</v>
      </c>
      <c r="EH88" s="22" t="str">
        <f t="shared" si="582"/>
        <v>Stabilized</v>
      </c>
      <c r="EI88" s="22" t="str">
        <f t="shared" si="582"/>
        <v>Stabilized</v>
      </c>
      <c r="EJ88" s="22" t="str">
        <f t="shared" ref="EJ88:EN88" si="583">IF(EJ86&lt;Timing_Operation_Begin_Month,"Const.",IF(EJ89&lt;1,"Lease-Up","Stabilized"))</f>
        <v>Stabilized</v>
      </c>
      <c r="EK88" s="22" t="str">
        <f t="shared" si="583"/>
        <v>Stabilized</v>
      </c>
      <c r="EL88" s="22" t="str">
        <f t="shared" si="583"/>
        <v>Stabilized</v>
      </c>
      <c r="EM88" s="22" t="str">
        <f t="shared" si="583"/>
        <v>Stabilized</v>
      </c>
      <c r="EN88" s="22" t="str">
        <f t="shared" si="583"/>
        <v>Stabilized</v>
      </c>
      <c r="EP88" s="263" t="s">
        <v>220</v>
      </c>
      <c r="EQ88" s="263"/>
      <c r="ER88" s="263"/>
      <c r="ES88" s="263"/>
      <c r="ET88" s="263"/>
      <c r="EU88" s="18"/>
      <c r="EV88" s="466" t="n">
        <f>IFERROR(EV86/EV57,0)</f>
        <v>0</v>
      </c>
      <c r="EW88" s="467" t="n">
        <f>IFERROR((EW86-EV86)/EW57,0)</f>
        <v>0</v>
      </c>
      <c r="EX88" s="467" t="n">
        <f t="shared" ref="EX88:HI88" si="584">IFERROR((EX86-EW86)/EX57,0)</f>
        <v>0</v>
      </c>
      <c r="EY88" s="467">
        <f t="shared" si="584"/>
        <v>0</v>
      </c>
      <c r="EZ88" s="467">
        <f t="shared" si="584"/>
        <v>0</v>
      </c>
      <c r="FA88" s="467">
        <f t="shared" si="584"/>
        <v>0</v>
      </c>
      <c r="FB88" s="467">
        <f t="shared" si="584"/>
        <v>0</v>
      </c>
      <c r="FC88" s="467">
        <f t="shared" si="584"/>
        <v>0</v>
      </c>
      <c r="FD88" s="467">
        <f t="shared" si="584"/>
        <v>0</v>
      </c>
      <c r="FE88" s="467">
        <f t="shared" si="584"/>
        <v>0</v>
      </c>
      <c r="FF88" s="467">
        <f t="shared" si="584"/>
        <v>0</v>
      </c>
      <c r="FG88" s="467">
        <f t="shared" si="584"/>
        <v>0</v>
      </c>
      <c r="FH88" s="467">
        <f t="shared" si="584"/>
        <v>0</v>
      </c>
      <c r="FI88" s="467">
        <f t="shared" si="584"/>
        <v>0</v>
      </c>
      <c r="FJ88" s="467">
        <f t="shared" si="584"/>
        <v>0</v>
      </c>
      <c r="FK88" s="467">
        <f t="shared" si="584"/>
        <v>0</v>
      </c>
      <c r="FL88" s="467">
        <f t="shared" si="584"/>
        <v>1</v>
      </c>
      <c r="FM88" s="467">
        <f t="shared" si="584"/>
        <v>1</v>
      </c>
      <c r="FN88" s="467">
        <f t="shared" si="584"/>
        <v>1.0000000000000002</v>
      </c>
      <c r="FO88" s="467">
        <f t="shared" si="584"/>
        <v>0.99999999999999967</v>
      </c>
      <c r="FP88" s="467">
        <f t="shared" si="584"/>
        <v>0.99999999999999967</v>
      </c>
      <c r="FQ88" s="467">
        <f t="shared" si="584"/>
        <v>1.0000000000000004</v>
      </c>
      <c r="FR88" s="467">
        <f t="shared" si="584"/>
        <v>1.0000000000000002</v>
      </c>
      <c r="FS88" s="467">
        <f t="shared" si="584"/>
        <v>0.99999999999999989</v>
      </c>
      <c r="FT88" s="467">
        <f t="shared" si="584"/>
        <v>1.0000000000000004</v>
      </c>
      <c r="FU88" s="467">
        <f t="shared" si="584"/>
        <v>0.99999999999999878</v>
      </c>
      <c r="FV88" s="467">
        <f t="shared" si="584"/>
        <v>0.99999999999999933</v>
      </c>
      <c r="FW88" s="467">
        <f t="shared" si="584"/>
        <v>1.0000000000000018</v>
      </c>
      <c r="FX88" s="467">
        <f t="shared" si="584"/>
        <v>0.99999999999999867</v>
      </c>
      <c r="FY88" s="467">
        <f t="shared" si="584"/>
        <v>1.0000000000000011</v>
      </c>
      <c r="FZ88" s="467">
        <f t="shared" si="584"/>
        <v>0.99999999999999845</v>
      </c>
      <c r="GA88" s="467">
        <f t="shared" si="584"/>
        <v>0.999999999999998</v>
      </c>
      <c r="GB88" s="467">
        <f t="shared" si="584"/>
        <v>0.99999999999999956</v>
      </c>
      <c r="GC88" s="467">
        <f t="shared" si="584"/>
        <v>0.99999999999997891</v>
      </c>
      <c r="GD88" s="467">
        <f t="shared" si="584"/>
        <v>0.99999999999998701</v>
      </c>
      <c r="GE88" s="467">
        <f t="shared" si="584"/>
        <v>0</v>
      </c>
      <c r="GF88" s="467">
        <f t="shared" si="584"/>
        <v>0</v>
      </c>
      <c r="GG88" s="467">
        <f t="shared" si="584"/>
        <v>0</v>
      </c>
      <c r="GH88" s="467">
        <f t="shared" si="584"/>
        <v>0</v>
      </c>
      <c r="GI88" s="467">
        <f t="shared" si="584"/>
        <v>0</v>
      </c>
      <c r="GJ88" s="467">
        <f t="shared" si="584"/>
        <v>0</v>
      </c>
      <c r="GK88" s="467">
        <f t="shared" si="584"/>
        <v>0</v>
      </c>
      <c r="GL88" s="467">
        <f t="shared" si="584"/>
        <v>0</v>
      </c>
      <c r="GM88" s="467">
        <f t="shared" si="584"/>
        <v>0</v>
      </c>
      <c r="GN88" s="467">
        <f t="shared" si="584"/>
        <v>0</v>
      </c>
      <c r="GO88" s="467">
        <f t="shared" si="584"/>
        <v>0</v>
      </c>
      <c r="GP88" s="467">
        <f t="shared" si="584"/>
        <v>0</v>
      </c>
      <c r="GQ88" s="467">
        <f t="shared" si="584"/>
        <v>0</v>
      </c>
      <c r="GR88" s="467">
        <f t="shared" si="584"/>
        <v>0</v>
      </c>
      <c r="GS88" s="467">
        <f t="shared" si="584"/>
        <v>0</v>
      </c>
      <c r="GT88" s="467">
        <f t="shared" si="584"/>
        <v>0</v>
      </c>
      <c r="GU88" s="467">
        <f t="shared" si="584"/>
        <v>0</v>
      </c>
      <c r="GV88" s="467">
        <f t="shared" si="584"/>
        <v>0</v>
      </c>
      <c r="GW88" s="467">
        <f t="shared" si="584"/>
        <v>0</v>
      </c>
      <c r="GX88" s="467">
        <f t="shared" si="584"/>
        <v>0</v>
      </c>
      <c r="GY88" s="467">
        <f t="shared" si="584"/>
        <v>0</v>
      </c>
      <c r="GZ88" s="467">
        <f t="shared" si="584"/>
        <v>0</v>
      </c>
      <c r="HA88" s="467">
        <f t="shared" si="584"/>
        <v>0</v>
      </c>
      <c r="HB88" s="467">
        <f t="shared" si="584"/>
        <v>0</v>
      </c>
      <c r="HC88" s="467">
        <f t="shared" si="584"/>
        <v>0</v>
      </c>
      <c r="HD88" s="467">
        <f t="shared" si="584"/>
        <v>0</v>
      </c>
      <c r="HE88" s="467">
        <f t="shared" si="584"/>
        <v>0</v>
      </c>
      <c r="HF88" s="467">
        <f t="shared" si="584"/>
        <v>0</v>
      </c>
      <c r="HG88" s="467">
        <f t="shared" si="584"/>
        <v>0</v>
      </c>
      <c r="HH88" s="467">
        <f t="shared" si="584"/>
        <v>0</v>
      </c>
      <c r="HI88" s="467">
        <f t="shared" si="584"/>
        <v>0</v>
      </c>
      <c r="HJ88" s="467" t="n">
        <f t="shared" ref="HJ88:JU88" si="585">IFERROR((HJ86-HI86)/HJ57,0)</f>
        <v>0</v>
      </c>
      <c r="HK88" s="467">
        <f t="shared" si="585"/>
        <v>0</v>
      </c>
      <c r="HL88" s="467">
        <f t="shared" si="585"/>
        <v>0</v>
      </c>
      <c r="HM88" s="467">
        <f t="shared" si="585"/>
        <v>0</v>
      </c>
      <c r="HN88" s="467">
        <f t="shared" si="585"/>
        <v>0</v>
      </c>
      <c r="HO88" s="467">
        <f t="shared" si="585"/>
        <v>0</v>
      </c>
      <c r="HP88" s="467">
        <f t="shared" si="585"/>
        <v>0</v>
      </c>
      <c r="HQ88" s="467">
        <f t="shared" si="585"/>
        <v>0</v>
      </c>
      <c r="HR88" s="467">
        <f t="shared" si="585"/>
        <v>0</v>
      </c>
      <c r="HS88" s="467">
        <f t="shared" si="585"/>
        <v>0</v>
      </c>
      <c r="HT88" s="467">
        <f t="shared" si="585"/>
        <v>0</v>
      </c>
      <c r="HU88" s="467">
        <f t="shared" si="585"/>
        <v>0</v>
      </c>
      <c r="HV88" s="467">
        <f t="shared" si="585"/>
        <v>0</v>
      </c>
      <c r="HW88" s="467">
        <f t="shared" si="585"/>
        <v>0</v>
      </c>
      <c r="HX88" s="467">
        <f t="shared" si="585"/>
        <v>0</v>
      </c>
      <c r="HY88" s="467">
        <f t="shared" si="585"/>
        <v>0</v>
      </c>
      <c r="HZ88" s="467">
        <f t="shared" si="585"/>
        <v>0</v>
      </c>
      <c r="IA88" s="467">
        <f t="shared" si="585"/>
        <v>0</v>
      </c>
      <c r="IB88" s="467">
        <f t="shared" si="585"/>
        <v>0</v>
      </c>
      <c r="IC88" s="467">
        <f t="shared" si="585"/>
        <v>0</v>
      </c>
      <c r="ID88" s="467">
        <f t="shared" si="585"/>
        <v>0</v>
      </c>
      <c r="IE88" s="467">
        <f t="shared" si="585"/>
        <v>0</v>
      </c>
      <c r="IF88" s="467">
        <f t="shared" si="585"/>
        <v>0</v>
      </c>
      <c r="IG88" s="467">
        <f t="shared" si="585"/>
        <v>0</v>
      </c>
      <c r="IH88" s="467">
        <f t="shared" si="585"/>
        <v>0</v>
      </c>
      <c r="II88" s="467">
        <f t="shared" si="585"/>
        <v>0</v>
      </c>
      <c r="IJ88" s="467">
        <f t="shared" si="585"/>
        <v>0</v>
      </c>
      <c r="IK88" s="467">
        <f t="shared" si="585"/>
        <v>0</v>
      </c>
      <c r="IL88" s="467">
        <f t="shared" si="585"/>
        <v>0</v>
      </c>
      <c r="IM88" s="467">
        <f t="shared" si="585"/>
        <v>0</v>
      </c>
      <c r="IN88" s="467">
        <f t="shared" si="585"/>
        <v>0</v>
      </c>
      <c r="IO88" s="467">
        <f t="shared" si="585"/>
        <v>0</v>
      </c>
      <c r="IP88" s="467">
        <f t="shared" si="585"/>
        <v>0</v>
      </c>
      <c r="IQ88" s="467">
        <f t="shared" si="585"/>
        <v>0</v>
      </c>
      <c r="IR88" s="467">
        <f t="shared" si="585"/>
        <v>0</v>
      </c>
      <c r="IS88" s="467">
        <f t="shared" si="585"/>
        <v>0</v>
      </c>
      <c r="IT88" s="467">
        <f t="shared" si="585"/>
        <v>0</v>
      </c>
      <c r="IU88" s="467">
        <f t="shared" si="585"/>
        <v>0</v>
      </c>
      <c r="IV88" s="467">
        <f t="shared" si="585"/>
        <v>0</v>
      </c>
      <c r="IW88" s="467">
        <f t="shared" si="585"/>
        <v>0</v>
      </c>
      <c r="IX88" s="467">
        <f t="shared" si="585"/>
        <v>0</v>
      </c>
      <c r="IY88" s="467">
        <f t="shared" si="585"/>
        <v>0</v>
      </c>
      <c r="IZ88" s="467">
        <f t="shared" si="585"/>
        <v>0</v>
      </c>
      <c r="JA88" s="467">
        <f t="shared" si="585"/>
        <v>0</v>
      </c>
      <c r="JB88" s="467">
        <f t="shared" si="585"/>
        <v>0</v>
      </c>
      <c r="JC88" s="467">
        <f t="shared" si="585"/>
        <v>0</v>
      </c>
      <c r="JD88" s="467">
        <f t="shared" si="585"/>
        <v>0</v>
      </c>
      <c r="JE88" s="467">
        <f t="shared" si="585"/>
        <v>0</v>
      </c>
      <c r="JF88" s="467">
        <f t="shared" si="585"/>
        <v>0</v>
      </c>
      <c r="JG88" s="467">
        <f t="shared" si="585"/>
        <v>0</v>
      </c>
      <c r="JH88" s="467">
        <f t="shared" si="585"/>
        <v>0</v>
      </c>
      <c r="JI88" s="467">
        <f t="shared" si="585"/>
        <v>0</v>
      </c>
      <c r="JJ88" s="467">
        <f t="shared" si="585"/>
        <v>0</v>
      </c>
      <c r="JK88" s="467">
        <f t="shared" si="585"/>
        <v>0</v>
      </c>
      <c r="JL88" s="467">
        <f t="shared" si="585"/>
        <v>0</v>
      </c>
      <c r="JM88" s="467">
        <f t="shared" si="585"/>
        <v>0</v>
      </c>
      <c r="JN88" s="467">
        <f t="shared" si="585"/>
        <v>0</v>
      </c>
      <c r="JO88" s="467">
        <f t="shared" si="585"/>
        <v>0</v>
      </c>
      <c r="JP88" s="467">
        <f t="shared" si="585"/>
        <v>0</v>
      </c>
      <c r="JQ88" s="467">
        <f t="shared" si="585"/>
        <v>0</v>
      </c>
      <c r="JR88" s="467">
        <f t="shared" si="585"/>
        <v>0</v>
      </c>
      <c r="JS88" s="467">
        <f t="shared" si="585"/>
        <v>0</v>
      </c>
      <c r="JT88" s="467">
        <f t="shared" si="585"/>
        <v>0</v>
      </c>
      <c r="JU88" s="467">
        <f t="shared" si="585"/>
        <v>0</v>
      </c>
      <c r="JV88" s="467" t="n">
        <f t="shared" ref="JV88:JX88" si="586">IFERROR((JV86-JU86)/JV57,0)</f>
        <v>0</v>
      </c>
      <c r="JW88" s="467">
        <f t="shared" si="586"/>
        <v>0</v>
      </c>
      <c r="JX88" s="467">
        <f t="shared" si="586"/>
        <v>0</v>
      </c>
      <c r="JZ88" s="263"/>
      <c r="KA88" s="263"/>
      <c r="KB88" s="263"/>
      <c r="KC88" s="263"/>
      <c r="KD88" s="263"/>
      <c r="KE88" s="263"/>
      <c r="KF88" s="18"/>
      <c r="KG88" s="292"/>
      <c r="KH88" s="292"/>
      <c r="KI88" s="292"/>
      <c r="KJ88" s="292"/>
      <c r="KK88" s="292"/>
      <c r="KL88" s="292"/>
      <c r="KM88" s="292"/>
      <c r="KN88" s="292"/>
      <c r="KO88" s="292"/>
      <c r="KP88" s="292"/>
      <c r="KQ88" s="292"/>
      <c r="KR88" s="292"/>
      <c r="KS88" s="292"/>
      <c r="KT88" s="292"/>
      <c r="KU88" s="292"/>
      <c r="KV88" s="292"/>
      <c r="KW88" s="292"/>
      <c r="KX88" s="292"/>
      <c r="KY88" s="292"/>
      <c r="KZ88" s="292"/>
      <c r="LA88" s="292"/>
      <c r="LB88" s="292"/>
      <c r="LC88" s="292"/>
      <c r="LD88" s="292"/>
      <c r="LE88" s="292"/>
      <c r="LF88" s="292"/>
      <c r="LG88" s="292"/>
      <c r="LH88" s="292"/>
      <c r="LI88" s="292"/>
      <c r="LJ88" s="292"/>
      <c r="LK88" s="292"/>
      <c r="LL88" s="292"/>
      <c r="LM88" s="292"/>
      <c r="LN88" s="292"/>
      <c r="LO88" s="292"/>
      <c r="LP88" s="292"/>
      <c r="LQ88" s="292"/>
      <c r="LR88" s="292"/>
      <c r="LS88" s="292"/>
      <c r="LT88" s="292"/>
      <c r="LU88" s="292"/>
      <c r="LV88" s="292"/>
      <c r="LW88" s="292"/>
      <c r="LX88" s="292"/>
      <c r="LY88" s="292"/>
      <c r="LZ88" s="292"/>
      <c r="MA88" s="292"/>
      <c r="MB88" s="292"/>
      <c r="MC88" s="292"/>
      <c r="MD88" s="292"/>
      <c r="ME88" s="292"/>
      <c r="MF88" s="292"/>
      <c r="MG88" s="292"/>
      <c r="MH88" s="292"/>
      <c r="MI88" s="292"/>
      <c r="MJ88" s="292"/>
      <c r="MK88" s="292"/>
      <c r="ML88" s="292"/>
      <c r="MM88" s="292"/>
      <c r="MN88" s="292"/>
      <c r="MO88" s="292"/>
      <c r="MP88" s="292"/>
      <c r="MQ88" s="292"/>
      <c r="MR88" s="292"/>
      <c r="MS88" s="292"/>
      <c r="MT88" s="292"/>
      <c r="MU88" s="292"/>
      <c r="MV88" s="292"/>
      <c r="MW88" s="292"/>
      <c r="MX88" s="292"/>
      <c r="MY88" s="292"/>
      <c r="MZ88" s="292"/>
      <c r="NA88" s="292"/>
      <c r="NB88" s="292"/>
      <c r="NC88" s="292"/>
      <c r="ND88" s="292"/>
      <c r="NE88" s="292"/>
      <c r="NF88" s="292"/>
      <c r="NG88" s="292"/>
      <c r="NH88" s="292"/>
      <c r="NI88" s="292"/>
      <c r="NJ88" s="292"/>
      <c r="NK88" s="292"/>
      <c r="NL88" s="292"/>
      <c r="NM88" s="292"/>
      <c r="NN88" s="292"/>
      <c r="NO88" s="292"/>
      <c r="NP88" s="292"/>
      <c r="NQ88" s="292"/>
      <c r="NR88" s="292"/>
      <c r="NS88" s="292"/>
      <c r="NT88" s="292"/>
      <c r="NU88" s="292"/>
      <c r="NV88" s="292"/>
      <c r="NW88" s="292"/>
      <c r="NX88" s="292"/>
      <c r="NY88" s="292"/>
      <c r="NZ88" s="292"/>
      <c r="OA88" s="292"/>
      <c r="OB88" s="292"/>
      <c r="OC88" s="292"/>
      <c r="OD88" s="292"/>
      <c r="OE88" s="292"/>
      <c r="OF88" s="292"/>
      <c r="OG88" s="292"/>
      <c r="OH88" s="292"/>
      <c r="OI88" s="292"/>
      <c r="OJ88" s="292"/>
      <c r="OK88" s="292"/>
      <c r="OL88" s="292"/>
      <c r="OM88" s="292"/>
      <c r="ON88" s="292"/>
      <c r="OO88" s="292"/>
      <c r="OP88" s="292"/>
      <c r="OQ88" s="292"/>
      <c r="OR88" s="292"/>
      <c r="OS88" s="292"/>
      <c r="OT88" s="292"/>
      <c r="OU88" s="292"/>
      <c r="OV88" s="292"/>
      <c r="OW88" s="292"/>
      <c r="OX88" s="292"/>
      <c r="OY88" s="292"/>
      <c r="OZ88" s="292"/>
      <c r="PA88" s="292"/>
      <c r="PB88" s="292"/>
      <c r="PC88" s="292"/>
      <c r="PD88" s="292"/>
      <c r="PE88" s="292"/>
      <c r="PF88" s="292"/>
      <c r="PG88" s="292"/>
      <c r="PH88" s="292"/>
    </row>
    <row r="89">
      <c r="B89" s="34" t="s">
        <v>221</v>
      </c>
      <c r="C89" s="401"/>
      <c r="D89" s="37" t="n">
        <f>PROJECTS!AP16</f>
        <v>49</v>
      </c>
      <c r="E89" s="161"/>
      <c r="F89" s="463" t="s">
        <v>222</v>
      </c>
      <c r="G89" s="464">
        <v>0.75</v>
      </c>
      <c r="H89" s="463" t="s">
        <v>223</v>
      </c>
      <c r="I89" s="83">
        <v>1</v>
      </c>
      <c r="K89" s="450" t="s">
        <v>224</v>
      </c>
      <c r="L89" s="23" t="n">
        <f t="shared" ref="L89:AQ89" si="587">EV105/Units</f>
        <v>0</v>
      </c>
      <c r="M89" s="23">
        <f t="shared" si="587"/>
        <v>0</v>
      </c>
      <c r="N89" s="23">
        <f t="shared" si="587"/>
        <v>0</v>
      </c>
      <c r="O89" s="23">
        <f t="shared" si="587"/>
        <v>0</v>
      </c>
      <c r="P89" s="23">
        <f t="shared" si="587"/>
        <v>0</v>
      </c>
      <c r="Q89" s="23">
        <f t="shared" si="587"/>
        <v>0</v>
      </c>
      <c r="R89" s="23">
        <f t="shared" si="587"/>
        <v>0</v>
      </c>
      <c r="S89" s="23">
        <f t="shared" si="587"/>
        <v>0</v>
      </c>
      <c r="T89" s="23">
        <f t="shared" si="587"/>
        <v>0</v>
      </c>
      <c r="U89" s="23">
        <f t="shared" si="587"/>
        <v>0</v>
      </c>
      <c r="V89" s="23">
        <f t="shared" si="587"/>
        <v>0</v>
      </c>
      <c r="W89" s="23">
        <f t="shared" si="587"/>
        <v>0</v>
      </c>
      <c r="X89" s="23">
        <f t="shared" si="587"/>
        <v>0</v>
      </c>
      <c r="Y89" s="23">
        <f t="shared" si="587"/>
        <v>0</v>
      </c>
      <c r="Z89" s="23">
        <f t="shared" si="587"/>
        <v>0</v>
      </c>
      <c r="AA89" s="23">
        <f t="shared" si="587"/>
        <v>0</v>
      </c>
      <c r="AB89" s="23">
        <f t="shared" si="587"/>
        <v>0</v>
      </c>
      <c r="AC89" s="23">
        <f t="shared" si="587"/>
        <v>0</v>
      </c>
      <c r="AD89" s="23">
        <f t="shared" si="587"/>
        <v>0</v>
      </c>
      <c r="AE89" s="23">
        <f t="shared" si="587"/>
        <v>0.27454152204287496</v>
      </c>
      <c r="AF89" s="23">
        <f t="shared" si="587"/>
        <v>0.27454152204287496</v>
      </c>
      <c r="AG89" s="23">
        <f t="shared" si="587"/>
        <v>0.27454152204287496</v>
      </c>
      <c r="AH89" s="23">
        <f t="shared" si="587"/>
        <v>0.61292990967711614</v>
      </c>
      <c r="AI89" s="23">
        <f t="shared" si="587"/>
        <v>0.61292990967711614</v>
      </c>
      <c r="AJ89" s="23">
        <f t="shared" si="587"/>
        <v>0.61292990967711614</v>
      </c>
      <c r="AK89" s="23">
        <f t="shared" si="587"/>
        <v>0.66592280811795013</v>
      </c>
      <c r="AL89" s="23">
        <f t="shared" si="587"/>
        <v>0.66592280811795013</v>
      </c>
      <c r="AM89" s="23">
        <f t="shared" si="587"/>
        <v>0.66592280811795013</v>
      </c>
      <c r="AN89" s="23">
        <f t="shared" si="587"/>
        <v>0.963454054135502</v>
      </c>
      <c r="AO89" s="23">
        <f t="shared" si="587"/>
        <v>0.963454054135502</v>
      </c>
      <c r="AP89" s="23">
        <f t="shared" si="587"/>
        <v>0.963454054135502</v>
      </c>
      <c r="AQ89" s="23">
        <f t="shared" si="587"/>
        <v>0.99856983021075341</v>
      </c>
      <c r="AR89" s="23" t="n">
        <f t="shared" ref="AR89:BW89" si="588">GB105/Units</f>
        <v>0.9985698302107534</v>
      </c>
      <c r="AS89" s="23">
        <f t="shared" si="588"/>
        <v>0.99856983021075341</v>
      </c>
      <c r="AT89" s="23">
        <f t="shared" si="588"/>
        <v>0.99856983021075341</v>
      </c>
      <c r="AU89" s="23">
        <f t="shared" si="588"/>
        <v>0.99856983021075341</v>
      </c>
      <c r="AV89" s="23">
        <f t="shared" si="588"/>
        <v>0.99856983021075341</v>
      </c>
      <c r="AW89" s="23">
        <f t="shared" si="588"/>
        <v>1</v>
      </c>
      <c r="AX89" s="23">
        <f t="shared" si="588"/>
        <v>1</v>
      </c>
      <c r="AY89" s="23">
        <f t="shared" si="588"/>
        <v>1</v>
      </c>
      <c r="AZ89" s="23">
        <f t="shared" si="588"/>
        <v>1</v>
      </c>
      <c r="BA89" s="23">
        <f t="shared" si="588"/>
        <v>1</v>
      </c>
      <c r="BB89" s="23">
        <f t="shared" si="588"/>
        <v>1</v>
      </c>
      <c r="BC89" s="23">
        <f t="shared" si="588"/>
        <v>1</v>
      </c>
      <c r="BD89" s="23">
        <f t="shared" si="588"/>
        <v>1</v>
      </c>
      <c r="BE89" s="23">
        <f t="shared" si="588"/>
        <v>1</v>
      </c>
      <c r="BF89" s="23">
        <f t="shared" si="588"/>
        <v>1</v>
      </c>
      <c r="BG89" s="23">
        <f t="shared" si="588"/>
        <v>1</v>
      </c>
      <c r="BH89" s="23">
        <f t="shared" si="588"/>
        <v>1</v>
      </c>
      <c r="BI89" s="23">
        <f t="shared" si="588"/>
        <v>1</v>
      </c>
      <c r="BJ89" s="23">
        <f t="shared" si="588"/>
        <v>1</v>
      </c>
      <c r="BK89" s="23">
        <f t="shared" si="588"/>
        <v>1</v>
      </c>
      <c r="BL89" s="23">
        <f t="shared" si="588"/>
        <v>1</v>
      </c>
      <c r="BM89" s="23">
        <f t="shared" si="588"/>
        <v>1</v>
      </c>
      <c r="BN89" s="23">
        <f t="shared" si="588"/>
        <v>1</v>
      </c>
      <c r="BO89" s="23">
        <f t="shared" si="588"/>
        <v>1</v>
      </c>
      <c r="BP89" s="23">
        <f t="shared" si="588"/>
        <v>1</v>
      </c>
      <c r="BQ89" s="23">
        <f t="shared" si="588"/>
        <v>1</v>
      </c>
      <c r="BR89" s="23">
        <f t="shared" si="588"/>
        <v>1</v>
      </c>
      <c r="BS89" s="23">
        <f t="shared" si="588"/>
        <v>1</v>
      </c>
      <c r="BT89" s="23">
        <f t="shared" si="588"/>
        <v>1</v>
      </c>
      <c r="BU89" s="23">
        <f t="shared" si="588"/>
        <v>1</v>
      </c>
      <c r="BV89" s="23">
        <f t="shared" si="588"/>
        <v>1</v>
      </c>
      <c r="BW89" s="23">
        <f t="shared" si="588"/>
        <v>1</v>
      </c>
      <c r="BX89" s="23" t="n">
        <f t="shared" ref="BX89:DC89" si="589">HH105/Units</f>
        <v>1</v>
      </c>
      <c r="BY89" s="23">
        <f t="shared" si="589"/>
        <v>1</v>
      </c>
      <c r="BZ89" s="23">
        <f t="shared" si="589"/>
        <v>1</v>
      </c>
      <c r="CA89" s="23">
        <f t="shared" si="589"/>
        <v>1</v>
      </c>
      <c r="CB89" s="23">
        <f t="shared" si="589"/>
        <v>1</v>
      </c>
      <c r="CC89" s="23">
        <f t="shared" si="589"/>
        <v>1</v>
      </c>
      <c r="CD89" s="23">
        <f t="shared" si="589"/>
        <v>1</v>
      </c>
      <c r="CE89" s="23">
        <f t="shared" si="589"/>
        <v>1</v>
      </c>
      <c r="CF89" s="23">
        <f t="shared" si="589"/>
        <v>1</v>
      </c>
      <c r="CG89" s="23">
        <f t="shared" si="589"/>
        <v>1</v>
      </c>
      <c r="CH89" s="23">
        <f t="shared" si="589"/>
        <v>1</v>
      </c>
      <c r="CI89" s="23">
        <f t="shared" si="589"/>
        <v>1</v>
      </c>
      <c r="CJ89" s="23">
        <f t="shared" si="589"/>
        <v>1</v>
      </c>
      <c r="CK89" s="23">
        <f t="shared" si="589"/>
        <v>1</v>
      </c>
      <c r="CL89" s="23">
        <f t="shared" si="589"/>
        <v>1</v>
      </c>
      <c r="CM89" s="23">
        <f t="shared" si="589"/>
        <v>1</v>
      </c>
      <c r="CN89" s="23">
        <f t="shared" si="589"/>
        <v>1</v>
      </c>
      <c r="CO89" s="23">
        <f t="shared" si="589"/>
        <v>1</v>
      </c>
      <c r="CP89" s="23">
        <f t="shared" si="589"/>
        <v>1</v>
      </c>
      <c r="CQ89" s="23">
        <f t="shared" si="589"/>
        <v>1</v>
      </c>
      <c r="CR89" s="23">
        <f t="shared" si="589"/>
        <v>1</v>
      </c>
      <c r="CS89" s="23">
        <f t="shared" si="589"/>
        <v>1</v>
      </c>
      <c r="CT89" s="23">
        <f t="shared" si="589"/>
        <v>1</v>
      </c>
      <c r="CU89" s="23">
        <f t="shared" si="589"/>
        <v>1</v>
      </c>
      <c r="CV89" s="23">
        <f t="shared" si="589"/>
        <v>1</v>
      </c>
      <c r="CW89" s="23">
        <f t="shared" si="589"/>
        <v>1</v>
      </c>
      <c r="CX89" s="23">
        <f t="shared" si="589"/>
        <v>1</v>
      </c>
      <c r="CY89" s="23">
        <f t="shared" si="589"/>
        <v>1</v>
      </c>
      <c r="CZ89" s="23">
        <f t="shared" si="589"/>
        <v>1</v>
      </c>
      <c r="DA89" s="23">
        <f t="shared" si="589"/>
        <v>1</v>
      </c>
      <c r="DB89" s="23">
        <f t="shared" si="589"/>
        <v>1</v>
      </c>
      <c r="DC89" s="23">
        <f t="shared" si="589"/>
        <v>1</v>
      </c>
      <c r="DD89" s="23" t="n">
        <f t="shared" ref="DD89:EI89" si="590">IN105/Units</f>
        <v>1</v>
      </c>
      <c r="DE89" s="23">
        <f t="shared" si="590"/>
        <v>1</v>
      </c>
      <c r="DF89" s="23">
        <f t="shared" si="590"/>
        <v>1</v>
      </c>
      <c r="DG89" s="23">
        <f t="shared" si="590"/>
        <v>1</v>
      </c>
      <c r="DH89" s="23">
        <f t="shared" si="590"/>
        <v>1</v>
      </c>
      <c r="DI89" s="23">
        <f t="shared" si="590"/>
        <v>1</v>
      </c>
      <c r="DJ89" s="23">
        <f t="shared" si="590"/>
        <v>1</v>
      </c>
      <c r="DK89" s="23">
        <f t="shared" si="590"/>
        <v>1</v>
      </c>
      <c r="DL89" s="23">
        <f t="shared" si="590"/>
        <v>1</v>
      </c>
      <c r="DM89" s="23">
        <f t="shared" si="590"/>
        <v>1</v>
      </c>
      <c r="DN89" s="23">
        <f t="shared" si="590"/>
        <v>1</v>
      </c>
      <c r="DO89" s="23">
        <f t="shared" si="590"/>
        <v>1</v>
      </c>
      <c r="DP89" s="23">
        <f t="shared" si="590"/>
        <v>1</v>
      </c>
      <c r="DQ89" s="23">
        <f t="shared" si="590"/>
        <v>1</v>
      </c>
      <c r="DR89" s="23">
        <f t="shared" si="590"/>
        <v>1</v>
      </c>
      <c r="DS89" s="23">
        <f t="shared" si="590"/>
        <v>1</v>
      </c>
      <c r="DT89" s="23">
        <f t="shared" si="590"/>
        <v>1</v>
      </c>
      <c r="DU89" s="23">
        <f t="shared" si="590"/>
        <v>1</v>
      </c>
      <c r="DV89" s="23">
        <f t="shared" si="590"/>
        <v>1</v>
      </c>
      <c r="DW89" s="23">
        <f t="shared" si="590"/>
        <v>1</v>
      </c>
      <c r="DX89" s="23">
        <f t="shared" si="590"/>
        <v>1</v>
      </c>
      <c r="DY89" s="23">
        <f t="shared" si="590"/>
        <v>1</v>
      </c>
      <c r="DZ89" s="23">
        <f t="shared" si="590"/>
        <v>1</v>
      </c>
      <c r="EA89" s="23">
        <f t="shared" si="590"/>
        <v>1</v>
      </c>
      <c r="EB89" s="23">
        <f t="shared" si="590"/>
        <v>1</v>
      </c>
      <c r="EC89" s="23">
        <f t="shared" si="590"/>
        <v>1</v>
      </c>
      <c r="ED89" s="23">
        <f t="shared" si="590"/>
        <v>1</v>
      </c>
      <c r="EE89" s="23">
        <f t="shared" si="590"/>
        <v>1</v>
      </c>
      <c r="EF89" s="23">
        <f t="shared" si="590"/>
        <v>1</v>
      </c>
      <c r="EG89" s="23">
        <f t="shared" si="590"/>
        <v>1</v>
      </c>
      <c r="EH89" s="23">
        <f t="shared" si="590"/>
        <v>1</v>
      </c>
      <c r="EI89" s="23">
        <f t="shared" si="590"/>
        <v>1</v>
      </c>
      <c r="EJ89" s="23" t="n">
        <f t="shared" ref="EJ89:EN89" si="591">JT105/Units</f>
        <v>1</v>
      </c>
      <c r="EK89" s="23">
        <f t="shared" si="591"/>
        <v>1</v>
      </c>
      <c r="EL89" s="23">
        <f t="shared" si="591"/>
        <v>1</v>
      </c>
      <c r="EM89" s="23">
        <f t="shared" si="591"/>
        <v>1</v>
      </c>
      <c r="EN89" s="23">
        <f t="shared" si="591"/>
        <v>1</v>
      </c>
      <c r="EP89" s="220"/>
      <c r="EQ89" s="18"/>
      <c r="ER89" s="18"/>
      <c r="ES89" s="18"/>
      <c r="ET89" s="18"/>
      <c r="EU89" s="18"/>
      <c r="EV89" s="18"/>
      <c r="EW89" s="18"/>
      <c r="EX89" s="18"/>
      <c r="EY89" s="18"/>
      <c r="EZ89" s="18"/>
      <c r="FA89" s="18"/>
      <c r="FB89" s="18"/>
      <c r="FC89" s="18"/>
      <c r="FD89" s="18"/>
      <c r="FE89" s="18"/>
      <c r="FF89" s="18"/>
      <c r="FG89" s="18"/>
      <c r="FH89" s="18"/>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8"/>
      <c r="GN89" s="18"/>
      <c r="GO89" s="18"/>
      <c r="GP89" s="18"/>
      <c r="GQ89" s="18"/>
      <c r="GR89" s="18"/>
      <c r="GS89" s="18"/>
      <c r="GT89" s="18"/>
      <c r="GU89" s="18"/>
      <c r="GV89" s="18"/>
      <c r="GW89" s="18"/>
      <c r="GX89" s="18"/>
      <c r="GY89" s="18"/>
      <c r="GZ89" s="18"/>
      <c r="HA89" s="18"/>
      <c r="HB89" s="18"/>
      <c r="HC89" s="18"/>
      <c r="HD89" s="18"/>
      <c r="HE89" s="18"/>
      <c r="HF89" s="18"/>
      <c r="HG89" s="18"/>
      <c r="HH89" s="18"/>
      <c r="HI89" s="18"/>
      <c r="HJ89" s="18"/>
      <c r="HK89" s="18"/>
      <c r="HL89" s="18"/>
      <c r="HM89" s="18"/>
      <c r="HN89" s="18"/>
      <c r="HO89" s="18"/>
      <c r="HP89" s="18"/>
      <c r="HQ89" s="18"/>
      <c r="HR89" s="18"/>
      <c r="HS89" s="18"/>
      <c r="HT89" s="18"/>
      <c r="HU89" s="18"/>
      <c r="HV89" s="18"/>
      <c r="HW89" s="18"/>
      <c r="HX89" s="18"/>
      <c r="HY89" s="18"/>
      <c r="HZ89" s="18"/>
      <c r="IA89" s="18"/>
      <c r="IB89" s="18"/>
      <c r="IC89" s="18"/>
      <c r="ID89" s="18"/>
      <c r="IE89" s="18"/>
      <c r="IF89" s="18"/>
      <c r="IG89" s="18"/>
      <c r="IH89" s="18"/>
      <c r="II89" s="18"/>
      <c r="IJ89" s="18"/>
      <c r="IK89" s="18"/>
      <c r="IL89" s="18"/>
      <c r="IM89" s="18"/>
      <c r="IN89" s="18"/>
      <c r="IO89" s="18"/>
      <c r="IP89" s="18"/>
      <c r="IQ89" s="18"/>
      <c r="IR89" s="18"/>
      <c r="IS89" s="18"/>
      <c r="IT89" s="18"/>
      <c r="IU89" s="18"/>
      <c r="IV89" s="18"/>
      <c r="IW89" s="18"/>
      <c r="IX89" s="18"/>
      <c r="IY89" s="18"/>
      <c r="IZ89" s="18"/>
      <c r="JA89" s="18"/>
      <c r="JB89" s="18"/>
      <c r="JC89" s="18"/>
      <c r="JD89" s="18"/>
      <c r="JE89" s="18"/>
      <c r="JF89" s="18"/>
      <c r="JG89" s="18"/>
      <c r="JH89" s="18"/>
      <c r="JI89" s="18"/>
      <c r="JJ89" s="18"/>
      <c r="JK89" s="18"/>
      <c r="JL89" s="18"/>
      <c r="JM89" s="18"/>
      <c r="JN89" s="18"/>
      <c r="JO89" s="18"/>
      <c r="JP89" s="18"/>
      <c r="JQ89" s="18"/>
      <c r="JR89" s="18"/>
      <c r="JS89" s="18"/>
      <c r="JT89" s="18"/>
      <c r="JU89" s="18"/>
      <c r="JV89" s="18"/>
      <c r="JW89" s="18"/>
      <c r="JX89" s="18"/>
      <c r="JZ89" s="263"/>
      <c r="KA89" s="263"/>
      <c r="KB89" s="263"/>
      <c r="KC89" s="263"/>
      <c r="KD89" s="263"/>
      <c r="KE89" s="263"/>
      <c r="KF89" s="18"/>
      <c r="KG89" s="292"/>
      <c r="KH89" s="292"/>
      <c r="KI89" s="292"/>
      <c r="KJ89" s="292"/>
      <c r="KK89" s="292"/>
      <c r="KL89" s="292"/>
      <c r="KM89" s="292"/>
      <c r="KN89" s="292"/>
      <c r="KO89" s="292"/>
      <c r="KP89" s="292"/>
      <c r="KQ89" s="292"/>
      <c r="KR89" s="292"/>
      <c r="KS89" s="292"/>
      <c r="KT89" s="292"/>
      <c r="KU89" s="292"/>
      <c r="KV89" s="292"/>
      <c r="KW89" s="292"/>
      <c r="KX89" s="292"/>
      <c r="KY89" s="292"/>
      <c r="KZ89" s="292"/>
      <c r="LA89" s="292"/>
      <c r="LB89" s="292"/>
      <c r="LC89" s="292"/>
      <c r="LD89" s="292"/>
      <c r="LE89" s="292"/>
      <c r="LF89" s="292"/>
      <c r="LG89" s="292"/>
      <c r="LH89" s="292"/>
      <c r="LI89" s="292"/>
      <c r="LJ89" s="292"/>
      <c r="LK89" s="292"/>
      <c r="LL89" s="292"/>
      <c r="LM89" s="292"/>
      <c r="LN89" s="292"/>
      <c r="LO89" s="292"/>
      <c r="LP89" s="292"/>
      <c r="LQ89" s="292"/>
      <c r="LR89" s="292"/>
      <c r="LS89" s="292"/>
      <c r="LT89" s="292"/>
      <c r="LU89" s="292"/>
      <c r="LV89" s="292"/>
      <c r="LW89" s="292"/>
      <c r="LX89" s="292"/>
      <c r="LY89" s="292"/>
      <c r="LZ89" s="292"/>
      <c r="MA89" s="292"/>
      <c r="MB89" s="292"/>
      <c r="MC89" s="292"/>
      <c r="MD89" s="292"/>
      <c r="ME89" s="292"/>
      <c r="MF89" s="292"/>
      <c r="MG89" s="292"/>
      <c r="MH89" s="292"/>
      <c r="MI89" s="292"/>
      <c r="MJ89" s="292"/>
      <c r="MK89" s="292"/>
      <c r="ML89" s="292"/>
      <c r="MM89" s="292"/>
      <c r="MN89" s="292"/>
      <c r="MO89" s="292"/>
      <c r="MP89" s="292"/>
      <c r="MQ89" s="292"/>
      <c r="MR89" s="292"/>
      <c r="MS89" s="292"/>
      <c r="MT89" s="292"/>
      <c r="MU89" s="292"/>
      <c r="MV89" s="292"/>
      <c r="MW89" s="292"/>
      <c r="MX89" s="292"/>
      <c r="MY89" s="292"/>
      <c r="MZ89" s="292"/>
      <c r="NA89" s="292"/>
      <c r="NB89" s="292"/>
      <c r="NC89" s="292"/>
      <c r="ND89" s="292"/>
      <c r="NE89" s="292"/>
      <c r="NF89" s="292"/>
      <c r="NG89" s="292"/>
      <c r="NH89" s="292"/>
      <c r="NI89" s="292"/>
      <c r="NJ89" s="292"/>
      <c r="NK89" s="292"/>
      <c r="NL89" s="292"/>
      <c r="NM89" s="292"/>
      <c r="NN89" s="292"/>
      <c r="NO89" s="292"/>
      <c r="NP89" s="292"/>
      <c r="NQ89" s="292"/>
      <c r="NR89" s="292"/>
      <c r="NS89" s="292"/>
      <c r="NT89" s="292"/>
      <c r="NU89" s="292"/>
      <c r="NV89" s="292"/>
      <c r="NW89" s="292"/>
      <c r="NX89" s="292"/>
      <c r="NY89" s="292"/>
      <c r="NZ89" s="292"/>
      <c r="OA89" s="292"/>
      <c r="OB89" s="292"/>
      <c r="OC89" s="292"/>
      <c r="OD89" s="292"/>
      <c r="OE89" s="292"/>
      <c r="OF89" s="292"/>
      <c r="OG89" s="292"/>
      <c r="OH89" s="292"/>
      <c r="OI89" s="292"/>
      <c r="OJ89" s="292"/>
      <c r="OK89" s="292"/>
      <c r="OL89" s="292"/>
      <c r="OM89" s="292"/>
      <c r="ON89" s="292"/>
      <c r="OO89" s="292"/>
      <c r="OP89" s="292"/>
      <c r="OQ89" s="292"/>
      <c r="OR89" s="292"/>
      <c r="OS89" s="292"/>
      <c r="OT89" s="292"/>
      <c r="OU89" s="292"/>
      <c r="OV89" s="292"/>
      <c r="OW89" s="292"/>
      <c r="OX89" s="292"/>
      <c r="OY89" s="292"/>
      <c r="OZ89" s="292"/>
      <c r="PA89" s="292"/>
      <c r="PB89" s="292"/>
      <c r="PC89" s="292"/>
      <c r="PD89" s="292"/>
      <c r="PE89" s="292"/>
      <c r="PF89" s="292"/>
      <c r="PG89" s="292"/>
      <c r="PH89" s="292"/>
    </row>
    <row r="90">
      <c r="B90" s="34"/>
      <c r="C90" s="401"/>
      <c r="D90" s="37"/>
      <c r="E90" s="401"/>
      <c r="F90" s="401"/>
      <c r="G90" s="34"/>
      <c r="H90" s="463"/>
      <c r="I90" s="36"/>
      <c r="EP90" s="220"/>
      <c r="EQ90" s="18"/>
      <c r="ER90" s="18"/>
      <c r="ES90" s="18"/>
      <c r="ET90" s="18"/>
      <c r="EU90" s="18"/>
      <c r="EV90" s="198"/>
      <c r="EW90" s="198"/>
      <c r="EX90" s="198"/>
      <c r="EY90" s="198"/>
      <c r="EZ90" s="198"/>
      <c r="FA90" s="198"/>
      <c r="FB90" s="198"/>
      <c r="FC90" s="198"/>
      <c r="FD90" s="198"/>
      <c r="FE90" s="198"/>
      <c r="FF90" s="198"/>
      <c r="FG90" s="198"/>
      <c r="FH90" s="198"/>
      <c r="FI90" s="198"/>
      <c r="FJ90" s="198"/>
      <c r="FK90" s="198"/>
      <c r="FL90" s="198"/>
      <c r="FM90" s="198"/>
      <c r="FN90" s="198"/>
      <c r="FO90" s="198"/>
      <c r="FP90" s="198"/>
      <c r="FQ90" s="198"/>
      <c r="FR90" s="198"/>
      <c r="FS90" s="198"/>
      <c r="FT90" s="198"/>
      <c r="FU90" s="198"/>
      <c r="FV90" s="198"/>
      <c r="FW90" s="198"/>
      <c r="FX90" s="198"/>
      <c r="FY90" s="198"/>
      <c r="FZ90" s="198"/>
      <c r="GA90" s="198"/>
      <c r="GB90" s="198"/>
      <c r="GC90" s="198"/>
      <c r="GD90" s="198"/>
      <c r="GE90" s="198"/>
      <c r="GF90" s="198"/>
      <c r="GG90" s="198"/>
      <c r="GH90" s="198"/>
      <c r="GI90" s="198"/>
      <c r="GJ90" s="198"/>
      <c r="GK90" s="198"/>
      <c r="GL90" s="198"/>
      <c r="GM90" s="198"/>
      <c r="GN90" s="198"/>
      <c r="GO90" s="198"/>
      <c r="GP90" s="198"/>
      <c r="GQ90" s="198"/>
      <c r="GR90" s="198"/>
      <c r="GS90" s="198"/>
      <c r="GT90" s="198"/>
      <c r="GU90" s="198"/>
      <c r="GV90" s="198"/>
      <c r="GW90" s="198"/>
      <c r="GX90" s="198"/>
      <c r="GY90" s="198"/>
      <c r="GZ90" s="198"/>
      <c r="HA90" s="198"/>
      <c r="HB90" s="198"/>
      <c r="HC90" s="198"/>
      <c r="HD90" s="198"/>
      <c r="HE90" s="198"/>
      <c r="HF90" s="198"/>
      <c r="HG90" s="198"/>
      <c r="HH90" s="198"/>
      <c r="HI90" s="198"/>
      <c r="HJ90" s="198"/>
      <c r="HK90" s="198"/>
      <c r="HL90" s="198"/>
      <c r="HM90" s="198"/>
      <c r="HN90" s="198"/>
      <c r="HO90" s="198"/>
      <c r="HP90" s="198"/>
      <c r="HQ90" s="198"/>
      <c r="HR90" s="198"/>
      <c r="HS90" s="198"/>
      <c r="HT90" s="198"/>
      <c r="HU90" s="198"/>
      <c r="HV90" s="198"/>
      <c r="HW90" s="198"/>
      <c r="HX90" s="198"/>
      <c r="HY90" s="198"/>
      <c r="HZ90" s="198"/>
      <c r="IA90" s="198"/>
      <c r="IB90" s="198"/>
      <c r="IC90" s="198"/>
      <c r="ID90" s="198"/>
      <c r="IE90" s="198"/>
      <c r="IF90" s="198"/>
      <c r="IG90" s="198"/>
      <c r="IH90" s="198"/>
      <c r="II90" s="198"/>
      <c r="IJ90" s="198"/>
      <c r="IK90" s="198"/>
      <c r="IL90" s="198"/>
      <c r="IM90" s="198"/>
      <c r="IN90" s="198"/>
      <c r="IO90" s="198"/>
      <c r="IP90" s="198"/>
      <c r="IQ90" s="198"/>
      <c r="IR90" s="198"/>
      <c r="IS90" s="198"/>
      <c r="IT90" s="198"/>
      <c r="IU90" s="198"/>
      <c r="IV90" s="198"/>
      <c r="IW90" s="198"/>
      <c r="IX90" s="198"/>
      <c r="IY90" s="198"/>
      <c r="IZ90" s="198"/>
      <c r="JA90" s="198"/>
      <c r="JB90" s="198"/>
      <c r="JC90" s="198"/>
      <c r="JD90" s="198"/>
      <c r="JE90" s="198"/>
      <c r="JF90" s="198"/>
      <c r="JG90" s="198"/>
      <c r="JH90" s="198"/>
      <c r="JI90" s="198"/>
      <c r="JJ90" s="198"/>
      <c r="JK90" s="198"/>
      <c r="JL90" s="198"/>
      <c r="JM90" s="198"/>
      <c r="JN90" s="198"/>
      <c r="JO90" s="198"/>
      <c r="JP90" s="198"/>
      <c r="JQ90" s="198"/>
      <c r="JR90" s="198"/>
      <c r="JS90" s="198"/>
      <c r="JT90" s="198"/>
      <c r="JU90" s="198"/>
      <c r="JV90" s="198"/>
      <c r="JW90" s="198"/>
      <c r="JX90" s="198"/>
      <c r="JZ90" s="263"/>
      <c r="KA90" s="263"/>
      <c r="KB90" s="263"/>
      <c r="KC90" s="263"/>
      <c r="KD90" s="263"/>
      <c r="KE90" s="263"/>
      <c r="KF90" s="263"/>
      <c r="KG90" s="263"/>
      <c r="KH90" s="263"/>
      <c r="KI90" s="263"/>
      <c r="KJ90" s="263"/>
      <c r="KK90" s="263"/>
      <c r="KL90" s="263"/>
      <c r="KM90" s="263"/>
      <c r="KN90" s="263"/>
      <c r="KO90" s="263"/>
      <c r="KP90" s="263"/>
      <c r="KQ90" s="263"/>
      <c r="KR90" s="263"/>
      <c r="KS90" s="263"/>
      <c r="KT90" s="263"/>
      <c r="KU90" s="263"/>
      <c r="KV90" s="263"/>
      <c r="KW90" s="263"/>
      <c r="KX90" s="263"/>
      <c r="KY90" s="263"/>
      <c r="KZ90" s="263"/>
      <c r="LA90" s="263"/>
      <c r="LB90" s="263"/>
      <c r="LC90" s="263"/>
      <c r="LD90" s="263"/>
      <c r="LE90" s="263"/>
      <c r="LF90" s="263"/>
      <c r="LG90" s="263"/>
      <c r="LH90" s="263"/>
      <c r="LI90" s="263"/>
      <c r="LJ90" s="263"/>
      <c r="LK90" s="263"/>
      <c r="LL90" s="263"/>
      <c r="LM90" s="263"/>
      <c r="LN90" s="263"/>
      <c r="LO90" s="263"/>
      <c r="LP90" s="263"/>
      <c r="LQ90" s="263"/>
      <c r="LR90" s="263"/>
      <c r="LS90" s="263"/>
      <c r="LT90" s="263"/>
      <c r="LU90" s="263"/>
      <c r="LV90" s="263"/>
      <c r="LW90" s="263"/>
      <c r="LX90" s="263"/>
      <c r="LY90" s="263"/>
      <c r="LZ90" s="263"/>
      <c r="MA90" s="263"/>
      <c r="MB90" s="263"/>
      <c r="MC90" s="263"/>
      <c r="MD90" s="263"/>
      <c r="ME90" s="263"/>
      <c r="MF90" s="263"/>
      <c r="MG90" s="263"/>
      <c r="MH90" s="263"/>
      <c r="MI90" s="263"/>
      <c r="MJ90" s="263"/>
      <c r="MK90" s="263"/>
      <c r="ML90" s="263"/>
      <c r="MM90" s="263"/>
      <c r="MN90" s="263"/>
      <c r="MO90" s="263"/>
      <c r="MP90" s="263"/>
      <c r="MQ90" s="263"/>
      <c r="MR90" s="263"/>
      <c r="MS90" s="263"/>
      <c r="MT90" s="263"/>
      <c r="MU90" s="263"/>
      <c r="MV90" s="263"/>
      <c r="MW90" s="263"/>
      <c r="MX90" s="263"/>
      <c r="MY90" s="263"/>
      <c r="MZ90" s="263"/>
      <c r="NA90" s="263"/>
      <c r="NB90" s="263"/>
      <c r="NC90" s="263"/>
      <c r="ND90" s="263"/>
      <c r="NE90" s="263"/>
      <c r="NF90" s="263"/>
      <c r="NG90" s="263"/>
      <c r="NH90" s="263"/>
      <c r="NI90" s="263"/>
      <c r="NJ90" s="263"/>
      <c r="NK90" s="263"/>
      <c r="NL90" s="263"/>
      <c r="NM90" s="263"/>
      <c r="NN90" s="263"/>
      <c r="NO90" s="263"/>
      <c r="NP90" s="263"/>
      <c r="NQ90" s="263"/>
      <c r="NR90" s="263"/>
      <c r="NS90" s="263"/>
      <c r="NT90" s="263"/>
      <c r="NU90" s="263"/>
      <c r="NV90" s="263"/>
      <c r="NW90" s="263"/>
      <c r="NX90" s="263"/>
      <c r="NY90" s="263"/>
      <c r="NZ90" s="263"/>
      <c r="OA90" s="263"/>
      <c r="OB90" s="263"/>
      <c r="OC90" s="263"/>
      <c r="OD90" s="263"/>
      <c r="OE90" s="263"/>
      <c r="OF90" s="263"/>
      <c r="OG90" s="263"/>
      <c r="OH90" s="263"/>
      <c r="OI90" s="263"/>
      <c r="OJ90" s="263"/>
      <c r="OK90" s="263"/>
      <c r="OL90" s="263"/>
      <c r="OM90" s="263"/>
      <c r="ON90" s="263"/>
      <c r="OO90" s="263"/>
      <c r="OP90" s="263"/>
      <c r="OQ90" s="263"/>
      <c r="OR90" s="263"/>
      <c r="OS90" s="263"/>
      <c r="OT90" s="263"/>
      <c r="OU90" s="263"/>
      <c r="OV90" s="263"/>
      <c r="OW90" s="263"/>
      <c r="OX90" s="263"/>
      <c r="OY90" s="263"/>
      <c r="OZ90" s="263"/>
      <c r="PA90" s="263"/>
      <c r="PB90" s="263"/>
      <c r="PC90" s="263"/>
      <c r="PD90" s="263"/>
      <c r="PE90" s="263"/>
      <c r="PF90" s="263"/>
      <c r="PG90" s="263"/>
      <c r="PH90" s="263"/>
    </row>
    <row r="91">
      <c r="B91" s="453" t="s">
        <v>225</v>
      </c>
      <c r="C91" s="429"/>
      <c r="D91" s="34"/>
      <c r="E91" s="34"/>
      <c r="F91" s="34"/>
      <c r="G91" s="34"/>
      <c r="H91" s="34"/>
      <c r="I91" s="143" t="n">
        <f>COUNTA(I93:I104)</f>
        <v>12</v>
      </c>
      <c r="K91" s="23" t="s">
        <v>226</v>
      </c>
      <c r="L91" s="197" t="n">
        <f t="shared" ref="L91:AQ91" si="592">MAX(L3-Timing_Operation_Begin_Month+1,0)</f>
        <v>0</v>
      </c>
      <c r="M91" s="197">
        <f t="shared" si="592"/>
        <v>0</v>
      </c>
      <c r="N91" s="197">
        <f t="shared" si="592"/>
        <v>0</v>
      </c>
      <c r="O91" s="197">
        <f t="shared" si="592"/>
        <v>0</v>
      </c>
      <c r="P91" s="197">
        <f t="shared" si="592"/>
        <v>0</v>
      </c>
      <c r="Q91" s="197">
        <f t="shared" si="592"/>
        <v>0</v>
      </c>
      <c r="R91" s="197">
        <f t="shared" si="592"/>
        <v>0</v>
      </c>
      <c r="S91" s="197">
        <f t="shared" si="592"/>
        <v>0</v>
      </c>
      <c r="T91" s="197">
        <f t="shared" si="592"/>
        <v>0</v>
      </c>
      <c r="U91" s="197">
        <f t="shared" si="592"/>
        <v>0</v>
      </c>
      <c r="V91" s="197">
        <f t="shared" si="592"/>
        <v>0</v>
      </c>
      <c r="W91" s="197">
        <f t="shared" si="592"/>
        <v>0</v>
      </c>
      <c r="X91" s="197">
        <f t="shared" si="592"/>
        <v>0</v>
      </c>
      <c r="Y91" s="197">
        <f t="shared" si="592"/>
        <v>0</v>
      </c>
      <c r="Z91" s="197">
        <f t="shared" si="592"/>
        <v>0</v>
      </c>
      <c r="AA91" s="197">
        <f t="shared" si="592"/>
        <v>0</v>
      </c>
      <c r="AB91" s="197">
        <f t="shared" si="592"/>
        <v>0</v>
      </c>
      <c r="AC91" s="197">
        <f t="shared" si="592"/>
        <v>0</v>
      </c>
      <c r="AD91" s="197">
        <f t="shared" si="592"/>
        <v>0</v>
      </c>
      <c r="AE91" s="197">
        <f t="shared" si="592"/>
        <v>0</v>
      </c>
      <c r="AF91" s="197">
        <f t="shared" si="592"/>
        <v>0</v>
      </c>
      <c r="AG91" s="197">
        <f t="shared" si="592"/>
        <v>0</v>
      </c>
      <c r="AH91" s="197">
        <f t="shared" si="592"/>
        <v>0</v>
      </c>
      <c r="AI91" s="197">
        <f t="shared" si="592"/>
        <v>0</v>
      </c>
      <c r="AJ91" s="197">
        <f t="shared" si="592"/>
        <v>0</v>
      </c>
      <c r="AK91" s="197">
        <f t="shared" si="592"/>
        <v>0</v>
      </c>
      <c r="AL91" s="197">
        <f t="shared" si="592"/>
        <v>0</v>
      </c>
      <c r="AM91" s="197">
        <f t="shared" si="592"/>
        <v>0</v>
      </c>
      <c r="AN91" s="197">
        <f t="shared" si="592"/>
        <v>0</v>
      </c>
      <c r="AO91" s="197">
        <f t="shared" si="592"/>
        <v>0</v>
      </c>
      <c r="AP91" s="197">
        <f t="shared" si="592"/>
        <v>0</v>
      </c>
      <c r="AQ91" s="197">
        <f t="shared" si="592"/>
        <v>0</v>
      </c>
      <c r="AR91" s="197" t="n">
        <f t="shared" ref="AR91:BW91" si="593">MAX(AR3-Timing_Operation_Begin_Month+1,0)</f>
        <v>0</v>
      </c>
      <c r="AS91" s="197">
        <f t="shared" si="593"/>
        <v>0</v>
      </c>
      <c r="AT91" s="197">
        <f t="shared" si="593"/>
        <v>0</v>
      </c>
      <c r="AU91" s="197">
        <f t="shared" si="593"/>
        <v>0</v>
      </c>
      <c r="AV91" s="197">
        <f t="shared" si="593"/>
        <v>0</v>
      </c>
      <c r="AW91" s="197">
        <f t="shared" si="593"/>
        <v>1</v>
      </c>
      <c r="AX91" s="197">
        <f t="shared" si="593"/>
        <v>2</v>
      </c>
      <c r="AY91" s="197">
        <f t="shared" si="593"/>
        <v>3</v>
      </c>
      <c r="AZ91" s="197">
        <f t="shared" si="593"/>
        <v>4</v>
      </c>
      <c r="BA91" s="197">
        <f t="shared" si="593"/>
        <v>5</v>
      </c>
      <c r="BB91" s="197">
        <f t="shared" si="593"/>
        <v>6</v>
      </c>
      <c r="BC91" s="197">
        <f t="shared" si="593"/>
        <v>7</v>
      </c>
      <c r="BD91" s="197">
        <f t="shared" si="593"/>
        <v>8</v>
      </c>
      <c r="BE91" s="197">
        <f t="shared" si="593"/>
        <v>9</v>
      </c>
      <c r="BF91" s="197">
        <f t="shared" si="593"/>
        <v>10</v>
      </c>
      <c r="BG91" s="197">
        <f t="shared" si="593"/>
        <v>11</v>
      </c>
      <c r="BH91" s="197">
        <f t="shared" si="593"/>
        <v>12</v>
      </c>
      <c r="BI91" s="197">
        <f t="shared" si="593"/>
        <v>13</v>
      </c>
      <c r="BJ91" s="197">
        <f t="shared" si="593"/>
        <v>14</v>
      </c>
      <c r="BK91" s="197">
        <f t="shared" si="593"/>
        <v>15</v>
      </c>
      <c r="BL91" s="197">
        <f t="shared" si="593"/>
        <v>16</v>
      </c>
      <c r="BM91" s="197">
        <f t="shared" si="593"/>
        <v>17</v>
      </c>
      <c r="BN91" s="197">
        <f t="shared" si="593"/>
        <v>18</v>
      </c>
      <c r="BO91" s="197">
        <f t="shared" si="593"/>
        <v>19</v>
      </c>
      <c r="BP91" s="197">
        <f t="shared" si="593"/>
        <v>20</v>
      </c>
      <c r="BQ91" s="197">
        <f t="shared" si="593"/>
        <v>21</v>
      </c>
      <c r="BR91" s="197">
        <f t="shared" si="593"/>
        <v>22</v>
      </c>
      <c r="BS91" s="197">
        <f t="shared" si="593"/>
        <v>23</v>
      </c>
      <c r="BT91" s="197">
        <f t="shared" si="593"/>
        <v>24</v>
      </c>
      <c r="BU91" s="197">
        <f t="shared" si="593"/>
        <v>25</v>
      </c>
      <c r="BV91" s="197">
        <f t="shared" si="593"/>
        <v>26</v>
      </c>
      <c r="BW91" s="197">
        <f t="shared" si="593"/>
        <v>27</v>
      </c>
      <c r="BX91" s="197" t="n">
        <f t="shared" ref="BX91:DC91" si="594">MAX(BX3-Timing_Operation_Begin_Month+1,0)</f>
        <v>28</v>
      </c>
      <c r="BY91" s="197">
        <f t="shared" si="594"/>
        <v>29</v>
      </c>
      <c r="BZ91" s="197">
        <f t="shared" si="594"/>
        <v>30</v>
      </c>
      <c r="CA91" s="197">
        <f t="shared" si="594"/>
        <v>31</v>
      </c>
      <c r="CB91" s="197">
        <f t="shared" si="594"/>
        <v>32</v>
      </c>
      <c r="CC91" s="197">
        <f t="shared" si="594"/>
        <v>33</v>
      </c>
      <c r="CD91" s="197">
        <f t="shared" si="594"/>
        <v>34</v>
      </c>
      <c r="CE91" s="197">
        <f t="shared" si="594"/>
        <v>35</v>
      </c>
      <c r="CF91" s="197">
        <f t="shared" si="594"/>
        <v>36</v>
      </c>
      <c r="CG91" s="197">
        <f t="shared" si="594"/>
        <v>37</v>
      </c>
      <c r="CH91" s="197">
        <f t="shared" si="594"/>
        <v>38</v>
      </c>
      <c r="CI91" s="197">
        <f t="shared" si="594"/>
        <v>39</v>
      </c>
      <c r="CJ91" s="197">
        <f t="shared" si="594"/>
        <v>40</v>
      </c>
      <c r="CK91" s="197">
        <f t="shared" si="594"/>
        <v>41</v>
      </c>
      <c r="CL91" s="197">
        <f t="shared" si="594"/>
        <v>42</v>
      </c>
      <c r="CM91" s="197">
        <f t="shared" si="594"/>
        <v>43</v>
      </c>
      <c r="CN91" s="197">
        <f t="shared" si="594"/>
        <v>44</v>
      </c>
      <c r="CO91" s="197">
        <f t="shared" si="594"/>
        <v>45</v>
      </c>
      <c r="CP91" s="197">
        <f t="shared" si="594"/>
        <v>46</v>
      </c>
      <c r="CQ91" s="197">
        <f t="shared" si="594"/>
        <v>47</v>
      </c>
      <c r="CR91" s="197">
        <f t="shared" si="594"/>
        <v>48</v>
      </c>
      <c r="CS91" s="197">
        <f t="shared" si="594"/>
        <v>49</v>
      </c>
      <c r="CT91" s="197">
        <f t="shared" si="594"/>
        <v>50</v>
      </c>
      <c r="CU91" s="197">
        <f t="shared" si="594"/>
        <v>51</v>
      </c>
      <c r="CV91" s="197">
        <f t="shared" si="594"/>
        <v>52</v>
      </c>
      <c r="CW91" s="197">
        <f t="shared" si="594"/>
        <v>53</v>
      </c>
      <c r="CX91" s="197">
        <f t="shared" si="594"/>
        <v>54</v>
      </c>
      <c r="CY91" s="197">
        <f t="shared" si="594"/>
        <v>55</v>
      </c>
      <c r="CZ91" s="197">
        <f t="shared" si="594"/>
        <v>56</v>
      </c>
      <c r="DA91" s="197">
        <f t="shared" si="594"/>
        <v>57</v>
      </c>
      <c r="DB91" s="197">
        <f t="shared" si="594"/>
        <v>58</v>
      </c>
      <c r="DC91" s="197">
        <f t="shared" si="594"/>
        <v>59</v>
      </c>
      <c r="DD91" s="197" t="n">
        <f t="shared" ref="DD91:EN91" si="595">MAX(DD3-Timing_Operation_Begin_Month+1,0)</f>
        <v>60</v>
      </c>
      <c r="DE91" s="197">
        <f t="shared" si="595"/>
        <v>61</v>
      </c>
      <c r="DF91" s="197">
        <f t="shared" si="595"/>
        <v>62</v>
      </c>
      <c r="DG91" s="197">
        <f t="shared" si="595"/>
        <v>63</v>
      </c>
      <c r="DH91" s="197">
        <f t="shared" si="595"/>
        <v>64</v>
      </c>
      <c r="DI91" s="197">
        <f t="shared" si="595"/>
        <v>65</v>
      </c>
      <c r="DJ91" s="197">
        <f t="shared" si="595"/>
        <v>66</v>
      </c>
      <c r="DK91" s="197">
        <f t="shared" si="595"/>
        <v>67</v>
      </c>
      <c r="DL91" s="197">
        <f t="shared" si="595"/>
        <v>68</v>
      </c>
      <c r="DM91" s="197">
        <f t="shared" si="595"/>
        <v>69</v>
      </c>
      <c r="DN91" s="197">
        <f t="shared" si="595"/>
        <v>70</v>
      </c>
      <c r="DO91" s="197">
        <f t="shared" si="595"/>
        <v>71</v>
      </c>
      <c r="DP91" s="197">
        <f t="shared" si="595"/>
        <v>72</v>
      </c>
      <c r="DQ91" s="197">
        <f t="shared" si="595"/>
        <v>73</v>
      </c>
      <c r="DR91" s="197">
        <f t="shared" si="595"/>
        <v>74</v>
      </c>
      <c r="DS91" s="197">
        <f t="shared" si="595"/>
        <v>75</v>
      </c>
      <c r="DT91" s="197">
        <f t="shared" si="595"/>
        <v>76</v>
      </c>
      <c r="DU91" s="197">
        <f t="shared" si="595"/>
        <v>77</v>
      </c>
      <c r="DV91" s="197">
        <f t="shared" si="595"/>
        <v>78</v>
      </c>
      <c r="DW91" s="197">
        <f t="shared" si="595"/>
        <v>79</v>
      </c>
      <c r="DX91" s="197">
        <f t="shared" si="595"/>
        <v>80</v>
      </c>
      <c r="DY91" s="197">
        <f t="shared" si="595"/>
        <v>81</v>
      </c>
      <c r="DZ91" s="197">
        <f t="shared" si="595"/>
        <v>82</v>
      </c>
      <c r="EA91" s="197">
        <f t="shared" si="595"/>
        <v>83</v>
      </c>
      <c r="EB91" s="197">
        <f t="shared" si="595"/>
        <v>84</v>
      </c>
      <c r="EC91" s="197">
        <f t="shared" si="595"/>
        <v>85</v>
      </c>
      <c r="ED91" s="197">
        <f t="shared" si="595"/>
        <v>86</v>
      </c>
      <c r="EE91" s="197">
        <f t="shared" si="595"/>
        <v>87</v>
      </c>
      <c r="EF91" s="197">
        <f t="shared" si="595"/>
        <v>88</v>
      </c>
      <c r="EG91" s="197">
        <f t="shared" si="595"/>
        <v>89</v>
      </c>
      <c r="EH91" s="197">
        <f t="shared" si="595"/>
        <v>90</v>
      </c>
      <c r="EI91" s="197">
        <f t="shared" si="595"/>
        <v>91</v>
      </c>
      <c r="EJ91" s="197">
        <f t="shared" si="595"/>
        <v>92</v>
      </c>
      <c r="EK91" s="197">
        <f t="shared" si="595"/>
        <v>93</v>
      </c>
      <c r="EL91" s="197">
        <f t="shared" si="595"/>
        <v>94</v>
      </c>
      <c r="EM91" s="197">
        <f t="shared" si="595"/>
        <v>95</v>
      </c>
      <c r="EN91" s="197">
        <f t="shared" si="595"/>
        <v>96</v>
      </c>
      <c r="EP91" s="468"/>
      <c r="EQ91" s="469"/>
      <c r="ER91" s="469"/>
      <c r="ES91" s="469"/>
      <c r="ET91" s="469"/>
      <c r="EU91" s="469"/>
      <c r="EV91" s="469"/>
      <c r="EW91" s="469"/>
      <c r="EX91" s="469"/>
      <c r="EY91" s="469"/>
      <c r="EZ91" s="469"/>
      <c r="FA91" s="469"/>
      <c r="FB91" s="469"/>
      <c r="FC91" s="469"/>
      <c r="FD91" s="469"/>
      <c r="FE91" s="469"/>
      <c r="FF91" s="469"/>
      <c r="FG91" s="469"/>
      <c r="FH91" s="469"/>
      <c r="FI91" s="469"/>
      <c r="FJ91" s="469"/>
      <c r="FK91" s="469"/>
      <c r="FL91" s="469"/>
      <c r="FM91" s="469"/>
      <c r="FN91" s="469"/>
      <c r="FO91" s="469"/>
      <c r="FP91" s="469"/>
      <c r="FQ91" s="469"/>
      <c r="FR91" s="469"/>
      <c r="FS91" s="469"/>
      <c r="FT91" s="469"/>
      <c r="FU91" s="469"/>
      <c r="FV91" s="469"/>
      <c r="FW91" s="469"/>
      <c r="FX91" s="469"/>
      <c r="FY91" s="469"/>
      <c r="FZ91" s="469"/>
      <c r="GA91" s="469"/>
      <c r="GB91" s="469"/>
      <c r="GC91" s="469"/>
      <c r="GD91" s="469"/>
      <c r="GE91" s="469"/>
      <c r="GF91" s="469"/>
      <c r="GG91" s="469"/>
      <c r="GH91" s="469"/>
      <c r="GI91" s="469"/>
      <c r="GJ91" s="469"/>
      <c r="GK91" s="469"/>
      <c r="GL91" s="469"/>
      <c r="GM91" s="469"/>
      <c r="GN91" s="469"/>
      <c r="GO91" s="469"/>
      <c r="GP91" s="469"/>
      <c r="GQ91" s="469"/>
      <c r="GR91" s="469"/>
      <c r="GS91" s="469"/>
      <c r="GT91" s="469"/>
      <c r="GU91" s="469"/>
      <c r="GV91" s="469"/>
      <c r="GW91" s="469"/>
      <c r="GX91" s="469"/>
      <c r="GY91" s="469"/>
      <c r="GZ91" s="469"/>
      <c r="HA91" s="469"/>
      <c r="HB91" s="469"/>
      <c r="HC91" s="469"/>
      <c r="HD91" s="469"/>
      <c r="HE91" s="469"/>
      <c r="HF91" s="469"/>
      <c r="HG91" s="469"/>
      <c r="HH91" s="469"/>
      <c r="HI91" s="469"/>
      <c r="HJ91" s="469"/>
      <c r="HK91" s="469"/>
      <c r="HL91" s="469"/>
      <c r="HM91" s="469"/>
      <c r="HN91" s="469"/>
      <c r="HO91" s="469"/>
      <c r="HP91" s="469"/>
      <c r="HQ91" s="469"/>
      <c r="HR91" s="469"/>
      <c r="HS91" s="469"/>
      <c r="HT91" s="469"/>
      <c r="HU91" s="469"/>
      <c r="HV91" s="469"/>
      <c r="HW91" s="469"/>
      <c r="HX91" s="469"/>
      <c r="HY91" s="469"/>
      <c r="HZ91" s="469"/>
      <c r="IA91" s="469"/>
      <c r="IB91" s="469"/>
      <c r="IC91" s="469"/>
      <c r="ID91" s="469"/>
      <c r="IE91" s="469"/>
      <c r="IF91" s="469"/>
      <c r="IG91" s="469"/>
      <c r="IH91" s="469"/>
      <c r="II91" s="469"/>
      <c r="IJ91" s="469"/>
      <c r="IK91" s="469"/>
      <c r="IL91" s="469"/>
      <c r="IM91" s="469"/>
      <c r="IN91" s="469"/>
      <c r="IO91" s="469"/>
      <c r="IP91" s="469"/>
      <c r="IQ91" s="469"/>
      <c r="IR91" s="469"/>
      <c r="IS91" s="469"/>
      <c r="IT91" s="469"/>
      <c r="IU91" s="469"/>
      <c r="IV91" s="469"/>
      <c r="IW91" s="469"/>
      <c r="IX91" s="469"/>
      <c r="IY91" s="469"/>
      <c r="IZ91" s="469"/>
      <c r="JA91" s="469"/>
      <c r="JB91" s="469"/>
      <c r="JC91" s="469"/>
      <c r="JD91" s="469"/>
      <c r="JE91" s="469"/>
      <c r="JF91" s="469"/>
      <c r="JG91" s="469"/>
      <c r="JH91" s="469"/>
      <c r="JI91" s="469"/>
      <c r="JJ91" s="469"/>
      <c r="JK91" s="469"/>
      <c r="JL91" s="469"/>
      <c r="JM91" s="469"/>
      <c r="JN91" s="469"/>
      <c r="JO91" s="469"/>
      <c r="JP91" s="469"/>
      <c r="JQ91" s="469"/>
      <c r="JR91" s="469"/>
      <c r="JS91" s="469"/>
      <c r="JT91" s="469"/>
      <c r="JU91" s="469"/>
      <c r="JV91" s="469"/>
      <c r="JW91" s="469"/>
      <c r="JX91" s="20"/>
      <c r="JZ91" s="470"/>
      <c r="KA91" s="470"/>
      <c r="KB91" s="470"/>
      <c r="KC91" s="470"/>
      <c r="KD91" s="470"/>
      <c r="KE91" s="470"/>
      <c r="KF91" s="470"/>
      <c r="KG91" s="470"/>
      <c r="KH91" s="470"/>
      <c r="KI91" s="470"/>
      <c r="KJ91" s="470"/>
      <c r="KK91" s="470"/>
      <c r="KL91" s="470"/>
      <c r="KM91" s="470"/>
      <c r="KN91" s="470"/>
      <c r="KO91" s="470"/>
      <c r="KP91" s="470"/>
      <c r="KQ91" s="470"/>
      <c r="KR91" s="470"/>
      <c r="KS91" s="470"/>
      <c r="KT91" s="470"/>
      <c r="KU91" s="470"/>
      <c r="KV91" s="470"/>
      <c r="KW91" s="470"/>
      <c r="KX91" s="470"/>
      <c r="KY91" s="470"/>
      <c r="KZ91" s="470"/>
      <c r="LA91" s="470"/>
      <c r="LB91" s="470"/>
      <c r="LC91" s="470"/>
      <c r="LD91" s="470"/>
      <c r="LE91" s="470"/>
      <c r="LF91" s="470"/>
      <c r="LG91" s="470"/>
      <c r="LH91" s="470"/>
      <c r="LI91" s="470"/>
      <c r="LJ91" s="470"/>
      <c r="LK91" s="470"/>
      <c r="LL91" s="470"/>
      <c r="LM91" s="470"/>
      <c r="LN91" s="470"/>
      <c r="LO91" s="470"/>
      <c r="LP91" s="470"/>
      <c r="LQ91" s="470"/>
      <c r="LR91" s="470"/>
      <c r="LS91" s="470"/>
      <c r="LT91" s="470"/>
      <c r="LU91" s="470"/>
      <c r="LV91" s="470"/>
      <c r="LW91" s="470"/>
      <c r="LX91" s="470"/>
      <c r="LY91" s="470"/>
      <c r="LZ91" s="470"/>
      <c r="MA91" s="470"/>
      <c r="MB91" s="470"/>
      <c r="MC91" s="470"/>
      <c r="MD91" s="470"/>
      <c r="ME91" s="470"/>
      <c r="MF91" s="470"/>
      <c r="MG91" s="470"/>
      <c r="MH91" s="470"/>
      <c r="MI91" s="470"/>
      <c r="MJ91" s="470"/>
      <c r="MK91" s="470"/>
      <c r="ML91" s="470"/>
      <c r="MM91" s="470"/>
      <c r="MN91" s="470"/>
      <c r="MO91" s="470"/>
      <c r="MP91" s="470"/>
      <c r="MQ91" s="470"/>
      <c r="MR91" s="470"/>
      <c r="MS91" s="470"/>
      <c r="MT91" s="470"/>
      <c r="MU91" s="470"/>
      <c r="MV91" s="470"/>
      <c r="MW91" s="470"/>
      <c r="MX91" s="470"/>
      <c r="MY91" s="470"/>
      <c r="MZ91" s="470"/>
      <c r="NA91" s="470"/>
      <c r="NB91" s="470"/>
      <c r="NC91" s="470"/>
      <c r="ND91" s="470"/>
      <c r="NE91" s="470"/>
      <c r="NF91" s="470"/>
      <c r="NG91" s="470"/>
      <c r="NH91" s="470"/>
      <c r="NI91" s="470"/>
      <c r="NJ91" s="470"/>
      <c r="NK91" s="470"/>
      <c r="NL91" s="470"/>
      <c r="NM91" s="470"/>
      <c r="NN91" s="470"/>
      <c r="NO91" s="470"/>
      <c r="NP91" s="470"/>
      <c r="NQ91" s="470"/>
      <c r="NR91" s="470"/>
      <c r="NS91" s="470"/>
      <c r="NT91" s="470"/>
      <c r="NU91" s="470"/>
      <c r="NV91" s="470"/>
      <c r="NW91" s="470"/>
      <c r="NX91" s="470"/>
      <c r="NY91" s="470"/>
      <c r="NZ91" s="470"/>
      <c r="OA91" s="470"/>
      <c r="OB91" s="470"/>
      <c r="OC91" s="470"/>
      <c r="OD91" s="470"/>
      <c r="OE91" s="470"/>
      <c r="OF91" s="470"/>
      <c r="OG91" s="470"/>
      <c r="OH91" s="470"/>
      <c r="OI91" s="470"/>
      <c r="OJ91" s="470"/>
      <c r="OK91" s="470"/>
      <c r="OL91" s="470"/>
      <c r="OM91" s="470"/>
      <c r="ON91" s="470"/>
      <c r="OO91" s="470"/>
      <c r="OP91" s="470"/>
      <c r="OQ91" s="470"/>
      <c r="OR91" s="470"/>
      <c r="OS91" s="470"/>
      <c r="OT91" s="470"/>
      <c r="OU91" s="470"/>
      <c r="OV91" s="470"/>
      <c r="OW91" s="470"/>
      <c r="OX91" s="470"/>
      <c r="OY91" s="470"/>
      <c r="OZ91" s="470"/>
      <c r="PA91" s="470"/>
      <c r="PB91" s="470"/>
      <c r="PC91" s="470"/>
      <c r="PD91" s="470"/>
      <c r="PE91" s="470"/>
      <c r="PF91" s="470"/>
      <c r="PG91" s="470"/>
      <c r="PH91" s="470"/>
    </row>
    <row r="92">
      <c r="B92" s="471" t="s">
        <v>227</v>
      </c>
      <c r="C92" s="471" t="s">
        <v>228</v>
      </c>
      <c r="D92" s="416" t="s">
        <v>229</v>
      </c>
      <c r="E92" s="416" t="str">
        <f>Unit_Type</f>
        <v>M2</v>
      </c>
      <c r="F92" s="472" t="s">
        <v>230</v>
      </c>
      <c r="G92" s="472" t="s">
        <v>231</v>
      </c>
      <c r="H92" s="472" t="str">
        <f>"RENT/"&amp;Unit_Type&amp;"/YR"</f>
        <v>RENT/M2/YR</v>
      </c>
      <c r="I92" s="472" t="s">
        <v>232</v>
      </c>
      <c r="K92" s="168" t="s">
        <v>233</v>
      </c>
      <c r="L92" s="208"/>
      <c r="M92" s="208"/>
      <c r="N92" s="208"/>
      <c r="O92" s="208"/>
      <c r="P92" s="208"/>
      <c r="Q92" s="208"/>
      <c r="R92" s="208"/>
      <c r="S92" s="208"/>
      <c r="T92" s="208"/>
      <c r="U92" s="208"/>
      <c r="V92" s="208"/>
      <c r="W92" s="208"/>
      <c r="X92" s="208"/>
      <c r="Y92" s="208"/>
      <c r="Z92" s="208"/>
      <c r="AA92" s="208"/>
      <c r="AB92" s="208"/>
      <c r="AC92" s="208"/>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9"/>
      <c r="BG92" s="209"/>
      <c r="BH92" s="209"/>
      <c r="BI92" s="209"/>
      <c r="BJ92" s="209"/>
      <c r="BK92" s="209"/>
      <c r="BL92" s="209"/>
      <c r="BM92" s="209"/>
      <c r="BN92" s="209"/>
      <c r="BO92" s="209"/>
      <c r="BP92" s="209"/>
      <c r="BQ92" s="209"/>
      <c r="BR92" s="209"/>
      <c r="BS92" s="209"/>
      <c r="BT92" s="209"/>
      <c r="BU92" s="209"/>
      <c r="BV92" s="209"/>
      <c r="BW92" s="209"/>
      <c r="BX92" s="209"/>
      <c r="BY92" s="209"/>
      <c r="BZ92" s="209"/>
      <c r="CA92" s="209"/>
      <c r="CB92" s="209"/>
      <c r="CC92" s="209"/>
      <c r="CD92" s="209"/>
      <c r="CE92" s="209"/>
      <c r="CF92" s="209"/>
      <c r="CG92" s="209"/>
      <c r="CH92" s="209"/>
      <c r="CI92" s="209"/>
      <c r="CJ92" s="209"/>
      <c r="CK92" s="209"/>
      <c r="CL92" s="209"/>
      <c r="CM92" s="209"/>
      <c r="CN92" s="209"/>
      <c r="CO92" s="209"/>
      <c r="CP92" s="209"/>
      <c r="CQ92" s="209"/>
      <c r="CR92" s="209"/>
      <c r="CS92" s="209"/>
      <c r="CT92" s="209"/>
      <c r="CU92" s="209"/>
      <c r="CV92" s="209"/>
      <c r="CW92" s="209"/>
      <c r="CX92" s="209"/>
      <c r="CY92" s="209"/>
      <c r="CZ92" s="209"/>
      <c r="DA92" s="209"/>
      <c r="DB92" s="209"/>
      <c r="DC92" s="209"/>
      <c r="DD92" s="209"/>
      <c r="DE92" s="209"/>
      <c r="DF92" s="209"/>
      <c r="DG92" s="209"/>
      <c r="DH92" s="209"/>
      <c r="DI92" s="209"/>
      <c r="DJ92" s="209"/>
      <c r="DK92" s="209"/>
      <c r="DL92" s="209"/>
      <c r="DM92" s="209"/>
      <c r="DN92" s="209"/>
      <c r="DO92" s="209"/>
      <c r="DP92" s="209"/>
      <c r="DQ92" s="209"/>
      <c r="DR92" s="209"/>
      <c r="DS92" s="209"/>
      <c r="DT92" s="209"/>
      <c r="DU92" s="209"/>
      <c r="DV92" s="209"/>
      <c r="DW92" s="209"/>
      <c r="DX92" s="209"/>
      <c r="DY92" s="209"/>
      <c r="DZ92" s="209"/>
      <c r="EA92" s="209"/>
      <c r="EB92" s="209"/>
      <c r="EC92" s="209"/>
      <c r="ED92" s="209"/>
      <c r="EE92" s="209"/>
      <c r="EF92" s="209"/>
      <c r="EG92" s="209"/>
      <c r="EH92" s="209"/>
      <c r="EI92" s="209"/>
      <c r="EJ92" s="209"/>
      <c r="EK92" s="209"/>
      <c r="EL92" s="209"/>
      <c r="EM92" s="209"/>
      <c r="EN92" s="209"/>
      <c r="EP92" s="468" t="s">
        <v>234</v>
      </c>
      <c r="EQ92" s="18" t="s">
        <v>235</v>
      </c>
      <c r="ER92" s="18" t="s">
        <v>229</v>
      </c>
      <c r="ES92" s="469"/>
      <c r="ET92" s="469"/>
      <c r="EU92" s="469" t="s">
        <v>78</v>
      </c>
      <c r="EV92" s="469"/>
      <c r="EW92" s="469"/>
      <c r="EX92" s="469"/>
      <c r="EY92" s="469"/>
      <c r="EZ92" s="469"/>
      <c r="FA92" s="469"/>
      <c r="FB92" s="469"/>
      <c r="FC92" s="469"/>
      <c r="FD92" s="469"/>
      <c r="FE92" s="469"/>
      <c r="FF92" s="469"/>
      <c r="FG92" s="469"/>
      <c r="FH92" s="469"/>
      <c r="FI92" s="469"/>
      <c r="FJ92" s="469"/>
      <c r="FK92" s="469"/>
      <c r="FL92" s="469"/>
      <c r="FM92" s="469"/>
      <c r="FN92" s="469"/>
      <c r="FO92" s="469"/>
      <c r="FP92" s="469"/>
      <c r="FQ92" s="469"/>
      <c r="FR92" s="469"/>
      <c r="FS92" s="469"/>
      <c r="FT92" s="469"/>
      <c r="FU92" s="469"/>
      <c r="FV92" s="469"/>
      <c r="FW92" s="469"/>
      <c r="FX92" s="469"/>
      <c r="FY92" s="469"/>
      <c r="FZ92" s="469"/>
      <c r="GA92" s="469"/>
      <c r="GB92" s="469"/>
      <c r="GC92" s="469"/>
      <c r="GD92" s="469"/>
      <c r="GE92" s="469"/>
      <c r="GF92" s="469"/>
      <c r="GG92" s="469"/>
      <c r="GH92" s="469"/>
      <c r="GI92" s="469"/>
      <c r="GJ92" s="469"/>
      <c r="GK92" s="469"/>
      <c r="GL92" s="469"/>
      <c r="GM92" s="469"/>
      <c r="GN92" s="469"/>
      <c r="GO92" s="469"/>
      <c r="GP92" s="469"/>
      <c r="GQ92" s="469"/>
      <c r="GR92" s="469"/>
      <c r="GS92" s="469"/>
      <c r="GT92" s="469"/>
      <c r="GU92" s="469"/>
      <c r="GV92" s="469"/>
      <c r="GW92" s="469"/>
      <c r="GX92" s="469"/>
      <c r="GY92" s="469"/>
      <c r="GZ92" s="469"/>
      <c r="HA92" s="469"/>
      <c r="HB92" s="469"/>
      <c r="HC92" s="469"/>
      <c r="HD92" s="469"/>
      <c r="HE92" s="469"/>
      <c r="HF92" s="469"/>
      <c r="HG92" s="469"/>
      <c r="HH92" s="469"/>
      <c r="HI92" s="469"/>
      <c r="HJ92" s="469"/>
      <c r="HK92" s="469"/>
      <c r="HL92" s="469"/>
      <c r="HM92" s="469"/>
      <c r="HN92" s="469"/>
      <c r="HO92" s="469"/>
      <c r="HP92" s="469"/>
      <c r="HQ92" s="469"/>
      <c r="HR92" s="469"/>
      <c r="HS92" s="469"/>
      <c r="HT92" s="469"/>
      <c r="HU92" s="469"/>
      <c r="HV92" s="469"/>
      <c r="HW92" s="469"/>
      <c r="HX92" s="469"/>
      <c r="HY92" s="469"/>
      <c r="HZ92" s="469"/>
      <c r="IA92" s="469"/>
      <c r="IB92" s="469"/>
      <c r="IC92" s="469"/>
      <c r="ID92" s="469"/>
      <c r="IE92" s="469"/>
      <c r="IF92" s="469"/>
      <c r="IG92" s="469"/>
      <c r="IH92" s="469"/>
      <c r="II92" s="469"/>
      <c r="IJ92" s="469"/>
      <c r="IK92" s="469"/>
      <c r="IL92" s="469"/>
      <c r="IM92" s="469"/>
      <c r="IN92" s="469"/>
      <c r="IO92" s="469"/>
      <c r="IP92" s="469"/>
      <c r="IQ92" s="469"/>
      <c r="IR92" s="469"/>
      <c r="IS92" s="469"/>
      <c r="IT92" s="469"/>
      <c r="IU92" s="469"/>
      <c r="IV92" s="469"/>
      <c r="IW92" s="469"/>
      <c r="IX92" s="469"/>
      <c r="IY92" s="469"/>
      <c r="IZ92" s="469"/>
      <c r="JA92" s="469"/>
      <c r="JB92" s="469"/>
      <c r="JC92" s="469"/>
      <c r="JD92" s="469"/>
      <c r="JE92" s="469"/>
      <c r="JF92" s="469"/>
      <c r="JG92" s="469"/>
      <c r="JH92" s="469"/>
      <c r="JI92" s="469"/>
      <c r="JJ92" s="469"/>
      <c r="JK92" s="469"/>
      <c r="JL92" s="469"/>
      <c r="JM92" s="469"/>
      <c r="JN92" s="469"/>
      <c r="JO92" s="469"/>
      <c r="JP92" s="469"/>
      <c r="JQ92" s="469"/>
      <c r="JR92" s="469"/>
      <c r="JS92" s="469"/>
      <c r="JT92" s="469"/>
      <c r="JU92" s="469"/>
      <c r="JV92" s="469"/>
      <c r="JW92" s="469"/>
      <c r="JX92" s="20"/>
      <c r="JZ92" s="468" t="s">
        <v>236</v>
      </c>
      <c r="KA92" s="414" t="str">
        <f>I92</f>
        <v>ANNUAL RENT (YR 1)</v>
      </c>
      <c r="KB92" s="414" t="str">
        <f>F92</f>
        <v>RENT START</v>
      </c>
      <c r="KC92" s="414" t="str">
        <f>G92</f>
        <v>RENT GROWTH %</v>
      </c>
      <c r="KD92" s="414" t="str">
        <f t="shared" ref="KD92:KD104" si="596">K92</f>
        <v>RENT STEPS</v>
      </c>
      <c r="KE92" s="414" t="s">
        <v>237</v>
      </c>
      <c r="KF92" s="291"/>
      <c r="KG92" s="291" t="n">
        <f t="shared" ref="KG92:LL92" si="597">KG3</f>
        <v>1</v>
      </c>
      <c r="KH92" s="291">
        <f t="shared" si="597"/>
        <v>2</v>
      </c>
      <c r="KI92" s="291">
        <f t="shared" si="597"/>
        <v>3</v>
      </c>
      <c r="KJ92" s="291">
        <f t="shared" si="597"/>
        <v>4</v>
      </c>
      <c r="KK92" s="291">
        <f t="shared" si="597"/>
        <v>5</v>
      </c>
      <c r="KL92" s="291">
        <f t="shared" si="597"/>
        <v>6</v>
      </c>
      <c r="KM92" s="291">
        <f t="shared" si="597"/>
        <v>7</v>
      </c>
      <c r="KN92" s="291">
        <f t="shared" si="597"/>
        <v>8</v>
      </c>
      <c r="KO92" s="291">
        <f t="shared" si="597"/>
        <v>9</v>
      </c>
      <c r="KP92" s="291">
        <f t="shared" si="597"/>
        <v>10</v>
      </c>
      <c r="KQ92" s="291">
        <f t="shared" si="597"/>
        <v>11</v>
      </c>
      <c r="KR92" s="291">
        <f t="shared" si="597"/>
        <v>12</v>
      </c>
      <c r="KS92" s="291">
        <f t="shared" si="597"/>
        <v>13</v>
      </c>
      <c r="KT92" s="291">
        <f t="shared" si="597"/>
        <v>14</v>
      </c>
      <c r="KU92" s="291">
        <f t="shared" si="597"/>
        <v>15</v>
      </c>
      <c r="KV92" s="291">
        <f t="shared" si="597"/>
        <v>16</v>
      </c>
      <c r="KW92" s="291">
        <f t="shared" si="597"/>
        <v>17</v>
      </c>
      <c r="KX92" s="291">
        <f t="shared" si="597"/>
        <v>18</v>
      </c>
      <c r="KY92" s="291">
        <f t="shared" si="597"/>
        <v>19</v>
      </c>
      <c r="KZ92" s="291">
        <f t="shared" si="597"/>
        <v>20</v>
      </c>
      <c r="LA92" s="291">
        <f t="shared" si="597"/>
        <v>21</v>
      </c>
      <c r="LB92" s="291">
        <f t="shared" si="597"/>
        <v>22</v>
      </c>
      <c r="LC92" s="291">
        <f t="shared" si="597"/>
        <v>23</v>
      </c>
      <c r="LD92" s="291">
        <f t="shared" si="597"/>
        <v>24</v>
      </c>
      <c r="LE92" s="291">
        <f t="shared" si="597"/>
        <v>25</v>
      </c>
      <c r="LF92" s="291">
        <f t="shared" si="597"/>
        <v>26</v>
      </c>
      <c r="LG92" s="291">
        <f t="shared" si="597"/>
        <v>27</v>
      </c>
      <c r="LH92" s="291">
        <f t="shared" si="597"/>
        <v>28</v>
      </c>
      <c r="LI92" s="291">
        <f t="shared" si="597"/>
        <v>29</v>
      </c>
      <c r="LJ92" s="291">
        <f t="shared" si="597"/>
        <v>30</v>
      </c>
      <c r="LK92" s="291">
        <f t="shared" si="597"/>
        <v>31</v>
      </c>
      <c r="LL92" s="291">
        <f t="shared" si="597"/>
        <v>32</v>
      </c>
      <c r="LM92" s="291" t="n">
        <f t="shared" ref="LM92:MR92" si="598">LM3</f>
        <v>33</v>
      </c>
      <c r="LN92" s="291">
        <f t="shared" si="598"/>
        <v>34</v>
      </c>
      <c r="LO92" s="291">
        <f t="shared" si="598"/>
        <v>35</v>
      </c>
      <c r="LP92" s="291">
        <f t="shared" si="598"/>
        <v>36</v>
      </c>
      <c r="LQ92" s="291">
        <f t="shared" si="598"/>
        <v>37</v>
      </c>
      <c r="LR92" s="291">
        <f t="shared" si="598"/>
        <v>38</v>
      </c>
      <c r="LS92" s="291">
        <f t="shared" si="598"/>
        <v>39</v>
      </c>
      <c r="LT92" s="291">
        <f t="shared" si="598"/>
        <v>40</v>
      </c>
      <c r="LU92" s="291">
        <f t="shared" si="598"/>
        <v>41</v>
      </c>
      <c r="LV92" s="291">
        <f t="shared" si="598"/>
        <v>42</v>
      </c>
      <c r="LW92" s="291">
        <f t="shared" si="598"/>
        <v>43</v>
      </c>
      <c r="LX92" s="291">
        <f t="shared" si="598"/>
        <v>44</v>
      </c>
      <c r="LY92" s="291">
        <f t="shared" si="598"/>
        <v>45</v>
      </c>
      <c r="LZ92" s="291">
        <f t="shared" si="598"/>
        <v>46</v>
      </c>
      <c r="MA92" s="291">
        <f t="shared" si="598"/>
        <v>47</v>
      </c>
      <c r="MB92" s="291">
        <f t="shared" si="598"/>
        <v>48</v>
      </c>
      <c r="MC92" s="291">
        <f t="shared" si="598"/>
        <v>49</v>
      </c>
      <c r="MD92" s="291">
        <f t="shared" si="598"/>
        <v>50</v>
      </c>
      <c r="ME92" s="291">
        <f t="shared" si="598"/>
        <v>51</v>
      </c>
      <c r="MF92" s="291">
        <f t="shared" si="598"/>
        <v>52</v>
      </c>
      <c r="MG92" s="291">
        <f t="shared" si="598"/>
        <v>53</v>
      </c>
      <c r="MH92" s="291">
        <f t="shared" si="598"/>
        <v>54</v>
      </c>
      <c r="MI92" s="291">
        <f t="shared" si="598"/>
        <v>55</v>
      </c>
      <c r="MJ92" s="291">
        <f t="shared" si="598"/>
        <v>56</v>
      </c>
      <c r="MK92" s="291">
        <f t="shared" si="598"/>
        <v>57</v>
      </c>
      <c r="ML92" s="291">
        <f t="shared" si="598"/>
        <v>58</v>
      </c>
      <c r="MM92" s="291">
        <f t="shared" si="598"/>
        <v>59</v>
      </c>
      <c r="MN92" s="291">
        <f t="shared" si="598"/>
        <v>60</v>
      </c>
      <c r="MO92" s="291">
        <f t="shared" si="598"/>
        <v>61</v>
      </c>
      <c r="MP92" s="291">
        <f t="shared" si="598"/>
        <v>62</v>
      </c>
      <c r="MQ92" s="291">
        <f t="shared" si="598"/>
        <v>63</v>
      </c>
      <c r="MR92" s="291">
        <f t="shared" si="598"/>
        <v>64</v>
      </c>
      <c r="MS92" s="291" t="n">
        <f t="shared" ref="MS92:NX92" si="599">MS3</f>
        <v>65</v>
      </c>
      <c r="MT92" s="291">
        <f t="shared" si="599"/>
        <v>66</v>
      </c>
      <c r="MU92" s="291">
        <f t="shared" si="599"/>
        <v>67</v>
      </c>
      <c r="MV92" s="291">
        <f t="shared" si="599"/>
        <v>68</v>
      </c>
      <c r="MW92" s="291">
        <f t="shared" si="599"/>
        <v>69</v>
      </c>
      <c r="MX92" s="291">
        <f t="shared" si="599"/>
        <v>70</v>
      </c>
      <c r="MY92" s="291">
        <f t="shared" si="599"/>
        <v>71</v>
      </c>
      <c r="MZ92" s="291">
        <f t="shared" si="599"/>
        <v>72</v>
      </c>
      <c r="NA92" s="291">
        <f t="shared" si="599"/>
        <v>73</v>
      </c>
      <c r="NB92" s="291">
        <f t="shared" si="599"/>
        <v>74</v>
      </c>
      <c r="NC92" s="291">
        <f t="shared" si="599"/>
        <v>75</v>
      </c>
      <c r="ND92" s="291">
        <f t="shared" si="599"/>
        <v>76</v>
      </c>
      <c r="NE92" s="291">
        <f t="shared" si="599"/>
        <v>77</v>
      </c>
      <c r="NF92" s="291">
        <f t="shared" si="599"/>
        <v>78</v>
      </c>
      <c r="NG92" s="291">
        <f t="shared" si="599"/>
        <v>79</v>
      </c>
      <c r="NH92" s="291">
        <f t="shared" si="599"/>
        <v>80</v>
      </c>
      <c r="NI92" s="291">
        <f t="shared" si="599"/>
        <v>81</v>
      </c>
      <c r="NJ92" s="291">
        <f t="shared" si="599"/>
        <v>82</v>
      </c>
      <c r="NK92" s="291">
        <f t="shared" si="599"/>
        <v>83</v>
      </c>
      <c r="NL92" s="291">
        <f t="shared" si="599"/>
        <v>84</v>
      </c>
      <c r="NM92" s="291">
        <f t="shared" si="599"/>
        <v>85</v>
      </c>
      <c r="NN92" s="291">
        <f t="shared" si="599"/>
        <v>86</v>
      </c>
      <c r="NO92" s="291">
        <f t="shared" si="599"/>
        <v>87</v>
      </c>
      <c r="NP92" s="291">
        <f t="shared" si="599"/>
        <v>88</v>
      </c>
      <c r="NQ92" s="291">
        <f t="shared" si="599"/>
        <v>89</v>
      </c>
      <c r="NR92" s="291">
        <f t="shared" si="599"/>
        <v>90</v>
      </c>
      <c r="NS92" s="291">
        <f t="shared" si="599"/>
        <v>91</v>
      </c>
      <c r="NT92" s="291">
        <f t="shared" si="599"/>
        <v>92</v>
      </c>
      <c r="NU92" s="291">
        <f t="shared" si="599"/>
        <v>93</v>
      </c>
      <c r="NV92" s="291">
        <f t="shared" si="599"/>
        <v>94</v>
      </c>
      <c r="NW92" s="291">
        <f t="shared" si="599"/>
        <v>95</v>
      </c>
      <c r="NX92" s="291">
        <f t="shared" si="599"/>
        <v>96</v>
      </c>
      <c r="NY92" s="291" t="n">
        <f t="shared" ref="NY92:PH92" si="600">NY3</f>
        <v>97</v>
      </c>
      <c r="NZ92" s="291">
        <f t="shared" si="600"/>
        <v>98</v>
      </c>
      <c r="OA92" s="291">
        <f t="shared" si="600"/>
        <v>99</v>
      </c>
      <c r="OB92" s="291">
        <f t="shared" si="600"/>
        <v>100</v>
      </c>
      <c r="OC92" s="291">
        <f t="shared" si="600"/>
        <v>101</v>
      </c>
      <c r="OD92" s="291">
        <f t="shared" si="600"/>
        <v>102</v>
      </c>
      <c r="OE92" s="291">
        <f t="shared" si="600"/>
        <v>103</v>
      </c>
      <c r="OF92" s="291">
        <f t="shared" si="600"/>
        <v>104</v>
      </c>
      <c r="OG92" s="291">
        <f t="shared" si="600"/>
        <v>105</v>
      </c>
      <c r="OH92" s="291">
        <f t="shared" si="600"/>
        <v>106</v>
      </c>
      <c r="OI92" s="291">
        <f t="shared" si="600"/>
        <v>107</v>
      </c>
      <c r="OJ92" s="291">
        <f t="shared" si="600"/>
        <v>108</v>
      </c>
      <c r="OK92" s="291">
        <f t="shared" si="600"/>
        <v>109</v>
      </c>
      <c r="OL92" s="291">
        <f t="shared" si="600"/>
        <v>110</v>
      </c>
      <c r="OM92" s="291">
        <f t="shared" si="600"/>
        <v>111</v>
      </c>
      <c r="ON92" s="291">
        <f t="shared" si="600"/>
        <v>112</v>
      </c>
      <c r="OO92" s="291">
        <f t="shared" si="600"/>
        <v>113</v>
      </c>
      <c r="OP92" s="291">
        <f t="shared" si="600"/>
        <v>114</v>
      </c>
      <c r="OQ92" s="291">
        <f t="shared" si="600"/>
        <v>115</v>
      </c>
      <c r="OR92" s="291">
        <f t="shared" si="600"/>
        <v>116</v>
      </c>
      <c r="OS92" s="291">
        <f t="shared" si="600"/>
        <v>117</v>
      </c>
      <c r="OT92" s="291">
        <f t="shared" si="600"/>
        <v>118</v>
      </c>
      <c r="OU92" s="291">
        <f t="shared" si="600"/>
        <v>119</v>
      </c>
      <c r="OV92" s="291">
        <f t="shared" si="600"/>
        <v>120</v>
      </c>
      <c r="OW92" s="291">
        <f t="shared" si="600"/>
        <v>121</v>
      </c>
      <c r="OX92" s="291">
        <f t="shared" si="600"/>
        <v>122</v>
      </c>
      <c r="OY92" s="291">
        <f t="shared" si="600"/>
        <v>123</v>
      </c>
      <c r="OZ92" s="291">
        <f t="shared" si="600"/>
        <v>124</v>
      </c>
      <c r="PA92" s="291">
        <f t="shared" si="600"/>
        <v>125</v>
      </c>
      <c r="PB92" s="291">
        <f t="shared" si="600"/>
        <v>126</v>
      </c>
      <c r="PC92" s="291">
        <f t="shared" si="600"/>
        <v>127</v>
      </c>
      <c r="PD92" s="291">
        <f t="shared" si="600"/>
        <v>128</v>
      </c>
      <c r="PE92" s="291">
        <f t="shared" si="600"/>
        <v>129</v>
      </c>
      <c r="PF92" s="291">
        <f t="shared" si="600"/>
        <v>130</v>
      </c>
      <c r="PG92" s="291">
        <f t="shared" si="600"/>
        <v>131</v>
      </c>
      <c r="PH92" s="291">
        <f t="shared" si="600"/>
        <v>132</v>
      </c>
    </row>
    <row r="93">
      <c r="B93" s="473" t="s">
        <v>238</v>
      </c>
      <c r="C93" s="473" t="s">
        <v>238</v>
      </c>
      <c r="D93" s="46">
        <v>19</v>
      </c>
      <c r="E93" s="420" t="n">
        <f>PROJECTS!$AP$20</f>
        <v>21500</v>
      </c>
      <c r="F93" s="46" t="n">
        <f>D93+3</f>
        <v>22</v>
      </c>
      <c r="G93" s="44" t="n">
        <f>PROJECTS!$AP$68</f>
        <v>0.035</v>
      </c>
      <c r="H93" s="144" t="n">
        <f>PROJECTS!$AP$69</f>
        <v>400</v>
      </c>
      <c r="I93" s="428" t="n">
        <f t="shared" ref="I93:I104" si="601">H93*E93</f>
        <v>8600000</v>
      </c>
      <c r="K93" s="290" t="s">
        <v>239</v>
      </c>
      <c r="L93" s="76"/>
      <c r="M93" s="421" t="n">
        <f>KG93</f>
        <v>0</v>
      </c>
      <c r="N93" s="421" t="n">
        <f t="shared" ref="N93:N104" si="602">KH93</f>
        <v>0</v>
      </c>
      <c r="O93" s="421" t="n">
        <f t="shared" ref="O93:O104" si="603">KI93</f>
        <v>0</v>
      </c>
      <c r="P93" s="421" t="n">
        <f t="shared" ref="P93:P104" si="604">KJ93</f>
        <v>0</v>
      </c>
      <c r="Q93" s="421" t="n">
        <f t="shared" ref="Q93:Q104" si="605">KK93</f>
        <v>0</v>
      </c>
      <c r="R93" s="421" t="n">
        <f t="shared" ref="R93:R104" si="606">KL93</f>
        <v>0</v>
      </c>
      <c r="S93" s="421" t="n">
        <f t="shared" ref="S93:S104" si="607">KM93</f>
        <v>0</v>
      </c>
      <c r="T93" s="421" t="n">
        <f t="shared" ref="T93:T104" si="608">KN93</f>
        <v>0</v>
      </c>
      <c r="U93" s="421" t="n">
        <f t="shared" ref="U93:U104" si="609">KO93</f>
        <v>0</v>
      </c>
      <c r="V93" s="421" t="n">
        <f t="shared" ref="V93:V104" si="610">KP93</f>
        <v>0</v>
      </c>
      <c r="W93" s="421" t="n">
        <f t="shared" ref="W93:W104" si="611">KQ93</f>
        <v>0</v>
      </c>
      <c r="X93" s="421" t="n">
        <f t="shared" ref="X93:X104" si="612">KR93</f>
        <v>0</v>
      </c>
      <c r="Y93" s="421" t="n">
        <f t="shared" ref="Y93:Y104" si="613">KS93</f>
        <v>0</v>
      </c>
      <c r="Z93" s="421" t="n">
        <f t="shared" ref="Z93:Z104" si="614">KT93</f>
        <v>0</v>
      </c>
      <c r="AA93" s="421" t="n">
        <f t="shared" ref="AA93:AA104" si="615">KU93</f>
        <v>0</v>
      </c>
      <c r="AB93" s="421" t="n">
        <f t="shared" ref="AB93:AB104" si="616">KV93</f>
        <v>0</v>
      </c>
      <c r="AC93" s="421" t="n">
        <f t="shared" ref="AC93:AC104" si="617">KW93</f>
        <v>0</v>
      </c>
      <c r="AD93" s="421" t="n">
        <f t="shared" ref="AD93:AD104" si="618">KX93</f>
        <v>0</v>
      </c>
      <c r="AE93" s="421" t="n">
        <f t="shared" ref="AE93:AE104" si="619">KY93</f>
        <v>0</v>
      </c>
      <c r="AF93" s="421" t="n">
        <f t="shared" ref="AF93:AF104" si="620">KZ93</f>
        <v>0</v>
      </c>
      <c r="AG93" s="421" t="n">
        <f t="shared" ref="AG93:AG104" si="621">LA93</f>
        <v>0</v>
      </c>
      <c r="AH93" s="421" t="n">
        <f t="shared" ref="AH93:AH104" si="622">LB93</f>
        <v>716666.6666666666</v>
      </c>
      <c r="AI93" s="421" t="n">
        <f t="shared" ref="AI93:AI104" si="623">LC93</f>
        <v>716666.6666666666</v>
      </c>
      <c r="AJ93" s="421" t="n">
        <f t="shared" ref="AJ93:AJ104" si="624">LD93</f>
        <v>716666.6666666666</v>
      </c>
      <c r="AK93" s="421" t="n">
        <f t="shared" ref="AK93:AK104" si="625">LE93</f>
        <v>716666.6666666666</v>
      </c>
      <c r="AL93" s="421" t="n">
        <f t="shared" ref="AL93:AL104" si="626">LF93</f>
        <v>716666.6666666666</v>
      </c>
      <c r="AM93" s="421" t="n">
        <f t="shared" ref="AM93:AM104" si="627">LG93</f>
        <v>716666.6666666666</v>
      </c>
      <c r="AN93" s="421" t="n">
        <f t="shared" ref="AN93:AN104" si="628">LH93</f>
        <v>716666.6666666666</v>
      </c>
      <c r="AO93" s="421" t="n">
        <f t="shared" ref="AO93:AO104" si="629">LI93</f>
        <v>716666.6666666666</v>
      </c>
      <c r="AP93" s="421" t="n">
        <f t="shared" ref="AP93:AP104" si="630">LJ93</f>
        <v>716666.6666666666</v>
      </c>
      <c r="AQ93" s="421" t="n">
        <f t="shared" ref="AQ93:AQ104" si="631">LK93</f>
        <v>716666.6666666666</v>
      </c>
      <c r="AR93" s="421" t="n">
        <f t="shared" ref="AR93:AR104" si="632">LL93</f>
        <v>716666.6666666666</v>
      </c>
      <c r="AS93" s="421" t="n">
        <f t="shared" ref="AS93:AS104" si="633">LM93</f>
        <v>716666.6666666666</v>
      </c>
      <c r="AT93" s="421" t="n">
        <f t="shared" ref="AT93:AT104" si="634">LN93</f>
        <v>741749.9999999999</v>
      </c>
      <c r="AU93" s="421" t="n">
        <f t="shared" ref="AU93:AU104" si="635">LO93</f>
        <v>741749.9999999999</v>
      </c>
      <c r="AV93" s="421" t="n">
        <f t="shared" ref="AV93:AV104" si="636">LP93</f>
        <v>741749.9999999999</v>
      </c>
      <c r="AW93" s="421" t="n">
        <f t="shared" ref="AW93:AW104" si="637">LQ93</f>
        <v>741749.9999999999</v>
      </c>
      <c r="AX93" s="421" t="n">
        <f t="shared" ref="AX93:AX104" si="638">LR93</f>
        <v>741749.9999999999</v>
      </c>
      <c r="AY93" s="421" t="n">
        <f t="shared" ref="AY93:AY104" si="639">LS93</f>
        <v>741749.9999999999</v>
      </c>
      <c r="AZ93" s="421" t="n">
        <f t="shared" ref="AZ93:AZ104" si="640">LT93</f>
        <v>741749.9999999999</v>
      </c>
      <c r="BA93" s="421" t="n">
        <f t="shared" ref="BA93:BA104" si="641">LU93</f>
        <v>741749.9999999999</v>
      </c>
      <c r="BB93" s="421" t="n">
        <f t="shared" ref="BB93:BB104" si="642">LV93</f>
        <v>741749.9999999999</v>
      </c>
      <c r="BC93" s="421" t="n">
        <f t="shared" ref="BC93:BC104" si="643">LW93</f>
        <v>741749.9999999999</v>
      </c>
      <c r="BD93" s="421" t="n">
        <f t="shared" ref="BD93:BD104" si="644">LX93</f>
        <v>741749.9999999999</v>
      </c>
      <c r="BE93" s="421" t="n">
        <f t="shared" ref="BE93:BE104" si="645">LY93</f>
        <v>741749.9999999999</v>
      </c>
      <c r="BF93" s="421" t="n">
        <f t="shared" ref="BF93:BF104" si="646">LZ93</f>
        <v>767711.2499999999</v>
      </c>
      <c r="BG93" s="421" t="n">
        <f t="shared" ref="BG93:BG104" si="647">MA93</f>
        <v>767711.2499999999</v>
      </c>
      <c r="BH93" s="421" t="n">
        <f t="shared" ref="BH93:BH104" si="648">MB93</f>
        <v>767711.2499999999</v>
      </c>
      <c r="BI93" s="421" t="n">
        <f t="shared" ref="BI93:BI104" si="649">MC93</f>
        <v>767711.2499999999</v>
      </c>
      <c r="BJ93" s="421" t="n">
        <f t="shared" ref="BJ93:BJ104" si="650">MD93</f>
        <v>767711.2499999999</v>
      </c>
      <c r="BK93" s="421" t="n">
        <f t="shared" ref="BK93:BK104" si="651">ME93</f>
        <v>767711.2499999999</v>
      </c>
      <c r="BL93" s="421" t="n">
        <f t="shared" ref="BL93:BL104" si="652">MF93</f>
        <v>767711.2499999999</v>
      </c>
      <c r="BM93" s="421" t="n">
        <f t="shared" ref="BM93:BM104" si="653">MG93</f>
        <v>767711.2499999999</v>
      </c>
      <c r="BN93" s="421" t="n">
        <f t="shared" ref="BN93:BN104" si="654">MH93</f>
        <v>767711.2499999999</v>
      </c>
      <c r="BO93" s="421" t="n">
        <f t="shared" ref="BO93:BO104" si="655">MI93</f>
        <v>767711.2499999999</v>
      </c>
      <c r="BP93" s="421" t="n">
        <f t="shared" ref="BP93:BP104" si="656">MJ93</f>
        <v>767711.2499999999</v>
      </c>
      <c r="BQ93" s="421" t="n">
        <f t="shared" ref="BQ93:BQ104" si="657">MK93</f>
        <v>767711.2499999999</v>
      </c>
      <c r="BR93" s="421" t="n">
        <f t="shared" ref="BR93:BR104" si="658">ML93</f>
        <v>794581.1437499998</v>
      </c>
      <c r="BS93" s="421" t="n">
        <f t="shared" ref="BS93:BS104" si="659">MM93</f>
        <v>794581.1437499998</v>
      </c>
      <c r="BT93" s="421" t="n">
        <f t="shared" ref="BT93:BT104" si="660">MN93</f>
        <v>794581.1437499998</v>
      </c>
      <c r="BU93" s="421" t="n">
        <f t="shared" ref="BU93:BU104" si="661">MO93</f>
        <v>794581.1437499998</v>
      </c>
      <c r="BV93" s="421" t="n">
        <f t="shared" ref="BV93:BV104" si="662">MP93</f>
        <v>794581.1437499998</v>
      </c>
      <c r="BW93" s="421" t="n">
        <f t="shared" ref="BW93:BW104" si="663">MQ93</f>
        <v>794581.1437499998</v>
      </c>
      <c r="BX93" s="421" t="n">
        <f t="shared" ref="BX93:BX104" si="664">MR93</f>
        <v>794581.1437499998</v>
      </c>
      <c r="BY93" s="421" t="n">
        <f t="shared" ref="BY93:BY104" si="665">MS93</f>
        <v>794581.1437499998</v>
      </c>
      <c r="BZ93" s="421" t="n">
        <f t="shared" ref="BZ93:BZ104" si="666">MT93</f>
        <v>794581.1437499998</v>
      </c>
      <c r="CA93" s="421" t="n">
        <f t="shared" ref="CA93:CA104" si="667">MU93</f>
        <v>794581.1437499998</v>
      </c>
      <c r="CB93" s="421" t="n">
        <f t="shared" ref="CB93:CB104" si="668">MV93</f>
        <v>794581.1437499998</v>
      </c>
      <c r="CC93" s="421" t="n">
        <f t="shared" ref="CC93:CC104" si="669">MW93</f>
        <v>794581.1437499998</v>
      </c>
      <c r="CD93" s="421" t="n">
        <f t="shared" ref="CD93:CD104" si="670">MX93</f>
        <v>822391.4837812497</v>
      </c>
      <c r="CE93" s="421" t="n">
        <f t="shared" ref="CE93:CE104" si="671">MY93</f>
        <v>822391.4837812497</v>
      </c>
      <c r="CF93" s="421" t="n">
        <f t="shared" ref="CF93:CF104" si="672">MZ93</f>
        <v>822391.4837812497</v>
      </c>
      <c r="CG93" s="421" t="n">
        <f t="shared" ref="CG93:CG104" si="673">NA93</f>
        <v>822391.4837812497</v>
      </c>
      <c r="CH93" s="421" t="n">
        <f t="shared" ref="CH93:CH104" si="674">NB93</f>
        <v>822391.4837812497</v>
      </c>
      <c r="CI93" s="421" t="n">
        <f t="shared" ref="CI93:CI104" si="675">NC93</f>
        <v>822391.4837812497</v>
      </c>
      <c r="CJ93" s="421" t="n">
        <f t="shared" ref="CJ93:CJ104" si="676">ND93</f>
        <v>822391.4837812497</v>
      </c>
      <c r="CK93" s="421" t="n">
        <f t="shared" ref="CK93:CK104" si="677">NE93</f>
        <v>822391.4837812497</v>
      </c>
      <c r="CL93" s="421" t="n">
        <f t="shared" ref="CL93:CL104" si="678">NF93</f>
        <v>822391.4837812497</v>
      </c>
      <c r="CM93" s="421" t="n">
        <f t="shared" ref="CM93:CM104" si="679">NG93</f>
        <v>822391.4837812497</v>
      </c>
      <c r="CN93" s="421" t="n">
        <f t="shared" ref="CN93:CN104" si="680">NH93</f>
        <v>822391.4837812497</v>
      </c>
      <c r="CO93" s="421" t="n">
        <f t="shared" ref="CO93:CO104" si="681">NI93</f>
        <v>822391.4837812497</v>
      </c>
      <c r="CP93" s="421" t="n">
        <f t="shared" ref="CP93:CP104" si="682">NJ93</f>
        <v>851175.1857135934</v>
      </c>
      <c r="CQ93" s="421" t="n">
        <f t="shared" ref="CQ93:CQ104" si="683">NK93</f>
        <v>851175.1857135934</v>
      </c>
      <c r="CR93" s="421" t="n">
        <f t="shared" ref="CR93:CR104" si="684">NL93</f>
        <v>851175.1857135934</v>
      </c>
      <c r="CS93" s="421" t="n">
        <f t="shared" ref="CS93:CS104" si="685">NM93</f>
        <v>851175.1857135934</v>
      </c>
      <c r="CT93" s="421" t="n">
        <f t="shared" ref="CT93:CT104" si="686">NN93</f>
        <v>851175.1857135934</v>
      </c>
      <c r="CU93" s="421" t="n">
        <f t="shared" ref="CU93:CU104" si="687">NO93</f>
        <v>851175.1857135934</v>
      </c>
      <c r="CV93" s="421" t="n">
        <f t="shared" ref="CV93:CV104" si="688">NP93</f>
        <v>851175.1857135934</v>
      </c>
      <c r="CW93" s="421" t="n">
        <f t="shared" ref="CW93:CW104" si="689">NQ93</f>
        <v>851175.1857135934</v>
      </c>
      <c r="CX93" s="421" t="n">
        <f t="shared" ref="CX93:CX104" si="690">NR93</f>
        <v>851175.1857135934</v>
      </c>
      <c r="CY93" s="421" t="n">
        <f t="shared" ref="CY93:CY104" si="691">NS93</f>
        <v>851175.1857135934</v>
      </c>
      <c r="CZ93" s="421" t="n">
        <f t="shared" ref="CZ93:CZ104" si="692">NT93</f>
        <v>851175.1857135934</v>
      </c>
      <c r="DA93" s="421" t="n">
        <f t="shared" ref="DA93:DA104" si="693">NU93</f>
        <v>851175.1857135934</v>
      </c>
      <c r="DB93" s="421" t="n">
        <f t="shared" ref="DB93:DB104" si="694">NV93</f>
        <v>880966.3172135692</v>
      </c>
      <c r="DC93" s="421" t="n">
        <f t="shared" ref="DC93:DC104" si="695">NW93</f>
        <v>880966.3172135692</v>
      </c>
      <c r="DD93" s="421" t="n">
        <f t="shared" ref="DD93:DD104" si="696">NX93</f>
        <v>880966.3172135692</v>
      </c>
      <c r="DE93" s="421" t="n">
        <f t="shared" ref="DE93:DE104" si="697">NY93</f>
        <v>880966.3172135692</v>
      </c>
      <c r="DF93" s="421" t="n">
        <f t="shared" ref="DF93:DF104" si="698">NZ93</f>
        <v>880966.3172135692</v>
      </c>
      <c r="DG93" s="421" t="n">
        <f t="shared" ref="DG93:DG104" si="699">OA93</f>
        <v>880966.3172135692</v>
      </c>
      <c r="DH93" s="421" t="n">
        <f t="shared" ref="DH93:DH104" si="700">OB93</f>
        <v>880966.3172135692</v>
      </c>
      <c r="DI93" s="421" t="n">
        <f t="shared" ref="DI93:DI104" si="701">OC93</f>
        <v>880966.3172135692</v>
      </c>
      <c r="DJ93" s="421" t="n">
        <f t="shared" ref="DJ93:DJ104" si="702">OD93</f>
        <v>880966.3172135692</v>
      </c>
      <c r="DK93" s="421" t="n">
        <f t="shared" ref="DK93:DK104" si="703">OE93</f>
        <v>880966.3172135692</v>
      </c>
      <c r="DL93" s="421" t="n">
        <f t="shared" ref="DL93:DL104" si="704">OF93</f>
        <v>880966.3172135692</v>
      </c>
      <c r="DM93" s="421" t="n">
        <f t="shared" ref="DM93:DM104" si="705">OG93</f>
        <v>880966.3172135692</v>
      </c>
      <c r="DN93" s="421" t="n">
        <f t="shared" ref="DN93:DN104" si="706">OH93</f>
        <v>911800.138316044</v>
      </c>
      <c r="DO93" s="421" t="n">
        <f t="shared" ref="DO93:DO104" si="707">OI93</f>
        <v>911800.138316044</v>
      </c>
      <c r="DP93" s="421" t="n">
        <f t="shared" ref="DP93:DP104" si="708">OJ93</f>
        <v>911800.138316044</v>
      </c>
      <c r="DQ93" s="421" t="n">
        <f t="shared" ref="DQ93:DQ104" si="709">OK93</f>
        <v>911800.138316044</v>
      </c>
      <c r="DR93" s="421" t="n">
        <f t="shared" ref="DR93:DR104" si="710">OL93</f>
        <v>911800.138316044</v>
      </c>
      <c r="DS93" s="421" t="n">
        <f t="shared" ref="DS93:DS104" si="711">OM93</f>
        <v>911800.138316044</v>
      </c>
      <c r="DT93" s="421" t="n">
        <f t="shared" ref="DT93:DT104" si="712">ON93</f>
        <v>911800.138316044</v>
      </c>
      <c r="DU93" s="421" t="n">
        <f t="shared" ref="DU93:DU104" si="713">OO93</f>
        <v>911800.138316044</v>
      </c>
      <c r="DV93" s="421" t="n">
        <f t="shared" ref="DV93:DV104" si="714">OP93</f>
        <v>911800.138316044</v>
      </c>
      <c r="DW93" s="421" t="n">
        <f t="shared" ref="DW93:DW104" si="715">OQ93</f>
        <v>911800.138316044</v>
      </c>
      <c r="DX93" s="421" t="n">
        <f t="shared" ref="DX93:DX104" si="716">OR93</f>
        <v>911800.138316044</v>
      </c>
      <c r="DY93" s="421" t="n">
        <f t="shared" ref="DY93:DY104" si="717">OS93</f>
        <v>911800.138316044</v>
      </c>
      <c r="DZ93" s="421" t="n">
        <f t="shared" ref="DZ93:DZ104" si="718">OT93</f>
        <v>943713.1431571053</v>
      </c>
      <c r="EA93" s="421" t="n">
        <f t="shared" ref="EA93:EA104" si="719">OU93</f>
        <v>943713.1431571053</v>
      </c>
      <c r="EB93" s="421" t="n">
        <f t="shared" ref="EB93:EB104" si="720">OV93</f>
        <v>943713.1431571053</v>
      </c>
      <c r="EC93" s="421" t="n">
        <f t="shared" ref="EC93:EC104" si="721">OW93</f>
        <v>943713.1431571053</v>
      </c>
      <c r="ED93" s="421" t="n">
        <f t="shared" ref="ED93:ED104" si="722">OX93</f>
        <v>943713.1431571053</v>
      </c>
      <c r="EE93" s="421" t="n">
        <f t="shared" ref="EE93:EE104" si="723">OY93</f>
        <v>943713.1431571053</v>
      </c>
      <c r="EF93" s="421" t="n">
        <f t="shared" ref="EF93:EF104" si="724">OZ93</f>
        <v>943713.1431571053</v>
      </c>
      <c r="EG93" s="421" t="n">
        <f t="shared" ref="EG93:EG104" si="725">PA93</f>
        <v>943713.1431571053</v>
      </c>
      <c r="EH93" s="421" t="n">
        <f t="shared" ref="EH93:EH104" si="726">PB93</f>
        <v>943713.1431571053</v>
      </c>
      <c r="EI93" s="421" t="n">
        <f t="shared" ref="EI93:EI104" si="727">PC93</f>
        <v>943713.1431571053</v>
      </c>
      <c r="EJ93" s="421" t="n">
        <f t="shared" ref="EJ93:EJ104" si="728">PD93</f>
        <v>943713.1431571053</v>
      </c>
      <c r="EK93" s="421" t="n">
        <f t="shared" ref="EK93:EK104" si="729">PE93</f>
        <v>943713.1431571053</v>
      </c>
      <c r="EL93" s="421" t="n">
        <f t="shared" ref="EL93:EL104" si="730">PF93</f>
        <v>976743.103167604</v>
      </c>
      <c r="EM93" s="421" t="n">
        <f t="shared" ref="EM93:EM104" si="731">PG93</f>
        <v>976743.103167604</v>
      </c>
      <c r="EN93" s="421" t="n">
        <f t="shared" ref="EN93:EN104" si="732">PH93</f>
        <v>976743.103167604</v>
      </c>
      <c r="EP93" s="220" t="str">
        <f>$B93</f>
        <v>URWLD</v>
      </c>
      <c r="EQ93" s="20" t="n">
        <f>$E93</f>
        <v>21500</v>
      </c>
      <c r="ER93" s="198" t="n">
        <f>$D93</f>
        <v>19</v>
      </c>
      <c r="ES93" s="18"/>
      <c r="ET93" s="18"/>
      <c r="EU93" s="18"/>
      <c r="EV93" s="422" t="n">
        <f>(EV$3&gt;=$ER93)*$EQ93</f>
        <v>0</v>
      </c>
      <c r="EW93" s="422" t="n">
        <f t="shared" ref="EW93:HH94" si="733">(EW$3&gt;=$ER93)*$EQ93</f>
        <v>0</v>
      </c>
      <c r="EX93" s="422">
        <f t="shared" si="733"/>
        <v>0</v>
      </c>
      <c r="EY93" s="422">
        <f t="shared" si="733"/>
        <v>0</v>
      </c>
      <c r="EZ93" s="422">
        <f t="shared" si="733"/>
        <v>0</v>
      </c>
      <c r="FA93" s="422">
        <f t="shared" si="733"/>
        <v>0</v>
      </c>
      <c r="FB93" s="422">
        <f t="shared" si="733"/>
        <v>0</v>
      </c>
      <c r="FC93" s="422">
        <f t="shared" si="733"/>
        <v>0</v>
      </c>
      <c r="FD93" s="422">
        <f t="shared" si="733"/>
        <v>0</v>
      </c>
      <c r="FE93" s="422">
        <f t="shared" si="733"/>
        <v>0</v>
      </c>
      <c r="FF93" s="422">
        <f t="shared" si="733"/>
        <v>0</v>
      </c>
      <c r="FG93" s="422">
        <f t="shared" si="733"/>
        <v>0</v>
      </c>
      <c r="FH93" s="422">
        <f t="shared" si="733"/>
        <v>0</v>
      </c>
      <c r="FI93" s="422">
        <f t="shared" si="733"/>
        <v>0</v>
      </c>
      <c r="FJ93" s="422">
        <f t="shared" si="733"/>
        <v>0</v>
      </c>
      <c r="FK93" s="422">
        <f t="shared" si="733"/>
        <v>0</v>
      </c>
      <c r="FL93" s="422">
        <f t="shared" si="733"/>
        <v>0</v>
      </c>
      <c r="FM93" s="422">
        <f t="shared" si="733"/>
        <v>0</v>
      </c>
      <c r="FN93" s="422">
        <f t="shared" si="733"/>
        <v>0</v>
      </c>
      <c r="FO93" s="422">
        <f t="shared" si="733"/>
        <v>21500</v>
      </c>
      <c r="FP93" s="422">
        <f t="shared" si="733"/>
        <v>21500</v>
      </c>
      <c r="FQ93" s="422">
        <f t="shared" si="733"/>
        <v>21500</v>
      </c>
      <c r="FR93" s="422">
        <f t="shared" si="733"/>
        <v>21500</v>
      </c>
      <c r="FS93" s="422">
        <f t="shared" si="733"/>
        <v>21500</v>
      </c>
      <c r="FT93" s="422">
        <f t="shared" si="733"/>
        <v>21500</v>
      </c>
      <c r="FU93" s="422">
        <f t="shared" si="733"/>
        <v>21500</v>
      </c>
      <c r="FV93" s="422">
        <f t="shared" si="733"/>
        <v>21500</v>
      </c>
      <c r="FW93" s="422">
        <f t="shared" si="733"/>
        <v>21500</v>
      </c>
      <c r="FX93" s="422">
        <f t="shared" si="733"/>
        <v>21500</v>
      </c>
      <c r="FY93" s="422">
        <f t="shared" si="733"/>
        <v>21500</v>
      </c>
      <c r="FZ93" s="422">
        <f t="shared" si="733"/>
        <v>21500</v>
      </c>
      <c r="GA93" s="422">
        <f t="shared" si="733"/>
        <v>21500</v>
      </c>
      <c r="GB93" s="422">
        <f t="shared" si="733"/>
        <v>21500</v>
      </c>
      <c r="GC93" s="422">
        <f t="shared" si="733"/>
        <v>21500</v>
      </c>
      <c r="GD93" s="422">
        <f t="shared" si="733"/>
        <v>21500</v>
      </c>
      <c r="GE93" s="422">
        <f t="shared" si="733"/>
        <v>21500</v>
      </c>
      <c r="GF93" s="422">
        <f t="shared" si="733"/>
        <v>21500</v>
      </c>
      <c r="GG93" s="422">
        <f t="shared" si="733"/>
        <v>21500</v>
      </c>
      <c r="GH93" s="422">
        <f t="shared" si="733"/>
        <v>21500</v>
      </c>
      <c r="GI93" s="422">
        <f t="shared" si="733"/>
        <v>21500</v>
      </c>
      <c r="GJ93" s="422">
        <f t="shared" si="733"/>
        <v>21500</v>
      </c>
      <c r="GK93" s="422">
        <f t="shared" si="733"/>
        <v>21500</v>
      </c>
      <c r="GL93" s="422">
        <f t="shared" si="733"/>
        <v>21500</v>
      </c>
      <c r="GM93" s="422">
        <f t="shared" si="733"/>
        <v>21500</v>
      </c>
      <c r="GN93" s="422">
        <f t="shared" si="733"/>
        <v>21500</v>
      </c>
      <c r="GO93" s="422">
        <f t="shared" si="733"/>
        <v>21500</v>
      </c>
      <c r="GP93" s="422">
        <f t="shared" si="733"/>
        <v>21500</v>
      </c>
      <c r="GQ93" s="422">
        <f t="shared" si="733"/>
        <v>21500</v>
      </c>
      <c r="GR93" s="422">
        <f t="shared" si="733"/>
        <v>21500</v>
      </c>
      <c r="GS93" s="422">
        <f t="shared" si="733"/>
        <v>21500</v>
      </c>
      <c r="GT93" s="422">
        <f t="shared" si="733"/>
        <v>21500</v>
      </c>
      <c r="GU93" s="422">
        <f t="shared" si="733"/>
        <v>21500</v>
      </c>
      <c r="GV93" s="422">
        <f t="shared" si="733"/>
        <v>21500</v>
      </c>
      <c r="GW93" s="422">
        <f t="shared" si="733"/>
        <v>21500</v>
      </c>
      <c r="GX93" s="422">
        <f t="shared" si="733"/>
        <v>21500</v>
      </c>
      <c r="GY93" s="422">
        <f t="shared" si="733"/>
        <v>21500</v>
      </c>
      <c r="GZ93" s="422">
        <f t="shared" si="733"/>
        <v>21500</v>
      </c>
      <c r="HA93" s="422">
        <f t="shared" si="733"/>
        <v>21500</v>
      </c>
      <c r="HB93" s="422">
        <f t="shared" si="733"/>
        <v>21500</v>
      </c>
      <c r="HC93" s="422">
        <f t="shared" si="733"/>
        <v>21500</v>
      </c>
      <c r="HD93" s="422">
        <f t="shared" si="733"/>
        <v>21500</v>
      </c>
      <c r="HE93" s="422">
        <f t="shared" si="733"/>
        <v>21500</v>
      </c>
      <c r="HF93" s="422">
        <f t="shared" si="733"/>
        <v>21500</v>
      </c>
      <c r="HG93" s="422">
        <f t="shared" si="733"/>
        <v>21500</v>
      </c>
      <c r="HH93" s="422">
        <f t="shared" si="733"/>
        <v>21500</v>
      </c>
      <c r="HI93" s="422" t="n">
        <f t="shared" ref="HI93:JT104" si="734">(HI$3&gt;=$ER93)*$EQ93</f>
        <v>21500</v>
      </c>
      <c r="HJ93" s="422">
        <f t="shared" si="734"/>
        <v>21500</v>
      </c>
      <c r="HK93" s="422">
        <f t="shared" si="734"/>
        <v>21500</v>
      </c>
      <c r="HL93" s="422">
        <f t="shared" si="734"/>
        <v>21500</v>
      </c>
      <c r="HM93" s="422">
        <f t="shared" si="734"/>
        <v>21500</v>
      </c>
      <c r="HN93" s="422">
        <f t="shared" si="734"/>
        <v>21500</v>
      </c>
      <c r="HO93" s="422">
        <f t="shared" si="734"/>
        <v>21500</v>
      </c>
      <c r="HP93" s="422">
        <f t="shared" si="734"/>
        <v>21500</v>
      </c>
      <c r="HQ93" s="422">
        <f t="shared" si="734"/>
        <v>21500</v>
      </c>
      <c r="HR93" s="422">
        <f t="shared" si="734"/>
        <v>21500</v>
      </c>
      <c r="HS93" s="422">
        <f t="shared" si="734"/>
        <v>21500</v>
      </c>
      <c r="HT93" s="422">
        <f t="shared" si="734"/>
        <v>21500</v>
      </c>
      <c r="HU93" s="422">
        <f t="shared" si="734"/>
        <v>21500</v>
      </c>
      <c r="HV93" s="422">
        <f t="shared" si="734"/>
        <v>21500</v>
      </c>
      <c r="HW93" s="422">
        <f t="shared" si="734"/>
        <v>21500</v>
      </c>
      <c r="HX93" s="422">
        <f t="shared" si="734"/>
        <v>21500</v>
      </c>
      <c r="HY93" s="422">
        <f t="shared" si="734"/>
        <v>21500</v>
      </c>
      <c r="HZ93" s="422">
        <f t="shared" si="734"/>
        <v>21500</v>
      </c>
      <c r="IA93" s="422">
        <f t="shared" si="734"/>
        <v>21500</v>
      </c>
      <c r="IB93" s="422">
        <f t="shared" si="734"/>
        <v>21500</v>
      </c>
      <c r="IC93" s="422">
        <f t="shared" si="734"/>
        <v>21500</v>
      </c>
      <c r="ID93" s="422">
        <f t="shared" si="734"/>
        <v>21500</v>
      </c>
      <c r="IE93" s="422">
        <f t="shared" si="734"/>
        <v>21500</v>
      </c>
      <c r="IF93" s="422">
        <f t="shared" si="734"/>
        <v>21500</v>
      </c>
      <c r="IG93" s="422">
        <f t="shared" si="734"/>
        <v>21500</v>
      </c>
      <c r="IH93" s="422">
        <f t="shared" si="734"/>
        <v>21500</v>
      </c>
      <c r="II93" s="422">
        <f t="shared" si="734"/>
        <v>21500</v>
      </c>
      <c r="IJ93" s="422">
        <f t="shared" si="734"/>
        <v>21500</v>
      </c>
      <c r="IK93" s="422">
        <f t="shared" si="734"/>
        <v>21500</v>
      </c>
      <c r="IL93" s="422">
        <f t="shared" si="734"/>
        <v>21500</v>
      </c>
      <c r="IM93" s="422">
        <f t="shared" si="734"/>
        <v>21500</v>
      </c>
      <c r="IN93" s="422">
        <f t="shared" si="734"/>
        <v>21500</v>
      </c>
      <c r="IO93" s="422">
        <f t="shared" si="734"/>
        <v>21500</v>
      </c>
      <c r="IP93" s="422">
        <f t="shared" si="734"/>
        <v>21500</v>
      </c>
      <c r="IQ93" s="422">
        <f t="shared" si="734"/>
        <v>21500</v>
      </c>
      <c r="IR93" s="422">
        <f t="shared" si="734"/>
        <v>21500</v>
      </c>
      <c r="IS93" s="422">
        <f t="shared" si="734"/>
        <v>21500</v>
      </c>
      <c r="IT93" s="422">
        <f t="shared" si="734"/>
        <v>21500</v>
      </c>
      <c r="IU93" s="422">
        <f t="shared" si="734"/>
        <v>21500</v>
      </c>
      <c r="IV93" s="422">
        <f t="shared" si="734"/>
        <v>21500</v>
      </c>
      <c r="IW93" s="422">
        <f t="shared" si="734"/>
        <v>21500</v>
      </c>
      <c r="IX93" s="422">
        <f t="shared" si="734"/>
        <v>21500</v>
      </c>
      <c r="IY93" s="422">
        <f t="shared" si="734"/>
        <v>21500</v>
      </c>
      <c r="IZ93" s="422">
        <f t="shared" si="734"/>
        <v>21500</v>
      </c>
      <c r="JA93" s="422">
        <f t="shared" si="734"/>
        <v>21500</v>
      </c>
      <c r="JB93" s="422">
        <f t="shared" si="734"/>
        <v>21500</v>
      </c>
      <c r="JC93" s="422">
        <f t="shared" si="734"/>
        <v>21500</v>
      </c>
      <c r="JD93" s="422">
        <f t="shared" si="734"/>
        <v>21500</v>
      </c>
      <c r="JE93" s="422">
        <f t="shared" si="734"/>
        <v>21500</v>
      </c>
      <c r="JF93" s="422">
        <f t="shared" si="734"/>
        <v>21500</v>
      </c>
      <c r="JG93" s="422">
        <f t="shared" si="734"/>
        <v>21500</v>
      </c>
      <c r="JH93" s="422">
        <f t="shared" si="734"/>
        <v>21500</v>
      </c>
      <c r="JI93" s="422">
        <f t="shared" si="734"/>
        <v>21500</v>
      </c>
      <c r="JJ93" s="422">
        <f t="shared" si="734"/>
        <v>21500</v>
      </c>
      <c r="JK93" s="422">
        <f t="shared" si="734"/>
        <v>21500</v>
      </c>
      <c r="JL93" s="422">
        <f t="shared" si="734"/>
        <v>21500</v>
      </c>
      <c r="JM93" s="422">
        <f t="shared" si="734"/>
        <v>21500</v>
      </c>
      <c r="JN93" s="422">
        <f t="shared" si="734"/>
        <v>21500</v>
      </c>
      <c r="JO93" s="422">
        <f t="shared" si="734"/>
        <v>21500</v>
      </c>
      <c r="JP93" s="422">
        <f t="shared" si="734"/>
        <v>21500</v>
      </c>
      <c r="JQ93" s="422">
        <f t="shared" si="734"/>
        <v>21500</v>
      </c>
      <c r="JR93" s="422">
        <f t="shared" si="734"/>
        <v>21500</v>
      </c>
      <c r="JS93" s="422">
        <f t="shared" si="734"/>
        <v>21500</v>
      </c>
      <c r="JT93" s="422">
        <f t="shared" si="734"/>
        <v>21500</v>
      </c>
      <c r="JU93" s="422" t="n">
        <f t="shared" ref="JU93:JX104" si="735">(JU$3&gt;=$ER93)*$EQ93</f>
        <v>21500</v>
      </c>
      <c r="JV93" s="422">
        <f t="shared" si="735"/>
        <v>21500</v>
      </c>
      <c r="JW93" s="422">
        <f t="shared" si="735"/>
        <v>21500</v>
      </c>
      <c r="JX93" s="422">
        <f t="shared" si="735"/>
        <v>21500</v>
      </c>
      <c r="JZ93" s="220" t="str">
        <f>$B93</f>
        <v>URWLD</v>
      </c>
      <c r="KA93" s="422" t="n">
        <f t="shared" ref="KA93:KA104" si="736">I93</f>
        <v>8600000</v>
      </c>
      <c r="KB93" s="198" t="n">
        <f t="shared" ref="KB93:KB104" si="737">F93</f>
        <v>22</v>
      </c>
      <c r="KC93" s="207" t="n">
        <f t="shared" ref="KC93:KC104" si="738">G93</f>
        <v>0.035</v>
      </c>
      <c r="KD93" s="214" t="str">
        <f t="shared" si="596"/>
        <v>Annual</v>
      </c>
      <c r="KE93" s="474" t="n">
        <f>MATCH(KD93,Data!$G$24:$G$33,0)</f>
        <v>1</v>
      </c>
      <c r="KF93" s="264"/>
      <c r="KG93" s="475" t="n">
        <f>($KB93&lt;=KG$3)*($KA93/12)*(1+$KC93)^(ROUNDUP(MAX(KG$3-$KB93+1,0)/($KE93*12),0)-1)</f>
        <v>0</v>
      </c>
      <c r="KH93" s="475" t="n">
        <f t="shared" ref="KH93:KW104" si="739">($KB93&lt;=KH$3)*($KA93/12)*(1+$KC93)^(ROUNDUP(MAX(KH$3-$KB93+1,0)/($KE93*12),0)-1)</f>
        <v>0</v>
      </c>
      <c r="KI93" s="475">
        <f t="shared" si="739"/>
        <v>0</v>
      </c>
      <c r="KJ93" s="475">
        <f t="shared" si="739"/>
        <v>0</v>
      </c>
      <c r="KK93" s="475">
        <f t="shared" si="739"/>
        <v>0</v>
      </c>
      <c r="KL93" s="475">
        <f t="shared" si="739"/>
        <v>0</v>
      </c>
      <c r="KM93" s="475">
        <f t="shared" si="739"/>
        <v>0</v>
      </c>
      <c r="KN93" s="475">
        <f t="shared" si="739"/>
        <v>0</v>
      </c>
      <c r="KO93" s="475">
        <f t="shared" si="739"/>
        <v>0</v>
      </c>
      <c r="KP93" s="475">
        <f t="shared" si="739"/>
        <v>0</v>
      </c>
      <c r="KQ93" s="475">
        <f t="shared" si="739"/>
        <v>0</v>
      </c>
      <c r="KR93" s="475">
        <f t="shared" si="739"/>
        <v>0</v>
      </c>
      <c r="KS93" s="475">
        <f t="shared" si="739"/>
        <v>0</v>
      </c>
      <c r="KT93" s="475">
        <f t="shared" si="739"/>
        <v>0</v>
      </c>
      <c r="KU93" s="475">
        <f t="shared" si="739"/>
        <v>0</v>
      </c>
      <c r="KV93" s="475">
        <f t="shared" si="739"/>
        <v>0</v>
      </c>
      <c r="KW93" s="475">
        <f t="shared" si="739"/>
        <v>0</v>
      </c>
      <c r="KX93" s="475" t="n">
        <f t="shared" ref="KX93:LM104" si="740">($KB93&lt;=KX$3)*($KA93/12)*(1+$KC93)^(ROUNDUP(MAX(KX$3-$KB93+1,0)/($KE93*12),0)-1)</f>
        <v>0</v>
      </c>
      <c r="KY93" s="475">
        <f t="shared" si="740"/>
        <v>0</v>
      </c>
      <c r="KZ93" s="475">
        <f t="shared" si="740"/>
        <v>0</v>
      </c>
      <c r="LA93" s="475">
        <f t="shared" si="740"/>
        <v>0</v>
      </c>
      <c r="LB93" s="475">
        <f t="shared" si="740"/>
        <v>716666.66666666663</v>
      </c>
      <c r="LC93" s="475">
        <f t="shared" si="740"/>
        <v>716666.66666666663</v>
      </c>
      <c r="LD93" s="475">
        <f t="shared" si="740"/>
        <v>716666.66666666663</v>
      </c>
      <c r="LE93" s="475">
        <f t="shared" si="740"/>
        <v>716666.66666666663</v>
      </c>
      <c r="LF93" s="475">
        <f t="shared" si="740"/>
        <v>716666.66666666663</v>
      </c>
      <c r="LG93" s="475">
        <f t="shared" si="740"/>
        <v>716666.66666666663</v>
      </c>
      <c r="LH93" s="475">
        <f t="shared" si="740"/>
        <v>716666.66666666663</v>
      </c>
      <c r="LI93" s="475">
        <f t="shared" si="740"/>
        <v>716666.66666666663</v>
      </c>
      <c r="LJ93" s="475">
        <f t="shared" si="740"/>
        <v>716666.66666666663</v>
      </c>
      <c r="LK93" s="475">
        <f t="shared" si="740"/>
        <v>716666.66666666663</v>
      </c>
      <c r="LL93" s="475">
        <f t="shared" si="740"/>
        <v>716666.66666666663</v>
      </c>
      <c r="LM93" s="475">
        <f t="shared" si="740"/>
        <v>716666.66666666663</v>
      </c>
      <c r="LN93" s="475" t="n">
        <f t="shared" ref="LN93:MC104" si="741">($KB93&lt;=LN$3)*($KA93/12)*(1+$KC93)^(ROUNDUP(MAX(LN$3-$KB93+1,0)/($KE93*12),0)-1)</f>
        <v>741749.9999999999</v>
      </c>
      <c r="LO93" s="475">
        <f t="shared" si="741"/>
        <v>741749.99999999988</v>
      </c>
      <c r="LP93" s="475">
        <f t="shared" si="741"/>
        <v>741749.99999999988</v>
      </c>
      <c r="LQ93" s="475">
        <f t="shared" si="741"/>
        <v>741749.99999999988</v>
      </c>
      <c r="LR93" s="475">
        <f t="shared" si="741"/>
        <v>741749.99999999988</v>
      </c>
      <c r="LS93" s="475">
        <f t="shared" si="741"/>
        <v>741749.99999999988</v>
      </c>
      <c r="LT93" s="475">
        <f t="shared" si="741"/>
        <v>741749.99999999988</v>
      </c>
      <c r="LU93" s="475">
        <f t="shared" si="741"/>
        <v>741749.99999999988</v>
      </c>
      <c r="LV93" s="475">
        <f t="shared" si="741"/>
        <v>741749.99999999988</v>
      </c>
      <c r="LW93" s="475">
        <f t="shared" si="741"/>
        <v>741749.99999999988</v>
      </c>
      <c r="LX93" s="475">
        <f t="shared" si="741"/>
        <v>741749.99999999988</v>
      </c>
      <c r="LY93" s="475">
        <f t="shared" si="741"/>
        <v>741749.99999999988</v>
      </c>
      <c r="LZ93" s="475">
        <f t="shared" si="741"/>
        <v>767711.24999999988</v>
      </c>
      <c r="MA93" s="475">
        <f t="shared" si="741"/>
        <v>767711.24999999988</v>
      </c>
      <c r="MB93" s="475">
        <f t="shared" si="741"/>
        <v>767711.24999999988</v>
      </c>
      <c r="MC93" s="475">
        <f t="shared" si="741"/>
        <v>767711.24999999988</v>
      </c>
      <c r="MD93" s="475" t="n">
        <f t="shared" ref="MD93:MS104" si="742">($KB93&lt;=MD$3)*($KA93/12)*(1+$KC93)^(ROUNDUP(MAX(MD$3-$KB93+1,0)/($KE93*12),0)-1)</f>
        <v>767711.2499999999</v>
      </c>
      <c r="ME93" s="475">
        <f t="shared" si="742"/>
        <v>767711.24999999988</v>
      </c>
      <c r="MF93" s="475">
        <f t="shared" si="742"/>
        <v>767711.24999999988</v>
      </c>
      <c r="MG93" s="475">
        <f t="shared" si="742"/>
        <v>767711.24999999988</v>
      </c>
      <c r="MH93" s="475">
        <f t="shared" si="742"/>
        <v>767711.24999999988</v>
      </c>
      <c r="MI93" s="475">
        <f t="shared" si="742"/>
        <v>767711.24999999988</v>
      </c>
      <c r="MJ93" s="475">
        <f t="shared" si="742"/>
        <v>767711.24999999988</v>
      </c>
      <c r="MK93" s="475">
        <f t="shared" si="742"/>
        <v>767711.24999999988</v>
      </c>
      <c r="ML93" s="475">
        <f t="shared" si="742"/>
        <v>794581.14374999981</v>
      </c>
      <c r="MM93" s="475">
        <f t="shared" si="742"/>
        <v>794581.14374999981</v>
      </c>
      <c r="MN93" s="475">
        <f t="shared" si="742"/>
        <v>794581.14374999981</v>
      </c>
      <c r="MO93" s="475">
        <f t="shared" si="742"/>
        <v>794581.14374999981</v>
      </c>
      <c r="MP93" s="475">
        <f t="shared" si="742"/>
        <v>794581.14374999981</v>
      </c>
      <c r="MQ93" s="475">
        <f t="shared" si="742"/>
        <v>794581.14374999981</v>
      </c>
      <c r="MR93" s="475">
        <f t="shared" si="742"/>
        <v>794581.14374999981</v>
      </c>
      <c r="MS93" s="475">
        <f t="shared" si="742"/>
        <v>794581.14374999981</v>
      </c>
      <c r="MT93" s="475" t="n">
        <f t="shared" ref="MT93:NI104" si="743">($KB93&lt;=MT$3)*($KA93/12)*(1+$KC93)^(ROUNDUP(MAX(MT$3-$KB93+1,0)/($KE93*12),0)-1)</f>
        <v>794581.1437499998</v>
      </c>
      <c r="MU93" s="475">
        <f t="shared" si="743"/>
        <v>794581.14374999981</v>
      </c>
      <c r="MV93" s="475">
        <f t="shared" si="743"/>
        <v>794581.14374999981</v>
      </c>
      <c r="MW93" s="475">
        <f t="shared" si="743"/>
        <v>794581.14374999981</v>
      </c>
      <c r="MX93" s="475">
        <f t="shared" si="743"/>
        <v>822391.48378124973</v>
      </c>
      <c r="MY93" s="475">
        <f t="shared" si="743"/>
        <v>822391.48378124973</v>
      </c>
      <c r="MZ93" s="475">
        <f t="shared" si="743"/>
        <v>822391.48378124973</v>
      </c>
      <c r="NA93" s="475">
        <f t="shared" si="743"/>
        <v>822391.48378124973</v>
      </c>
      <c r="NB93" s="475">
        <f t="shared" si="743"/>
        <v>822391.48378124973</v>
      </c>
      <c r="NC93" s="475">
        <f t="shared" si="743"/>
        <v>822391.48378124973</v>
      </c>
      <c r="ND93" s="475">
        <f t="shared" si="743"/>
        <v>822391.48378124973</v>
      </c>
      <c r="NE93" s="475">
        <f t="shared" si="743"/>
        <v>822391.48378124973</v>
      </c>
      <c r="NF93" s="475">
        <f t="shared" si="743"/>
        <v>822391.48378124973</v>
      </c>
      <c r="NG93" s="475">
        <f t="shared" si="743"/>
        <v>822391.48378124973</v>
      </c>
      <c r="NH93" s="475">
        <f t="shared" si="743"/>
        <v>822391.48378124973</v>
      </c>
      <c r="NI93" s="475">
        <f t="shared" si="743"/>
        <v>822391.48378124973</v>
      </c>
      <c r="NJ93" s="475" t="n">
        <f t="shared" ref="NJ93:NY104" si="744">($KB93&lt;=NJ$3)*($KA93/12)*(1+$KC93)^(ROUNDUP(MAX(NJ$3-$KB93+1,0)/($KE93*12),0)-1)</f>
        <v>851175.1857135934</v>
      </c>
      <c r="NK93" s="475">
        <f t="shared" si="744"/>
        <v>851175.18571359338</v>
      </c>
      <c r="NL93" s="475">
        <f t="shared" si="744"/>
        <v>851175.18571359338</v>
      </c>
      <c r="NM93" s="475">
        <f t="shared" si="744"/>
        <v>851175.18571359338</v>
      </c>
      <c r="NN93" s="475">
        <f t="shared" si="744"/>
        <v>851175.18571359338</v>
      </c>
      <c r="NO93" s="475">
        <f t="shared" si="744"/>
        <v>851175.18571359338</v>
      </c>
      <c r="NP93" s="475">
        <f t="shared" si="744"/>
        <v>851175.18571359338</v>
      </c>
      <c r="NQ93" s="475">
        <f t="shared" si="744"/>
        <v>851175.18571359338</v>
      </c>
      <c r="NR93" s="475">
        <f t="shared" si="744"/>
        <v>851175.18571359338</v>
      </c>
      <c r="NS93" s="475">
        <f t="shared" si="744"/>
        <v>851175.18571359338</v>
      </c>
      <c r="NT93" s="475">
        <f t="shared" si="744"/>
        <v>851175.18571359338</v>
      </c>
      <c r="NU93" s="475">
        <f t="shared" si="744"/>
        <v>851175.18571359338</v>
      </c>
      <c r="NV93" s="475">
        <f t="shared" si="744"/>
        <v>880966.31721356919</v>
      </c>
      <c r="NW93" s="475">
        <f t="shared" si="744"/>
        <v>880966.31721356919</v>
      </c>
      <c r="NX93" s="475">
        <f t="shared" si="744"/>
        <v>880966.31721356919</v>
      </c>
      <c r="NY93" s="475">
        <f t="shared" si="744"/>
        <v>880966.31721356919</v>
      </c>
      <c r="NZ93" s="475" t="n">
        <f t="shared" ref="NZ93:OO104" si="745">($KB93&lt;=NZ$3)*($KA93/12)*(1+$KC93)^(ROUNDUP(MAX(NZ$3-$KB93+1,0)/($KE93*12),0)-1)</f>
        <v>880966.3172135692</v>
      </c>
      <c r="OA93" s="475">
        <f t="shared" si="745"/>
        <v>880966.31721356919</v>
      </c>
      <c r="OB93" s="475">
        <f t="shared" si="745"/>
        <v>880966.31721356919</v>
      </c>
      <c r="OC93" s="475">
        <f t="shared" si="745"/>
        <v>880966.31721356919</v>
      </c>
      <c r="OD93" s="475">
        <f t="shared" si="745"/>
        <v>880966.31721356919</v>
      </c>
      <c r="OE93" s="475">
        <f t="shared" si="745"/>
        <v>880966.31721356919</v>
      </c>
      <c r="OF93" s="475">
        <f t="shared" si="745"/>
        <v>880966.31721356919</v>
      </c>
      <c r="OG93" s="475">
        <f t="shared" si="745"/>
        <v>880966.31721356919</v>
      </c>
      <c r="OH93" s="475">
        <f t="shared" si="745"/>
        <v>911800.138316044</v>
      </c>
      <c r="OI93" s="475">
        <f t="shared" si="745"/>
        <v>911800.138316044</v>
      </c>
      <c r="OJ93" s="475">
        <f t="shared" si="745"/>
        <v>911800.138316044</v>
      </c>
      <c r="OK93" s="475">
        <f t="shared" si="745"/>
        <v>911800.138316044</v>
      </c>
      <c r="OL93" s="475">
        <f t="shared" si="745"/>
        <v>911800.138316044</v>
      </c>
      <c r="OM93" s="475">
        <f t="shared" si="745"/>
        <v>911800.138316044</v>
      </c>
      <c r="ON93" s="475">
        <f t="shared" si="745"/>
        <v>911800.138316044</v>
      </c>
      <c r="OO93" s="475">
        <f t="shared" si="745"/>
        <v>911800.138316044</v>
      </c>
      <c r="OP93" s="475" t="n">
        <f t="shared" ref="OP93:PE104" si="746">($KB93&lt;=OP$3)*($KA93/12)*(1+$KC93)^(ROUNDUP(MAX(OP$3-$KB93+1,0)/($KE93*12),0)-1)</f>
        <v>911800.138316044</v>
      </c>
      <c r="OQ93" s="475">
        <f t="shared" si="746"/>
        <v>911800.138316044</v>
      </c>
      <c r="OR93" s="475">
        <f t="shared" si="746"/>
        <v>911800.138316044</v>
      </c>
      <c r="OS93" s="475">
        <f t="shared" si="746"/>
        <v>911800.138316044</v>
      </c>
      <c r="OT93" s="475">
        <f t="shared" si="746"/>
        <v>943713.14315710531</v>
      </c>
      <c r="OU93" s="475">
        <f t="shared" si="746"/>
        <v>943713.14315710531</v>
      </c>
      <c r="OV93" s="475">
        <f t="shared" si="746"/>
        <v>943713.14315710531</v>
      </c>
      <c r="OW93" s="475">
        <f t="shared" si="746"/>
        <v>943713.14315710531</v>
      </c>
      <c r="OX93" s="475">
        <f t="shared" si="746"/>
        <v>943713.14315710531</v>
      </c>
      <c r="OY93" s="475">
        <f t="shared" si="746"/>
        <v>943713.14315710531</v>
      </c>
      <c r="OZ93" s="475">
        <f t="shared" si="746"/>
        <v>943713.14315710531</v>
      </c>
      <c r="PA93" s="475">
        <f t="shared" si="746"/>
        <v>943713.14315710531</v>
      </c>
      <c r="PB93" s="475">
        <f t="shared" si="746"/>
        <v>943713.14315710531</v>
      </c>
      <c r="PC93" s="475">
        <f t="shared" si="746"/>
        <v>943713.14315710531</v>
      </c>
      <c r="PD93" s="475">
        <f t="shared" si="746"/>
        <v>943713.14315710531</v>
      </c>
      <c r="PE93" s="475">
        <f t="shared" si="746"/>
        <v>943713.14315710531</v>
      </c>
      <c r="PF93" s="475" t="n">
        <f t="shared" ref="PF93:PH104" si="747">($KB93&lt;=PF$3)*($KA93/12)*(1+$KC93)^(ROUNDUP(MAX(PF$3-$KB93+1,0)/($KE93*12),0)-1)</f>
        <v>976743.103167604</v>
      </c>
      <c r="PG93" s="475">
        <f t="shared" si="747"/>
        <v>976743.10316760396</v>
      </c>
      <c r="PH93" s="475">
        <f t="shared" si="747"/>
        <v>976743.10316760396</v>
      </c>
    </row>
    <row r="94">
      <c r="B94" s="473" t="s">
        <v>240</v>
      </c>
      <c r="C94" s="473" t="s">
        <v>241</v>
      </c>
      <c r="D94" s="46">
        <v>22</v>
      </c>
      <c r="E94" s="420" t="n">
        <f>PROJECTS!$AP$21</f>
        <v>20000</v>
      </c>
      <c r="F94" s="46" t="n">
        <f t="shared" ref="F94:F103" si="748">D94+3</f>
        <v>25</v>
      </c>
      <c r="G94" s="44" t="n">
        <f>PROJECTS!$AP$68</f>
        <v>0.035</v>
      </c>
      <c r="H94" s="144" t="str">
        <f>PROJECTS!$AP$70</f>
      </c>
      <c r="I94" s="428">
        <f t="shared" si="601"/>
        <v>0</v>
      </c>
      <c r="K94" s="290" t="s">
        <v>239</v>
      </c>
      <c r="L94" s="76"/>
      <c r="M94" s="421" t="n">
        <f t="shared" ref="M94:M104" si="749">KG94</f>
        <v>0</v>
      </c>
      <c r="N94" s="421">
        <f t="shared" si="602"/>
        <v>0</v>
      </c>
      <c r="O94" s="421">
        <f t="shared" si="603"/>
        <v>0</v>
      </c>
      <c r="P94" s="421">
        <f t="shared" si="604"/>
        <v>0</v>
      </c>
      <c r="Q94" s="421">
        <f t="shared" si="605"/>
        <v>0</v>
      </c>
      <c r="R94" s="421">
        <f t="shared" si="606"/>
        <v>0</v>
      </c>
      <c r="S94" s="421">
        <f t="shared" si="607"/>
        <v>0</v>
      </c>
      <c r="T94" s="421">
        <f t="shared" si="608"/>
        <v>0</v>
      </c>
      <c r="U94" s="421">
        <f t="shared" si="609"/>
        <v>0</v>
      </c>
      <c r="V94" s="421">
        <f t="shared" si="610"/>
        <v>0</v>
      </c>
      <c r="W94" s="421">
        <f t="shared" si="611"/>
        <v>0</v>
      </c>
      <c r="X94" s="421">
        <f t="shared" si="612"/>
        <v>0</v>
      </c>
      <c r="Y94" s="421">
        <f t="shared" si="613"/>
        <v>0</v>
      </c>
      <c r="Z94" s="421">
        <f t="shared" si="614"/>
        <v>0</v>
      </c>
      <c r="AA94" s="421">
        <f t="shared" si="615"/>
        <v>0</v>
      </c>
      <c r="AB94" s="421">
        <f t="shared" si="616"/>
        <v>0</v>
      </c>
      <c r="AC94" s="421">
        <f t="shared" si="617"/>
        <v>0</v>
      </c>
      <c r="AD94" s="421">
        <f t="shared" si="618"/>
        <v>0</v>
      </c>
      <c r="AE94" s="421">
        <f t="shared" si="619"/>
        <v>0</v>
      </c>
      <c r="AF94" s="421">
        <f t="shared" si="620"/>
        <v>0</v>
      </c>
      <c r="AG94" s="421">
        <f t="shared" si="621"/>
        <v>0</v>
      </c>
      <c r="AH94" s="421">
        <f t="shared" si="622"/>
        <v>0</v>
      </c>
      <c r="AI94" s="421">
        <f t="shared" si="623"/>
        <v>0</v>
      </c>
      <c r="AJ94" s="421">
        <f t="shared" si="624"/>
        <v>0</v>
      </c>
      <c r="AK94" s="421">
        <f t="shared" si="625"/>
        <v>0</v>
      </c>
      <c r="AL94" s="421">
        <f t="shared" si="626"/>
        <v>0</v>
      </c>
      <c r="AM94" s="421">
        <f t="shared" si="627"/>
        <v>0</v>
      </c>
      <c r="AN94" s="421">
        <f t="shared" si="628"/>
        <v>0</v>
      </c>
      <c r="AO94" s="421">
        <f t="shared" si="629"/>
        <v>0</v>
      </c>
      <c r="AP94" s="421">
        <f t="shared" si="630"/>
        <v>0</v>
      </c>
      <c r="AQ94" s="421">
        <f t="shared" si="631"/>
        <v>0</v>
      </c>
      <c r="AR94" s="421">
        <f t="shared" si="632"/>
        <v>0</v>
      </c>
      <c r="AS94" s="421">
        <f t="shared" si="633"/>
        <v>0</v>
      </c>
      <c r="AT94" s="421">
        <f t="shared" si="634"/>
        <v>0</v>
      </c>
      <c r="AU94" s="421">
        <f t="shared" si="635"/>
        <v>0</v>
      </c>
      <c r="AV94" s="421">
        <f t="shared" si="636"/>
        <v>0</v>
      </c>
      <c r="AW94" s="421">
        <f t="shared" si="637"/>
        <v>0</v>
      </c>
      <c r="AX94" s="421">
        <f t="shared" si="638"/>
        <v>0</v>
      </c>
      <c r="AY94" s="421">
        <f t="shared" si="639"/>
        <v>0</v>
      </c>
      <c r="AZ94" s="421">
        <f t="shared" si="640"/>
        <v>0</v>
      </c>
      <c r="BA94" s="421">
        <f t="shared" si="641"/>
        <v>0</v>
      </c>
      <c r="BB94" s="421">
        <f t="shared" si="642"/>
        <v>0</v>
      </c>
      <c r="BC94" s="421">
        <f t="shared" si="643"/>
        <v>0</v>
      </c>
      <c r="BD94" s="421">
        <f t="shared" si="644"/>
        <v>0</v>
      </c>
      <c r="BE94" s="421">
        <f t="shared" si="645"/>
        <v>0</v>
      </c>
      <c r="BF94" s="421">
        <f t="shared" si="646"/>
        <v>0</v>
      </c>
      <c r="BG94" s="421">
        <f t="shared" si="647"/>
        <v>0</v>
      </c>
      <c r="BH94" s="421">
        <f t="shared" si="648"/>
        <v>0</v>
      </c>
      <c r="BI94" s="421">
        <f t="shared" si="649"/>
        <v>0</v>
      </c>
      <c r="BJ94" s="421">
        <f t="shared" si="650"/>
        <v>0</v>
      </c>
      <c r="BK94" s="421">
        <f t="shared" si="651"/>
        <v>0</v>
      </c>
      <c r="BL94" s="421">
        <f t="shared" si="652"/>
        <v>0</v>
      </c>
      <c r="BM94" s="421">
        <f t="shared" si="653"/>
        <v>0</v>
      </c>
      <c r="BN94" s="421">
        <f t="shared" si="654"/>
        <v>0</v>
      </c>
      <c r="BO94" s="421">
        <f t="shared" si="655"/>
        <v>0</v>
      </c>
      <c r="BP94" s="421">
        <f t="shared" si="656"/>
        <v>0</v>
      </c>
      <c r="BQ94" s="421">
        <f t="shared" si="657"/>
        <v>0</v>
      </c>
      <c r="BR94" s="421">
        <f t="shared" si="658"/>
        <v>0</v>
      </c>
      <c r="BS94" s="421">
        <f t="shared" si="659"/>
        <v>0</v>
      </c>
      <c r="BT94" s="421">
        <f t="shared" si="660"/>
        <v>0</v>
      </c>
      <c r="BU94" s="421">
        <f t="shared" si="661"/>
        <v>0</v>
      </c>
      <c r="BV94" s="421">
        <f t="shared" si="662"/>
        <v>0</v>
      </c>
      <c r="BW94" s="421">
        <f t="shared" si="663"/>
        <v>0</v>
      </c>
      <c r="BX94" s="421">
        <f t="shared" si="664"/>
        <v>0</v>
      </c>
      <c r="BY94" s="421">
        <f t="shared" si="665"/>
        <v>0</v>
      </c>
      <c r="BZ94" s="421">
        <f t="shared" si="666"/>
        <v>0</v>
      </c>
      <c r="CA94" s="421">
        <f t="shared" si="667"/>
        <v>0</v>
      </c>
      <c r="CB94" s="421">
        <f t="shared" si="668"/>
        <v>0</v>
      </c>
      <c r="CC94" s="421">
        <f t="shared" si="669"/>
        <v>0</v>
      </c>
      <c r="CD94" s="421">
        <f t="shared" si="670"/>
        <v>0</v>
      </c>
      <c r="CE94" s="421">
        <f t="shared" si="671"/>
        <v>0</v>
      </c>
      <c r="CF94" s="421">
        <f t="shared" si="672"/>
        <v>0</v>
      </c>
      <c r="CG94" s="421">
        <f t="shared" si="673"/>
        <v>0</v>
      </c>
      <c r="CH94" s="421">
        <f t="shared" si="674"/>
        <v>0</v>
      </c>
      <c r="CI94" s="421">
        <f t="shared" si="675"/>
        <v>0</v>
      </c>
      <c r="CJ94" s="421">
        <f t="shared" si="676"/>
        <v>0</v>
      </c>
      <c r="CK94" s="421">
        <f t="shared" si="677"/>
        <v>0</v>
      </c>
      <c r="CL94" s="421">
        <f t="shared" si="678"/>
        <v>0</v>
      </c>
      <c r="CM94" s="421">
        <f t="shared" si="679"/>
        <v>0</v>
      </c>
      <c r="CN94" s="421">
        <f t="shared" si="680"/>
        <v>0</v>
      </c>
      <c r="CO94" s="421">
        <f t="shared" si="681"/>
        <v>0</v>
      </c>
      <c r="CP94" s="421">
        <f t="shared" si="682"/>
        <v>0</v>
      </c>
      <c r="CQ94" s="421">
        <f t="shared" si="683"/>
        <v>0</v>
      </c>
      <c r="CR94" s="421">
        <f t="shared" si="684"/>
        <v>0</v>
      </c>
      <c r="CS94" s="421">
        <f t="shared" si="685"/>
        <v>0</v>
      </c>
      <c r="CT94" s="421">
        <f t="shared" si="686"/>
        <v>0</v>
      </c>
      <c r="CU94" s="421">
        <f t="shared" si="687"/>
        <v>0</v>
      </c>
      <c r="CV94" s="421">
        <f t="shared" si="688"/>
        <v>0</v>
      </c>
      <c r="CW94" s="421">
        <f t="shared" si="689"/>
        <v>0</v>
      </c>
      <c r="CX94" s="421">
        <f t="shared" si="690"/>
        <v>0</v>
      </c>
      <c r="CY94" s="421">
        <f t="shared" si="691"/>
        <v>0</v>
      </c>
      <c r="CZ94" s="421">
        <f t="shared" si="692"/>
        <v>0</v>
      </c>
      <c r="DA94" s="421">
        <f t="shared" si="693"/>
        <v>0</v>
      </c>
      <c r="DB94" s="421">
        <f t="shared" si="694"/>
        <v>0</v>
      </c>
      <c r="DC94" s="421">
        <f t="shared" si="695"/>
        <v>0</v>
      </c>
      <c r="DD94" s="421">
        <f t="shared" si="696"/>
        <v>0</v>
      </c>
      <c r="DE94" s="421">
        <f t="shared" si="697"/>
        <v>0</v>
      </c>
      <c r="DF94" s="421">
        <f t="shared" si="698"/>
        <v>0</v>
      </c>
      <c r="DG94" s="421">
        <f t="shared" si="699"/>
        <v>0</v>
      </c>
      <c r="DH94" s="421">
        <f t="shared" si="700"/>
        <v>0</v>
      </c>
      <c r="DI94" s="421">
        <f t="shared" si="701"/>
        <v>0</v>
      </c>
      <c r="DJ94" s="421">
        <f t="shared" si="702"/>
        <v>0</v>
      </c>
      <c r="DK94" s="421">
        <f t="shared" si="703"/>
        <v>0</v>
      </c>
      <c r="DL94" s="421">
        <f t="shared" si="704"/>
        <v>0</v>
      </c>
      <c r="DM94" s="421">
        <f t="shared" si="705"/>
        <v>0</v>
      </c>
      <c r="DN94" s="421">
        <f t="shared" si="706"/>
        <v>0</v>
      </c>
      <c r="DO94" s="421">
        <f t="shared" si="707"/>
        <v>0</v>
      </c>
      <c r="DP94" s="421">
        <f t="shared" si="708"/>
        <v>0</v>
      </c>
      <c r="DQ94" s="421">
        <f t="shared" si="709"/>
        <v>0</v>
      </c>
      <c r="DR94" s="421">
        <f t="shared" si="710"/>
        <v>0</v>
      </c>
      <c r="DS94" s="421">
        <f t="shared" si="711"/>
        <v>0</v>
      </c>
      <c r="DT94" s="421">
        <f t="shared" si="712"/>
        <v>0</v>
      </c>
      <c r="DU94" s="421">
        <f t="shared" si="713"/>
        <v>0</v>
      </c>
      <c r="DV94" s="421">
        <f t="shared" si="714"/>
        <v>0</v>
      </c>
      <c r="DW94" s="421">
        <f t="shared" si="715"/>
        <v>0</v>
      </c>
      <c r="DX94" s="421">
        <f t="shared" si="716"/>
        <v>0</v>
      </c>
      <c r="DY94" s="421">
        <f t="shared" si="717"/>
        <v>0</v>
      </c>
      <c r="DZ94" s="421">
        <f t="shared" si="718"/>
        <v>0</v>
      </c>
      <c r="EA94" s="421">
        <f t="shared" si="719"/>
        <v>0</v>
      </c>
      <c r="EB94" s="421">
        <f t="shared" si="720"/>
        <v>0</v>
      </c>
      <c r="EC94" s="421">
        <f t="shared" si="721"/>
        <v>0</v>
      </c>
      <c r="ED94" s="421">
        <f t="shared" si="722"/>
        <v>0</v>
      </c>
      <c r="EE94" s="421">
        <f t="shared" si="723"/>
        <v>0</v>
      </c>
      <c r="EF94" s="421">
        <f t="shared" si="724"/>
        <v>0</v>
      </c>
      <c r="EG94" s="421">
        <f t="shared" si="725"/>
        <v>0</v>
      </c>
      <c r="EH94" s="421">
        <f t="shared" si="726"/>
        <v>0</v>
      </c>
      <c r="EI94" s="421">
        <f t="shared" si="727"/>
        <v>0</v>
      </c>
      <c r="EJ94" s="421">
        <f t="shared" si="728"/>
        <v>0</v>
      </c>
      <c r="EK94" s="421">
        <f t="shared" si="729"/>
        <v>0</v>
      </c>
      <c r="EL94" s="421">
        <f t="shared" si="730"/>
        <v>0</v>
      </c>
      <c r="EM94" s="421">
        <f t="shared" si="731"/>
        <v>0</v>
      </c>
      <c r="EN94" s="421">
        <f t="shared" si="732"/>
        <v>0</v>
      </c>
      <c r="EP94" s="220" t="str">
        <f t="shared" ref="EP94:EP104" si="750">$B94</f>
        <v>Student Accommodation</v>
      </c>
      <c r="EQ94" s="20" t="n">
        <f t="shared" ref="EQ94:EQ104" si="751">$E94</f>
        <v>20000</v>
      </c>
      <c r="ER94" s="198" t="n">
        <f t="shared" ref="ER94:ER104" si="752">$D94</f>
        <v>22</v>
      </c>
      <c r="ES94" s="18"/>
      <c r="ET94" s="18"/>
      <c r="EU94" s="18"/>
      <c r="EV94" s="422" t="n">
        <f t="shared" ref="EV94:FK104" si="753">(EV$3&gt;=$ER94)*$EQ94</f>
        <v>0</v>
      </c>
      <c r="EW94" s="422">
        <f t="shared" si="753"/>
        <v>0</v>
      </c>
      <c r="EX94" s="422">
        <f t="shared" si="753"/>
        <v>0</v>
      </c>
      <c r="EY94" s="422">
        <f t="shared" si="753"/>
        <v>0</v>
      </c>
      <c r="EZ94" s="422">
        <f t="shared" si="753"/>
        <v>0</v>
      </c>
      <c r="FA94" s="422">
        <f t="shared" si="753"/>
        <v>0</v>
      </c>
      <c r="FB94" s="422">
        <f t="shared" si="753"/>
        <v>0</v>
      </c>
      <c r="FC94" s="422">
        <f t="shared" si="753"/>
        <v>0</v>
      </c>
      <c r="FD94" s="422">
        <f t="shared" si="753"/>
        <v>0</v>
      </c>
      <c r="FE94" s="422">
        <f t="shared" si="753"/>
        <v>0</v>
      </c>
      <c r="FF94" s="422">
        <f t="shared" si="753"/>
        <v>0</v>
      </c>
      <c r="FG94" s="422">
        <f t="shared" si="753"/>
        <v>0</v>
      </c>
      <c r="FH94" s="422">
        <f t="shared" si="753"/>
        <v>0</v>
      </c>
      <c r="FI94" s="422">
        <f t="shared" si="753"/>
        <v>0</v>
      </c>
      <c r="FJ94" s="422">
        <f t="shared" si="753"/>
        <v>0</v>
      </c>
      <c r="FK94" s="422">
        <f t="shared" si="753"/>
        <v>0</v>
      </c>
      <c r="FL94" s="422">
        <f t="shared" si="733"/>
        <v>0</v>
      </c>
      <c r="FM94" s="422">
        <f t="shared" si="733"/>
        <v>0</v>
      </c>
      <c r="FN94" s="422">
        <f t="shared" si="733"/>
        <v>0</v>
      </c>
      <c r="FO94" s="422">
        <f t="shared" si="733"/>
        <v>0</v>
      </c>
      <c r="FP94" s="422">
        <f t="shared" si="733"/>
        <v>0</v>
      </c>
      <c r="FQ94" s="422">
        <f t="shared" si="733"/>
        <v>0</v>
      </c>
      <c r="FR94" s="422">
        <f t="shared" si="733"/>
        <v>20000</v>
      </c>
      <c r="FS94" s="422">
        <f t="shared" si="733"/>
        <v>20000</v>
      </c>
      <c r="FT94" s="422">
        <f t="shared" si="733"/>
        <v>20000</v>
      </c>
      <c r="FU94" s="422">
        <f t="shared" si="733"/>
        <v>20000</v>
      </c>
      <c r="FV94" s="422">
        <f t="shared" si="733"/>
        <v>20000</v>
      </c>
      <c r="FW94" s="422">
        <f t="shared" si="733"/>
        <v>20000</v>
      </c>
      <c r="FX94" s="422">
        <f t="shared" si="733"/>
        <v>20000</v>
      </c>
      <c r="FY94" s="422">
        <f t="shared" si="733"/>
        <v>20000</v>
      </c>
      <c r="FZ94" s="422">
        <f t="shared" si="733"/>
        <v>20000</v>
      </c>
      <c r="GA94" s="422">
        <f t="shared" si="733"/>
        <v>20000</v>
      </c>
      <c r="GB94" s="422">
        <f t="shared" si="733"/>
        <v>20000</v>
      </c>
      <c r="GC94" s="422">
        <f t="shared" si="733"/>
        <v>20000</v>
      </c>
      <c r="GD94" s="422">
        <f t="shared" si="733"/>
        <v>20000</v>
      </c>
      <c r="GE94" s="422">
        <f t="shared" si="733"/>
        <v>20000</v>
      </c>
      <c r="GF94" s="422">
        <f t="shared" si="733"/>
        <v>20000</v>
      </c>
      <c r="GG94" s="422">
        <f t="shared" si="733"/>
        <v>20000</v>
      </c>
      <c r="GH94" s="422">
        <f t="shared" si="733"/>
        <v>20000</v>
      </c>
      <c r="GI94" s="422">
        <f t="shared" si="733"/>
        <v>20000</v>
      </c>
      <c r="GJ94" s="422">
        <f t="shared" si="733"/>
        <v>20000</v>
      </c>
      <c r="GK94" s="422">
        <f t="shared" si="733"/>
        <v>20000</v>
      </c>
      <c r="GL94" s="422">
        <f t="shared" si="733"/>
        <v>20000</v>
      </c>
      <c r="GM94" s="422">
        <f t="shared" si="733"/>
        <v>20000</v>
      </c>
      <c r="GN94" s="422">
        <f t="shared" si="733"/>
        <v>20000</v>
      </c>
      <c r="GO94" s="422">
        <f t="shared" si="733"/>
        <v>20000</v>
      </c>
      <c r="GP94" s="422">
        <f t="shared" si="733"/>
        <v>20000</v>
      </c>
      <c r="GQ94" s="422">
        <f t="shared" si="733"/>
        <v>20000</v>
      </c>
      <c r="GR94" s="422">
        <f t="shared" si="733"/>
        <v>20000</v>
      </c>
      <c r="GS94" s="422">
        <f t="shared" si="733"/>
        <v>20000</v>
      </c>
      <c r="GT94" s="422">
        <f t="shared" si="733"/>
        <v>20000</v>
      </c>
      <c r="GU94" s="422">
        <f t="shared" si="733"/>
        <v>20000</v>
      </c>
      <c r="GV94" s="422">
        <f t="shared" si="733"/>
        <v>20000</v>
      </c>
      <c r="GW94" s="422">
        <f t="shared" si="733"/>
        <v>20000</v>
      </c>
      <c r="GX94" s="422">
        <f t="shared" si="733"/>
        <v>20000</v>
      </c>
      <c r="GY94" s="422">
        <f t="shared" si="733"/>
        <v>20000</v>
      </c>
      <c r="GZ94" s="422">
        <f t="shared" si="733"/>
        <v>20000</v>
      </c>
      <c r="HA94" s="422">
        <f t="shared" si="733"/>
        <v>20000</v>
      </c>
      <c r="HB94" s="422">
        <f t="shared" si="733"/>
        <v>20000</v>
      </c>
      <c r="HC94" s="422">
        <f t="shared" si="733"/>
        <v>20000</v>
      </c>
      <c r="HD94" s="422">
        <f t="shared" si="733"/>
        <v>20000</v>
      </c>
      <c r="HE94" s="422">
        <f t="shared" si="733"/>
        <v>20000</v>
      </c>
      <c r="HF94" s="422">
        <f t="shared" si="733"/>
        <v>20000</v>
      </c>
      <c r="HG94" s="422">
        <f t="shared" si="733"/>
        <v>20000</v>
      </c>
      <c r="HH94" s="422">
        <f t="shared" si="733"/>
        <v>20000</v>
      </c>
      <c r="HI94" s="422">
        <f t="shared" si="734"/>
        <v>20000</v>
      </c>
      <c r="HJ94" s="422">
        <f t="shared" si="734"/>
        <v>20000</v>
      </c>
      <c r="HK94" s="422">
        <f t="shared" si="734"/>
        <v>20000</v>
      </c>
      <c r="HL94" s="422">
        <f t="shared" si="734"/>
        <v>20000</v>
      </c>
      <c r="HM94" s="422">
        <f t="shared" si="734"/>
        <v>20000</v>
      </c>
      <c r="HN94" s="422">
        <f t="shared" si="734"/>
        <v>20000</v>
      </c>
      <c r="HO94" s="422">
        <f t="shared" si="734"/>
        <v>20000</v>
      </c>
      <c r="HP94" s="422">
        <f t="shared" si="734"/>
        <v>20000</v>
      </c>
      <c r="HQ94" s="422">
        <f t="shared" si="734"/>
        <v>20000</v>
      </c>
      <c r="HR94" s="422">
        <f t="shared" si="734"/>
        <v>20000</v>
      </c>
      <c r="HS94" s="422">
        <f t="shared" si="734"/>
        <v>20000</v>
      </c>
      <c r="HT94" s="422">
        <f t="shared" si="734"/>
        <v>20000</v>
      </c>
      <c r="HU94" s="422">
        <f t="shared" si="734"/>
        <v>20000</v>
      </c>
      <c r="HV94" s="422">
        <f t="shared" si="734"/>
        <v>20000</v>
      </c>
      <c r="HW94" s="422">
        <f t="shared" si="734"/>
        <v>20000</v>
      </c>
      <c r="HX94" s="422">
        <f t="shared" si="734"/>
        <v>20000</v>
      </c>
      <c r="HY94" s="422">
        <f t="shared" si="734"/>
        <v>20000</v>
      </c>
      <c r="HZ94" s="422">
        <f t="shared" si="734"/>
        <v>20000</v>
      </c>
      <c r="IA94" s="422">
        <f t="shared" si="734"/>
        <v>20000</v>
      </c>
      <c r="IB94" s="422">
        <f t="shared" si="734"/>
        <v>20000</v>
      </c>
      <c r="IC94" s="422">
        <f t="shared" si="734"/>
        <v>20000</v>
      </c>
      <c r="ID94" s="422">
        <f t="shared" si="734"/>
        <v>20000</v>
      </c>
      <c r="IE94" s="422">
        <f t="shared" si="734"/>
        <v>20000</v>
      </c>
      <c r="IF94" s="422">
        <f t="shared" si="734"/>
        <v>20000</v>
      </c>
      <c r="IG94" s="422">
        <f t="shared" si="734"/>
        <v>20000</v>
      </c>
      <c r="IH94" s="422">
        <f t="shared" si="734"/>
        <v>20000</v>
      </c>
      <c r="II94" s="422">
        <f t="shared" si="734"/>
        <v>20000</v>
      </c>
      <c r="IJ94" s="422">
        <f t="shared" si="734"/>
        <v>20000</v>
      </c>
      <c r="IK94" s="422">
        <f t="shared" si="734"/>
        <v>20000</v>
      </c>
      <c r="IL94" s="422">
        <f t="shared" si="734"/>
        <v>20000</v>
      </c>
      <c r="IM94" s="422">
        <f t="shared" si="734"/>
        <v>20000</v>
      </c>
      <c r="IN94" s="422">
        <f t="shared" si="734"/>
        <v>20000</v>
      </c>
      <c r="IO94" s="422">
        <f t="shared" si="734"/>
        <v>20000</v>
      </c>
      <c r="IP94" s="422">
        <f t="shared" si="734"/>
        <v>20000</v>
      </c>
      <c r="IQ94" s="422">
        <f t="shared" si="734"/>
        <v>20000</v>
      </c>
      <c r="IR94" s="422">
        <f t="shared" si="734"/>
        <v>20000</v>
      </c>
      <c r="IS94" s="422">
        <f t="shared" si="734"/>
        <v>20000</v>
      </c>
      <c r="IT94" s="422">
        <f t="shared" si="734"/>
        <v>20000</v>
      </c>
      <c r="IU94" s="422">
        <f t="shared" si="734"/>
        <v>20000</v>
      </c>
      <c r="IV94" s="422">
        <f t="shared" si="734"/>
        <v>20000</v>
      </c>
      <c r="IW94" s="422">
        <f t="shared" si="734"/>
        <v>20000</v>
      </c>
      <c r="IX94" s="422">
        <f t="shared" si="734"/>
        <v>20000</v>
      </c>
      <c r="IY94" s="422">
        <f t="shared" si="734"/>
        <v>20000</v>
      </c>
      <c r="IZ94" s="422">
        <f t="shared" si="734"/>
        <v>20000</v>
      </c>
      <c r="JA94" s="422">
        <f t="shared" si="734"/>
        <v>20000</v>
      </c>
      <c r="JB94" s="422">
        <f t="shared" si="734"/>
        <v>20000</v>
      </c>
      <c r="JC94" s="422">
        <f t="shared" si="734"/>
        <v>20000</v>
      </c>
      <c r="JD94" s="422">
        <f t="shared" si="734"/>
        <v>20000</v>
      </c>
      <c r="JE94" s="422">
        <f t="shared" si="734"/>
        <v>20000</v>
      </c>
      <c r="JF94" s="422">
        <f t="shared" si="734"/>
        <v>20000</v>
      </c>
      <c r="JG94" s="422">
        <f t="shared" si="734"/>
        <v>20000</v>
      </c>
      <c r="JH94" s="422">
        <f t="shared" si="734"/>
        <v>20000</v>
      </c>
      <c r="JI94" s="422">
        <f t="shared" si="734"/>
        <v>20000</v>
      </c>
      <c r="JJ94" s="422">
        <f t="shared" si="734"/>
        <v>20000</v>
      </c>
      <c r="JK94" s="422">
        <f t="shared" si="734"/>
        <v>20000</v>
      </c>
      <c r="JL94" s="422">
        <f t="shared" si="734"/>
        <v>20000</v>
      </c>
      <c r="JM94" s="422">
        <f t="shared" si="734"/>
        <v>20000</v>
      </c>
      <c r="JN94" s="422">
        <f t="shared" si="734"/>
        <v>20000</v>
      </c>
      <c r="JO94" s="422">
        <f t="shared" si="734"/>
        <v>20000</v>
      </c>
      <c r="JP94" s="422">
        <f t="shared" si="734"/>
        <v>20000</v>
      </c>
      <c r="JQ94" s="422">
        <f t="shared" si="734"/>
        <v>20000</v>
      </c>
      <c r="JR94" s="422">
        <f t="shared" si="734"/>
        <v>20000</v>
      </c>
      <c r="JS94" s="422">
        <f t="shared" si="734"/>
        <v>20000</v>
      </c>
      <c r="JT94" s="422">
        <f t="shared" si="734"/>
        <v>20000</v>
      </c>
      <c r="JU94" s="422">
        <f t="shared" si="735"/>
        <v>20000</v>
      </c>
      <c r="JV94" s="422">
        <f t="shared" si="735"/>
        <v>20000</v>
      </c>
      <c r="JW94" s="422">
        <f t="shared" si="735"/>
        <v>20000</v>
      </c>
      <c r="JX94" s="422">
        <f t="shared" si="735"/>
        <v>20000</v>
      </c>
      <c r="JZ94" s="220" t="str">
        <f t="shared" ref="JZ94:JZ104" si="754">$B94</f>
        <v>Student Accommodation</v>
      </c>
      <c r="KA94" s="422">
        <f t="shared" si="736"/>
        <v>0</v>
      </c>
      <c r="KB94" s="198">
        <f t="shared" si="737"/>
        <v>25</v>
      </c>
      <c r="KC94" s="207">
        <f t="shared" si="738"/>
        <v>3.5000000000000003E-2</v>
      </c>
      <c r="KD94" s="214" t="str">
        <f t="shared" si="596"/>
        <v>Annual</v>
      </c>
      <c r="KE94" s="474" t="n">
        <f>MATCH(KD94,Data!$G$24:$G$33,0)</f>
        <v>1</v>
      </c>
      <c r="KF94" s="264"/>
      <c r="KG94" s="475" t="n">
        <f t="shared" ref="KG94:KG104" si="755">($KB94&lt;=KG$3)*($KA94/12)*(1+$KC94)^(ROUNDUP(MAX(KG$3-$KB94+1,0)/($KE94*12),0)-1)</f>
        <v>0</v>
      </c>
      <c r="KH94" s="475">
        <f t="shared" si="739"/>
        <v>0</v>
      </c>
      <c r="KI94" s="475">
        <f t="shared" si="739"/>
        <v>0</v>
      </c>
      <c r="KJ94" s="475">
        <f t="shared" si="739"/>
        <v>0</v>
      </c>
      <c r="KK94" s="475">
        <f t="shared" si="739"/>
        <v>0</v>
      </c>
      <c r="KL94" s="475">
        <f t="shared" si="739"/>
        <v>0</v>
      </c>
      <c r="KM94" s="475">
        <f t="shared" si="739"/>
        <v>0</v>
      </c>
      <c r="KN94" s="475">
        <f t="shared" si="739"/>
        <v>0</v>
      </c>
      <c r="KO94" s="475">
        <f t="shared" si="739"/>
        <v>0</v>
      </c>
      <c r="KP94" s="475">
        <f t="shared" si="739"/>
        <v>0</v>
      </c>
      <c r="KQ94" s="475">
        <f t="shared" si="739"/>
        <v>0</v>
      </c>
      <c r="KR94" s="475">
        <f t="shared" si="739"/>
        <v>0</v>
      </c>
      <c r="KS94" s="475">
        <f t="shared" si="739"/>
        <v>0</v>
      </c>
      <c r="KT94" s="475">
        <f t="shared" si="739"/>
        <v>0</v>
      </c>
      <c r="KU94" s="475">
        <f t="shared" si="739"/>
        <v>0</v>
      </c>
      <c r="KV94" s="475">
        <f t="shared" si="739"/>
        <v>0</v>
      </c>
      <c r="KW94" s="475">
        <f t="shared" si="739"/>
        <v>0</v>
      </c>
      <c r="KX94" s="475">
        <f t="shared" si="740"/>
        <v>0</v>
      </c>
      <c r="KY94" s="475">
        <f t="shared" si="740"/>
        <v>0</v>
      </c>
      <c r="KZ94" s="475">
        <f t="shared" si="740"/>
        <v>0</v>
      </c>
      <c r="LA94" s="475">
        <f t="shared" si="740"/>
        <v>0</v>
      </c>
      <c r="LB94" s="475">
        <f t="shared" si="740"/>
        <v>0</v>
      </c>
      <c r="LC94" s="475">
        <f t="shared" si="740"/>
        <v>0</v>
      </c>
      <c r="LD94" s="475">
        <f t="shared" si="740"/>
        <v>0</v>
      </c>
      <c r="LE94" s="475">
        <f t="shared" si="740"/>
        <v>0</v>
      </c>
      <c r="LF94" s="475">
        <f t="shared" si="740"/>
        <v>0</v>
      </c>
      <c r="LG94" s="475">
        <f t="shared" si="740"/>
        <v>0</v>
      </c>
      <c r="LH94" s="475">
        <f t="shared" si="740"/>
        <v>0</v>
      </c>
      <c r="LI94" s="475">
        <f t="shared" si="740"/>
        <v>0</v>
      </c>
      <c r="LJ94" s="475">
        <f t="shared" si="740"/>
        <v>0</v>
      </c>
      <c r="LK94" s="475">
        <f t="shared" si="740"/>
        <v>0</v>
      </c>
      <c r="LL94" s="475">
        <f t="shared" si="740"/>
        <v>0</v>
      </c>
      <c r="LM94" s="475">
        <f t="shared" si="740"/>
        <v>0</v>
      </c>
      <c r="LN94" s="475">
        <f t="shared" si="741"/>
        <v>0</v>
      </c>
      <c r="LO94" s="475">
        <f t="shared" si="741"/>
        <v>0</v>
      </c>
      <c r="LP94" s="475">
        <f t="shared" si="741"/>
        <v>0</v>
      </c>
      <c r="LQ94" s="475">
        <f t="shared" si="741"/>
        <v>0</v>
      </c>
      <c r="LR94" s="475">
        <f t="shared" si="741"/>
        <v>0</v>
      </c>
      <c r="LS94" s="475">
        <f t="shared" si="741"/>
        <v>0</v>
      </c>
      <c r="LT94" s="475">
        <f t="shared" si="741"/>
        <v>0</v>
      </c>
      <c r="LU94" s="475">
        <f t="shared" si="741"/>
        <v>0</v>
      </c>
      <c r="LV94" s="475">
        <f t="shared" si="741"/>
        <v>0</v>
      </c>
      <c r="LW94" s="475">
        <f t="shared" si="741"/>
        <v>0</v>
      </c>
      <c r="LX94" s="475">
        <f t="shared" si="741"/>
        <v>0</v>
      </c>
      <c r="LY94" s="475">
        <f t="shared" si="741"/>
        <v>0</v>
      </c>
      <c r="LZ94" s="475">
        <f t="shared" si="741"/>
        <v>0</v>
      </c>
      <c r="MA94" s="475">
        <f t="shared" si="741"/>
        <v>0</v>
      </c>
      <c r="MB94" s="475">
        <f t="shared" si="741"/>
        <v>0</v>
      </c>
      <c r="MC94" s="475">
        <f t="shared" si="741"/>
        <v>0</v>
      </c>
      <c r="MD94" s="475">
        <f t="shared" si="742"/>
        <v>0</v>
      </c>
      <c r="ME94" s="475">
        <f t="shared" si="742"/>
        <v>0</v>
      </c>
      <c r="MF94" s="475">
        <f t="shared" si="742"/>
        <v>0</v>
      </c>
      <c r="MG94" s="475">
        <f t="shared" si="742"/>
        <v>0</v>
      </c>
      <c r="MH94" s="475">
        <f t="shared" si="742"/>
        <v>0</v>
      </c>
      <c r="MI94" s="475">
        <f t="shared" si="742"/>
        <v>0</v>
      </c>
      <c r="MJ94" s="475">
        <f t="shared" si="742"/>
        <v>0</v>
      </c>
      <c r="MK94" s="475">
        <f t="shared" si="742"/>
        <v>0</v>
      </c>
      <c r="ML94" s="475">
        <f t="shared" si="742"/>
        <v>0</v>
      </c>
      <c r="MM94" s="475">
        <f t="shared" si="742"/>
        <v>0</v>
      </c>
      <c r="MN94" s="475">
        <f t="shared" si="742"/>
        <v>0</v>
      </c>
      <c r="MO94" s="475">
        <f t="shared" si="742"/>
        <v>0</v>
      </c>
      <c r="MP94" s="475">
        <f t="shared" si="742"/>
        <v>0</v>
      </c>
      <c r="MQ94" s="475">
        <f t="shared" si="742"/>
        <v>0</v>
      </c>
      <c r="MR94" s="475">
        <f t="shared" si="742"/>
        <v>0</v>
      </c>
      <c r="MS94" s="475">
        <f t="shared" si="742"/>
        <v>0</v>
      </c>
      <c r="MT94" s="475">
        <f t="shared" si="743"/>
        <v>0</v>
      </c>
      <c r="MU94" s="475">
        <f t="shared" si="743"/>
        <v>0</v>
      </c>
      <c r="MV94" s="475">
        <f t="shared" si="743"/>
        <v>0</v>
      </c>
      <c r="MW94" s="475">
        <f t="shared" si="743"/>
        <v>0</v>
      </c>
      <c r="MX94" s="475">
        <f t="shared" si="743"/>
        <v>0</v>
      </c>
      <c r="MY94" s="475">
        <f t="shared" si="743"/>
        <v>0</v>
      </c>
      <c r="MZ94" s="475">
        <f t="shared" si="743"/>
        <v>0</v>
      </c>
      <c r="NA94" s="475">
        <f t="shared" si="743"/>
        <v>0</v>
      </c>
      <c r="NB94" s="475">
        <f t="shared" si="743"/>
        <v>0</v>
      </c>
      <c r="NC94" s="475">
        <f t="shared" si="743"/>
        <v>0</v>
      </c>
      <c r="ND94" s="475">
        <f t="shared" si="743"/>
        <v>0</v>
      </c>
      <c r="NE94" s="475">
        <f t="shared" si="743"/>
        <v>0</v>
      </c>
      <c r="NF94" s="475">
        <f t="shared" si="743"/>
        <v>0</v>
      </c>
      <c r="NG94" s="475">
        <f t="shared" si="743"/>
        <v>0</v>
      </c>
      <c r="NH94" s="475">
        <f t="shared" si="743"/>
        <v>0</v>
      </c>
      <c r="NI94" s="475">
        <f t="shared" si="743"/>
        <v>0</v>
      </c>
      <c r="NJ94" s="475">
        <f t="shared" si="744"/>
        <v>0</v>
      </c>
      <c r="NK94" s="475">
        <f t="shared" si="744"/>
        <v>0</v>
      </c>
      <c r="NL94" s="475">
        <f t="shared" si="744"/>
        <v>0</v>
      </c>
      <c r="NM94" s="475">
        <f t="shared" si="744"/>
        <v>0</v>
      </c>
      <c r="NN94" s="475">
        <f t="shared" si="744"/>
        <v>0</v>
      </c>
      <c r="NO94" s="475">
        <f t="shared" si="744"/>
        <v>0</v>
      </c>
      <c r="NP94" s="475">
        <f t="shared" si="744"/>
        <v>0</v>
      </c>
      <c r="NQ94" s="475">
        <f t="shared" si="744"/>
        <v>0</v>
      </c>
      <c r="NR94" s="475">
        <f t="shared" si="744"/>
        <v>0</v>
      </c>
      <c r="NS94" s="475">
        <f t="shared" si="744"/>
        <v>0</v>
      </c>
      <c r="NT94" s="475">
        <f t="shared" si="744"/>
        <v>0</v>
      </c>
      <c r="NU94" s="475">
        <f t="shared" si="744"/>
        <v>0</v>
      </c>
      <c r="NV94" s="475">
        <f t="shared" si="744"/>
        <v>0</v>
      </c>
      <c r="NW94" s="475">
        <f t="shared" si="744"/>
        <v>0</v>
      </c>
      <c r="NX94" s="475">
        <f t="shared" si="744"/>
        <v>0</v>
      </c>
      <c r="NY94" s="475">
        <f t="shared" si="744"/>
        <v>0</v>
      </c>
      <c r="NZ94" s="475">
        <f t="shared" si="745"/>
        <v>0</v>
      </c>
      <c r="OA94" s="475">
        <f t="shared" si="745"/>
        <v>0</v>
      </c>
      <c r="OB94" s="475">
        <f t="shared" si="745"/>
        <v>0</v>
      </c>
      <c r="OC94" s="475">
        <f t="shared" si="745"/>
        <v>0</v>
      </c>
      <c r="OD94" s="475">
        <f t="shared" si="745"/>
        <v>0</v>
      </c>
      <c r="OE94" s="475">
        <f t="shared" si="745"/>
        <v>0</v>
      </c>
      <c r="OF94" s="475">
        <f t="shared" si="745"/>
        <v>0</v>
      </c>
      <c r="OG94" s="475">
        <f t="shared" si="745"/>
        <v>0</v>
      </c>
      <c r="OH94" s="475">
        <f t="shared" si="745"/>
        <v>0</v>
      </c>
      <c r="OI94" s="475">
        <f t="shared" si="745"/>
        <v>0</v>
      </c>
      <c r="OJ94" s="475">
        <f t="shared" si="745"/>
        <v>0</v>
      </c>
      <c r="OK94" s="475">
        <f t="shared" si="745"/>
        <v>0</v>
      </c>
      <c r="OL94" s="475">
        <f t="shared" si="745"/>
        <v>0</v>
      </c>
      <c r="OM94" s="475">
        <f t="shared" si="745"/>
        <v>0</v>
      </c>
      <c r="ON94" s="475">
        <f t="shared" si="745"/>
        <v>0</v>
      </c>
      <c r="OO94" s="475">
        <f t="shared" si="745"/>
        <v>0</v>
      </c>
      <c r="OP94" s="475">
        <f t="shared" si="746"/>
        <v>0</v>
      </c>
      <c r="OQ94" s="475">
        <f t="shared" si="746"/>
        <v>0</v>
      </c>
      <c r="OR94" s="475">
        <f t="shared" si="746"/>
        <v>0</v>
      </c>
      <c r="OS94" s="475">
        <f t="shared" si="746"/>
        <v>0</v>
      </c>
      <c r="OT94" s="475">
        <f t="shared" si="746"/>
        <v>0</v>
      </c>
      <c r="OU94" s="475">
        <f t="shared" si="746"/>
        <v>0</v>
      </c>
      <c r="OV94" s="475">
        <f t="shared" si="746"/>
        <v>0</v>
      </c>
      <c r="OW94" s="475">
        <f t="shared" si="746"/>
        <v>0</v>
      </c>
      <c r="OX94" s="475">
        <f t="shared" si="746"/>
        <v>0</v>
      </c>
      <c r="OY94" s="475">
        <f t="shared" si="746"/>
        <v>0</v>
      </c>
      <c r="OZ94" s="475">
        <f t="shared" si="746"/>
        <v>0</v>
      </c>
      <c r="PA94" s="475">
        <f t="shared" si="746"/>
        <v>0</v>
      </c>
      <c r="PB94" s="475">
        <f t="shared" si="746"/>
        <v>0</v>
      </c>
      <c r="PC94" s="475">
        <f t="shared" si="746"/>
        <v>0</v>
      </c>
      <c r="PD94" s="475">
        <f t="shared" si="746"/>
        <v>0</v>
      </c>
      <c r="PE94" s="475">
        <f t="shared" si="746"/>
        <v>0</v>
      </c>
      <c r="PF94" s="475">
        <f t="shared" si="747"/>
        <v>0</v>
      </c>
      <c r="PG94" s="475">
        <f t="shared" si="747"/>
        <v>0</v>
      </c>
      <c r="PH94" s="475">
        <f t="shared" si="747"/>
        <v>0</v>
      </c>
    </row>
    <row r="95">
      <c r="B95" s="473" t="s">
        <v>242</v>
      </c>
      <c r="C95" s="473" t="s">
        <v>242</v>
      </c>
      <c r="D95" s="46">
        <v>22</v>
      </c>
      <c r="E95" s="420" t="n">
        <f>PROJECTS!$AP$22</f>
        <v>6500</v>
      </c>
      <c r="F95" s="46">
        <f t="shared" si="748"/>
        <v>25</v>
      </c>
      <c r="G95" s="44" t="n">
        <f>PROJECTS!$AP$68</f>
        <v>0.035</v>
      </c>
      <c r="H95" s="144" t="n">
        <f>PROJECTS!$AP$71</f>
        <v>400</v>
      </c>
      <c r="I95" s="428">
        <f t="shared" si="601"/>
        <v>2600000</v>
      </c>
      <c r="K95" s="290" t="s">
        <v>239</v>
      </c>
      <c r="L95" s="76"/>
      <c r="M95" s="421">
        <f t="shared" si="749"/>
        <v>0</v>
      </c>
      <c r="N95" s="421">
        <f t="shared" si="602"/>
        <v>0</v>
      </c>
      <c r="O95" s="421">
        <f t="shared" si="603"/>
        <v>0</v>
      </c>
      <c r="P95" s="421">
        <f t="shared" si="604"/>
        <v>0</v>
      </c>
      <c r="Q95" s="421">
        <f t="shared" si="605"/>
        <v>0</v>
      </c>
      <c r="R95" s="421">
        <f t="shared" si="606"/>
        <v>0</v>
      </c>
      <c r="S95" s="421">
        <f t="shared" si="607"/>
        <v>0</v>
      </c>
      <c r="T95" s="421">
        <f t="shared" si="608"/>
        <v>0</v>
      </c>
      <c r="U95" s="421">
        <f t="shared" si="609"/>
        <v>0</v>
      </c>
      <c r="V95" s="421">
        <f t="shared" si="610"/>
        <v>0</v>
      </c>
      <c r="W95" s="421">
        <f t="shared" si="611"/>
        <v>0</v>
      </c>
      <c r="X95" s="421">
        <f t="shared" si="612"/>
        <v>0</v>
      </c>
      <c r="Y95" s="421">
        <f t="shared" si="613"/>
        <v>0</v>
      </c>
      <c r="Z95" s="421">
        <f t="shared" si="614"/>
        <v>0</v>
      </c>
      <c r="AA95" s="421">
        <f t="shared" si="615"/>
        <v>0</v>
      </c>
      <c r="AB95" s="421">
        <f t="shared" si="616"/>
        <v>0</v>
      </c>
      <c r="AC95" s="421">
        <f t="shared" si="617"/>
        <v>0</v>
      </c>
      <c r="AD95" s="421">
        <f t="shared" si="618"/>
        <v>0</v>
      </c>
      <c r="AE95" s="421">
        <f t="shared" si="619"/>
        <v>0</v>
      </c>
      <c r="AF95" s="421">
        <f t="shared" si="620"/>
        <v>0</v>
      </c>
      <c r="AG95" s="421">
        <f t="shared" si="621"/>
        <v>0</v>
      </c>
      <c r="AH95" s="421">
        <f t="shared" si="622"/>
        <v>0</v>
      </c>
      <c r="AI95" s="421">
        <f t="shared" si="623"/>
        <v>0</v>
      </c>
      <c r="AJ95" s="421">
        <f t="shared" si="624"/>
        <v>0</v>
      </c>
      <c r="AK95" s="421">
        <f t="shared" si="625"/>
        <v>216666.66666666666</v>
      </c>
      <c r="AL95" s="421">
        <f t="shared" si="626"/>
        <v>216666.66666666666</v>
      </c>
      <c r="AM95" s="421">
        <f t="shared" si="627"/>
        <v>216666.66666666666</v>
      </c>
      <c r="AN95" s="421">
        <f t="shared" si="628"/>
        <v>216666.66666666666</v>
      </c>
      <c r="AO95" s="421">
        <f t="shared" si="629"/>
        <v>216666.66666666666</v>
      </c>
      <c r="AP95" s="421">
        <f t="shared" si="630"/>
        <v>216666.66666666666</v>
      </c>
      <c r="AQ95" s="421">
        <f t="shared" si="631"/>
        <v>216666.66666666666</v>
      </c>
      <c r="AR95" s="421">
        <f t="shared" si="632"/>
        <v>216666.66666666666</v>
      </c>
      <c r="AS95" s="421">
        <f t="shared" si="633"/>
        <v>216666.66666666666</v>
      </c>
      <c r="AT95" s="421">
        <f t="shared" si="634"/>
        <v>216666.66666666666</v>
      </c>
      <c r="AU95" s="421">
        <f t="shared" si="635"/>
        <v>216666.66666666666</v>
      </c>
      <c r="AV95" s="421">
        <f t="shared" si="636"/>
        <v>216666.66666666666</v>
      </c>
      <c r="AW95" s="421">
        <f t="shared" si="637"/>
        <v>224249.99999999997</v>
      </c>
      <c r="AX95" s="421">
        <f t="shared" si="638"/>
        <v>224249.99999999997</v>
      </c>
      <c r="AY95" s="421">
        <f t="shared" si="639"/>
        <v>224249.99999999997</v>
      </c>
      <c r="AZ95" s="421">
        <f t="shared" si="640"/>
        <v>224249.99999999997</v>
      </c>
      <c r="BA95" s="421">
        <f t="shared" si="641"/>
        <v>224249.99999999997</v>
      </c>
      <c r="BB95" s="421">
        <f t="shared" si="642"/>
        <v>224249.99999999997</v>
      </c>
      <c r="BC95" s="421">
        <f t="shared" si="643"/>
        <v>224249.99999999997</v>
      </c>
      <c r="BD95" s="421">
        <f t="shared" si="644"/>
        <v>224249.99999999997</v>
      </c>
      <c r="BE95" s="421">
        <f t="shared" si="645"/>
        <v>224249.99999999997</v>
      </c>
      <c r="BF95" s="421">
        <f t="shared" si="646"/>
        <v>224249.99999999997</v>
      </c>
      <c r="BG95" s="421">
        <f t="shared" si="647"/>
        <v>224249.99999999997</v>
      </c>
      <c r="BH95" s="421">
        <f t="shared" si="648"/>
        <v>224249.99999999997</v>
      </c>
      <c r="BI95" s="421">
        <f t="shared" si="649"/>
        <v>232098.74999999997</v>
      </c>
      <c r="BJ95" s="421">
        <f t="shared" si="650"/>
        <v>232098.74999999997</v>
      </c>
      <c r="BK95" s="421">
        <f t="shared" si="651"/>
        <v>232098.74999999997</v>
      </c>
      <c r="BL95" s="421">
        <f t="shared" si="652"/>
        <v>232098.74999999997</v>
      </c>
      <c r="BM95" s="421">
        <f t="shared" si="653"/>
        <v>232098.74999999997</v>
      </c>
      <c r="BN95" s="421">
        <f t="shared" si="654"/>
        <v>232098.74999999997</v>
      </c>
      <c r="BO95" s="421">
        <f t="shared" si="655"/>
        <v>232098.74999999997</v>
      </c>
      <c r="BP95" s="421">
        <f t="shared" si="656"/>
        <v>232098.74999999997</v>
      </c>
      <c r="BQ95" s="421">
        <f t="shared" si="657"/>
        <v>232098.74999999997</v>
      </c>
      <c r="BR95" s="421">
        <f t="shared" si="658"/>
        <v>232098.74999999997</v>
      </c>
      <c r="BS95" s="421">
        <f t="shared" si="659"/>
        <v>232098.74999999997</v>
      </c>
      <c r="BT95" s="421">
        <f t="shared" si="660"/>
        <v>232098.74999999997</v>
      </c>
      <c r="BU95" s="421">
        <f t="shared" si="661"/>
        <v>240222.20624999993</v>
      </c>
      <c r="BV95" s="421">
        <f t="shared" si="662"/>
        <v>240222.20624999993</v>
      </c>
      <c r="BW95" s="421">
        <f t="shared" si="663"/>
        <v>240222.20624999993</v>
      </c>
      <c r="BX95" s="421">
        <f t="shared" si="664"/>
        <v>240222.20624999993</v>
      </c>
      <c r="BY95" s="421">
        <f t="shared" si="665"/>
        <v>240222.20624999993</v>
      </c>
      <c r="BZ95" s="421">
        <f t="shared" si="666"/>
        <v>240222.20624999993</v>
      </c>
      <c r="CA95" s="421">
        <f t="shared" si="667"/>
        <v>240222.20624999993</v>
      </c>
      <c r="CB95" s="421">
        <f t="shared" si="668"/>
        <v>240222.20624999993</v>
      </c>
      <c r="CC95" s="421">
        <f t="shared" si="669"/>
        <v>240222.20624999993</v>
      </c>
      <c r="CD95" s="421">
        <f t="shared" si="670"/>
        <v>240222.20624999993</v>
      </c>
      <c r="CE95" s="421">
        <f t="shared" si="671"/>
        <v>240222.20624999993</v>
      </c>
      <c r="CF95" s="421">
        <f t="shared" si="672"/>
        <v>240222.20624999993</v>
      </c>
      <c r="CG95" s="421">
        <f t="shared" si="673"/>
        <v>248629.98346874991</v>
      </c>
      <c r="CH95" s="421">
        <f t="shared" si="674"/>
        <v>248629.98346874991</v>
      </c>
      <c r="CI95" s="421">
        <f t="shared" si="675"/>
        <v>248629.98346874991</v>
      </c>
      <c r="CJ95" s="421">
        <f t="shared" si="676"/>
        <v>248629.98346874991</v>
      </c>
      <c r="CK95" s="421">
        <f t="shared" si="677"/>
        <v>248629.98346874991</v>
      </c>
      <c r="CL95" s="421">
        <f t="shared" si="678"/>
        <v>248629.98346874991</v>
      </c>
      <c r="CM95" s="421">
        <f t="shared" si="679"/>
        <v>248629.98346874991</v>
      </c>
      <c r="CN95" s="421">
        <f t="shared" si="680"/>
        <v>248629.98346874991</v>
      </c>
      <c r="CO95" s="421">
        <f t="shared" si="681"/>
        <v>248629.98346874991</v>
      </c>
      <c r="CP95" s="421">
        <f t="shared" si="682"/>
        <v>248629.98346874991</v>
      </c>
      <c r="CQ95" s="421">
        <f t="shared" si="683"/>
        <v>248629.98346874991</v>
      </c>
      <c r="CR95" s="421">
        <f t="shared" si="684"/>
        <v>248629.98346874991</v>
      </c>
      <c r="CS95" s="421">
        <f t="shared" si="685"/>
        <v>257332.03289015612</v>
      </c>
      <c r="CT95" s="421">
        <f t="shared" si="686"/>
        <v>257332.03289015612</v>
      </c>
      <c r="CU95" s="421">
        <f t="shared" si="687"/>
        <v>257332.03289015612</v>
      </c>
      <c r="CV95" s="421">
        <f t="shared" si="688"/>
        <v>257332.03289015612</v>
      </c>
      <c r="CW95" s="421">
        <f t="shared" si="689"/>
        <v>257332.03289015612</v>
      </c>
      <c r="CX95" s="421">
        <f t="shared" si="690"/>
        <v>257332.03289015612</v>
      </c>
      <c r="CY95" s="421">
        <f t="shared" si="691"/>
        <v>257332.03289015612</v>
      </c>
      <c r="CZ95" s="421">
        <f t="shared" si="692"/>
        <v>257332.03289015612</v>
      </c>
      <c r="DA95" s="421">
        <f t="shared" si="693"/>
        <v>257332.03289015612</v>
      </c>
      <c r="DB95" s="421">
        <f t="shared" si="694"/>
        <v>257332.03289015612</v>
      </c>
      <c r="DC95" s="421">
        <f t="shared" si="695"/>
        <v>257332.03289015612</v>
      </c>
      <c r="DD95" s="421">
        <f t="shared" si="696"/>
        <v>257332.03289015612</v>
      </c>
      <c r="DE95" s="421">
        <f t="shared" si="697"/>
        <v>266338.65404131159</v>
      </c>
      <c r="DF95" s="421">
        <f t="shared" si="698"/>
        <v>266338.65404131159</v>
      </c>
      <c r="DG95" s="421">
        <f t="shared" si="699"/>
        <v>266338.65404131159</v>
      </c>
      <c r="DH95" s="421">
        <f t="shared" si="700"/>
        <v>266338.65404131159</v>
      </c>
      <c r="DI95" s="421">
        <f t="shared" si="701"/>
        <v>266338.65404131159</v>
      </c>
      <c r="DJ95" s="421">
        <f t="shared" si="702"/>
        <v>266338.65404131159</v>
      </c>
      <c r="DK95" s="421">
        <f t="shared" si="703"/>
        <v>266338.65404131159</v>
      </c>
      <c r="DL95" s="421">
        <f t="shared" si="704"/>
        <v>266338.65404131159</v>
      </c>
      <c r="DM95" s="421">
        <f t="shared" si="705"/>
        <v>266338.65404131159</v>
      </c>
      <c r="DN95" s="421">
        <f t="shared" si="706"/>
        <v>266338.65404131159</v>
      </c>
      <c r="DO95" s="421">
        <f t="shared" si="707"/>
        <v>266338.65404131159</v>
      </c>
      <c r="DP95" s="421">
        <f t="shared" si="708"/>
        <v>266338.65404131159</v>
      </c>
      <c r="DQ95" s="421">
        <f t="shared" si="709"/>
        <v>275660.5069327575</v>
      </c>
      <c r="DR95" s="421">
        <f t="shared" si="710"/>
        <v>275660.5069327575</v>
      </c>
      <c r="DS95" s="421">
        <f t="shared" si="711"/>
        <v>275660.5069327575</v>
      </c>
      <c r="DT95" s="421">
        <f t="shared" si="712"/>
        <v>275660.5069327575</v>
      </c>
      <c r="DU95" s="421">
        <f t="shared" si="713"/>
        <v>275660.5069327575</v>
      </c>
      <c r="DV95" s="421">
        <f t="shared" si="714"/>
        <v>275660.5069327575</v>
      </c>
      <c r="DW95" s="421">
        <f t="shared" si="715"/>
        <v>275660.5069327575</v>
      </c>
      <c r="DX95" s="421">
        <f t="shared" si="716"/>
        <v>275660.5069327575</v>
      </c>
      <c r="DY95" s="421">
        <f t="shared" si="717"/>
        <v>275660.5069327575</v>
      </c>
      <c r="DZ95" s="421">
        <f t="shared" si="718"/>
        <v>275660.5069327575</v>
      </c>
      <c r="EA95" s="421">
        <f t="shared" si="719"/>
        <v>275660.5069327575</v>
      </c>
      <c r="EB95" s="421">
        <f t="shared" si="720"/>
        <v>275660.5069327575</v>
      </c>
      <c r="EC95" s="421">
        <f t="shared" si="721"/>
        <v>285308.62467540393</v>
      </c>
      <c r="ED95" s="421">
        <f t="shared" si="722"/>
        <v>285308.62467540393</v>
      </c>
      <c r="EE95" s="421">
        <f t="shared" si="723"/>
        <v>285308.62467540393</v>
      </c>
      <c r="EF95" s="421">
        <f t="shared" si="724"/>
        <v>285308.62467540393</v>
      </c>
      <c r="EG95" s="421">
        <f t="shared" si="725"/>
        <v>285308.62467540393</v>
      </c>
      <c r="EH95" s="421">
        <f t="shared" si="726"/>
        <v>285308.62467540393</v>
      </c>
      <c r="EI95" s="421">
        <f t="shared" si="727"/>
        <v>285308.62467540393</v>
      </c>
      <c r="EJ95" s="421">
        <f t="shared" si="728"/>
        <v>285308.62467540393</v>
      </c>
      <c r="EK95" s="421">
        <f t="shared" si="729"/>
        <v>285308.62467540393</v>
      </c>
      <c r="EL95" s="421">
        <f t="shared" si="730"/>
        <v>285308.62467540393</v>
      </c>
      <c r="EM95" s="421">
        <f t="shared" si="731"/>
        <v>285308.62467540393</v>
      </c>
      <c r="EN95" s="421">
        <f t="shared" si="732"/>
        <v>285308.62467540393</v>
      </c>
      <c r="EP95" s="220" t="str">
        <f t="shared" si="750"/>
        <v>LiveHouse</v>
      </c>
      <c r="EQ95" s="20">
        <f t="shared" si="751"/>
        <v>6500</v>
      </c>
      <c r="ER95" s="198">
        <f t="shared" si="752"/>
        <v>22</v>
      </c>
      <c r="ES95" s="18"/>
      <c r="ET95" s="18"/>
      <c r="EU95" s="18"/>
      <c r="EV95" s="422">
        <f t="shared" si="753"/>
        <v>0</v>
      </c>
      <c r="EW95" s="422" t="n">
        <f t="shared" ref="EW95:HH104" si="756">(EW$3&gt;=$ER95)*$EQ95</f>
        <v>0</v>
      </c>
      <c r="EX95" s="422">
        <f t="shared" si="756"/>
        <v>0</v>
      </c>
      <c r="EY95" s="422">
        <f t="shared" si="756"/>
        <v>0</v>
      </c>
      <c r="EZ95" s="422">
        <f t="shared" si="756"/>
        <v>0</v>
      </c>
      <c r="FA95" s="422">
        <f t="shared" si="756"/>
        <v>0</v>
      </c>
      <c r="FB95" s="422">
        <f t="shared" si="756"/>
        <v>0</v>
      </c>
      <c r="FC95" s="422">
        <f t="shared" si="756"/>
        <v>0</v>
      </c>
      <c r="FD95" s="422">
        <f t="shared" si="756"/>
        <v>0</v>
      </c>
      <c r="FE95" s="422">
        <f t="shared" si="756"/>
        <v>0</v>
      </c>
      <c r="FF95" s="422">
        <f t="shared" si="756"/>
        <v>0</v>
      </c>
      <c r="FG95" s="422">
        <f t="shared" si="756"/>
        <v>0</v>
      </c>
      <c r="FH95" s="422">
        <f t="shared" si="756"/>
        <v>0</v>
      </c>
      <c r="FI95" s="422">
        <f t="shared" si="756"/>
        <v>0</v>
      </c>
      <c r="FJ95" s="422">
        <f t="shared" si="756"/>
        <v>0</v>
      </c>
      <c r="FK95" s="422">
        <f t="shared" si="756"/>
        <v>0</v>
      </c>
      <c r="FL95" s="422">
        <f t="shared" si="756"/>
        <v>0</v>
      </c>
      <c r="FM95" s="422">
        <f t="shared" si="756"/>
        <v>0</v>
      </c>
      <c r="FN95" s="422">
        <f t="shared" si="756"/>
        <v>0</v>
      </c>
      <c r="FO95" s="422">
        <f t="shared" si="756"/>
        <v>0</v>
      </c>
      <c r="FP95" s="422">
        <f t="shared" si="756"/>
        <v>0</v>
      </c>
      <c r="FQ95" s="422">
        <f t="shared" si="756"/>
        <v>0</v>
      </c>
      <c r="FR95" s="422">
        <f t="shared" si="756"/>
        <v>6500</v>
      </c>
      <c r="FS95" s="422">
        <f t="shared" si="756"/>
        <v>6500</v>
      </c>
      <c r="FT95" s="422">
        <f t="shared" si="756"/>
        <v>6500</v>
      </c>
      <c r="FU95" s="422">
        <f t="shared" si="756"/>
        <v>6500</v>
      </c>
      <c r="FV95" s="422">
        <f t="shared" si="756"/>
        <v>6500</v>
      </c>
      <c r="FW95" s="422">
        <f t="shared" si="756"/>
        <v>6500</v>
      </c>
      <c r="FX95" s="422">
        <f t="shared" si="756"/>
        <v>6500</v>
      </c>
      <c r="FY95" s="422">
        <f t="shared" si="756"/>
        <v>6500</v>
      </c>
      <c r="FZ95" s="422">
        <f t="shared" si="756"/>
        <v>6500</v>
      </c>
      <c r="GA95" s="422">
        <f t="shared" si="756"/>
        <v>6500</v>
      </c>
      <c r="GB95" s="422">
        <f t="shared" si="756"/>
        <v>6500</v>
      </c>
      <c r="GC95" s="422">
        <f t="shared" si="756"/>
        <v>6500</v>
      </c>
      <c r="GD95" s="422">
        <f t="shared" si="756"/>
        <v>6500</v>
      </c>
      <c r="GE95" s="422">
        <f t="shared" si="756"/>
        <v>6500</v>
      </c>
      <c r="GF95" s="422">
        <f t="shared" si="756"/>
        <v>6500</v>
      </c>
      <c r="GG95" s="422">
        <f t="shared" si="756"/>
        <v>6500</v>
      </c>
      <c r="GH95" s="422">
        <f t="shared" si="756"/>
        <v>6500</v>
      </c>
      <c r="GI95" s="422">
        <f t="shared" si="756"/>
        <v>6500</v>
      </c>
      <c r="GJ95" s="422">
        <f t="shared" si="756"/>
        <v>6500</v>
      </c>
      <c r="GK95" s="422">
        <f t="shared" si="756"/>
        <v>6500</v>
      </c>
      <c r="GL95" s="422">
        <f t="shared" si="756"/>
        <v>6500</v>
      </c>
      <c r="GM95" s="422">
        <f t="shared" si="756"/>
        <v>6500</v>
      </c>
      <c r="GN95" s="422">
        <f t="shared" si="756"/>
        <v>6500</v>
      </c>
      <c r="GO95" s="422">
        <f t="shared" si="756"/>
        <v>6500</v>
      </c>
      <c r="GP95" s="422">
        <f t="shared" si="756"/>
        <v>6500</v>
      </c>
      <c r="GQ95" s="422">
        <f t="shared" si="756"/>
        <v>6500</v>
      </c>
      <c r="GR95" s="422">
        <f t="shared" si="756"/>
        <v>6500</v>
      </c>
      <c r="GS95" s="422">
        <f t="shared" si="756"/>
        <v>6500</v>
      </c>
      <c r="GT95" s="422">
        <f t="shared" si="756"/>
        <v>6500</v>
      </c>
      <c r="GU95" s="422">
        <f t="shared" si="756"/>
        <v>6500</v>
      </c>
      <c r="GV95" s="422">
        <f t="shared" si="756"/>
        <v>6500</v>
      </c>
      <c r="GW95" s="422">
        <f t="shared" si="756"/>
        <v>6500</v>
      </c>
      <c r="GX95" s="422">
        <f t="shared" si="756"/>
        <v>6500</v>
      </c>
      <c r="GY95" s="422">
        <f t="shared" si="756"/>
        <v>6500</v>
      </c>
      <c r="GZ95" s="422">
        <f t="shared" si="756"/>
        <v>6500</v>
      </c>
      <c r="HA95" s="422">
        <f t="shared" si="756"/>
        <v>6500</v>
      </c>
      <c r="HB95" s="422">
        <f t="shared" si="756"/>
        <v>6500</v>
      </c>
      <c r="HC95" s="422">
        <f t="shared" si="756"/>
        <v>6500</v>
      </c>
      <c r="HD95" s="422">
        <f t="shared" si="756"/>
        <v>6500</v>
      </c>
      <c r="HE95" s="422">
        <f t="shared" si="756"/>
        <v>6500</v>
      </c>
      <c r="HF95" s="422">
        <f t="shared" si="756"/>
        <v>6500</v>
      </c>
      <c r="HG95" s="422">
        <f t="shared" si="756"/>
        <v>6500</v>
      </c>
      <c r="HH95" s="422">
        <f t="shared" si="756"/>
        <v>6500</v>
      </c>
      <c r="HI95" s="422">
        <f t="shared" si="734"/>
        <v>6500</v>
      </c>
      <c r="HJ95" s="422">
        <f t="shared" si="734"/>
        <v>6500</v>
      </c>
      <c r="HK95" s="422">
        <f t="shared" si="734"/>
        <v>6500</v>
      </c>
      <c r="HL95" s="422">
        <f t="shared" si="734"/>
        <v>6500</v>
      </c>
      <c r="HM95" s="422">
        <f t="shared" si="734"/>
        <v>6500</v>
      </c>
      <c r="HN95" s="422">
        <f t="shared" si="734"/>
        <v>6500</v>
      </c>
      <c r="HO95" s="422">
        <f t="shared" si="734"/>
        <v>6500</v>
      </c>
      <c r="HP95" s="422">
        <f t="shared" si="734"/>
        <v>6500</v>
      </c>
      <c r="HQ95" s="422">
        <f t="shared" si="734"/>
        <v>6500</v>
      </c>
      <c r="HR95" s="422">
        <f t="shared" si="734"/>
        <v>6500</v>
      </c>
      <c r="HS95" s="422">
        <f t="shared" si="734"/>
        <v>6500</v>
      </c>
      <c r="HT95" s="422">
        <f t="shared" si="734"/>
        <v>6500</v>
      </c>
      <c r="HU95" s="422">
        <f t="shared" si="734"/>
        <v>6500</v>
      </c>
      <c r="HV95" s="422">
        <f t="shared" si="734"/>
        <v>6500</v>
      </c>
      <c r="HW95" s="422">
        <f t="shared" si="734"/>
        <v>6500</v>
      </c>
      <c r="HX95" s="422">
        <f t="shared" si="734"/>
        <v>6500</v>
      </c>
      <c r="HY95" s="422">
        <f t="shared" si="734"/>
        <v>6500</v>
      </c>
      <c r="HZ95" s="422">
        <f t="shared" si="734"/>
        <v>6500</v>
      </c>
      <c r="IA95" s="422">
        <f t="shared" si="734"/>
        <v>6500</v>
      </c>
      <c r="IB95" s="422">
        <f t="shared" si="734"/>
        <v>6500</v>
      </c>
      <c r="IC95" s="422">
        <f t="shared" si="734"/>
        <v>6500</v>
      </c>
      <c r="ID95" s="422">
        <f t="shared" si="734"/>
        <v>6500</v>
      </c>
      <c r="IE95" s="422">
        <f t="shared" si="734"/>
        <v>6500</v>
      </c>
      <c r="IF95" s="422">
        <f t="shared" si="734"/>
        <v>6500</v>
      </c>
      <c r="IG95" s="422">
        <f t="shared" si="734"/>
        <v>6500</v>
      </c>
      <c r="IH95" s="422">
        <f t="shared" si="734"/>
        <v>6500</v>
      </c>
      <c r="II95" s="422">
        <f t="shared" si="734"/>
        <v>6500</v>
      </c>
      <c r="IJ95" s="422">
        <f t="shared" si="734"/>
        <v>6500</v>
      </c>
      <c r="IK95" s="422">
        <f t="shared" si="734"/>
        <v>6500</v>
      </c>
      <c r="IL95" s="422">
        <f t="shared" si="734"/>
        <v>6500</v>
      </c>
      <c r="IM95" s="422">
        <f t="shared" si="734"/>
        <v>6500</v>
      </c>
      <c r="IN95" s="422">
        <f t="shared" si="734"/>
        <v>6500</v>
      </c>
      <c r="IO95" s="422">
        <f t="shared" si="734"/>
        <v>6500</v>
      </c>
      <c r="IP95" s="422">
        <f t="shared" si="734"/>
        <v>6500</v>
      </c>
      <c r="IQ95" s="422">
        <f t="shared" si="734"/>
        <v>6500</v>
      </c>
      <c r="IR95" s="422">
        <f t="shared" si="734"/>
        <v>6500</v>
      </c>
      <c r="IS95" s="422">
        <f t="shared" si="734"/>
        <v>6500</v>
      </c>
      <c r="IT95" s="422">
        <f t="shared" si="734"/>
        <v>6500</v>
      </c>
      <c r="IU95" s="422">
        <f t="shared" si="734"/>
        <v>6500</v>
      </c>
      <c r="IV95" s="422">
        <f t="shared" si="734"/>
        <v>6500</v>
      </c>
      <c r="IW95" s="422">
        <f t="shared" si="734"/>
        <v>6500</v>
      </c>
      <c r="IX95" s="422">
        <f t="shared" si="734"/>
        <v>6500</v>
      </c>
      <c r="IY95" s="422">
        <f t="shared" si="734"/>
        <v>6500</v>
      </c>
      <c r="IZ95" s="422">
        <f t="shared" si="734"/>
        <v>6500</v>
      </c>
      <c r="JA95" s="422">
        <f t="shared" si="734"/>
        <v>6500</v>
      </c>
      <c r="JB95" s="422">
        <f t="shared" si="734"/>
        <v>6500</v>
      </c>
      <c r="JC95" s="422">
        <f t="shared" si="734"/>
        <v>6500</v>
      </c>
      <c r="JD95" s="422">
        <f t="shared" si="734"/>
        <v>6500</v>
      </c>
      <c r="JE95" s="422">
        <f t="shared" si="734"/>
        <v>6500</v>
      </c>
      <c r="JF95" s="422">
        <f t="shared" si="734"/>
        <v>6500</v>
      </c>
      <c r="JG95" s="422">
        <f t="shared" si="734"/>
        <v>6500</v>
      </c>
      <c r="JH95" s="422">
        <f t="shared" si="734"/>
        <v>6500</v>
      </c>
      <c r="JI95" s="422">
        <f t="shared" si="734"/>
        <v>6500</v>
      </c>
      <c r="JJ95" s="422">
        <f t="shared" si="734"/>
        <v>6500</v>
      </c>
      <c r="JK95" s="422">
        <f t="shared" si="734"/>
        <v>6500</v>
      </c>
      <c r="JL95" s="422">
        <f t="shared" si="734"/>
        <v>6500</v>
      </c>
      <c r="JM95" s="422">
        <f t="shared" si="734"/>
        <v>6500</v>
      </c>
      <c r="JN95" s="422">
        <f t="shared" si="734"/>
        <v>6500</v>
      </c>
      <c r="JO95" s="422">
        <f t="shared" si="734"/>
        <v>6500</v>
      </c>
      <c r="JP95" s="422">
        <f t="shared" si="734"/>
        <v>6500</v>
      </c>
      <c r="JQ95" s="422">
        <f t="shared" si="734"/>
        <v>6500</v>
      </c>
      <c r="JR95" s="422">
        <f t="shared" si="734"/>
        <v>6500</v>
      </c>
      <c r="JS95" s="422">
        <f t="shared" si="734"/>
        <v>6500</v>
      </c>
      <c r="JT95" s="422" t="n">
        <f t="shared" ref="JT95" si="757">(JT$3&gt;=$ER95)*$EQ95</f>
        <v>6500</v>
      </c>
      <c r="JU95" s="422">
        <f t="shared" si="735"/>
        <v>6500</v>
      </c>
      <c r="JV95" s="422">
        <f t="shared" si="735"/>
        <v>6500</v>
      </c>
      <c r="JW95" s="422">
        <f t="shared" si="735"/>
        <v>6500</v>
      </c>
      <c r="JX95" s="422">
        <f t="shared" si="735"/>
        <v>6500</v>
      </c>
      <c r="JZ95" s="220" t="str">
        <f t="shared" si="754"/>
        <v>LiveHouse</v>
      </c>
      <c r="KA95" s="422">
        <f t="shared" si="736"/>
        <v>2600000</v>
      </c>
      <c r="KB95" s="198">
        <f t="shared" si="737"/>
        <v>25</v>
      </c>
      <c r="KC95" s="207">
        <f t="shared" si="738"/>
        <v>3.5000000000000003E-2</v>
      </c>
      <c r="KD95" s="214" t="str">
        <f t="shared" si="596"/>
        <v>Annual</v>
      </c>
      <c r="KE95" s="474" t="n">
        <f>MATCH(KD95,Data!$G$24:$G$33,0)</f>
        <v>1</v>
      </c>
      <c r="KF95" s="264"/>
      <c r="KG95" s="475">
        <f t="shared" si="755"/>
        <v>0</v>
      </c>
      <c r="KH95" s="475">
        <f t="shared" si="739"/>
        <v>0</v>
      </c>
      <c r="KI95" s="475">
        <f t="shared" si="739"/>
        <v>0</v>
      </c>
      <c r="KJ95" s="475">
        <f t="shared" si="739"/>
        <v>0</v>
      </c>
      <c r="KK95" s="475">
        <f t="shared" si="739"/>
        <v>0</v>
      </c>
      <c r="KL95" s="475">
        <f t="shared" si="739"/>
        <v>0</v>
      </c>
      <c r="KM95" s="475">
        <f t="shared" si="739"/>
        <v>0</v>
      </c>
      <c r="KN95" s="475">
        <f t="shared" si="739"/>
        <v>0</v>
      </c>
      <c r="KO95" s="475">
        <f t="shared" si="739"/>
        <v>0</v>
      </c>
      <c r="KP95" s="475">
        <f t="shared" si="739"/>
        <v>0</v>
      </c>
      <c r="KQ95" s="475">
        <f t="shared" si="739"/>
        <v>0</v>
      </c>
      <c r="KR95" s="475">
        <f t="shared" si="739"/>
        <v>0</v>
      </c>
      <c r="KS95" s="475">
        <f t="shared" si="739"/>
        <v>0</v>
      </c>
      <c r="KT95" s="475">
        <f t="shared" si="739"/>
        <v>0</v>
      </c>
      <c r="KU95" s="475">
        <f t="shared" si="739"/>
        <v>0</v>
      </c>
      <c r="KV95" s="475">
        <f t="shared" si="739"/>
        <v>0</v>
      </c>
      <c r="KW95" s="475">
        <f t="shared" si="739"/>
        <v>0</v>
      </c>
      <c r="KX95" s="475">
        <f t="shared" si="740"/>
        <v>0</v>
      </c>
      <c r="KY95" s="475">
        <f t="shared" si="740"/>
        <v>0</v>
      </c>
      <c r="KZ95" s="475">
        <f t="shared" si="740"/>
        <v>0</v>
      </c>
      <c r="LA95" s="475">
        <f t="shared" si="740"/>
        <v>0</v>
      </c>
      <c r="LB95" s="475">
        <f t="shared" si="740"/>
        <v>0</v>
      </c>
      <c r="LC95" s="475">
        <f t="shared" si="740"/>
        <v>0</v>
      </c>
      <c r="LD95" s="475">
        <f t="shared" si="740"/>
        <v>0</v>
      </c>
      <c r="LE95" s="475">
        <f t="shared" si="740"/>
        <v>216666.66666666666</v>
      </c>
      <c r="LF95" s="475">
        <f t="shared" si="740"/>
        <v>216666.66666666666</v>
      </c>
      <c r="LG95" s="475">
        <f t="shared" si="740"/>
        <v>216666.66666666666</v>
      </c>
      <c r="LH95" s="475">
        <f t="shared" si="740"/>
        <v>216666.66666666666</v>
      </c>
      <c r="LI95" s="475">
        <f t="shared" si="740"/>
        <v>216666.66666666666</v>
      </c>
      <c r="LJ95" s="475">
        <f t="shared" si="740"/>
        <v>216666.66666666666</v>
      </c>
      <c r="LK95" s="475">
        <f t="shared" si="740"/>
        <v>216666.66666666666</v>
      </c>
      <c r="LL95" s="475">
        <f t="shared" si="740"/>
        <v>216666.66666666666</v>
      </c>
      <c r="LM95" s="475">
        <f t="shared" si="740"/>
        <v>216666.66666666666</v>
      </c>
      <c r="LN95" s="475">
        <f t="shared" si="741"/>
        <v>216666.66666666666</v>
      </c>
      <c r="LO95" s="475">
        <f t="shared" si="741"/>
        <v>216666.66666666666</v>
      </c>
      <c r="LP95" s="475">
        <f t="shared" si="741"/>
        <v>216666.66666666666</v>
      </c>
      <c r="LQ95" s="475">
        <f t="shared" si="741"/>
        <v>224249.99999999997</v>
      </c>
      <c r="LR95" s="475">
        <f t="shared" si="741"/>
        <v>224249.99999999997</v>
      </c>
      <c r="LS95" s="475">
        <f t="shared" si="741"/>
        <v>224249.99999999997</v>
      </c>
      <c r="LT95" s="475">
        <f t="shared" si="741"/>
        <v>224249.99999999997</v>
      </c>
      <c r="LU95" s="475">
        <f t="shared" si="741"/>
        <v>224249.99999999997</v>
      </c>
      <c r="LV95" s="475">
        <f t="shared" si="741"/>
        <v>224249.99999999997</v>
      </c>
      <c r="LW95" s="475">
        <f t="shared" si="741"/>
        <v>224249.99999999997</v>
      </c>
      <c r="LX95" s="475">
        <f t="shared" si="741"/>
        <v>224249.99999999997</v>
      </c>
      <c r="LY95" s="475">
        <f t="shared" si="741"/>
        <v>224249.99999999997</v>
      </c>
      <c r="LZ95" s="475">
        <f t="shared" si="741"/>
        <v>224249.99999999997</v>
      </c>
      <c r="MA95" s="475">
        <f t="shared" si="741"/>
        <v>224249.99999999997</v>
      </c>
      <c r="MB95" s="475">
        <f t="shared" si="741"/>
        <v>224249.99999999997</v>
      </c>
      <c r="MC95" s="475">
        <f t="shared" si="741"/>
        <v>232098.74999999997</v>
      </c>
      <c r="MD95" s="475">
        <f t="shared" si="742"/>
        <v>232098.74999999997</v>
      </c>
      <c r="ME95" s="475">
        <f t="shared" si="742"/>
        <v>232098.74999999997</v>
      </c>
      <c r="MF95" s="475">
        <f t="shared" si="742"/>
        <v>232098.74999999997</v>
      </c>
      <c r="MG95" s="475">
        <f t="shared" si="742"/>
        <v>232098.74999999997</v>
      </c>
      <c r="MH95" s="475">
        <f t="shared" si="742"/>
        <v>232098.74999999997</v>
      </c>
      <c r="MI95" s="475">
        <f t="shared" si="742"/>
        <v>232098.74999999997</v>
      </c>
      <c r="MJ95" s="475">
        <f t="shared" si="742"/>
        <v>232098.74999999997</v>
      </c>
      <c r="MK95" s="475">
        <f t="shared" si="742"/>
        <v>232098.74999999997</v>
      </c>
      <c r="ML95" s="475">
        <f t="shared" si="742"/>
        <v>232098.74999999997</v>
      </c>
      <c r="MM95" s="475">
        <f t="shared" si="742"/>
        <v>232098.74999999997</v>
      </c>
      <c r="MN95" s="475">
        <f t="shared" si="742"/>
        <v>232098.74999999997</v>
      </c>
      <c r="MO95" s="475">
        <f t="shared" si="742"/>
        <v>240222.20624999993</v>
      </c>
      <c r="MP95" s="475">
        <f t="shared" si="742"/>
        <v>240222.20624999993</v>
      </c>
      <c r="MQ95" s="475">
        <f t="shared" si="742"/>
        <v>240222.20624999993</v>
      </c>
      <c r="MR95" s="475">
        <f t="shared" si="742"/>
        <v>240222.20624999993</v>
      </c>
      <c r="MS95" s="475">
        <f t="shared" si="742"/>
        <v>240222.20624999993</v>
      </c>
      <c r="MT95" s="475">
        <f t="shared" si="743"/>
        <v>240222.20624999993</v>
      </c>
      <c r="MU95" s="475">
        <f t="shared" si="743"/>
        <v>240222.20624999993</v>
      </c>
      <c r="MV95" s="475">
        <f t="shared" si="743"/>
        <v>240222.20624999993</v>
      </c>
      <c r="MW95" s="475">
        <f t="shared" si="743"/>
        <v>240222.20624999993</v>
      </c>
      <c r="MX95" s="475">
        <f t="shared" si="743"/>
        <v>240222.20624999993</v>
      </c>
      <c r="MY95" s="475">
        <f t="shared" si="743"/>
        <v>240222.20624999993</v>
      </c>
      <c r="MZ95" s="475">
        <f t="shared" si="743"/>
        <v>240222.20624999993</v>
      </c>
      <c r="NA95" s="475">
        <f t="shared" si="743"/>
        <v>248629.98346874991</v>
      </c>
      <c r="NB95" s="475">
        <f t="shared" si="743"/>
        <v>248629.98346874991</v>
      </c>
      <c r="NC95" s="475">
        <f t="shared" si="743"/>
        <v>248629.98346874991</v>
      </c>
      <c r="ND95" s="475">
        <f t="shared" si="743"/>
        <v>248629.98346874991</v>
      </c>
      <c r="NE95" s="475">
        <f t="shared" si="743"/>
        <v>248629.98346874991</v>
      </c>
      <c r="NF95" s="475">
        <f t="shared" si="743"/>
        <v>248629.98346874991</v>
      </c>
      <c r="NG95" s="475">
        <f t="shared" si="743"/>
        <v>248629.98346874991</v>
      </c>
      <c r="NH95" s="475">
        <f t="shared" si="743"/>
        <v>248629.98346874991</v>
      </c>
      <c r="NI95" s="475">
        <f t="shared" si="743"/>
        <v>248629.98346874991</v>
      </c>
      <c r="NJ95" s="475">
        <f t="shared" si="744"/>
        <v>248629.98346874991</v>
      </c>
      <c r="NK95" s="475">
        <f t="shared" si="744"/>
        <v>248629.98346874991</v>
      </c>
      <c r="NL95" s="475">
        <f t="shared" si="744"/>
        <v>248629.98346874991</v>
      </c>
      <c r="NM95" s="475">
        <f t="shared" si="744"/>
        <v>257332.03289015612</v>
      </c>
      <c r="NN95" s="475">
        <f t="shared" si="744"/>
        <v>257332.03289015612</v>
      </c>
      <c r="NO95" s="475">
        <f t="shared" si="744"/>
        <v>257332.03289015612</v>
      </c>
      <c r="NP95" s="475">
        <f t="shared" si="744"/>
        <v>257332.03289015612</v>
      </c>
      <c r="NQ95" s="475">
        <f t="shared" si="744"/>
        <v>257332.03289015612</v>
      </c>
      <c r="NR95" s="475">
        <f t="shared" si="744"/>
        <v>257332.03289015612</v>
      </c>
      <c r="NS95" s="475">
        <f t="shared" si="744"/>
        <v>257332.03289015612</v>
      </c>
      <c r="NT95" s="475">
        <f t="shared" si="744"/>
        <v>257332.03289015612</v>
      </c>
      <c r="NU95" s="475">
        <f t="shared" si="744"/>
        <v>257332.03289015612</v>
      </c>
      <c r="NV95" s="475">
        <f t="shared" si="744"/>
        <v>257332.03289015612</v>
      </c>
      <c r="NW95" s="475">
        <f t="shared" si="744"/>
        <v>257332.03289015612</v>
      </c>
      <c r="NX95" s="475">
        <f t="shared" si="744"/>
        <v>257332.03289015612</v>
      </c>
      <c r="NY95" s="475">
        <f t="shared" si="744"/>
        <v>266338.65404131159</v>
      </c>
      <c r="NZ95" s="475">
        <f t="shared" si="745"/>
        <v>266338.65404131159</v>
      </c>
      <c r="OA95" s="475">
        <f t="shared" si="745"/>
        <v>266338.65404131159</v>
      </c>
      <c r="OB95" s="475">
        <f t="shared" si="745"/>
        <v>266338.65404131159</v>
      </c>
      <c r="OC95" s="475">
        <f t="shared" si="745"/>
        <v>266338.65404131159</v>
      </c>
      <c r="OD95" s="475">
        <f t="shared" si="745"/>
        <v>266338.65404131159</v>
      </c>
      <c r="OE95" s="475">
        <f t="shared" si="745"/>
        <v>266338.65404131159</v>
      </c>
      <c r="OF95" s="475">
        <f t="shared" si="745"/>
        <v>266338.65404131159</v>
      </c>
      <c r="OG95" s="475">
        <f t="shared" si="745"/>
        <v>266338.65404131159</v>
      </c>
      <c r="OH95" s="475">
        <f t="shared" si="745"/>
        <v>266338.65404131159</v>
      </c>
      <c r="OI95" s="475">
        <f t="shared" si="745"/>
        <v>266338.65404131159</v>
      </c>
      <c r="OJ95" s="475">
        <f t="shared" si="745"/>
        <v>266338.65404131159</v>
      </c>
      <c r="OK95" s="475">
        <f t="shared" si="745"/>
        <v>275660.5069327575</v>
      </c>
      <c r="OL95" s="475">
        <f t="shared" si="745"/>
        <v>275660.5069327575</v>
      </c>
      <c r="OM95" s="475">
        <f t="shared" si="745"/>
        <v>275660.5069327575</v>
      </c>
      <c r="ON95" s="475">
        <f t="shared" si="745"/>
        <v>275660.5069327575</v>
      </c>
      <c r="OO95" s="475">
        <f t="shared" si="745"/>
        <v>275660.5069327575</v>
      </c>
      <c r="OP95" s="475">
        <f t="shared" si="746"/>
        <v>275660.5069327575</v>
      </c>
      <c r="OQ95" s="475">
        <f t="shared" si="746"/>
        <v>275660.5069327575</v>
      </c>
      <c r="OR95" s="475">
        <f t="shared" si="746"/>
        <v>275660.5069327575</v>
      </c>
      <c r="OS95" s="475">
        <f t="shared" si="746"/>
        <v>275660.5069327575</v>
      </c>
      <c r="OT95" s="475">
        <f t="shared" si="746"/>
        <v>275660.5069327575</v>
      </c>
      <c r="OU95" s="475">
        <f t="shared" si="746"/>
        <v>275660.5069327575</v>
      </c>
      <c r="OV95" s="475">
        <f t="shared" si="746"/>
        <v>275660.5069327575</v>
      </c>
      <c r="OW95" s="475">
        <f t="shared" si="746"/>
        <v>285308.62467540393</v>
      </c>
      <c r="OX95" s="475">
        <f t="shared" si="746"/>
        <v>285308.62467540393</v>
      </c>
      <c r="OY95" s="475">
        <f t="shared" si="746"/>
        <v>285308.62467540393</v>
      </c>
      <c r="OZ95" s="475">
        <f t="shared" si="746"/>
        <v>285308.62467540393</v>
      </c>
      <c r="PA95" s="475">
        <f t="shared" si="746"/>
        <v>285308.62467540393</v>
      </c>
      <c r="PB95" s="475">
        <f t="shared" si="746"/>
        <v>285308.62467540393</v>
      </c>
      <c r="PC95" s="475">
        <f t="shared" si="746"/>
        <v>285308.62467540393</v>
      </c>
      <c r="PD95" s="475">
        <f t="shared" si="746"/>
        <v>285308.62467540393</v>
      </c>
      <c r="PE95" s="475">
        <f t="shared" si="746"/>
        <v>285308.62467540393</v>
      </c>
      <c r="PF95" s="475">
        <f t="shared" si="747"/>
        <v>285308.62467540393</v>
      </c>
      <c r="PG95" s="475">
        <f t="shared" si="747"/>
        <v>285308.62467540393</v>
      </c>
      <c r="PH95" s="475">
        <f t="shared" si="747"/>
        <v>285308.62467540393</v>
      </c>
    </row>
    <row r="96">
      <c r="B96" s="473" t="s">
        <v>243</v>
      </c>
      <c r="C96" s="473" t="s">
        <v>244</v>
      </c>
      <c r="D96" s="46">
        <v>25</v>
      </c>
      <c r="E96" s="420" t="n">
        <f>PROJECTS!$AP$23</f>
        <v>150</v>
      </c>
      <c r="F96" s="46">
        <f t="shared" si="748"/>
        <v>28</v>
      </c>
      <c r="G96" s="44" t="n">
        <f>PROJECTS!$AP$68</f>
        <v>0.035</v>
      </c>
      <c r="H96" s="144" t="n">
        <f>PROJECTS!$AP$72</f>
        <v>600</v>
      </c>
      <c r="I96" s="428">
        <f t="shared" si="601"/>
        <v>90000</v>
      </c>
      <c r="K96" s="290" t="s">
        <v>239</v>
      </c>
      <c r="L96" s="76"/>
      <c r="M96" s="421">
        <f t="shared" si="749"/>
        <v>0</v>
      </c>
      <c r="N96" s="421">
        <f t="shared" si="602"/>
        <v>0</v>
      </c>
      <c r="O96" s="421">
        <f t="shared" si="603"/>
        <v>0</v>
      </c>
      <c r="P96" s="421">
        <f t="shared" si="604"/>
        <v>0</v>
      </c>
      <c r="Q96" s="421">
        <f t="shared" si="605"/>
        <v>0</v>
      </c>
      <c r="R96" s="421">
        <f t="shared" si="606"/>
        <v>0</v>
      </c>
      <c r="S96" s="421">
        <f t="shared" si="607"/>
        <v>0</v>
      </c>
      <c r="T96" s="421">
        <f t="shared" si="608"/>
        <v>0</v>
      </c>
      <c r="U96" s="421">
        <f t="shared" si="609"/>
        <v>0</v>
      </c>
      <c r="V96" s="421">
        <f t="shared" si="610"/>
        <v>0</v>
      </c>
      <c r="W96" s="421">
        <f t="shared" si="611"/>
        <v>0</v>
      </c>
      <c r="X96" s="421">
        <f t="shared" si="612"/>
        <v>0</v>
      </c>
      <c r="Y96" s="421">
        <f t="shared" si="613"/>
        <v>0</v>
      </c>
      <c r="Z96" s="421">
        <f t="shared" si="614"/>
        <v>0</v>
      </c>
      <c r="AA96" s="421">
        <f t="shared" si="615"/>
        <v>0</v>
      </c>
      <c r="AB96" s="421">
        <f t="shared" si="616"/>
        <v>0</v>
      </c>
      <c r="AC96" s="421">
        <f t="shared" si="617"/>
        <v>0</v>
      </c>
      <c r="AD96" s="421">
        <f t="shared" si="618"/>
        <v>0</v>
      </c>
      <c r="AE96" s="421">
        <f t="shared" si="619"/>
        <v>0</v>
      </c>
      <c r="AF96" s="421">
        <f t="shared" si="620"/>
        <v>0</v>
      </c>
      <c r="AG96" s="421">
        <f t="shared" si="621"/>
        <v>0</v>
      </c>
      <c r="AH96" s="421">
        <f t="shared" si="622"/>
        <v>0</v>
      </c>
      <c r="AI96" s="421">
        <f t="shared" si="623"/>
        <v>0</v>
      </c>
      <c r="AJ96" s="421">
        <f t="shared" si="624"/>
        <v>0</v>
      </c>
      <c r="AK96" s="421">
        <f t="shared" si="625"/>
        <v>0</v>
      </c>
      <c r="AL96" s="421">
        <f t="shared" si="626"/>
        <v>0</v>
      </c>
      <c r="AM96" s="421">
        <f t="shared" si="627"/>
        <v>0</v>
      </c>
      <c r="AN96" s="421">
        <f t="shared" si="628"/>
        <v>7500</v>
      </c>
      <c r="AO96" s="421">
        <f t="shared" si="629"/>
        <v>7500</v>
      </c>
      <c r="AP96" s="421">
        <f t="shared" si="630"/>
        <v>7500</v>
      </c>
      <c r="AQ96" s="421">
        <f t="shared" si="631"/>
        <v>7500</v>
      </c>
      <c r="AR96" s="421">
        <f t="shared" si="632"/>
        <v>7500</v>
      </c>
      <c r="AS96" s="421">
        <f t="shared" si="633"/>
        <v>7500</v>
      </c>
      <c r="AT96" s="421">
        <f t="shared" si="634"/>
        <v>7500</v>
      </c>
      <c r="AU96" s="421">
        <f t="shared" si="635"/>
        <v>7500</v>
      </c>
      <c r="AV96" s="421">
        <f t="shared" si="636"/>
        <v>7500</v>
      </c>
      <c r="AW96" s="421">
        <f t="shared" si="637"/>
        <v>7500</v>
      </c>
      <c r="AX96" s="421">
        <f t="shared" si="638"/>
        <v>7500</v>
      </c>
      <c r="AY96" s="421">
        <f t="shared" si="639"/>
        <v>7500</v>
      </c>
      <c r="AZ96" s="421">
        <f t="shared" si="640"/>
        <v>7762.4999999999991</v>
      </c>
      <c r="BA96" s="421">
        <f t="shared" si="641"/>
        <v>7762.4999999999991</v>
      </c>
      <c r="BB96" s="421">
        <f t="shared" si="642"/>
        <v>7762.4999999999991</v>
      </c>
      <c r="BC96" s="421">
        <f t="shared" si="643"/>
        <v>7762.4999999999991</v>
      </c>
      <c r="BD96" s="421">
        <f t="shared" si="644"/>
        <v>7762.4999999999991</v>
      </c>
      <c r="BE96" s="421">
        <f t="shared" si="645"/>
        <v>7762.4999999999991</v>
      </c>
      <c r="BF96" s="421">
        <f t="shared" si="646"/>
        <v>7762.4999999999991</v>
      </c>
      <c r="BG96" s="421">
        <f t="shared" si="647"/>
        <v>7762.4999999999991</v>
      </c>
      <c r="BH96" s="421">
        <f t="shared" si="648"/>
        <v>7762.4999999999991</v>
      </c>
      <c r="BI96" s="421">
        <f t="shared" si="649"/>
        <v>7762.4999999999991</v>
      </c>
      <c r="BJ96" s="421">
        <f t="shared" si="650"/>
        <v>7762.4999999999991</v>
      </c>
      <c r="BK96" s="421">
        <f t="shared" si="651"/>
        <v>7762.4999999999991</v>
      </c>
      <c r="BL96" s="421">
        <f t="shared" si="652"/>
        <v>8034.1874999999991</v>
      </c>
      <c r="BM96" s="421">
        <f t="shared" si="653"/>
        <v>8034.1874999999991</v>
      </c>
      <c r="BN96" s="421">
        <f t="shared" si="654"/>
        <v>8034.1874999999991</v>
      </c>
      <c r="BO96" s="421">
        <f t="shared" si="655"/>
        <v>8034.1874999999991</v>
      </c>
      <c r="BP96" s="421">
        <f t="shared" si="656"/>
        <v>8034.1874999999991</v>
      </c>
      <c r="BQ96" s="421">
        <f t="shared" si="657"/>
        <v>8034.1874999999991</v>
      </c>
      <c r="BR96" s="421">
        <f t="shared" si="658"/>
        <v>8034.1874999999991</v>
      </c>
      <c r="BS96" s="421">
        <f t="shared" si="659"/>
        <v>8034.1874999999991</v>
      </c>
      <c r="BT96" s="421">
        <f t="shared" si="660"/>
        <v>8034.1874999999991</v>
      </c>
      <c r="BU96" s="421">
        <f t="shared" si="661"/>
        <v>8034.1874999999991</v>
      </c>
      <c r="BV96" s="421">
        <f t="shared" si="662"/>
        <v>8034.1874999999991</v>
      </c>
      <c r="BW96" s="421">
        <f t="shared" si="663"/>
        <v>8034.1874999999991</v>
      </c>
      <c r="BX96" s="421">
        <f t="shared" si="664"/>
        <v>8315.3840624999975</v>
      </c>
      <c r="BY96" s="421">
        <f t="shared" si="665"/>
        <v>8315.3840624999975</v>
      </c>
      <c r="BZ96" s="421">
        <f t="shared" si="666"/>
        <v>8315.3840624999975</v>
      </c>
      <c r="CA96" s="421">
        <f t="shared" si="667"/>
        <v>8315.3840624999975</v>
      </c>
      <c r="CB96" s="421">
        <f t="shared" si="668"/>
        <v>8315.3840624999975</v>
      </c>
      <c r="CC96" s="421">
        <f t="shared" si="669"/>
        <v>8315.3840624999975</v>
      </c>
      <c r="CD96" s="421">
        <f t="shared" si="670"/>
        <v>8315.3840624999975</v>
      </c>
      <c r="CE96" s="421">
        <f t="shared" si="671"/>
        <v>8315.3840624999975</v>
      </c>
      <c r="CF96" s="421">
        <f t="shared" si="672"/>
        <v>8315.3840624999975</v>
      </c>
      <c r="CG96" s="421">
        <f t="shared" si="673"/>
        <v>8315.3840624999975</v>
      </c>
      <c r="CH96" s="421">
        <f t="shared" si="674"/>
        <v>8315.3840624999975</v>
      </c>
      <c r="CI96" s="421">
        <f t="shared" si="675"/>
        <v>8315.3840624999975</v>
      </c>
      <c r="CJ96" s="421">
        <f t="shared" si="676"/>
        <v>8606.4225046874981</v>
      </c>
      <c r="CK96" s="421">
        <f t="shared" si="677"/>
        <v>8606.4225046874981</v>
      </c>
      <c r="CL96" s="421">
        <f t="shared" si="678"/>
        <v>8606.4225046874981</v>
      </c>
      <c r="CM96" s="421">
        <f t="shared" si="679"/>
        <v>8606.4225046874981</v>
      </c>
      <c r="CN96" s="421">
        <f t="shared" si="680"/>
        <v>8606.4225046874981</v>
      </c>
      <c r="CO96" s="421">
        <f t="shared" si="681"/>
        <v>8606.4225046874981</v>
      </c>
      <c r="CP96" s="421">
        <f t="shared" si="682"/>
        <v>8606.4225046874981</v>
      </c>
      <c r="CQ96" s="421">
        <f t="shared" si="683"/>
        <v>8606.4225046874981</v>
      </c>
      <c r="CR96" s="421">
        <f t="shared" si="684"/>
        <v>8606.4225046874981</v>
      </c>
      <c r="CS96" s="421">
        <f t="shared" si="685"/>
        <v>8606.4225046874981</v>
      </c>
      <c r="CT96" s="421">
        <f t="shared" si="686"/>
        <v>8606.4225046874981</v>
      </c>
      <c r="CU96" s="421">
        <f t="shared" si="687"/>
        <v>8606.4225046874981</v>
      </c>
      <c r="CV96" s="421">
        <f t="shared" si="688"/>
        <v>8907.6472923515594</v>
      </c>
      <c r="CW96" s="421">
        <f t="shared" si="689"/>
        <v>8907.6472923515594</v>
      </c>
      <c r="CX96" s="421">
        <f t="shared" si="690"/>
        <v>8907.6472923515594</v>
      </c>
      <c r="CY96" s="421">
        <f t="shared" si="691"/>
        <v>8907.6472923515594</v>
      </c>
      <c r="CZ96" s="421">
        <f t="shared" si="692"/>
        <v>8907.6472923515594</v>
      </c>
      <c r="DA96" s="421">
        <f t="shared" si="693"/>
        <v>8907.6472923515594</v>
      </c>
      <c r="DB96" s="421">
        <f t="shared" si="694"/>
        <v>8907.6472923515594</v>
      </c>
      <c r="DC96" s="421">
        <f t="shared" si="695"/>
        <v>8907.6472923515594</v>
      </c>
      <c r="DD96" s="421">
        <f t="shared" si="696"/>
        <v>8907.6472923515594</v>
      </c>
      <c r="DE96" s="421">
        <f t="shared" si="697"/>
        <v>8907.6472923515594</v>
      </c>
      <c r="DF96" s="421">
        <f t="shared" si="698"/>
        <v>8907.6472923515594</v>
      </c>
      <c r="DG96" s="421">
        <f t="shared" si="699"/>
        <v>8907.6472923515594</v>
      </c>
      <c r="DH96" s="421">
        <f t="shared" si="700"/>
        <v>9219.414947583864</v>
      </c>
      <c r="DI96" s="421">
        <f t="shared" si="701"/>
        <v>9219.414947583864</v>
      </c>
      <c r="DJ96" s="421">
        <f t="shared" si="702"/>
        <v>9219.414947583864</v>
      </c>
      <c r="DK96" s="421">
        <f t="shared" si="703"/>
        <v>9219.414947583864</v>
      </c>
      <c r="DL96" s="421">
        <f t="shared" si="704"/>
        <v>9219.414947583864</v>
      </c>
      <c r="DM96" s="421">
        <f t="shared" si="705"/>
        <v>9219.414947583864</v>
      </c>
      <c r="DN96" s="421">
        <f t="shared" si="706"/>
        <v>9219.414947583864</v>
      </c>
      <c r="DO96" s="421">
        <f t="shared" si="707"/>
        <v>9219.414947583864</v>
      </c>
      <c r="DP96" s="421">
        <f t="shared" si="708"/>
        <v>9219.414947583864</v>
      </c>
      <c r="DQ96" s="421">
        <f t="shared" si="709"/>
        <v>9219.414947583864</v>
      </c>
      <c r="DR96" s="421">
        <f t="shared" si="710"/>
        <v>9219.414947583864</v>
      </c>
      <c r="DS96" s="421">
        <f t="shared" si="711"/>
        <v>9219.414947583864</v>
      </c>
      <c r="DT96" s="421">
        <f t="shared" si="712"/>
        <v>9542.0944707492981</v>
      </c>
      <c r="DU96" s="421">
        <f t="shared" si="713"/>
        <v>9542.0944707492981</v>
      </c>
      <c r="DV96" s="421">
        <f t="shared" si="714"/>
        <v>9542.0944707492981</v>
      </c>
      <c r="DW96" s="421">
        <f t="shared" si="715"/>
        <v>9542.0944707492981</v>
      </c>
      <c r="DX96" s="421">
        <f t="shared" si="716"/>
        <v>9542.0944707492981</v>
      </c>
      <c r="DY96" s="421">
        <f t="shared" si="717"/>
        <v>9542.0944707492981</v>
      </c>
      <c r="DZ96" s="421">
        <f t="shared" si="718"/>
        <v>9542.0944707492981</v>
      </c>
      <c r="EA96" s="421">
        <f t="shared" si="719"/>
        <v>9542.0944707492981</v>
      </c>
      <c r="EB96" s="421">
        <f t="shared" si="720"/>
        <v>9542.0944707492981</v>
      </c>
      <c r="EC96" s="421">
        <f t="shared" si="721"/>
        <v>9542.0944707492981</v>
      </c>
      <c r="ED96" s="421">
        <f t="shared" si="722"/>
        <v>9542.0944707492981</v>
      </c>
      <c r="EE96" s="421">
        <f t="shared" si="723"/>
        <v>9542.0944707492981</v>
      </c>
      <c r="EF96" s="421">
        <f t="shared" si="724"/>
        <v>9876.0677772255221</v>
      </c>
      <c r="EG96" s="421">
        <f t="shared" si="725"/>
        <v>9876.0677772255221</v>
      </c>
      <c r="EH96" s="421">
        <f t="shared" si="726"/>
        <v>9876.0677772255221</v>
      </c>
      <c r="EI96" s="421">
        <f t="shared" si="727"/>
        <v>9876.0677772255221</v>
      </c>
      <c r="EJ96" s="421">
        <f t="shared" si="728"/>
        <v>9876.0677772255221</v>
      </c>
      <c r="EK96" s="421">
        <f t="shared" si="729"/>
        <v>9876.0677772255221</v>
      </c>
      <c r="EL96" s="421">
        <f t="shared" si="730"/>
        <v>9876.0677772255221</v>
      </c>
      <c r="EM96" s="421">
        <f t="shared" si="731"/>
        <v>9876.0677772255221</v>
      </c>
      <c r="EN96" s="421">
        <f t="shared" si="732"/>
        <v>9876.0677772255221</v>
      </c>
      <c r="EP96" s="220" t="str">
        <f t="shared" si="750"/>
        <v>Flexible Retail/F&amp;B</v>
      </c>
      <c r="EQ96" s="20">
        <f t="shared" si="751"/>
        <v>150</v>
      </c>
      <c r="ER96" s="198">
        <f t="shared" si="752"/>
        <v>25</v>
      </c>
      <c r="ES96" s="18"/>
      <c r="ET96" s="18"/>
      <c r="EU96" s="18"/>
      <c r="EV96" s="422">
        <f t="shared" si="753"/>
        <v>0</v>
      </c>
      <c r="EW96" s="422">
        <f t="shared" si="756"/>
        <v>0</v>
      </c>
      <c r="EX96" s="422">
        <f t="shared" si="756"/>
        <v>0</v>
      </c>
      <c r="EY96" s="422">
        <f t="shared" si="756"/>
        <v>0</v>
      </c>
      <c r="EZ96" s="422">
        <f t="shared" si="756"/>
        <v>0</v>
      </c>
      <c r="FA96" s="422">
        <f t="shared" si="756"/>
        <v>0</v>
      </c>
      <c r="FB96" s="422">
        <f t="shared" si="756"/>
        <v>0</v>
      </c>
      <c r="FC96" s="422">
        <f t="shared" si="756"/>
        <v>0</v>
      </c>
      <c r="FD96" s="422">
        <f t="shared" si="756"/>
        <v>0</v>
      </c>
      <c r="FE96" s="422">
        <f t="shared" si="756"/>
        <v>0</v>
      </c>
      <c r="FF96" s="422">
        <f t="shared" si="756"/>
        <v>0</v>
      </c>
      <c r="FG96" s="422">
        <f t="shared" si="756"/>
        <v>0</v>
      </c>
      <c r="FH96" s="422">
        <f t="shared" si="756"/>
        <v>0</v>
      </c>
      <c r="FI96" s="422">
        <f t="shared" si="756"/>
        <v>0</v>
      </c>
      <c r="FJ96" s="422">
        <f t="shared" si="756"/>
        <v>0</v>
      </c>
      <c r="FK96" s="422">
        <f t="shared" si="756"/>
        <v>0</v>
      </c>
      <c r="FL96" s="422">
        <f t="shared" si="756"/>
        <v>0</v>
      </c>
      <c r="FM96" s="422">
        <f t="shared" si="756"/>
        <v>0</v>
      </c>
      <c r="FN96" s="422">
        <f t="shared" si="756"/>
        <v>0</v>
      </c>
      <c r="FO96" s="422">
        <f t="shared" si="756"/>
        <v>0</v>
      </c>
      <c r="FP96" s="422">
        <f t="shared" si="756"/>
        <v>0</v>
      </c>
      <c r="FQ96" s="422">
        <f t="shared" si="756"/>
        <v>0</v>
      </c>
      <c r="FR96" s="422">
        <f t="shared" si="756"/>
        <v>0</v>
      </c>
      <c r="FS96" s="422">
        <f t="shared" si="756"/>
        <v>0</v>
      </c>
      <c r="FT96" s="422">
        <f t="shared" si="756"/>
        <v>0</v>
      </c>
      <c r="FU96" s="422">
        <f t="shared" si="756"/>
        <v>150</v>
      </c>
      <c r="FV96" s="422">
        <f t="shared" si="756"/>
        <v>150</v>
      </c>
      <c r="FW96" s="422">
        <f t="shared" si="756"/>
        <v>150</v>
      </c>
      <c r="FX96" s="422">
        <f t="shared" si="756"/>
        <v>150</v>
      </c>
      <c r="FY96" s="422">
        <f t="shared" si="756"/>
        <v>150</v>
      </c>
      <c r="FZ96" s="422">
        <f t="shared" si="756"/>
        <v>150</v>
      </c>
      <c r="GA96" s="422">
        <f t="shared" si="756"/>
        <v>150</v>
      </c>
      <c r="GB96" s="422">
        <f t="shared" si="756"/>
        <v>150</v>
      </c>
      <c r="GC96" s="422">
        <f t="shared" si="756"/>
        <v>150</v>
      </c>
      <c r="GD96" s="422">
        <f t="shared" si="756"/>
        <v>150</v>
      </c>
      <c r="GE96" s="422">
        <f t="shared" si="756"/>
        <v>150</v>
      </c>
      <c r="GF96" s="422">
        <f t="shared" si="756"/>
        <v>150</v>
      </c>
      <c r="GG96" s="422">
        <f t="shared" si="756"/>
        <v>150</v>
      </c>
      <c r="GH96" s="422">
        <f t="shared" si="756"/>
        <v>150</v>
      </c>
      <c r="GI96" s="422">
        <f t="shared" si="756"/>
        <v>150</v>
      </c>
      <c r="GJ96" s="422">
        <f t="shared" si="756"/>
        <v>150</v>
      </c>
      <c r="GK96" s="422">
        <f t="shared" si="756"/>
        <v>150</v>
      </c>
      <c r="GL96" s="422">
        <f t="shared" si="756"/>
        <v>150</v>
      </c>
      <c r="GM96" s="422">
        <f t="shared" si="756"/>
        <v>150</v>
      </c>
      <c r="GN96" s="422">
        <f t="shared" si="756"/>
        <v>150</v>
      </c>
      <c r="GO96" s="422">
        <f t="shared" si="756"/>
        <v>150</v>
      </c>
      <c r="GP96" s="422">
        <f t="shared" si="756"/>
        <v>150</v>
      </c>
      <c r="GQ96" s="422">
        <f t="shared" si="756"/>
        <v>150</v>
      </c>
      <c r="GR96" s="422">
        <f t="shared" si="756"/>
        <v>150</v>
      </c>
      <c r="GS96" s="422">
        <f t="shared" si="756"/>
        <v>150</v>
      </c>
      <c r="GT96" s="422">
        <f t="shared" si="756"/>
        <v>150</v>
      </c>
      <c r="GU96" s="422">
        <f t="shared" si="756"/>
        <v>150</v>
      </c>
      <c r="GV96" s="422">
        <f t="shared" si="756"/>
        <v>150</v>
      </c>
      <c r="GW96" s="422">
        <f t="shared" si="756"/>
        <v>150</v>
      </c>
      <c r="GX96" s="422">
        <f t="shared" si="756"/>
        <v>150</v>
      </c>
      <c r="GY96" s="422">
        <f t="shared" si="756"/>
        <v>150</v>
      </c>
      <c r="GZ96" s="422">
        <f t="shared" si="756"/>
        <v>150</v>
      </c>
      <c r="HA96" s="422">
        <f t="shared" si="756"/>
        <v>150</v>
      </c>
      <c r="HB96" s="422">
        <f t="shared" si="756"/>
        <v>150</v>
      </c>
      <c r="HC96" s="422">
        <f t="shared" si="756"/>
        <v>150</v>
      </c>
      <c r="HD96" s="422">
        <f t="shared" si="756"/>
        <v>150</v>
      </c>
      <c r="HE96" s="422">
        <f t="shared" si="756"/>
        <v>150</v>
      </c>
      <c r="HF96" s="422">
        <f t="shared" si="756"/>
        <v>150</v>
      </c>
      <c r="HG96" s="422">
        <f t="shared" si="756"/>
        <v>150</v>
      </c>
      <c r="HH96" s="422">
        <f t="shared" si="756"/>
        <v>150</v>
      </c>
      <c r="HI96" s="422" t="n">
        <f t="shared" ref="HI96:JT99" si="758">(HI$3&gt;=$ER96)*$EQ96</f>
        <v>150</v>
      </c>
      <c r="HJ96" s="422">
        <f t="shared" si="758"/>
        <v>150</v>
      </c>
      <c r="HK96" s="422">
        <f t="shared" si="758"/>
        <v>150</v>
      </c>
      <c r="HL96" s="422">
        <f t="shared" si="758"/>
        <v>150</v>
      </c>
      <c r="HM96" s="422">
        <f t="shared" si="758"/>
        <v>150</v>
      </c>
      <c r="HN96" s="422">
        <f t="shared" si="758"/>
        <v>150</v>
      </c>
      <c r="HO96" s="422">
        <f t="shared" si="758"/>
        <v>150</v>
      </c>
      <c r="HP96" s="422">
        <f t="shared" si="758"/>
        <v>150</v>
      </c>
      <c r="HQ96" s="422">
        <f t="shared" si="758"/>
        <v>150</v>
      </c>
      <c r="HR96" s="422">
        <f t="shared" si="758"/>
        <v>150</v>
      </c>
      <c r="HS96" s="422">
        <f t="shared" si="758"/>
        <v>150</v>
      </c>
      <c r="HT96" s="422">
        <f t="shared" si="758"/>
        <v>150</v>
      </c>
      <c r="HU96" s="422">
        <f t="shared" si="758"/>
        <v>150</v>
      </c>
      <c r="HV96" s="422">
        <f t="shared" si="758"/>
        <v>150</v>
      </c>
      <c r="HW96" s="422">
        <f t="shared" si="758"/>
        <v>150</v>
      </c>
      <c r="HX96" s="422">
        <f t="shared" si="758"/>
        <v>150</v>
      </c>
      <c r="HY96" s="422">
        <f t="shared" si="758"/>
        <v>150</v>
      </c>
      <c r="HZ96" s="422">
        <f t="shared" si="758"/>
        <v>150</v>
      </c>
      <c r="IA96" s="422">
        <f t="shared" si="758"/>
        <v>150</v>
      </c>
      <c r="IB96" s="422">
        <f t="shared" si="758"/>
        <v>150</v>
      </c>
      <c r="IC96" s="422">
        <f t="shared" si="758"/>
        <v>150</v>
      </c>
      <c r="ID96" s="422">
        <f t="shared" si="758"/>
        <v>150</v>
      </c>
      <c r="IE96" s="422">
        <f t="shared" si="758"/>
        <v>150</v>
      </c>
      <c r="IF96" s="422">
        <f t="shared" si="758"/>
        <v>150</v>
      </c>
      <c r="IG96" s="422">
        <f t="shared" si="758"/>
        <v>150</v>
      </c>
      <c r="IH96" s="422">
        <f t="shared" si="758"/>
        <v>150</v>
      </c>
      <c r="II96" s="422">
        <f t="shared" si="758"/>
        <v>150</v>
      </c>
      <c r="IJ96" s="422">
        <f t="shared" si="758"/>
        <v>150</v>
      </c>
      <c r="IK96" s="422">
        <f t="shared" si="758"/>
        <v>150</v>
      </c>
      <c r="IL96" s="422">
        <f t="shared" si="758"/>
        <v>150</v>
      </c>
      <c r="IM96" s="422">
        <f t="shared" si="758"/>
        <v>150</v>
      </c>
      <c r="IN96" s="422">
        <f t="shared" si="758"/>
        <v>150</v>
      </c>
      <c r="IO96" s="422">
        <f t="shared" si="758"/>
        <v>150</v>
      </c>
      <c r="IP96" s="422">
        <f t="shared" si="758"/>
        <v>150</v>
      </c>
      <c r="IQ96" s="422">
        <f t="shared" si="758"/>
        <v>150</v>
      </c>
      <c r="IR96" s="422">
        <f t="shared" si="758"/>
        <v>150</v>
      </c>
      <c r="IS96" s="422">
        <f t="shared" si="758"/>
        <v>150</v>
      </c>
      <c r="IT96" s="422">
        <f t="shared" si="758"/>
        <v>150</v>
      </c>
      <c r="IU96" s="422">
        <f t="shared" si="758"/>
        <v>150</v>
      </c>
      <c r="IV96" s="422">
        <f t="shared" si="758"/>
        <v>150</v>
      </c>
      <c r="IW96" s="422">
        <f t="shared" si="758"/>
        <v>150</v>
      </c>
      <c r="IX96" s="422">
        <f t="shared" si="758"/>
        <v>150</v>
      </c>
      <c r="IY96" s="422">
        <f t="shared" si="758"/>
        <v>150</v>
      </c>
      <c r="IZ96" s="422">
        <f t="shared" si="758"/>
        <v>150</v>
      </c>
      <c r="JA96" s="422">
        <f t="shared" si="758"/>
        <v>150</v>
      </c>
      <c r="JB96" s="422">
        <f t="shared" si="758"/>
        <v>150</v>
      </c>
      <c r="JC96" s="422">
        <f t="shared" si="758"/>
        <v>150</v>
      </c>
      <c r="JD96" s="422">
        <f t="shared" si="758"/>
        <v>150</v>
      </c>
      <c r="JE96" s="422">
        <f t="shared" si="758"/>
        <v>150</v>
      </c>
      <c r="JF96" s="422">
        <f t="shared" si="758"/>
        <v>150</v>
      </c>
      <c r="JG96" s="422">
        <f t="shared" si="758"/>
        <v>150</v>
      </c>
      <c r="JH96" s="422">
        <f t="shared" si="758"/>
        <v>150</v>
      </c>
      <c r="JI96" s="422">
        <f t="shared" si="758"/>
        <v>150</v>
      </c>
      <c r="JJ96" s="422">
        <f t="shared" si="758"/>
        <v>150</v>
      </c>
      <c r="JK96" s="422">
        <f t="shared" si="758"/>
        <v>150</v>
      </c>
      <c r="JL96" s="422">
        <f t="shared" si="758"/>
        <v>150</v>
      </c>
      <c r="JM96" s="422">
        <f t="shared" si="758"/>
        <v>150</v>
      </c>
      <c r="JN96" s="422">
        <f t="shared" si="758"/>
        <v>150</v>
      </c>
      <c r="JO96" s="422">
        <f t="shared" si="758"/>
        <v>150</v>
      </c>
      <c r="JP96" s="422">
        <f t="shared" si="758"/>
        <v>150</v>
      </c>
      <c r="JQ96" s="422">
        <f t="shared" si="758"/>
        <v>150</v>
      </c>
      <c r="JR96" s="422">
        <f t="shared" si="758"/>
        <v>150</v>
      </c>
      <c r="JS96" s="422">
        <f t="shared" si="758"/>
        <v>150</v>
      </c>
      <c r="JT96" s="422">
        <f t="shared" si="758"/>
        <v>150</v>
      </c>
      <c r="JU96" s="422">
        <f t="shared" si="735"/>
        <v>150</v>
      </c>
      <c r="JV96" s="422">
        <f t="shared" si="735"/>
        <v>150</v>
      </c>
      <c r="JW96" s="422">
        <f t="shared" si="735"/>
        <v>150</v>
      </c>
      <c r="JX96" s="422">
        <f t="shared" si="735"/>
        <v>150</v>
      </c>
      <c r="JZ96" s="220" t="str">
        <f t="shared" si="754"/>
        <v>Flexible Retail/F&amp;B</v>
      </c>
      <c r="KA96" s="422">
        <f t="shared" si="736"/>
        <v>90000</v>
      </c>
      <c r="KB96" s="198">
        <f t="shared" si="737"/>
        <v>28</v>
      </c>
      <c r="KC96" s="207">
        <f t="shared" si="738"/>
        <v>3.5000000000000003E-2</v>
      </c>
      <c r="KD96" s="214" t="str">
        <f t="shared" si="596"/>
        <v>Annual</v>
      </c>
      <c r="KE96" s="474" t="n">
        <f>MATCH(KD96,Data!$G$24:$G$33,0)</f>
        <v>1</v>
      </c>
      <c r="KF96" s="264"/>
      <c r="KG96" s="475">
        <f t="shared" si="755"/>
        <v>0</v>
      </c>
      <c r="KH96" s="475">
        <f t="shared" si="739"/>
        <v>0</v>
      </c>
      <c r="KI96" s="475">
        <f t="shared" si="739"/>
        <v>0</v>
      </c>
      <c r="KJ96" s="475">
        <f t="shared" si="739"/>
        <v>0</v>
      </c>
      <c r="KK96" s="475">
        <f t="shared" si="739"/>
        <v>0</v>
      </c>
      <c r="KL96" s="475">
        <f t="shared" si="739"/>
        <v>0</v>
      </c>
      <c r="KM96" s="475">
        <f t="shared" si="739"/>
        <v>0</v>
      </c>
      <c r="KN96" s="475">
        <f t="shared" si="739"/>
        <v>0</v>
      </c>
      <c r="KO96" s="475">
        <f t="shared" si="739"/>
        <v>0</v>
      </c>
      <c r="KP96" s="475">
        <f t="shared" si="739"/>
        <v>0</v>
      </c>
      <c r="KQ96" s="475">
        <f t="shared" si="739"/>
        <v>0</v>
      </c>
      <c r="KR96" s="475">
        <f t="shared" si="739"/>
        <v>0</v>
      </c>
      <c r="KS96" s="475">
        <f t="shared" si="739"/>
        <v>0</v>
      </c>
      <c r="KT96" s="475">
        <f t="shared" si="739"/>
        <v>0</v>
      </c>
      <c r="KU96" s="475">
        <f t="shared" si="739"/>
        <v>0</v>
      </c>
      <c r="KV96" s="475">
        <f t="shared" si="739"/>
        <v>0</v>
      </c>
      <c r="KW96" s="475">
        <f t="shared" si="739"/>
        <v>0</v>
      </c>
      <c r="KX96" s="475">
        <f t="shared" si="740"/>
        <v>0</v>
      </c>
      <c r="KY96" s="475">
        <f t="shared" si="740"/>
        <v>0</v>
      </c>
      <c r="KZ96" s="475">
        <f t="shared" si="740"/>
        <v>0</v>
      </c>
      <c r="LA96" s="475">
        <f t="shared" si="740"/>
        <v>0</v>
      </c>
      <c r="LB96" s="475">
        <f t="shared" si="740"/>
        <v>0</v>
      </c>
      <c r="LC96" s="475">
        <f t="shared" si="740"/>
        <v>0</v>
      </c>
      <c r="LD96" s="475">
        <f t="shared" si="740"/>
        <v>0</v>
      </c>
      <c r="LE96" s="475">
        <f t="shared" si="740"/>
        <v>0</v>
      </c>
      <c r="LF96" s="475">
        <f t="shared" si="740"/>
        <v>0</v>
      </c>
      <c r="LG96" s="475">
        <f t="shared" si="740"/>
        <v>0</v>
      </c>
      <c r="LH96" s="475">
        <f t="shared" si="740"/>
        <v>7500</v>
      </c>
      <c r="LI96" s="475">
        <f t="shared" si="740"/>
        <v>7500</v>
      </c>
      <c r="LJ96" s="475">
        <f t="shared" si="740"/>
        <v>7500</v>
      </c>
      <c r="LK96" s="475">
        <f t="shared" si="740"/>
        <v>7500</v>
      </c>
      <c r="LL96" s="475">
        <f t="shared" si="740"/>
        <v>7500</v>
      </c>
      <c r="LM96" s="475">
        <f t="shared" si="740"/>
        <v>7500</v>
      </c>
      <c r="LN96" s="475">
        <f t="shared" si="741"/>
        <v>7500</v>
      </c>
      <c r="LO96" s="475">
        <f t="shared" si="741"/>
        <v>7500</v>
      </c>
      <c r="LP96" s="475">
        <f t="shared" si="741"/>
        <v>7500</v>
      </c>
      <c r="LQ96" s="475">
        <f t="shared" si="741"/>
        <v>7500</v>
      </c>
      <c r="LR96" s="475">
        <f t="shared" si="741"/>
        <v>7500</v>
      </c>
      <c r="LS96" s="475">
        <f t="shared" si="741"/>
        <v>7500</v>
      </c>
      <c r="LT96" s="475">
        <f t="shared" si="741"/>
        <v>7762.4999999999991</v>
      </c>
      <c r="LU96" s="475">
        <f t="shared" si="741"/>
        <v>7762.4999999999991</v>
      </c>
      <c r="LV96" s="475">
        <f t="shared" si="741"/>
        <v>7762.4999999999991</v>
      </c>
      <c r="LW96" s="475">
        <f t="shared" si="741"/>
        <v>7762.4999999999991</v>
      </c>
      <c r="LX96" s="475">
        <f t="shared" si="741"/>
        <v>7762.4999999999991</v>
      </c>
      <c r="LY96" s="475">
        <f t="shared" si="741"/>
        <v>7762.4999999999991</v>
      </c>
      <c r="LZ96" s="475">
        <f t="shared" si="741"/>
        <v>7762.4999999999991</v>
      </c>
      <c r="MA96" s="475">
        <f t="shared" si="741"/>
        <v>7762.4999999999991</v>
      </c>
      <c r="MB96" s="475">
        <f t="shared" si="741"/>
        <v>7762.4999999999991</v>
      </c>
      <c r="MC96" s="475">
        <f t="shared" si="741"/>
        <v>7762.4999999999991</v>
      </c>
      <c r="MD96" s="475">
        <f t="shared" si="742"/>
        <v>7762.4999999999991</v>
      </c>
      <c r="ME96" s="475">
        <f t="shared" si="742"/>
        <v>7762.4999999999991</v>
      </c>
      <c r="MF96" s="475">
        <f t="shared" si="742"/>
        <v>8034.1874999999991</v>
      </c>
      <c r="MG96" s="475">
        <f t="shared" si="742"/>
        <v>8034.1874999999991</v>
      </c>
      <c r="MH96" s="475">
        <f t="shared" si="742"/>
        <v>8034.1874999999991</v>
      </c>
      <c r="MI96" s="475">
        <f t="shared" si="742"/>
        <v>8034.1874999999991</v>
      </c>
      <c r="MJ96" s="475">
        <f t="shared" si="742"/>
        <v>8034.1874999999991</v>
      </c>
      <c r="MK96" s="475">
        <f t="shared" si="742"/>
        <v>8034.1874999999991</v>
      </c>
      <c r="ML96" s="475">
        <f t="shared" si="742"/>
        <v>8034.1874999999991</v>
      </c>
      <c r="MM96" s="475">
        <f t="shared" si="742"/>
        <v>8034.1874999999991</v>
      </c>
      <c r="MN96" s="475">
        <f t="shared" si="742"/>
        <v>8034.1874999999991</v>
      </c>
      <c r="MO96" s="475">
        <f t="shared" si="742"/>
        <v>8034.1874999999991</v>
      </c>
      <c r="MP96" s="475">
        <f t="shared" si="742"/>
        <v>8034.1874999999991</v>
      </c>
      <c r="MQ96" s="475">
        <f t="shared" si="742"/>
        <v>8034.1874999999991</v>
      </c>
      <c r="MR96" s="475">
        <f t="shared" si="742"/>
        <v>8315.3840624999975</v>
      </c>
      <c r="MS96" s="475">
        <f t="shared" si="742"/>
        <v>8315.3840624999975</v>
      </c>
      <c r="MT96" s="475">
        <f t="shared" si="743"/>
        <v>8315.3840624999975</v>
      </c>
      <c r="MU96" s="475">
        <f t="shared" si="743"/>
        <v>8315.3840624999975</v>
      </c>
      <c r="MV96" s="475">
        <f t="shared" si="743"/>
        <v>8315.3840624999975</v>
      </c>
      <c r="MW96" s="475">
        <f t="shared" si="743"/>
        <v>8315.3840624999975</v>
      </c>
      <c r="MX96" s="475">
        <f t="shared" si="743"/>
        <v>8315.3840624999975</v>
      </c>
      <c r="MY96" s="475">
        <f t="shared" si="743"/>
        <v>8315.3840624999975</v>
      </c>
      <c r="MZ96" s="475">
        <f t="shared" si="743"/>
        <v>8315.3840624999975</v>
      </c>
      <c r="NA96" s="475">
        <f t="shared" si="743"/>
        <v>8315.3840624999975</v>
      </c>
      <c r="NB96" s="475">
        <f t="shared" si="743"/>
        <v>8315.3840624999975</v>
      </c>
      <c r="NC96" s="475">
        <f t="shared" si="743"/>
        <v>8315.3840624999975</v>
      </c>
      <c r="ND96" s="475">
        <f t="shared" si="743"/>
        <v>8606.4225046874981</v>
      </c>
      <c r="NE96" s="475">
        <f t="shared" si="743"/>
        <v>8606.4225046874981</v>
      </c>
      <c r="NF96" s="475">
        <f t="shared" si="743"/>
        <v>8606.4225046874981</v>
      </c>
      <c r="NG96" s="475">
        <f t="shared" si="743"/>
        <v>8606.4225046874981</v>
      </c>
      <c r="NH96" s="475">
        <f t="shared" si="743"/>
        <v>8606.4225046874981</v>
      </c>
      <c r="NI96" s="475">
        <f t="shared" si="743"/>
        <v>8606.4225046874981</v>
      </c>
      <c r="NJ96" s="475">
        <f t="shared" si="744"/>
        <v>8606.4225046874981</v>
      </c>
      <c r="NK96" s="475">
        <f t="shared" si="744"/>
        <v>8606.4225046874981</v>
      </c>
      <c r="NL96" s="475">
        <f t="shared" si="744"/>
        <v>8606.4225046874981</v>
      </c>
      <c r="NM96" s="475">
        <f t="shared" si="744"/>
        <v>8606.4225046874981</v>
      </c>
      <c r="NN96" s="475">
        <f t="shared" si="744"/>
        <v>8606.4225046874981</v>
      </c>
      <c r="NO96" s="475">
        <f t="shared" si="744"/>
        <v>8606.4225046874981</v>
      </c>
      <c r="NP96" s="475">
        <f t="shared" si="744"/>
        <v>8907.6472923515594</v>
      </c>
      <c r="NQ96" s="475">
        <f t="shared" si="744"/>
        <v>8907.6472923515594</v>
      </c>
      <c r="NR96" s="475">
        <f t="shared" si="744"/>
        <v>8907.6472923515594</v>
      </c>
      <c r="NS96" s="475">
        <f t="shared" si="744"/>
        <v>8907.6472923515594</v>
      </c>
      <c r="NT96" s="475">
        <f t="shared" si="744"/>
        <v>8907.6472923515594</v>
      </c>
      <c r="NU96" s="475">
        <f t="shared" si="744"/>
        <v>8907.6472923515594</v>
      </c>
      <c r="NV96" s="475">
        <f t="shared" si="744"/>
        <v>8907.6472923515594</v>
      </c>
      <c r="NW96" s="475">
        <f t="shared" si="744"/>
        <v>8907.6472923515594</v>
      </c>
      <c r="NX96" s="475">
        <f t="shared" si="744"/>
        <v>8907.6472923515594</v>
      </c>
      <c r="NY96" s="475">
        <f t="shared" si="744"/>
        <v>8907.6472923515594</v>
      </c>
      <c r="NZ96" s="475">
        <f t="shared" si="745"/>
        <v>8907.6472923515594</v>
      </c>
      <c r="OA96" s="475">
        <f t="shared" si="745"/>
        <v>8907.6472923515594</v>
      </c>
      <c r="OB96" s="475">
        <f t="shared" si="745"/>
        <v>9219.414947583864</v>
      </c>
      <c r="OC96" s="475">
        <f t="shared" si="745"/>
        <v>9219.414947583864</v>
      </c>
      <c r="OD96" s="475">
        <f t="shared" si="745"/>
        <v>9219.414947583864</v>
      </c>
      <c r="OE96" s="475">
        <f t="shared" si="745"/>
        <v>9219.414947583864</v>
      </c>
      <c r="OF96" s="475">
        <f t="shared" si="745"/>
        <v>9219.414947583864</v>
      </c>
      <c r="OG96" s="475">
        <f t="shared" si="745"/>
        <v>9219.414947583864</v>
      </c>
      <c r="OH96" s="475">
        <f t="shared" si="745"/>
        <v>9219.414947583864</v>
      </c>
      <c r="OI96" s="475">
        <f t="shared" si="745"/>
        <v>9219.414947583864</v>
      </c>
      <c r="OJ96" s="475">
        <f t="shared" si="745"/>
        <v>9219.414947583864</v>
      </c>
      <c r="OK96" s="475">
        <f t="shared" si="745"/>
        <v>9219.414947583864</v>
      </c>
      <c r="OL96" s="475">
        <f t="shared" si="745"/>
        <v>9219.414947583864</v>
      </c>
      <c r="OM96" s="475">
        <f t="shared" si="745"/>
        <v>9219.414947583864</v>
      </c>
      <c r="ON96" s="475">
        <f t="shared" si="745"/>
        <v>9542.0944707492981</v>
      </c>
      <c r="OO96" s="475">
        <f t="shared" si="745"/>
        <v>9542.0944707492981</v>
      </c>
      <c r="OP96" s="475">
        <f t="shared" si="746"/>
        <v>9542.0944707492981</v>
      </c>
      <c r="OQ96" s="475">
        <f t="shared" si="746"/>
        <v>9542.0944707492981</v>
      </c>
      <c r="OR96" s="475">
        <f t="shared" si="746"/>
        <v>9542.0944707492981</v>
      </c>
      <c r="OS96" s="475">
        <f t="shared" si="746"/>
        <v>9542.0944707492981</v>
      </c>
      <c r="OT96" s="475">
        <f t="shared" si="746"/>
        <v>9542.0944707492981</v>
      </c>
      <c r="OU96" s="475">
        <f t="shared" si="746"/>
        <v>9542.0944707492981</v>
      </c>
      <c r="OV96" s="475">
        <f t="shared" si="746"/>
        <v>9542.0944707492981</v>
      </c>
      <c r="OW96" s="475">
        <f t="shared" si="746"/>
        <v>9542.0944707492981</v>
      </c>
      <c r="OX96" s="475">
        <f t="shared" si="746"/>
        <v>9542.0944707492981</v>
      </c>
      <c r="OY96" s="475">
        <f t="shared" si="746"/>
        <v>9542.0944707492981</v>
      </c>
      <c r="OZ96" s="475">
        <f t="shared" si="746"/>
        <v>9876.0677772255221</v>
      </c>
      <c r="PA96" s="475">
        <f t="shared" si="746"/>
        <v>9876.0677772255221</v>
      </c>
      <c r="PB96" s="475">
        <f t="shared" si="746"/>
        <v>9876.0677772255221</v>
      </c>
      <c r="PC96" s="475">
        <f t="shared" si="746"/>
        <v>9876.0677772255221</v>
      </c>
      <c r="PD96" s="475">
        <f t="shared" si="746"/>
        <v>9876.0677772255221</v>
      </c>
      <c r="PE96" s="475">
        <f t="shared" si="746"/>
        <v>9876.0677772255221</v>
      </c>
      <c r="PF96" s="475">
        <f t="shared" si="747"/>
        <v>9876.0677772255221</v>
      </c>
      <c r="PG96" s="475">
        <f t="shared" si="747"/>
        <v>9876.0677772255221</v>
      </c>
      <c r="PH96" s="475">
        <f t="shared" si="747"/>
        <v>9876.0677772255221</v>
      </c>
    </row>
    <row r="97">
      <c r="B97" s="473" t="s">
        <v>245</v>
      </c>
      <c r="C97" s="473" t="s">
        <v>245</v>
      </c>
      <c r="D97" s="46">
        <v>25</v>
      </c>
      <c r="E97" s="420" t="n">
        <f>PROJECTS!$AP$24</f>
        <v>4000</v>
      </c>
      <c r="F97" s="46">
        <f t="shared" si="748"/>
        <v>28</v>
      </c>
      <c r="G97" s="44" t="n">
        <f>PROJECTS!$AP$68</f>
        <v>0.035</v>
      </c>
      <c r="H97" s="144" t="n">
        <f>PROJECTS!$AP$73</f>
        <v>500</v>
      </c>
      <c r="I97" s="428">
        <f t="shared" si="601"/>
        <v>2000000</v>
      </c>
      <c r="K97" s="290" t="s">
        <v>239</v>
      </c>
      <c r="L97" s="76"/>
      <c r="M97" s="421">
        <f t="shared" si="749"/>
        <v>0</v>
      </c>
      <c r="N97" s="421">
        <f t="shared" si="602"/>
        <v>0</v>
      </c>
      <c r="O97" s="421">
        <f t="shared" si="603"/>
        <v>0</v>
      </c>
      <c r="P97" s="421">
        <f t="shared" si="604"/>
        <v>0</v>
      </c>
      <c r="Q97" s="421">
        <f t="shared" si="605"/>
        <v>0</v>
      </c>
      <c r="R97" s="421">
        <f t="shared" si="606"/>
        <v>0</v>
      </c>
      <c r="S97" s="421">
        <f t="shared" si="607"/>
        <v>0</v>
      </c>
      <c r="T97" s="421">
        <f t="shared" si="608"/>
        <v>0</v>
      </c>
      <c r="U97" s="421">
        <f t="shared" si="609"/>
        <v>0</v>
      </c>
      <c r="V97" s="421">
        <f t="shared" si="610"/>
        <v>0</v>
      </c>
      <c r="W97" s="421">
        <f t="shared" si="611"/>
        <v>0</v>
      </c>
      <c r="X97" s="421">
        <f t="shared" si="612"/>
        <v>0</v>
      </c>
      <c r="Y97" s="421">
        <f t="shared" si="613"/>
        <v>0</v>
      </c>
      <c r="Z97" s="421">
        <f t="shared" si="614"/>
        <v>0</v>
      </c>
      <c r="AA97" s="421">
        <f t="shared" si="615"/>
        <v>0</v>
      </c>
      <c r="AB97" s="421">
        <f t="shared" si="616"/>
        <v>0</v>
      </c>
      <c r="AC97" s="421">
        <f t="shared" si="617"/>
        <v>0</v>
      </c>
      <c r="AD97" s="421">
        <f t="shared" si="618"/>
        <v>0</v>
      </c>
      <c r="AE97" s="421">
        <f t="shared" si="619"/>
        <v>0</v>
      </c>
      <c r="AF97" s="421">
        <f t="shared" si="620"/>
        <v>0</v>
      </c>
      <c r="AG97" s="421">
        <f t="shared" si="621"/>
        <v>0</v>
      </c>
      <c r="AH97" s="421">
        <f t="shared" si="622"/>
        <v>0</v>
      </c>
      <c r="AI97" s="421">
        <f t="shared" si="623"/>
        <v>0</v>
      </c>
      <c r="AJ97" s="421">
        <f t="shared" si="624"/>
        <v>0</v>
      </c>
      <c r="AK97" s="421">
        <f t="shared" si="625"/>
        <v>0</v>
      </c>
      <c r="AL97" s="421">
        <f t="shared" si="626"/>
        <v>0</v>
      </c>
      <c r="AM97" s="421">
        <f t="shared" si="627"/>
        <v>0</v>
      </c>
      <c r="AN97" s="421">
        <f t="shared" si="628"/>
        <v>166666.66666666666</v>
      </c>
      <c r="AO97" s="421">
        <f t="shared" si="629"/>
        <v>166666.66666666666</v>
      </c>
      <c r="AP97" s="421">
        <f t="shared" si="630"/>
        <v>166666.66666666666</v>
      </c>
      <c r="AQ97" s="421">
        <f t="shared" si="631"/>
        <v>166666.66666666666</v>
      </c>
      <c r="AR97" s="421">
        <f t="shared" si="632"/>
        <v>166666.66666666666</v>
      </c>
      <c r="AS97" s="421">
        <f t="shared" si="633"/>
        <v>166666.66666666666</v>
      </c>
      <c r="AT97" s="421">
        <f t="shared" si="634"/>
        <v>166666.66666666666</v>
      </c>
      <c r="AU97" s="421">
        <f t="shared" si="635"/>
        <v>166666.66666666666</v>
      </c>
      <c r="AV97" s="421">
        <f t="shared" si="636"/>
        <v>166666.66666666666</v>
      </c>
      <c r="AW97" s="421">
        <f t="shared" si="637"/>
        <v>166666.66666666666</v>
      </c>
      <c r="AX97" s="421">
        <f t="shared" si="638"/>
        <v>166666.66666666666</v>
      </c>
      <c r="AY97" s="421">
        <f t="shared" si="639"/>
        <v>166666.66666666666</v>
      </c>
      <c r="AZ97" s="421">
        <f t="shared" si="640"/>
        <v>172499.99999999997</v>
      </c>
      <c r="BA97" s="421">
        <f t="shared" si="641"/>
        <v>172499.99999999997</v>
      </c>
      <c r="BB97" s="421">
        <f t="shared" si="642"/>
        <v>172499.99999999997</v>
      </c>
      <c r="BC97" s="421">
        <f t="shared" si="643"/>
        <v>172499.99999999997</v>
      </c>
      <c r="BD97" s="421">
        <f t="shared" si="644"/>
        <v>172499.99999999997</v>
      </c>
      <c r="BE97" s="421">
        <f t="shared" si="645"/>
        <v>172499.99999999997</v>
      </c>
      <c r="BF97" s="421">
        <f t="shared" si="646"/>
        <v>172499.99999999997</v>
      </c>
      <c r="BG97" s="421">
        <f t="shared" si="647"/>
        <v>172499.99999999997</v>
      </c>
      <c r="BH97" s="421">
        <f t="shared" si="648"/>
        <v>172499.99999999997</v>
      </c>
      <c r="BI97" s="421">
        <f t="shared" si="649"/>
        <v>172499.99999999997</v>
      </c>
      <c r="BJ97" s="421">
        <f t="shared" si="650"/>
        <v>172499.99999999997</v>
      </c>
      <c r="BK97" s="421">
        <f t="shared" si="651"/>
        <v>172499.99999999997</v>
      </c>
      <c r="BL97" s="421">
        <f t="shared" si="652"/>
        <v>178537.49999999997</v>
      </c>
      <c r="BM97" s="421">
        <f t="shared" si="653"/>
        <v>178537.49999999997</v>
      </c>
      <c r="BN97" s="421">
        <f t="shared" si="654"/>
        <v>178537.49999999997</v>
      </c>
      <c r="BO97" s="421">
        <f t="shared" si="655"/>
        <v>178537.49999999997</v>
      </c>
      <c r="BP97" s="421">
        <f t="shared" si="656"/>
        <v>178537.49999999997</v>
      </c>
      <c r="BQ97" s="421">
        <f t="shared" si="657"/>
        <v>178537.49999999997</v>
      </c>
      <c r="BR97" s="421">
        <f t="shared" si="658"/>
        <v>178537.49999999997</v>
      </c>
      <c r="BS97" s="421">
        <f t="shared" si="659"/>
        <v>178537.49999999997</v>
      </c>
      <c r="BT97" s="421">
        <f t="shared" si="660"/>
        <v>178537.49999999997</v>
      </c>
      <c r="BU97" s="421">
        <f t="shared" si="661"/>
        <v>178537.49999999997</v>
      </c>
      <c r="BV97" s="421">
        <f t="shared" si="662"/>
        <v>178537.49999999997</v>
      </c>
      <c r="BW97" s="421">
        <f t="shared" si="663"/>
        <v>178537.49999999997</v>
      </c>
      <c r="BX97" s="421">
        <f t="shared" si="664"/>
        <v>184786.31249999994</v>
      </c>
      <c r="BY97" s="421">
        <f t="shared" si="665"/>
        <v>184786.31249999994</v>
      </c>
      <c r="BZ97" s="421">
        <f t="shared" si="666"/>
        <v>184786.31249999994</v>
      </c>
      <c r="CA97" s="421">
        <f t="shared" si="667"/>
        <v>184786.31249999994</v>
      </c>
      <c r="CB97" s="421">
        <f t="shared" si="668"/>
        <v>184786.31249999994</v>
      </c>
      <c r="CC97" s="421">
        <f t="shared" si="669"/>
        <v>184786.31249999994</v>
      </c>
      <c r="CD97" s="421">
        <f t="shared" si="670"/>
        <v>184786.31249999994</v>
      </c>
      <c r="CE97" s="421">
        <f t="shared" si="671"/>
        <v>184786.31249999994</v>
      </c>
      <c r="CF97" s="421">
        <f t="shared" si="672"/>
        <v>184786.31249999994</v>
      </c>
      <c r="CG97" s="421">
        <f t="shared" si="673"/>
        <v>184786.31249999994</v>
      </c>
      <c r="CH97" s="421">
        <f t="shared" si="674"/>
        <v>184786.31249999994</v>
      </c>
      <c r="CI97" s="421">
        <f t="shared" si="675"/>
        <v>184786.31249999994</v>
      </c>
      <c r="CJ97" s="421">
        <f t="shared" si="676"/>
        <v>191253.83343749994</v>
      </c>
      <c r="CK97" s="421">
        <f t="shared" si="677"/>
        <v>191253.83343749994</v>
      </c>
      <c r="CL97" s="421">
        <f t="shared" si="678"/>
        <v>191253.83343749994</v>
      </c>
      <c r="CM97" s="421">
        <f t="shared" si="679"/>
        <v>191253.83343749994</v>
      </c>
      <c r="CN97" s="421">
        <f t="shared" si="680"/>
        <v>191253.83343749994</v>
      </c>
      <c r="CO97" s="421">
        <f t="shared" si="681"/>
        <v>191253.83343749994</v>
      </c>
      <c r="CP97" s="421">
        <f t="shared" si="682"/>
        <v>191253.83343749994</v>
      </c>
      <c r="CQ97" s="421">
        <f t="shared" si="683"/>
        <v>191253.83343749994</v>
      </c>
      <c r="CR97" s="421">
        <f t="shared" si="684"/>
        <v>191253.83343749994</v>
      </c>
      <c r="CS97" s="421">
        <f t="shared" si="685"/>
        <v>191253.83343749994</v>
      </c>
      <c r="CT97" s="421">
        <f t="shared" si="686"/>
        <v>191253.83343749994</v>
      </c>
      <c r="CU97" s="421">
        <f t="shared" si="687"/>
        <v>191253.83343749994</v>
      </c>
      <c r="CV97" s="421">
        <f t="shared" si="688"/>
        <v>197947.7176078124</v>
      </c>
      <c r="CW97" s="421">
        <f t="shared" si="689"/>
        <v>197947.7176078124</v>
      </c>
      <c r="CX97" s="421">
        <f t="shared" si="690"/>
        <v>197947.7176078124</v>
      </c>
      <c r="CY97" s="421">
        <f t="shared" si="691"/>
        <v>197947.7176078124</v>
      </c>
      <c r="CZ97" s="421">
        <f t="shared" si="692"/>
        <v>197947.7176078124</v>
      </c>
      <c r="DA97" s="421">
        <f t="shared" si="693"/>
        <v>197947.7176078124</v>
      </c>
      <c r="DB97" s="421">
        <f t="shared" si="694"/>
        <v>197947.7176078124</v>
      </c>
      <c r="DC97" s="421">
        <f t="shared" si="695"/>
        <v>197947.7176078124</v>
      </c>
      <c r="DD97" s="421">
        <f t="shared" si="696"/>
        <v>197947.7176078124</v>
      </c>
      <c r="DE97" s="421">
        <f t="shared" si="697"/>
        <v>197947.7176078124</v>
      </c>
      <c r="DF97" s="421">
        <f t="shared" si="698"/>
        <v>197947.7176078124</v>
      </c>
      <c r="DG97" s="421">
        <f t="shared" si="699"/>
        <v>197947.7176078124</v>
      </c>
      <c r="DH97" s="421">
        <f t="shared" si="700"/>
        <v>204875.88772408586</v>
      </c>
      <c r="DI97" s="421">
        <f t="shared" si="701"/>
        <v>204875.88772408586</v>
      </c>
      <c r="DJ97" s="421">
        <f t="shared" si="702"/>
        <v>204875.88772408586</v>
      </c>
      <c r="DK97" s="421">
        <f t="shared" si="703"/>
        <v>204875.88772408586</v>
      </c>
      <c r="DL97" s="421">
        <f t="shared" si="704"/>
        <v>204875.88772408586</v>
      </c>
      <c r="DM97" s="421">
        <f t="shared" si="705"/>
        <v>204875.88772408586</v>
      </c>
      <c r="DN97" s="421">
        <f t="shared" si="706"/>
        <v>204875.88772408586</v>
      </c>
      <c r="DO97" s="421">
        <f t="shared" si="707"/>
        <v>204875.88772408586</v>
      </c>
      <c r="DP97" s="421">
        <f t="shared" si="708"/>
        <v>204875.88772408586</v>
      </c>
      <c r="DQ97" s="421">
        <f t="shared" si="709"/>
        <v>204875.88772408586</v>
      </c>
      <c r="DR97" s="421">
        <f t="shared" si="710"/>
        <v>204875.88772408586</v>
      </c>
      <c r="DS97" s="421">
        <f t="shared" si="711"/>
        <v>204875.88772408586</v>
      </c>
      <c r="DT97" s="421">
        <f t="shared" si="712"/>
        <v>212046.54379442884</v>
      </c>
      <c r="DU97" s="421">
        <f t="shared" si="713"/>
        <v>212046.54379442884</v>
      </c>
      <c r="DV97" s="421">
        <f t="shared" si="714"/>
        <v>212046.54379442884</v>
      </c>
      <c r="DW97" s="421">
        <f t="shared" si="715"/>
        <v>212046.54379442884</v>
      </c>
      <c r="DX97" s="421">
        <f t="shared" si="716"/>
        <v>212046.54379442884</v>
      </c>
      <c r="DY97" s="421">
        <f t="shared" si="717"/>
        <v>212046.54379442884</v>
      </c>
      <c r="DZ97" s="421">
        <f t="shared" si="718"/>
        <v>212046.54379442884</v>
      </c>
      <c r="EA97" s="421">
        <f t="shared" si="719"/>
        <v>212046.54379442884</v>
      </c>
      <c r="EB97" s="421">
        <f t="shared" si="720"/>
        <v>212046.54379442884</v>
      </c>
      <c r="EC97" s="421">
        <f t="shared" si="721"/>
        <v>212046.54379442884</v>
      </c>
      <c r="ED97" s="421">
        <f t="shared" si="722"/>
        <v>212046.54379442884</v>
      </c>
      <c r="EE97" s="421">
        <f t="shared" si="723"/>
        <v>212046.54379442884</v>
      </c>
      <c r="EF97" s="421">
        <f t="shared" si="724"/>
        <v>219468.17282723379</v>
      </c>
      <c r="EG97" s="421">
        <f t="shared" si="725"/>
        <v>219468.17282723379</v>
      </c>
      <c r="EH97" s="421">
        <f t="shared" si="726"/>
        <v>219468.17282723379</v>
      </c>
      <c r="EI97" s="421">
        <f t="shared" si="727"/>
        <v>219468.17282723379</v>
      </c>
      <c r="EJ97" s="421">
        <f t="shared" si="728"/>
        <v>219468.17282723379</v>
      </c>
      <c r="EK97" s="421">
        <f t="shared" si="729"/>
        <v>219468.17282723379</v>
      </c>
      <c r="EL97" s="421">
        <f t="shared" si="730"/>
        <v>219468.17282723379</v>
      </c>
      <c r="EM97" s="421">
        <f t="shared" si="731"/>
        <v>219468.17282723379</v>
      </c>
      <c r="EN97" s="421">
        <f t="shared" si="732"/>
        <v>219468.17282723379</v>
      </c>
      <c r="EP97" s="220" t="str">
        <f t="shared" si="750"/>
        <v>Genesis Health &amp; Fitness</v>
      </c>
      <c r="EQ97" s="20">
        <f t="shared" si="751"/>
        <v>4000</v>
      </c>
      <c r="ER97" s="198">
        <f t="shared" si="752"/>
        <v>25</v>
      </c>
      <c r="ES97" s="18"/>
      <c r="ET97" s="18"/>
      <c r="EU97" s="18"/>
      <c r="EV97" s="422">
        <f t="shared" si="753"/>
        <v>0</v>
      </c>
      <c r="EW97" s="422">
        <f t="shared" si="756"/>
        <v>0</v>
      </c>
      <c r="EX97" s="422">
        <f t="shared" si="756"/>
        <v>0</v>
      </c>
      <c r="EY97" s="422">
        <f t="shared" si="756"/>
        <v>0</v>
      </c>
      <c r="EZ97" s="422">
        <f t="shared" si="756"/>
        <v>0</v>
      </c>
      <c r="FA97" s="422">
        <f t="shared" si="756"/>
        <v>0</v>
      </c>
      <c r="FB97" s="422">
        <f t="shared" si="756"/>
        <v>0</v>
      </c>
      <c r="FC97" s="422">
        <f t="shared" si="756"/>
        <v>0</v>
      </c>
      <c r="FD97" s="422">
        <f t="shared" si="756"/>
        <v>0</v>
      </c>
      <c r="FE97" s="422">
        <f t="shared" si="756"/>
        <v>0</v>
      </c>
      <c r="FF97" s="422">
        <f t="shared" si="756"/>
        <v>0</v>
      </c>
      <c r="FG97" s="422">
        <f t="shared" si="756"/>
        <v>0</v>
      </c>
      <c r="FH97" s="422">
        <f t="shared" si="756"/>
        <v>0</v>
      </c>
      <c r="FI97" s="422">
        <f t="shared" si="756"/>
        <v>0</v>
      </c>
      <c r="FJ97" s="422">
        <f t="shared" si="756"/>
        <v>0</v>
      </c>
      <c r="FK97" s="422">
        <f t="shared" si="756"/>
        <v>0</v>
      </c>
      <c r="FL97" s="422">
        <f t="shared" si="756"/>
        <v>0</v>
      </c>
      <c r="FM97" s="422">
        <f t="shared" si="756"/>
        <v>0</v>
      </c>
      <c r="FN97" s="422">
        <f t="shared" si="756"/>
        <v>0</v>
      </c>
      <c r="FO97" s="422">
        <f t="shared" si="756"/>
        <v>0</v>
      </c>
      <c r="FP97" s="422">
        <f t="shared" si="756"/>
        <v>0</v>
      </c>
      <c r="FQ97" s="422">
        <f t="shared" si="756"/>
        <v>0</v>
      </c>
      <c r="FR97" s="422">
        <f t="shared" si="756"/>
        <v>0</v>
      </c>
      <c r="FS97" s="422">
        <f t="shared" si="756"/>
        <v>0</v>
      </c>
      <c r="FT97" s="422">
        <f t="shared" si="756"/>
        <v>0</v>
      </c>
      <c r="FU97" s="422">
        <f t="shared" si="756"/>
        <v>4000</v>
      </c>
      <c r="FV97" s="422">
        <f t="shared" si="756"/>
        <v>4000</v>
      </c>
      <c r="FW97" s="422">
        <f t="shared" si="756"/>
        <v>4000</v>
      </c>
      <c r="FX97" s="422">
        <f t="shared" si="756"/>
        <v>4000</v>
      </c>
      <c r="FY97" s="422">
        <f t="shared" si="756"/>
        <v>4000</v>
      </c>
      <c r="FZ97" s="422">
        <f t="shared" si="756"/>
        <v>4000</v>
      </c>
      <c r="GA97" s="422">
        <f t="shared" si="756"/>
        <v>4000</v>
      </c>
      <c r="GB97" s="422">
        <f t="shared" si="756"/>
        <v>4000</v>
      </c>
      <c r="GC97" s="422">
        <f t="shared" si="756"/>
        <v>4000</v>
      </c>
      <c r="GD97" s="422">
        <f t="shared" si="756"/>
        <v>4000</v>
      </c>
      <c r="GE97" s="422">
        <f t="shared" si="756"/>
        <v>4000</v>
      </c>
      <c r="GF97" s="422">
        <f t="shared" si="756"/>
        <v>4000</v>
      </c>
      <c r="GG97" s="422">
        <f t="shared" si="756"/>
        <v>4000</v>
      </c>
      <c r="GH97" s="422">
        <f t="shared" si="756"/>
        <v>4000</v>
      </c>
      <c r="GI97" s="422">
        <f t="shared" si="756"/>
        <v>4000</v>
      </c>
      <c r="GJ97" s="422">
        <f t="shared" si="756"/>
        <v>4000</v>
      </c>
      <c r="GK97" s="422">
        <f t="shared" si="756"/>
        <v>4000</v>
      </c>
      <c r="GL97" s="422">
        <f t="shared" si="756"/>
        <v>4000</v>
      </c>
      <c r="GM97" s="422">
        <f t="shared" si="756"/>
        <v>4000</v>
      </c>
      <c r="GN97" s="422">
        <f t="shared" si="756"/>
        <v>4000</v>
      </c>
      <c r="GO97" s="422">
        <f t="shared" si="756"/>
        <v>4000</v>
      </c>
      <c r="GP97" s="422">
        <f t="shared" si="756"/>
        <v>4000</v>
      </c>
      <c r="GQ97" s="422">
        <f t="shared" si="756"/>
        <v>4000</v>
      </c>
      <c r="GR97" s="422">
        <f t="shared" si="756"/>
        <v>4000</v>
      </c>
      <c r="GS97" s="422">
        <f t="shared" si="756"/>
        <v>4000</v>
      </c>
      <c r="GT97" s="422">
        <f t="shared" si="756"/>
        <v>4000</v>
      </c>
      <c r="GU97" s="422">
        <f t="shared" si="756"/>
        <v>4000</v>
      </c>
      <c r="GV97" s="422">
        <f t="shared" si="756"/>
        <v>4000</v>
      </c>
      <c r="GW97" s="422">
        <f t="shared" si="756"/>
        <v>4000</v>
      </c>
      <c r="GX97" s="422">
        <f t="shared" si="756"/>
        <v>4000</v>
      </c>
      <c r="GY97" s="422">
        <f t="shared" si="756"/>
        <v>4000</v>
      </c>
      <c r="GZ97" s="422">
        <f t="shared" si="756"/>
        <v>4000</v>
      </c>
      <c r="HA97" s="422">
        <f t="shared" si="756"/>
        <v>4000</v>
      </c>
      <c r="HB97" s="422">
        <f t="shared" si="756"/>
        <v>4000</v>
      </c>
      <c r="HC97" s="422">
        <f t="shared" si="756"/>
        <v>4000</v>
      </c>
      <c r="HD97" s="422">
        <f t="shared" si="756"/>
        <v>4000</v>
      </c>
      <c r="HE97" s="422">
        <f t="shared" si="756"/>
        <v>4000</v>
      </c>
      <c r="HF97" s="422">
        <f t="shared" si="756"/>
        <v>4000</v>
      </c>
      <c r="HG97" s="422">
        <f t="shared" si="756"/>
        <v>4000</v>
      </c>
      <c r="HH97" s="422" t="n">
        <f t="shared" ref="HH97" si="759">(HH$3&gt;=$ER97)*$EQ97</f>
        <v>4000</v>
      </c>
      <c r="HI97" s="422">
        <f t="shared" si="758"/>
        <v>4000</v>
      </c>
      <c r="HJ97" s="422">
        <f t="shared" si="758"/>
        <v>4000</v>
      </c>
      <c r="HK97" s="422">
        <f t="shared" si="758"/>
        <v>4000</v>
      </c>
      <c r="HL97" s="422">
        <f t="shared" si="758"/>
        <v>4000</v>
      </c>
      <c r="HM97" s="422">
        <f t="shared" si="758"/>
        <v>4000</v>
      </c>
      <c r="HN97" s="422">
        <f t="shared" si="758"/>
        <v>4000</v>
      </c>
      <c r="HO97" s="422">
        <f t="shared" si="758"/>
        <v>4000</v>
      </c>
      <c r="HP97" s="422">
        <f t="shared" si="758"/>
        <v>4000</v>
      </c>
      <c r="HQ97" s="422">
        <f t="shared" si="758"/>
        <v>4000</v>
      </c>
      <c r="HR97" s="422">
        <f t="shared" si="758"/>
        <v>4000</v>
      </c>
      <c r="HS97" s="422">
        <f t="shared" si="758"/>
        <v>4000</v>
      </c>
      <c r="HT97" s="422">
        <f t="shared" si="758"/>
        <v>4000</v>
      </c>
      <c r="HU97" s="422">
        <f t="shared" si="758"/>
        <v>4000</v>
      </c>
      <c r="HV97" s="422">
        <f t="shared" si="758"/>
        <v>4000</v>
      </c>
      <c r="HW97" s="422">
        <f t="shared" si="758"/>
        <v>4000</v>
      </c>
      <c r="HX97" s="422">
        <f t="shared" si="758"/>
        <v>4000</v>
      </c>
      <c r="HY97" s="422">
        <f t="shared" si="758"/>
        <v>4000</v>
      </c>
      <c r="HZ97" s="422">
        <f t="shared" si="758"/>
        <v>4000</v>
      </c>
      <c r="IA97" s="422">
        <f t="shared" si="758"/>
        <v>4000</v>
      </c>
      <c r="IB97" s="422">
        <f t="shared" si="758"/>
        <v>4000</v>
      </c>
      <c r="IC97" s="422">
        <f t="shared" si="758"/>
        <v>4000</v>
      </c>
      <c r="ID97" s="422">
        <f t="shared" si="758"/>
        <v>4000</v>
      </c>
      <c r="IE97" s="422">
        <f t="shared" si="758"/>
        <v>4000</v>
      </c>
      <c r="IF97" s="422">
        <f t="shared" si="758"/>
        <v>4000</v>
      </c>
      <c r="IG97" s="422">
        <f t="shared" si="758"/>
        <v>4000</v>
      </c>
      <c r="IH97" s="422">
        <f t="shared" si="758"/>
        <v>4000</v>
      </c>
      <c r="II97" s="422">
        <f t="shared" si="758"/>
        <v>4000</v>
      </c>
      <c r="IJ97" s="422">
        <f t="shared" si="758"/>
        <v>4000</v>
      </c>
      <c r="IK97" s="422">
        <f t="shared" si="758"/>
        <v>4000</v>
      </c>
      <c r="IL97" s="422">
        <f t="shared" si="758"/>
        <v>4000</v>
      </c>
      <c r="IM97" s="422">
        <f t="shared" si="758"/>
        <v>4000</v>
      </c>
      <c r="IN97" s="422">
        <f t="shared" si="758"/>
        <v>4000</v>
      </c>
      <c r="IO97" s="422">
        <f t="shared" si="758"/>
        <v>4000</v>
      </c>
      <c r="IP97" s="422">
        <f t="shared" si="758"/>
        <v>4000</v>
      </c>
      <c r="IQ97" s="422">
        <f t="shared" si="758"/>
        <v>4000</v>
      </c>
      <c r="IR97" s="422">
        <f t="shared" si="758"/>
        <v>4000</v>
      </c>
      <c r="IS97" s="422">
        <f t="shared" si="758"/>
        <v>4000</v>
      </c>
      <c r="IT97" s="422">
        <f t="shared" si="758"/>
        <v>4000</v>
      </c>
      <c r="IU97" s="422">
        <f t="shared" si="758"/>
        <v>4000</v>
      </c>
      <c r="IV97" s="422">
        <f t="shared" si="758"/>
        <v>4000</v>
      </c>
      <c r="IW97" s="422">
        <f t="shared" si="758"/>
        <v>4000</v>
      </c>
      <c r="IX97" s="422">
        <f t="shared" si="758"/>
        <v>4000</v>
      </c>
      <c r="IY97" s="422">
        <f t="shared" si="758"/>
        <v>4000</v>
      </c>
      <c r="IZ97" s="422">
        <f t="shared" si="758"/>
        <v>4000</v>
      </c>
      <c r="JA97" s="422">
        <f t="shared" si="758"/>
        <v>4000</v>
      </c>
      <c r="JB97" s="422">
        <f t="shared" si="758"/>
        <v>4000</v>
      </c>
      <c r="JC97" s="422">
        <f t="shared" si="758"/>
        <v>4000</v>
      </c>
      <c r="JD97" s="422">
        <f t="shared" si="758"/>
        <v>4000</v>
      </c>
      <c r="JE97" s="422">
        <f t="shared" si="758"/>
        <v>4000</v>
      </c>
      <c r="JF97" s="422">
        <f t="shared" si="758"/>
        <v>4000</v>
      </c>
      <c r="JG97" s="422">
        <f t="shared" si="758"/>
        <v>4000</v>
      </c>
      <c r="JH97" s="422">
        <f t="shared" si="758"/>
        <v>4000</v>
      </c>
      <c r="JI97" s="422">
        <f t="shared" si="758"/>
        <v>4000</v>
      </c>
      <c r="JJ97" s="422">
        <f t="shared" si="758"/>
        <v>4000</v>
      </c>
      <c r="JK97" s="422">
        <f t="shared" si="758"/>
        <v>4000</v>
      </c>
      <c r="JL97" s="422">
        <f t="shared" si="758"/>
        <v>4000</v>
      </c>
      <c r="JM97" s="422">
        <f t="shared" si="758"/>
        <v>4000</v>
      </c>
      <c r="JN97" s="422">
        <f t="shared" si="758"/>
        <v>4000</v>
      </c>
      <c r="JO97" s="422">
        <f t="shared" si="758"/>
        <v>4000</v>
      </c>
      <c r="JP97" s="422">
        <f t="shared" si="758"/>
        <v>4000</v>
      </c>
      <c r="JQ97" s="422">
        <f t="shared" si="758"/>
        <v>4000</v>
      </c>
      <c r="JR97" s="422">
        <f t="shared" si="758"/>
        <v>4000</v>
      </c>
      <c r="JS97" s="422">
        <f t="shared" si="758"/>
        <v>4000</v>
      </c>
      <c r="JT97" s="422">
        <f t="shared" si="758"/>
        <v>4000</v>
      </c>
      <c r="JU97" s="422">
        <f t="shared" si="735"/>
        <v>4000</v>
      </c>
      <c r="JV97" s="422">
        <f t="shared" si="735"/>
        <v>4000</v>
      </c>
      <c r="JW97" s="422">
        <f t="shared" si="735"/>
        <v>4000</v>
      </c>
      <c r="JX97" s="422">
        <f t="shared" si="735"/>
        <v>4000</v>
      </c>
      <c r="JZ97" s="220" t="str">
        <f t="shared" si="754"/>
        <v>Genesis Health &amp; Fitness</v>
      </c>
      <c r="KA97" s="422">
        <f t="shared" si="736"/>
        <v>2000000</v>
      </c>
      <c r="KB97" s="198">
        <f t="shared" si="737"/>
        <v>28</v>
      </c>
      <c r="KC97" s="207">
        <f t="shared" si="738"/>
        <v>3.5000000000000003E-2</v>
      </c>
      <c r="KD97" s="214" t="str">
        <f t="shared" si="596"/>
        <v>Annual</v>
      </c>
      <c r="KE97" s="474" t="n">
        <f>MATCH(KD97,Data!$G$24:$G$33,0)</f>
        <v>1</v>
      </c>
      <c r="KF97" s="264"/>
      <c r="KG97" s="475">
        <f t="shared" si="755"/>
        <v>0</v>
      </c>
      <c r="KH97" s="475">
        <f t="shared" si="739"/>
        <v>0</v>
      </c>
      <c r="KI97" s="475">
        <f t="shared" si="739"/>
        <v>0</v>
      </c>
      <c r="KJ97" s="475">
        <f t="shared" si="739"/>
        <v>0</v>
      </c>
      <c r="KK97" s="475">
        <f t="shared" si="739"/>
        <v>0</v>
      </c>
      <c r="KL97" s="475">
        <f t="shared" si="739"/>
        <v>0</v>
      </c>
      <c r="KM97" s="475">
        <f t="shared" si="739"/>
        <v>0</v>
      </c>
      <c r="KN97" s="475">
        <f t="shared" si="739"/>
        <v>0</v>
      </c>
      <c r="KO97" s="475">
        <f t="shared" si="739"/>
        <v>0</v>
      </c>
      <c r="KP97" s="475">
        <f t="shared" si="739"/>
        <v>0</v>
      </c>
      <c r="KQ97" s="475">
        <f t="shared" si="739"/>
        <v>0</v>
      </c>
      <c r="KR97" s="475">
        <f t="shared" si="739"/>
        <v>0</v>
      </c>
      <c r="KS97" s="475">
        <f t="shared" si="739"/>
        <v>0</v>
      </c>
      <c r="KT97" s="475">
        <f t="shared" si="739"/>
        <v>0</v>
      </c>
      <c r="KU97" s="475">
        <f t="shared" si="739"/>
        <v>0</v>
      </c>
      <c r="KV97" s="475">
        <f t="shared" si="739"/>
        <v>0</v>
      </c>
      <c r="KW97" s="475">
        <f t="shared" si="739"/>
        <v>0</v>
      </c>
      <c r="KX97" s="475">
        <f t="shared" si="740"/>
        <v>0</v>
      </c>
      <c r="KY97" s="475">
        <f t="shared" si="740"/>
        <v>0</v>
      </c>
      <c r="KZ97" s="475">
        <f t="shared" si="740"/>
        <v>0</v>
      </c>
      <c r="LA97" s="475">
        <f t="shared" si="740"/>
        <v>0</v>
      </c>
      <c r="LB97" s="475">
        <f t="shared" si="740"/>
        <v>0</v>
      </c>
      <c r="LC97" s="475">
        <f t="shared" si="740"/>
        <v>0</v>
      </c>
      <c r="LD97" s="475">
        <f t="shared" si="740"/>
        <v>0</v>
      </c>
      <c r="LE97" s="475">
        <f t="shared" si="740"/>
        <v>0</v>
      </c>
      <c r="LF97" s="475">
        <f t="shared" si="740"/>
        <v>0</v>
      </c>
      <c r="LG97" s="475">
        <f t="shared" si="740"/>
        <v>0</v>
      </c>
      <c r="LH97" s="475">
        <f t="shared" si="740"/>
        <v>166666.66666666666</v>
      </c>
      <c r="LI97" s="475">
        <f t="shared" si="740"/>
        <v>166666.66666666666</v>
      </c>
      <c r="LJ97" s="475">
        <f t="shared" si="740"/>
        <v>166666.66666666666</v>
      </c>
      <c r="LK97" s="475">
        <f t="shared" si="740"/>
        <v>166666.66666666666</v>
      </c>
      <c r="LL97" s="475">
        <f t="shared" si="740"/>
        <v>166666.66666666666</v>
      </c>
      <c r="LM97" s="475">
        <f t="shared" si="740"/>
        <v>166666.66666666666</v>
      </c>
      <c r="LN97" s="475">
        <f t="shared" si="741"/>
        <v>166666.66666666666</v>
      </c>
      <c r="LO97" s="475">
        <f t="shared" si="741"/>
        <v>166666.66666666666</v>
      </c>
      <c r="LP97" s="475">
        <f t="shared" si="741"/>
        <v>166666.66666666666</v>
      </c>
      <c r="LQ97" s="475">
        <f t="shared" si="741"/>
        <v>166666.66666666666</v>
      </c>
      <c r="LR97" s="475">
        <f t="shared" si="741"/>
        <v>166666.66666666666</v>
      </c>
      <c r="LS97" s="475">
        <f t="shared" si="741"/>
        <v>166666.66666666666</v>
      </c>
      <c r="LT97" s="475">
        <f t="shared" si="741"/>
        <v>172499.99999999997</v>
      </c>
      <c r="LU97" s="475">
        <f t="shared" si="741"/>
        <v>172499.99999999997</v>
      </c>
      <c r="LV97" s="475">
        <f t="shared" si="741"/>
        <v>172499.99999999997</v>
      </c>
      <c r="LW97" s="475">
        <f t="shared" si="741"/>
        <v>172499.99999999997</v>
      </c>
      <c r="LX97" s="475">
        <f t="shared" si="741"/>
        <v>172499.99999999997</v>
      </c>
      <c r="LY97" s="475">
        <f t="shared" si="741"/>
        <v>172499.99999999997</v>
      </c>
      <c r="LZ97" s="475">
        <f t="shared" si="741"/>
        <v>172499.99999999997</v>
      </c>
      <c r="MA97" s="475">
        <f t="shared" si="741"/>
        <v>172499.99999999997</v>
      </c>
      <c r="MB97" s="475">
        <f t="shared" si="741"/>
        <v>172499.99999999997</v>
      </c>
      <c r="MC97" s="475">
        <f t="shared" si="741"/>
        <v>172499.99999999997</v>
      </c>
      <c r="MD97" s="475">
        <f t="shared" si="742"/>
        <v>172499.99999999997</v>
      </c>
      <c r="ME97" s="475">
        <f t="shared" si="742"/>
        <v>172499.99999999997</v>
      </c>
      <c r="MF97" s="475">
        <f t="shared" si="742"/>
        <v>178537.49999999997</v>
      </c>
      <c r="MG97" s="475">
        <f t="shared" si="742"/>
        <v>178537.49999999997</v>
      </c>
      <c r="MH97" s="475">
        <f t="shared" si="742"/>
        <v>178537.49999999997</v>
      </c>
      <c r="MI97" s="475">
        <f t="shared" si="742"/>
        <v>178537.49999999997</v>
      </c>
      <c r="MJ97" s="475">
        <f t="shared" si="742"/>
        <v>178537.49999999997</v>
      </c>
      <c r="MK97" s="475">
        <f t="shared" si="742"/>
        <v>178537.49999999997</v>
      </c>
      <c r="ML97" s="475">
        <f t="shared" si="742"/>
        <v>178537.49999999997</v>
      </c>
      <c r="MM97" s="475">
        <f t="shared" si="742"/>
        <v>178537.49999999997</v>
      </c>
      <c r="MN97" s="475">
        <f t="shared" si="742"/>
        <v>178537.49999999997</v>
      </c>
      <c r="MO97" s="475">
        <f t="shared" si="742"/>
        <v>178537.49999999997</v>
      </c>
      <c r="MP97" s="475">
        <f t="shared" si="742"/>
        <v>178537.49999999997</v>
      </c>
      <c r="MQ97" s="475">
        <f t="shared" si="742"/>
        <v>178537.49999999997</v>
      </c>
      <c r="MR97" s="475">
        <f t="shared" si="742"/>
        <v>184786.31249999994</v>
      </c>
      <c r="MS97" s="475">
        <f t="shared" si="742"/>
        <v>184786.31249999994</v>
      </c>
      <c r="MT97" s="475">
        <f t="shared" si="743"/>
        <v>184786.31249999994</v>
      </c>
      <c r="MU97" s="475">
        <f t="shared" si="743"/>
        <v>184786.31249999994</v>
      </c>
      <c r="MV97" s="475">
        <f t="shared" si="743"/>
        <v>184786.31249999994</v>
      </c>
      <c r="MW97" s="475">
        <f t="shared" si="743"/>
        <v>184786.31249999994</v>
      </c>
      <c r="MX97" s="475">
        <f t="shared" si="743"/>
        <v>184786.31249999994</v>
      </c>
      <c r="MY97" s="475">
        <f t="shared" si="743"/>
        <v>184786.31249999994</v>
      </c>
      <c r="MZ97" s="475">
        <f t="shared" si="743"/>
        <v>184786.31249999994</v>
      </c>
      <c r="NA97" s="475">
        <f t="shared" si="743"/>
        <v>184786.31249999994</v>
      </c>
      <c r="NB97" s="475">
        <f t="shared" si="743"/>
        <v>184786.31249999994</v>
      </c>
      <c r="NC97" s="475">
        <f t="shared" si="743"/>
        <v>184786.31249999994</v>
      </c>
      <c r="ND97" s="475">
        <f t="shared" si="743"/>
        <v>191253.83343749994</v>
      </c>
      <c r="NE97" s="475">
        <f t="shared" si="743"/>
        <v>191253.83343749994</v>
      </c>
      <c r="NF97" s="475">
        <f t="shared" si="743"/>
        <v>191253.83343749994</v>
      </c>
      <c r="NG97" s="475">
        <f t="shared" si="743"/>
        <v>191253.83343749994</v>
      </c>
      <c r="NH97" s="475">
        <f t="shared" si="743"/>
        <v>191253.83343749994</v>
      </c>
      <c r="NI97" s="475">
        <f t="shared" si="743"/>
        <v>191253.83343749994</v>
      </c>
      <c r="NJ97" s="475">
        <f t="shared" si="744"/>
        <v>191253.83343749994</v>
      </c>
      <c r="NK97" s="475">
        <f t="shared" si="744"/>
        <v>191253.83343749994</v>
      </c>
      <c r="NL97" s="475">
        <f t="shared" si="744"/>
        <v>191253.83343749994</v>
      </c>
      <c r="NM97" s="475">
        <f t="shared" si="744"/>
        <v>191253.83343749994</v>
      </c>
      <c r="NN97" s="475">
        <f t="shared" si="744"/>
        <v>191253.83343749994</v>
      </c>
      <c r="NO97" s="475">
        <f t="shared" si="744"/>
        <v>191253.83343749994</v>
      </c>
      <c r="NP97" s="475">
        <f t="shared" si="744"/>
        <v>197947.7176078124</v>
      </c>
      <c r="NQ97" s="475">
        <f t="shared" si="744"/>
        <v>197947.7176078124</v>
      </c>
      <c r="NR97" s="475">
        <f t="shared" si="744"/>
        <v>197947.7176078124</v>
      </c>
      <c r="NS97" s="475">
        <f t="shared" si="744"/>
        <v>197947.7176078124</v>
      </c>
      <c r="NT97" s="475">
        <f t="shared" si="744"/>
        <v>197947.7176078124</v>
      </c>
      <c r="NU97" s="475">
        <f t="shared" si="744"/>
        <v>197947.7176078124</v>
      </c>
      <c r="NV97" s="475">
        <f t="shared" si="744"/>
        <v>197947.7176078124</v>
      </c>
      <c r="NW97" s="475">
        <f t="shared" si="744"/>
        <v>197947.7176078124</v>
      </c>
      <c r="NX97" s="475">
        <f t="shared" si="744"/>
        <v>197947.7176078124</v>
      </c>
      <c r="NY97" s="475">
        <f t="shared" si="744"/>
        <v>197947.7176078124</v>
      </c>
      <c r="NZ97" s="475">
        <f t="shared" si="745"/>
        <v>197947.7176078124</v>
      </c>
      <c r="OA97" s="475">
        <f t="shared" si="745"/>
        <v>197947.7176078124</v>
      </c>
      <c r="OB97" s="475">
        <f t="shared" si="745"/>
        <v>204875.88772408586</v>
      </c>
      <c r="OC97" s="475">
        <f t="shared" si="745"/>
        <v>204875.88772408586</v>
      </c>
      <c r="OD97" s="475">
        <f t="shared" si="745"/>
        <v>204875.88772408586</v>
      </c>
      <c r="OE97" s="475">
        <f t="shared" si="745"/>
        <v>204875.88772408586</v>
      </c>
      <c r="OF97" s="475">
        <f t="shared" si="745"/>
        <v>204875.88772408586</v>
      </c>
      <c r="OG97" s="475">
        <f t="shared" si="745"/>
        <v>204875.88772408586</v>
      </c>
      <c r="OH97" s="475">
        <f t="shared" si="745"/>
        <v>204875.88772408586</v>
      </c>
      <c r="OI97" s="475">
        <f t="shared" si="745"/>
        <v>204875.88772408586</v>
      </c>
      <c r="OJ97" s="475">
        <f t="shared" si="745"/>
        <v>204875.88772408586</v>
      </c>
      <c r="OK97" s="475">
        <f t="shared" si="745"/>
        <v>204875.88772408586</v>
      </c>
      <c r="OL97" s="475">
        <f t="shared" si="745"/>
        <v>204875.88772408586</v>
      </c>
      <c r="OM97" s="475">
        <f t="shared" si="745"/>
        <v>204875.88772408586</v>
      </c>
      <c r="ON97" s="475">
        <f t="shared" si="745"/>
        <v>212046.54379442884</v>
      </c>
      <c r="OO97" s="475">
        <f t="shared" si="745"/>
        <v>212046.54379442884</v>
      </c>
      <c r="OP97" s="475">
        <f t="shared" si="746"/>
        <v>212046.54379442884</v>
      </c>
      <c r="OQ97" s="475">
        <f t="shared" si="746"/>
        <v>212046.54379442884</v>
      </c>
      <c r="OR97" s="475">
        <f t="shared" si="746"/>
        <v>212046.54379442884</v>
      </c>
      <c r="OS97" s="475">
        <f t="shared" si="746"/>
        <v>212046.54379442884</v>
      </c>
      <c r="OT97" s="475">
        <f t="shared" si="746"/>
        <v>212046.54379442884</v>
      </c>
      <c r="OU97" s="475">
        <f t="shared" si="746"/>
        <v>212046.54379442884</v>
      </c>
      <c r="OV97" s="475">
        <f t="shared" si="746"/>
        <v>212046.54379442884</v>
      </c>
      <c r="OW97" s="475">
        <f t="shared" si="746"/>
        <v>212046.54379442884</v>
      </c>
      <c r="OX97" s="475">
        <f t="shared" si="746"/>
        <v>212046.54379442884</v>
      </c>
      <c r="OY97" s="475">
        <f t="shared" si="746"/>
        <v>212046.54379442884</v>
      </c>
      <c r="OZ97" s="475">
        <f t="shared" si="746"/>
        <v>219468.17282723379</v>
      </c>
      <c r="PA97" s="475">
        <f t="shared" si="746"/>
        <v>219468.17282723379</v>
      </c>
      <c r="PB97" s="475">
        <f t="shared" si="746"/>
        <v>219468.17282723379</v>
      </c>
      <c r="PC97" s="475">
        <f t="shared" si="746"/>
        <v>219468.17282723379</v>
      </c>
      <c r="PD97" s="475">
        <f t="shared" si="746"/>
        <v>219468.17282723379</v>
      </c>
      <c r="PE97" s="475">
        <f t="shared" si="746"/>
        <v>219468.17282723379</v>
      </c>
      <c r="PF97" s="475">
        <f t="shared" si="747"/>
        <v>219468.17282723379</v>
      </c>
      <c r="PG97" s="475">
        <f t="shared" si="747"/>
        <v>219468.17282723379</v>
      </c>
      <c r="PH97" s="475">
        <f t="shared" si="747"/>
        <v>219468.17282723379</v>
      </c>
    </row>
    <row r="98">
      <c r="B98" s="473" t="s">
        <v>246</v>
      </c>
      <c r="C98" s="473" t="s">
        <v>247</v>
      </c>
      <c r="D98" s="46">
        <v>28</v>
      </c>
      <c r="E98" s="420" t="n">
        <f>PROJECTS!$AP$25</f>
        <v>19500.38</v>
      </c>
      <c r="F98" s="46">
        <f t="shared" si="748"/>
        <v>31</v>
      </c>
      <c r="G98" s="44" t="n">
        <f>PROJECTS!$AP$68</f>
        <v>0.035</v>
      </c>
      <c r="H98" s="144" t="str">
        <f>PROJECTS!$AP$74</f>
      </c>
      <c r="I98" s="428">
        <f t="shared" si="601"/>
        <v>0</v>
      </c>
      <c r="K98" s="290" t="s">
        <v>239</v>
      </c>
      <c r="L98" s="76"/>
      <c r="M98" s="421">
        <f t="shared" si="749"/>
        <v>0</v>
      </c>
      <c r="N98" s="421">
        <f t="shared" si="602"/>
        <v>0</v>
      </c>
      <c r="O98" s="421">
        <f t="shared" si="603"/>
        <v>0</v>
      </c>
      <c r="P98" s="421">
        <f t="shared" si="604"/>
        <v>0</v>
      </c>
      <c r="Q98" s="421">
        <f t="shared" si="605"/>
        <v>0</v>
      </c>
      <c r="R98" s="421">
        <f t="shared" si="606"/>
        <v>0</v>
      </c>
      <c r="S98" s="421">
        <f t="shared" si="607"/>
        <v>0</v>
      </c>
      <c r="T98" s="421">
        <f t="shared" si="608"/>
        <v>0</v>
      </c>
      <c r="U98" s="421">
        <f t="shared" si="609"/>
        <v>0</v>
      </c>
      <c r="V98" s="421">
        <f t="shared" si="610"/>
        <v>0</v>
      </c>
      <c r="W98" s="421">
        <f t="shared" si="611"/>
        <v>0</v>
      </c>
      <c r="X98" s="421">
        <f t="shared" si="612"/>
        <v>0</v>
      </c>
      <c r="Y98" s="421">
        <f t="shared" si="613"/>
        <v>0</v>
      </c>
      <c r="Z98" s="421">
        <f t="shared" si="614"/>
        <v>0</v>
      </c>
      <c r="AA98" s="421">
        <f t="shared" si="615"/>
        <v>0</v>
      </c>
      <c r="AB98" s="421">
        <f t="shared" si="616"/>
        <v>0</v>
      </c>
      <c r="AC98" s="421">
        <f t="shared" si="617"/>
        <v>0</v>
      </c>
      <c r="AD98" s="421">
        <f t="shared" si="618"/>
        <v>0</v>
      </c>
      <c r="AE98" s="421">
        <f t="shared" si="619"/>
        <v>0</v>
      </c>
      <c r="AF98" s="421">
        <f t="shared" si="620"/>
        <v>0</v>
      </c>
      <c r="AG98" s="421">
        <f t="shared" si="621"/>
        <v>0</v>
      </c>
      <c r="AH98" s="421">
        <f t="shared" si="622"/>
        <v>0</v>
      </c>
      <c r="AI98" s="421">
        <f t="shared" si="623"/>
        <v>0</v>
      </c>
      <c r="AJ98" s="421">
        <f t="shared" si="624"/>
        <v>0</v>
      </c>
      <c r="AK98" s="421">
        <f t="shared" si="625"/>
        <v>0</v>
      </c>
      <c r="AL98" s="421">
        <f t="shared" si="626"/>
        <v>0</v>
      </c>
      <c r="AM98" s="421">
        <f t="shared" si="627"/>
        <v>0</v>
      </c>
      <c r="AN98" s="421">
        <f t="shared" si="628"/>
        <v>0</v>
      </c>
      <c r="AO98" s="421">
        <f t="shared" si="629"/>
        <v>0</v>
      </c>
      <c r="AP98" s="421">
        <f t="shared" si="630"/>
        <v>0</v>
      </c>
      <c r="AQ98" s="421">
        <f t="shared" si="631"/>
        <v>0</v>
      </c>
      <c r="AR98" s="421">
        <f t="shared" si="632"/>
        <v>0</v>
      </c>
      <c r="AS98" s="421">
        <f t="shared" si="633"/>
        <v>0</v>
      </c>
      <c r="AT98" s="421">
        <f t="shared" si="634"/>
        <v>0</v>
      </c>
      <c r="AU98" s="421">
        <f t="shared" si="635"/>
        <v>0</v>
      </c>
      <c r="AV98" s="421">
        <f t="shared" si="636"/>
        <v>0</v>
      </c>
      <c r="AW98" s="421">
        <f t="shared" si="637"/>
        <v>0</v>
      </c>
      <c r="AX98" s="421">
        <f t="shared" si="638"/>
        <v>0</v>
      </c>
      <c r="AY98" s="421">
        <f t="shared" si="639"/>
        <v>0</v>
      </c>
      <c r="AZ98" s="421">
        <f t="shared" si="640"/>
        <v>0</v>
      </c>
      <c r="BA98" s="421">
        <f t="shared" si="641"/>
        <v>0</v>
      </c>
      <c r="BB98" s="421">
        <f t="shared" si="642"/>
        <v>0</v>
      </c>
      <c r="BC98" s="421">
        <f t="shared" si="643"/>
        <v>0</v>
      </c>
      <c r="BD98" s="421">
        <f t="shared" si="644"/>
        <v>0</v>
      </c>
      <c r="BE98" s="421">
        <f t="shared" si="645"/>
        <v>0</v>
      </c>
      <c r="BF98" s="421">
        <f t="shared" si="646"/>
        <v>0</v>
      </c>
      <c r="BG98" s="421">
        <f t="shared" si="647"/>
        <v>0</v>
      </c>
      <c r="BH98" s="421">
        <f t="shared" si="648"/>
        <v>0</v>
      </c>
      <c r="BI98" s="421">
        <f t="shared" si="649"/>
        <v>0</v>
      </c>
      <c r="BJ98" s="421">
        <f t="shared" si="650"/>
        <v>0</v>
      </c>
      <c r="BK98" s="421">
        <f t="shared" si="651"/>
        <v>0</v>
      </c>
      <c r="BL98" s="421">
        <f t="shared" si="652"/>
        <v>0</v>
      </c>
      <c r="BM98" s="421">
        <f t="shared" si="653"/>
        <v>0</v>
      </c>
      <c r="BN98" s="421">
        <f t="shared" si="654"/>
        <v>0</v>
      </c>
      <c r="BO98" s="421">
        <f t="shared" si="655"/>
        <v>0</v>
      </c>
      <c r="BP98" s="421">
        <f t="shared" si="656"/>
        <v>0</v>
      </c>
      <c r="BQ98" s="421">
        <f t="shared" si="657"/>
        <v>0</v>
      </c>
      <c r="BR98" s="421">
        <f t="shared" si="658"/>
        <v>0</v>
      </c>
      <c r="BS98" s="421">
        <f t="shared" si="659"/>
        <v>0</v>
      </c>
      <c r="BT98" s="421">
        <f t="shared" si="660"/>
        <v>0</v>
      </c>
      <c r="BU98" s="421">
        <f t="shared" si="661"/>
        <v>0</v>
      </c>
      <c r="BV98" s="421">
        <f t="shared" si="662"/>
        <v>0</v>
      </c>
      <c r="BW98" s="421">
        <f t="shared" si="663"/>
        <v>0</v>
      </c>
      <c r="BX98" s="421">
        <f t="shared" si="664"/>
        <v>0</v>
      </c>
      <c r="BY98" s="421">
        <f t="shared" si="665"/>
        <v>0</v>
      </c>
      <c r="BZ98" s="421">
        <f t="shared" si="666"/>
        <v>0</v>
      </c>
      <c r="CA98" s="421">
        <f t="shared" si="667"/>
        <v>0</v>
      </c>
      <c r="CB98" s="421">
        <f t="shared" si="668"/>
        <v>0</v>
      </c>
      <c r="CC98" s="421">
        <f t="shared" si="669"/>
        <v>0</v>
      </c>
      <c r="CD98" s="421">
        <f t="shared" si="670"/>
        <v>0</v>
      </c>
      <c r="CE98" s="421">
        <f t="shared" si="671"/>
        <v>0</v>
      </c>
      <c r="CF98" s="421">
        <f t="shared" si="672"/>
        <v>0</v>
      </c>
      <c r="CG98" s="421">
        <f t="shared" si="673"/>
        <v>0</v>
      </c>
      <c r="CH98" s="421">
        <f t="shared" si="674"/>
        <v>0</v>
      </c>
      <c r="CI98" s="421">
        <f t="shared" si="675"/>
        <v>0</v>
      </c>
      <c r="CJ98" s="421">
        <f t="shared" si="676"/>
        <v>0</v>
      </c>
      <c r="CK98" s="421">
        <f t="shared" si="677"/>
        <v>0</v>
      </c>
      <c r="CL98" s="421">
        <f t="shared" si="678"/>
        <v>0</v>
      </c>
      <c r="CM98" s="421">
        <f t="shared" si="679"/>
        <v>0</v>
      </c>
      <c r="CN98" s="421">
        <f t="shared" si="680"/>
        <v>0</v>
      </c>
      <c r="CO98" s="421">
        <f t="shared" si="681"/>
        <v>0</v>
      </c>
      <c r="CP98" s="421">
        <f t="shared" si="682"/>
        <v>0</v>
      </c>
      <c r="CQ98" s="421">
        <f t="shared" si="683"/>
        <v>0</v>
      </c>
      <c r="CR98" s="421">
        <f t="shared" si="684"/>
        <v>0</v>
      </c>
      <c r="CS98" s="421">
        <f t="shared" si="685"/>
        <v>0</v>
      </c>
      <c r="CT98" s="421">
        <f t="shared" si="686"/>
        <v>0</v>
      </c>
      <c r="CU98" s="421">
        <f t="shared" si="687"/>
        <v>0</v>
      </c>
      <c r="CV98" s="421">
        <f t="shared" si="688"/>
        <v>0</v>
      </c>
      <c r="CW98" s="421">
        <f t="shared" si="689"/>
        <v>0</v>
      </c>
      <c r="CX98" s="421">
        <f t="shared" si="690"/>
        <v>0</v>
      </c>
      <c r="CY98" s="421">
        <f t="shared" si="691"/>
        <v>0</v>
      </c>
      <c r="CZ98" s="421">
        <f t="shared" si="692"/>
        <v>0</v>
      </c>
      <c r="DA98" s="421">
        <f t="shared" si="693"/>
        <v>0</v>
      </c>
      <c r="DB98" s="421">
        <f t="shared" si="694"/>
        <v>0</v>
      </c>
      <c r="DC98" s="421">
        <f t="shared" si="695"/>
        <v>0</v>
      </c>
      <c r="DD98" s="421">
        <f t="shared" si="696"/>
        <v>0</v>
      </c>
      <c r="DE98" s="421">
        <f t="shared" si="697"/>
        <v>0</v>
      </c>
      <c r="DF98" s="421">
        <f t="shared" si="698"/>
        <v>0</v>
      </c>
      <c r="DG98" s="421">
        <f t="shared" si="699"/>
        <v>0</v>
      </c>
      <c r="DH98" s="421">
        <f t="shared" si="700"/>
        <v>0</v>
      </c>
      <c r="DI98" s="421">
        <f t="shared" si="701"/>
        <v>0</v>
      </c>
      <c r="DJ98" s="421">
        <f t="shared" si="702"/>
        <v>0</v>
      </c>
      <c r="DK98" s="421">
        <f t="shared" si="703"/>
        <v>0</v>
      </c>
      <c r="DL98" s="421">
        <f t="shared" si="704"/>
        <v>0</v>
      </c>
      <c r="DM98" s="421">
        <f t="shared" si="705"/>
        <v>0</v>
      </c>
      <c r="DN98" s="421">
        <f t="shared" si="706"/>
        <v>0</v>
      </c>
      <c r="DO98" s="421">
        <f t="shared" si="707"/>
        <v>0</v>
      </c>
      <c r="DP98" s="421">
        <f t="shared" si="708"/>
        <v>0</v>
      </c>
      <c r="DQ98" s="421">
        <f t="shared" si="709"/>
        <v>0</v>
      </c>
      <c r="DR98" s="421">
        <f t="shared" si="710"/>
        <v>0</v>
      </c>
      <c r="DS98" s="421">
        <f t="shared" si="711"/>
        <v>0</v>
      </c>
      <c r="DT98" s="421">
        <f t="shared" si="712"/>
        <v>0</v>
      </c>
      <c r="DU98" s="421">
        <f t="shared" si="713"/>
        <v>0</v>
      </c>
      <c r="DV98" s="421">
        <f t="shared" si="714"/>
        <v>0</v>
      </c>
      <c r="DW98" s="421">
        <f t="shared" si="715"/>
        <v>0</v>
      </c>
      <c r="DX98" s="421">
        <f t="shared" si="716"/>
        <v>0</v>
      </c>
      <c r="DY98" s="421">
        <f t="shared" si="717"/>
        <v>0</v>
      </c>
      <c r="DZ98" s="421">
        <f t="shared" si="718"/>
        <v>0</v>
      </c>
      <c r="EA98" s="421">
        <f t="shared" si="719"/>
        <v>0</v>
      </c>
      <c r="EB98" s="421">
        <f t="shared" si="720"/>
        <v>0</v>
      </c>
      <c r="EC98" s="421">
        <f t="shared" si="721"/>
        <v>0</v>
      </c>
      <c r="ED98" s="421">
        <f t="shared" si="722"/>
        <v>0</v>
      </c>
      <c r="EE98" s="421">
        <f t="shared" si="723"/>
        <v>0</v>
      </c>
      <c r="EF98" s="421">
        <f t="shared" si="724"/>
        <v>0</v>
      </c>
      <c r="EG98" s="421">
        <f t="shared" si="725"/>
        <v>0</v>
      </c>
      <c r="EH98" s="421">
        <f t="shared" si="726"/>
        <v>0</v>
      </c>
      <c r="EI98" s="421">
        <f t="shared" si="727"/>
        <v>0</v>
      </c>
      <c r="EJ98" s="421">
        <f t="shared" si="728"/>
        <v>0</v>
      </c>
      <c r="EK98" s="421">
        <f t="shared" si="729"/>
        <v>0</v>
      </c>
      <c r="EL98" s="421">
        <f t="shared" si="730"/>
        <v>0</v>
      </c>
      <c r="EM98" s="421">
        <f t="shared" si="731"/>
        <v>0</v>
      </c>
      <c r="EN98" s="421">
        <f t="shared" si="732"/>
        <v>0</v>
      </c>
      <c r="EP98" s="220" t="str">
        <f t="shared" si="750"/>
        <v>Car Park</v>
      </c>
      <c r="EQ98" s="20">
        <f t="shared" si="751"/>
        <v>19500.38</v>
      </c>
      <c r="ER98" s="198">
        <f t="shared" si="752"/>
        <v>28</v>
      </c>
      <c r="ES98" s="18"/>
      <c r="ET98" s="18"/>
      <c r="EU98" s="18"/>
      <c r="EV98" s="422">
        <f t="shared" si="753"/>
        <v>0</v>
      </c>
      <c r="EW98" s="422">
        <f t="shared" si="753"/>
        <v>0</v>
      </c>
      <c r="EX98" s="422">
        <f t="shared" si="753"/>
        <v>0</v>
      </c>
      <c r="EY98" s="422">
        <f t="shared" si="753"/>
        <v>0</v>
      </c>
      <c r="EZ98" s="422">
        <f t="shared" si="753"/>
        <v>0</v>
      </c>
      <c r="FA98" s="422">
        <f t="shared" si="753"/>
        <v>0</v>
      </c>
      <c r="FB98" s="422">
        <f t="shared" si="753"/>
        <v>0</v>
      </c>
      <c r="FC98" s="422">
        <f t="shared" si="753"/>
        <v>0</v>
      </c>
      <c r="FD98" s="422">
        <f t="shared" si="753"/>
        <v>0</v>
      </c>
      <c r="FE98" s="422">
        <f t="shared" si="753"/>
        <v>0</v>
      </c>
      <c r="FF98" s="422">
        <f t="shared" si="753"/>
        <v>0</v>
      </c>
      <c r="FG98" s="422">
        <f t="shared" si="753"/>
        <v>0</v>
      </c>
      <c r="FH98" s="422">
        <f t="shared" si="753"/>
        <v>0</v>
      </c>
      <c r="FI98" s="422">
        <f t="shared" si="753"/>
        <v>0</v>
      </c>
      <c r="FJ98" s="422">
        <f t="shared" si="753"/>
        <v>0</v>
      </c>
      <c r="FK98" s="422">
        <f t="shared" si="753"/>
        <v>0</v>
      </c>
      <c r="FL98" s="422" t="n">
        <f t="shared" ref="FL98:HH103" si="760">(FL$3&gt;=$ER98)*$EQ98</f>
        <v>0</v>
      </c>
      <c r="FM98" s="422">
        <f t="shared" si="760"/>
        <v>0</v>
      </c>
      <c r="FN98" s="422">
        <f t="shared" si="760"/>
        <v>0</v>
      </c>
      <c r="FO98" s="422">
        <f t="shared" si="760"/>
        <v>0</v>
      </c>
      <c r="FP98" s="422">
        <f t="shared" si="760"/>
        <v>0</v>
      </c>
      <c r="FQ98" s="422">
        <f t="shared" si="760"/>
        <v>0</v>
      </c>
      <c r="FR98" s="422">
        <f t="shared" si="760"/>
        <v>0</v>
      </c>
      <c r="FS98" s="422">
        <f t="shared" si="760"/>
        <v>0</v>
      </c>
      <c r="FT98" s="422">
        <f t="shared" si="760"/>
        <v>0</v>
      </c>
      <c r="FU98" s="422">
        <f t="shared" si="760"/>
        <v>0</v>
      </c>
      <c r="FV98" s="422">
        <f t="shared" si="760"/>
        <v>0</v>
      </c>
      <c r="FW98" s="422">
        <f t="shared" si="760"/>
        <v>0</v>
      </c>
      <c r="FX98" s="422">
        <f t="shared" si="760"/>
        <v>19500.38</v>
      </c>
      <c r="FY98" s="422">
        <f t="shared" si="760"/>
        <v>19500.38</v>
      </c>
      <c r="FZ98" s="422">
        <f t="shared" si="760"/>
        <v>19500.38</v>
      </c>
      <c r="GA98" s="422">
        <f t="shared" si="760"/>
        <v>19500.38</v>
      </c>
      <c r="GB98" s="422">
        <f t="shared" si="760"/>
        <v>19500.38</v>
      </c>
      <c r="GC98" s="422">
        <f t="shared" si="760"/>
        <v>19500.38</v>
      </c>
      <c r="GD98" s="422">
        <f t="shared" si="760"/>
        <v>19500.38</v>
      </c>
      <c r="GE98" s="422">
        <f t="shared" si="760"/>
        <v>19500.38</v>
      </c>
      <c r="GF98" s="422">
        <f t="shared" si="760"/>
        <v>19500.38</v>
      </c>
      <c r="GG98" s="422">
        <f t="shared" si="760"/>
        <v>19500.38</v>
      </c>
      <c r="GH98" s="422">
        <f t="shared" si="760"/>
        <v>19500.38</v>
      </c>
      <c r="GI98" s="422">
        <f t="shared" si="760"/>
        <v>19500.38</v>
      </c>
      <c r="GJ98" s="422">
        <f t="shared" si="760"/>
        <v>19500.38</v>
      </c>
      <c r="GK98" s="422">
        <f t="shared" si="760"/>
        <v>19500.38</v>
      </c>
      <c r="GL98" s="422">
        <f t="shared" si="760"/>
        <v>19500.38</v>
      </c>
      <c r="GM98" s="422">
        <f t="shared" si="760"/>
        <v>19500.38</v>
      </c>
      <c r="GN98" s="422">
        <f t="shared" si="760"/>
        <v>19500.38</v>
      </c>
      <c r="GO98" s="422">
        <f t="shared" si="760"/>
        <v>19500.38</v>
      </c>
      <c r="GP98" s="422">
        <f t="shared" si="760"/>
        <v>19500.38</v>
      </c>
      <c r="GQ98" s="422">
        <f t="shared" si="760"/>
        <v>19500.38</v>
      </c>
      <c r="GR98" s="422">
        <f t="shared" si="760"/>
        <v>19500.38</v>
      </c>
      <c r="GS98" s="422">
        <f t="shared" si="760"/>
        <v>19500.38</v>
      </c>
      <c r="GT98" s="422">
        <f t="shared" si="760"/>
        <v>19500.38</v>
      </c>
      <c r="GU98" s="422">
        <f t="shared" si="760"/>
        <v>19500.38</v>
      </c>
      <c r="GV98" s="422">
        <f t="shared" si="760"/>
        <v>19500.38</v>
      </c>
      <c r="GW98" s="422">
        <f t="shared" si="760"/>
        <v>19500.38</v>
      </c>
      <c r="GX98" s="422">
        <f t="shared" si="760"/>
        <v>19500.38</v>
      </c>
      <c r="GY98" s="422">
        <f t="shared" si="760"/>
        <v>19500.38</v>
      </c>
      <c r="GZ98" s="422">
        <f t="shared" si="760"/>
        <v>19500.38</v>
      </c>
      <c r="HA98" s="422">
        <f t="shared" si="760"/>
        <v>19500.38</v>
      </c>
      <c r="HB98" s="422">
        <f t="shared" si="760"/>
        <v>19500.38</v>
      </c>
      <c r="HC98" s="422">
        <f t="shared" si="760"/>
        <v>19500.38</v>
      </c>
      <c r="HD98" s="422">
        <f t="shared" si="760"/>
        <v>19500.38</v>
      </c>
      <c r="HE98" s="422">
        <f t="shared" si="760"/>
        <v>19500.38</v>
      </c>
      <c r="HF98" s="422">
        <f t="shared" si="760"/>
        <v>19500.38</v>
      </c>
      <c r="HG98" s="422">
        <f t="shared" si="760"/>
        <v>19500.38</v>
      </c>
      <c r="HH98" s="422">
        <f t="shared" si="760"/>
        <v>19500.38</v>
      </c>
      <c r="HI98" s="422">
        <f t="shared" si="758"/>
        <v>19500.38</v>
      </c>
      <c r="HJ98" s="422">
        <f t="shared" si="758"/>
        <v>19500.38</v>
      </c>
      <c r="HK98" s="422">
        <f t="shared" si="758"/>
        <v>19500.38</v>
      </c>
      <c r="HL98" s="422">
        <f t="shared" si="758"/>
        <v>19500.38</v>
      </c>
      <c r="HM98" s="422">
        <f t="shared" si="758"/>
        <v>19500.38</v>
      </c>
      <c r="HN98" s="422">
        <f t="shared" si="758"/>
        <v>19500.38</v>
      </c>
      <c r="HO98" s="422">
        <f t="shared" si="758"/>
        <v>19500.38</v>
      </c>
      <c r="HP98" s="422">
        <f t="shared" si="758"/>
        <v>19500.38</v>
      </c>
      <c r="HQ98" s="422">
        <f t="shared" si="758"/>
        <v>19500.38</v>
      </c>
      <c r="HR98" s="422">
        <f t="shared" si="758"/>
        <v>19500.38</v>
      </c>
      <c r="HS98" s="422">
        <f t="shared" si="758"/>
        <v>19500.38</v>
      </c>
      <c r="HT98" s="422">
        <f t="shared" si="758"/>
        <v>19500.38</v>
      </c>
      <c r="HU98" s="422">
        <f t="shared" si="758"/>
        <v>19500.38</v>
      </c>
      <c r="HV98" s="422">
        <f t="shared" si="758"/>
        <v>19500.38</v>
      </c>
      <c r="HW98" s="422">
        <f t="shared" si="758"/>
        <v>19500.38</v>
      </c>
      <c r="HX98" s="422">
        <f t="shared" si="758"/>
        <v>19500.38</v>
      </c>
      <c r="HY98" s="422">
        <f t="shared" si="758"/>
        <v>19500.38</v>
      </c>
      <c r="HZ98" s="422">
        <f t="shared" si="758"/>
        <v>19500.38</v>
      </c>
      <c r="IA98" s="422">
        <f t="shared" si="758"/>
        <v>19500.38</v>
      </c>
      <c r="IB98" s="422">
        <f t="shared" si="758"/>
        <v>19500.38</v>
      </c>
      <c r="IC98" s="422">
        <f t="shared" si="758"/>
        <v>19500.38</v>
      </c>
      <c r="ID98" s="422">
        <f t="shared" si="758"/>
        <v>19500.38</v>
      </c>
      <c r="IE98" s="422">
        <f t="shared" si="758"/>
        <v>19500.38</v>
      </c>
      <c r="IF98" s="422">
        <f t="shared" si="758"/>
        <v>19500.38</v>
      </c>
      <c r="IG98" s="422">
        <f t="shared" si="758"/>
        <v>19500.38</v>
      </c>
      <c r="IH98" s="422">
        <f t="shared" si="758"/>
        <v>19500.38</v>
      </c>
      <c r="II98" s="422">
        <f t="shared" si="758"/>
        <v>19500.38</v>
      </c>
      <c r="IJ98" s="422">
        <f t="shared" si="758"/>
        <v>19500.38</v>
      </c>
      <c r="IK98" s="422">
        <f t="shared" si="758"/>
        <v>19500.38</v>
      </c>
      <c r="IL98" s="422">
        <f t="shared" si="758"/>
        <v>19500.38</v>
      </c>
      <c r="IM98" s="422">
        <f t="shared" si="758"/>
        <v>19500.38</v>
      </c>
      <c r="IN98" s="422">
        <f t="shared" si="758"/>
        <v>19500.38</v>
      </c>
      <c r="IO98" s="422">
        <f t="shared" si="758"/>
        <v>19500.38</v>
      </c>
      <c r="IP98" s="422">
        <f t="shared" si="758"/>
        <v>19500.38</v>
      </c>
      <c r="IQ98" s="422">
        <f t="shared" si="758"/>
        <v>19500.38</v>
      </c>
      <c r="IR98" s="422">
        <f t="shared" si="758"/>
        <v>19500.38</v>
      </c>
      <c r="IS98" s="422">
        <f t="shared" si="758"/>
        <v>19500.38</v>
      </c>
      <c r="IT98" s="422">
        <f t="shared" si="758"/>
        <v>19500.38</v>
      </c>
      <c r="IU98" s="422">
        <f t="shared" si="758"/>
        <v>19500.38</v>
      </c>
      <c r="IV98" s="422">
        <f t="shared" si="758"/>
        <v>19500.38</v>
      </c>
      <c r="IW98" s="422">
        <f t="shared" si="758"/>
        <v>19500.38</v>
      </c>
      <c r="IX98" s="422">
        <f t="shared" si="758"/>
        <v>19500.38</v>
      </c>
      <c r="IY98" s="422">
        <f t="shared" si="758"/>
        <v>19500.38</v>
      </c>
      <c r="IZ98" s="422">
        <f t="shared" si="758"/>
        <v>19500.38</v>
      </c>
      <c r="JA98" s="422">
        <f t="shared" si="758"/>
        <v>19500.38</v>
      </c>
      <c r="JB98" s="422">
        <f t="shared" si="758"/>
        <v>19500.38</v>
      </c>
      <c r="JC98" s="422">
        <f t="shared" si="758"/>
        <v>19500.38</v>
      </c>
      <c r="JD98" s="422">
        <f t="shared" si="758"/>
        <v>19500.38</v>
      </c>
      <c r="JE98" s="422">
        <f t="shared" si="758"/>
        <v>19500.38</v>
      </c>
      <c r="JF98" s="422">
        <f t="shared" si="758"/>
        <v>19500.38</v>
      </c>
      <c r="JG98" s="422">
        <f t="shared" si="758"/>
        <v>19500.38</v>
      </c>
      <c r="JH98" s="422">
        <f t="shared" si="758"/>
        <v>19500.38</v>
      </c>
      <c r="JI98" s="422">
        <f t="shared" si="758"/>
        <v>19500.38</v>
      </c>
      <c r="JJ98" s="422">
        <f t="shared" si="758"/>
        <v>19500.38</v>
      </c>
      <c r="JK98" s="422">
        <f t="shared" si="758"/>
        <v>19500.38</v>
      </c>
      <c r="JL98" s="422">
        <f t="shared" si="758"/>
        <v>19500.38</v>
      </c>
      <c r="JM98" s="422">
        <f t="shared" si="758"/>
        <v>19500.38</v>
      </c>
      <c r="JN98" s="422">
        <f t="shared" si="758"/>
        <v>19500.38</v>
      </c>
      <c r="JO98" s="422">
        <f t="shared" si="758"/>
        <v>19500.38</v>
      </c>
      <c r="JP98" s="422">
        <f t="shared" si="758"/>
        <v>19500.38</v>
      </c>
      <c r="JQ98" s="422">
        <f t="shared" si="758"/>
        <v>19500.38</v>
      </c>
      <c r="JR98" s="422">
        <f t="shared" si="758"/>
        <v>19500.38</v>
      </c>
      <c r="JS98" s="422">
        <f t="shared" si="758"/>
        <v>19500.38</v>
      </c>
      <c r="JT98" s="422">
        <f t="shared" si="758"/>
        <v>19500.38</v>
      </c>
      <c r="JU98" s="422">
        <f t="shared" si="735"/>
        <v>19500.38</v>
      </c>
      <c r="JV98" s="422">
        <f t="shared" si="735"/>
        <v>19500.38</v>
      </c>
      <c r="JW98" s="422">
        <f t="shared" si="735"/>
        <v>19500.38</v>
      </c>
      <c r="JX98" s="422">
        <f t="shared" si="735"/>
        <v>19500.38</v>
      </c>
      <c r="JZ98" s="220" t="str">
        <f t="shared" si="754"/>
        <v>Car Park</v>
      </c>
      <c r="KA98" s="422">
        <f t="shared" si="736"/>
        <v>0</v>
      </c>
      <c r="KB98" s="198">
        <f t="shared" si="737"/>
        <v>31</v>
      </c>
      <c r="KC98" s="207">
        <f t="shared" si="738"/>
        <v>3.5000000000000003E-2</v>
      </c>
      <c r="KD98" s="214" t="str">
        <f t="shared" si="596"/>
        <v>Annual</v>
      </c>
      <c r="KE98" s="474" t="n">
        <f>MATCH(KD98,Data!$G$24:$G$33,0)</f>
        <v>1</v>
      </c>
      <c r="KF98" s="264"/>
      <c r="KG98" s="475">
        <f t="shared" si="755"/>
        <v>0</v>
      </c>
      <c r="KH98" s="475">
        <f t="shared" si="739"/>
        <v>0</v>
      </c>
      <c r="KI98" s="475">
        <f t="shared" si="739"/>
        <v>0</v>
      </c>
      <c r="KJ98" s="475">
        <f t="shared" si="739"/>
        <v>0</v>
      </c>
      <c r="KK98" s="475">
        <f t="shared" si="739"/>
        <v>0</v>
      </c>
      <c r="KL98" s="475">
        <f t="shared" si="739"/>
        <v>0</v>
      </c>
      <c r="KM98" s="475">
        <f t="shared" si="739"/>
        <v>0</v>
      </c>
      <c r="KN98" s="475">
        <f t="shared" si="739"/>
        <v>0</v>
      </c>
      <c r="KO98" s="475">
        <f t="shared" si="739"/>
        <v>0</v>
      </c>
      <c r="KP98" s="475">
        <f t="shared" si="739"/>
        <v>0</v>
      </c>
      <c r="KQ98" s="475">
        <f t="shared" si="739"/>
        <v>0</v>
      </c>
      <c r="KR98" s="475">
        <f t="shared" si="739"/>
        <v>0</v>
      </c>
      <c r="KS98" s="475">
        <f t="shared" si="739"/>
        <v>0</v>
      </c>
      <c r="KT98" s="475">
        <f t="shared" si="739"/>
        <v>0</v>
      </c>
      <c r="KU98" s="475">
        <f t="shared" si="739"/>
        <v>0</v>
      </c>
      <c r="KV98" s="475">
        <f t="shared" si="739"/>
        <v>0</v>
      </c>
      <c r="KW98" s="475">
        <f t="shared" si="739"/>
        <v>0</v>
      </c>
      <c r="KX98" s="475">
        <f t="shared" si="740"/>
        <v>0</v>
      </c>
      <c r="KY98" s="475">
        <f t="shared" si="740"/>
        <v>0</v>
      </c>
      <c r="KZ98" s="475">
        <f t="shared" si="740"/>
        <v>0</v>
      </c>
      <c r="LA98" s="475">
        <f t="shared" si="740"/>
        <v>0</v>
      </c>
      <c r="LB98" s="475">
        <f t="shared" si="740"/>
        <v>0</v>
      </c>
      <c r="LC98" s="475">
        <f t="shared" si="740"/>
        <v>0</v>
      </c>
      <c r="LD98" s="475">
        <f t="shared" si="740"/>
        <v>0</v>
      </c>
      <c r="LE98" s="475">
        <f t="shared" si="740"/>
        <v>0</v>
      </c>
      <c r="LF98" s="475">
        <f t="shared" si="740"/>
        <v>0</v>
      </c>
      <c r="LG98" s="475">
        <f t="shared" si="740"/>
        <v>0</v>
      </c>
      <c r="LH98" s="475">
        <f t="shared" si="740"/>
        <v>0</v>
      </c>
      <c r="LI98" s="475">
        <f t="shared" si="740"/>
        <v>0</v>
      </c>
      <c r="LJ98" s="475">
        <f t="shared" si="740"/>
        <v>0</v>
      </c>
      <c r="LK98" s="475">
        <f t="shared" si="740"/>
        <v>0</v>
      </c>
      <c r="LL98" s="475">
        <f t="shared" si="740"/>
        <v>0</v>
      </c>
      <c r="LM98" s="475">
        <f t="shared" si="740"/>
        <v>0</v>
      </c>
      <c r="LN98" s="475">
        <f t="shared" si="741"/>
        <v>0</v>
      </c>
      <c r="LO98" s="475">
        <f t="shared" si="741"/>
        <v>0</v>
      </c>
      <c r="LP98" s="475">
        <f t="shared" si="741"/>
        <v>0</v>
      </c>
      <c r="LQ98" s="475">
        <f t="shared" si="741"/>
        <v>0</v>
      </c>
      <c r="LR98" s="475">
        <f t="shared" si="741"/>
        <v>0</v>
      </c>
      <c r="LS98" s="475">
        <f t="shared" si="741"/>
        <v>0</v>
      </c>
      <c r="LT98" s="475">
        <f t="shared" si="741"/>
        <v>0</v>
      </c>
      <c r="LU98" s="475">
        <f t="shared" si="741"/>
        <v>0</v>
      </c>
      <c r="LV98" s="475">
        <f t="shared" si="741"/>
        <v>0</v>
      </c>
      <c r="LW98" s="475">
        <f t="shared" si="741"/>
        <v>0</v>
      </c>
      <c r="LX98" s="475">
        <f t="shared" si="741"/>
        <v>0</v>
      </c>
      <c r="LY98" s="475">
        <f t="shared" si="741"/>
        <v>0</v>
      </c>
      <c r="LZ98" s="475">
        <f t="shared" si="741"/>
        <v>0</v>
      </c>
      <c r="MA98" s="475">
        <f t="shared" si="741"/>
        <v>0</v>
      </c>
      <c r="MB98" s="475">
        <f t="shared" si="741"/>
        <v>0</v>
      </c>
      <c r="MC98" s="475">
        <f t="shared" si="741"/>
        <v>0</v>
      </c>
      <c r="MD98" s="475">
        <f t="shared" si="742"/>
        <v>0</v>
      </c>
      <c r="ME98" s="475">
        <f t="shared" si="742"/>
        <v>0</v>
      </c>
      <c r="MF98" s="475">
        <f t="shared" si="742"/>
        <v>0</v>
      </c>
      <c r="MG98" s="475">
        <f t="shared" si="742"/>
        <v>0</v>
      </c>
      <c r="MH98" s="475">
        <f t="shared" si="742"/>
        <v>0</v>
      </c>
      <c r="MI98" s="475">
        <f t="shared" si="742"/>
        <v>0</v>
      </c>
      <c r="MJ98" s="475">
        <f t="shared" si="742"/>
        <v>0</v>
      </c>
      <c r="MK98" s="475">
        <f t="shared" si="742"/>
        <v>0</v>
      </c>
      <c r="ML98" s="475">
        <f t="shared" si="742"/>
        <v>0</v>
      </c>
      <c r="MM98" s="475">
        <f t="shared" si="742"/>
        <v>0</v>
      </c>
      <c r="MN98" s="475">
        <f t="shared" si="742"/>
        <v>0</v>
      </c>
      <c r="MO98" s="475">
        <f t="shared" si="742"/>
        <v>0</v>
      </c>
      <c r="MP98" s="475">
        <f t="shared" si="742"/>
        <v>0</v>
      </c>
      <c r="MQ98" s="475">
        <f t="shared" si="742"/>
        <v>0</v>
      </c>
      <c r="MR98" s="475">
        <f t="shared" si="742"/>
        <v>0</v>
      </c>
      <c r="MS98" s="475">
        <f t="shared" si="742"/>
        <v>0</v>
      </c>
      <c r="MT98" s="475">
        <f t="shared" si="743"/>
        <v>0</v>
      </c>
      <c r="MU98" s="475">
        <f t="shared" si="743"/>
        <v>0</v>
      </c>
      <c r="MV98" s="475">
        <f t="shared" si="743"/>
        <v>0</v>
      </c>
      <c r="MW98" s="475">
        <f t="shared" si="743"/>
        <v>0</v>
      </c>
      <c r="MX98" s="475">
        <f t="shared" si="743"/>
        <v>0</v>
      </c>
      <c r="MY98" s="475">
        <f t="shared" si="743"/>
        <v>0</v>
      </c>
      <c r="MZ98" s="475">
        <f t="shared" si="743"/>
        <v>0</v>
      </c>
      <c r="NA98" s="475">
        <f t="shared" si="743"/>
        <v>0</v>
      </c>
      <c r="NB98" s="475">
        <f t="shared" si="743"/>
        <v>0</v>
      </c>
      <c r="NC98" s="475">
        <f t="shared" si="743"/>
        <v>0</v>
      </c>
      <c r="ND98" s="475">
        <f t="shared" si="743"/>
        <v>0</v>
      </c>
      <c r="NE98" s="475">
        <f t="shared" si="743"/>
        <v>0</v>
      </c>
      <c r="NF98" s="475">
        <f t="shared" si="743"/>
        <v>0</v>
      </c>
      <c r="NG98" s="475">
        <f t="shared" si="743"/>
        <v>0</v>
      </c>
      <c r="NH98" s="475">
        <f t="shared" si="743"/>
        <v>0</v>
      </c>
      <c r="NI98" s="475">
        <f t="shared" si="743"/>
        <v>0</v>
      </c>
      <c r="NJ98" s="475">
        <f t="shared" si="744"/>
        <v>0</v>
      </c>
      <c r="NK98" s="475">
        <f t="shared" si="744"/>
        <v>0</v>
      </c>
      <c r="NL98" s="475">
        <f t="shared" si="744"/>
        <v>0</v>
      </c>
      <c r="NM98" s="475">
        <f t="shared" si="744"/>
        <v>0</v>
      </c>
      <c r="NN98" s="475">
        <f t="shared" si="744"/>
        <v>0</v>
      </c>
      <c r="NO98" s="475">
        <f t="shared" si="744"/>
        <v>0</v>
      </c>
      <c r="NP98" s="475">
        <f t="shared" si="744"/>
        <v>0</v>
      </c>
      <c r="NQ98" s="475">
        <f t="shared" si="744"/>
        <v>0</v>
      </c>
      <c r="NR98" s="475">
        <f t="shared" si="744"/>
        <v>0</v>
      </c>
      <c r="NS98" s="475">
        <f t="shared" si="744"/>
        <v>0</v>
      </c>
      <c r="NT98" s="475">
        <f t="shared" si="744"/>
        <v>0</v>
      </c>
      <c r="NU98" s="475">
        <f t="shared" si="744"/>
        <v>0</v>
      </c>
      <c r="NV98" s="475">
        <f t="shared" si="744"/>
        <v>0</v>
      </c>
      <c r="NW98" s="475">
        <f t="shared" si="744"/>
        <v>0</v>
      </c>
      <c r="NX98" s="475">
        <f t="shared" si="744"/>
        <v>0</v>
      </c>
      <c r="NY98" s="475">
        <f t="shared" si="744"/>
        <v>0</v>
      </c>
      <c r="NZ98" s="475">
        <f t="shared" si="745"/>
        <v>0</v>
      </c>
      <c r="OA98" s="475">
        <f t="shared" si="745"/>
        <v>0</v>
      </c>
      <c r="OB98" s="475">
        <f t="shared" si="745"/>
        <v>0</v>
      </c>
      <c r="OC98" s="475">
        <f t="shared" si="745"/>
        <v>0</v>
      </c>
      <c r="OD98" s="475">
        <f t="shared" si="745"/>
        <v>0</v>
      </c>
      <c r="OE98" s="475">
        <f t="shared" si="745"/>
        <v>0</v>
      </c>
      <c r="OF98" s="475">
        <f t="shared" si="745"/>
        <v>0</v>
      </c>
      <c r="OG98" s="475">
        <f t="shared" si="745"/>
        <v>0</v>
      </c>
      <c r="OH98" s="475">
        <f t="shared" si="745"/>
        <v>0</v>
      </c>
      <c r="OI98" s="475">
        <f t="shared" si="745"/>
        <v>0</v>
      </c>
      <c r="OJ98" s="475">
        <f t="shared" si="745"/>
        <v>0</v>
      </c>
      <c r="OK98" s="475">
        <f t="shared" si="745"/>
        <v>0</v>
      </c>
      <c r="OL98" s="475">
        <f t="shared" si="745"/>
        <v>0</v>
      </c>
      <c r="OM98" s="475">
        <f t="shared" si="745"/>
        <v>0</v>
      </c>
      <c r="ON98" s="475">
        <f t="shared" si="745"/>
        <v>0</v>
      </c>
      <c r="OO98" s="475">
        <f t="shared" si="745"/>
        <v>0</v>
      </c>
      <c r="OP98" s="475">
        <f t="shared" si="746"/>
        <v>0</v>
      </c>
      <c r="OQ98" s="475">
        <f t="shared" si="746"/>
        <v>0</v>
      </c>
      <c r="OR98" s="475">
        <f t="shared" si="746"/>
        <v>0</v>
      </c>
      <c r="OS98" s="475">
        <f t="shared" si="746"/>
        <v>0</v>
      </c>
      <c r="OT98" s="475">
        <f t="shared" si="746"/>
        <v>0</v>
      </c>
      <c r="OU98" s="475">
        <f t="shared" si="746"/>
        <v>0</v>
      </c>
      <c r="OV98" s="475">
        <f t="shared" si="746"/>
        <v>0</v>
      </c>
      <c r="OW98" s="475">
        <f t="shared" si="746"/>
        <v>0</v>
      </c>
      <c r="OX98" s="475">
        <f t="shared" si="746"/>
        <v>0</v>
      </c>
      <c r="OY98" s="475">
        <f t="shared" si="746"/>
        <v>0</v>
      </c>
      <c r="OZ98" s="475">
        <f t="shared" si="746"/>
        <v>0</v>
      </c>
      <c r="PA98" s="475">
        <f t="shared" si="746"/>
        <v>0</v>
      </c>
      <c r="PB98" s="475">
        <f t="shared" si="746"/>
        <v>0</v>
      </c>
      <c r="PC98" s="475">
        <f t="shared" si="746"/>
        <v>0</v>
      </c>
      <c r="PD98" s="475">
        <f t="shared" si="746"/>
        <v>0</v>
      </c>
      <c r="PE98" s="475">
        <f t="shared" si="746"/>
        <v>0</v>
      </c>
      <c r="PF98" s="475">
        <f t="shared" si="747"/>
        <v>0</v>
      </c>
      <c r="PG98" s="475">
        <f t="shared" si="747"/>
        <v>0</v>
      </c>
      <c r="PH98" s="475">
        <f t="shared" si="747"/>
        <v>0</v>
      </c>
    </row>
    <row r="99">
      <c r="B99" s="473" t="s">
        <v>248</v>
      </c>
      <c r="C99" s="473" t="s">
        <v>248</v>
      </c>
      <c r="D99" s="46">
        <v>28</v>
      </c>
      <c r="E99" s="420" t="n">
        <f>PROJECTS!$AP$26</f>
        <v>3800</v>
      </c>
      <c r="F99" s="46">
        <f t="shared" si="748"/>
        <v>31</v>
      </c>
      <c r="G99" s="44" t="n">
        <f>PROJECTS!$AP$68</f>
        <v>0.035</v>
      </c>
      <c r="H99" s="144" t="n">
        <f>PROJECTS!$AP$75</f>
        <v>500</v>
      </c>
      <c r="I99" s="428">
        <f t="shared" si="601"/>
        <v>1900000</v>
      </c>
      <c r="K99" s="290" t="s">
        <v>239</v>
      </c>
      <c r="L99" s="76"/>
      <c r="M99" s="421">
        <f t="shared" si="749"/>
        <v>0</v>
      </c>
      <c r="N99" s="421">
        <f t="shared" si="602"/>
        <v>0</v>
      </c>
      <c r="O99" s="421">
        <f t="shared" si="603"/>
        <v>0</v>
      </c>
      <c r="P99" s="421">
        <f t="shared" si="604"/>
        <v>0</v>
      </c>
      <c r="Q99" s="421">
        <f t="shared" si="605"/>
        <v>0</v>
      </c>
      <c r="R99" s="421">
        <f t="shared" si="606"/>
        <v>0</v>
      </c>
      <c r="S99" s="421">
        <f t="shared" si="607"/>
        <v>0</v>
      </c>
      <c r="T99" s="421">
        <f t="shared" si="608"/>
        <v>0</v>
      </c>
      <c r="U99" s="421">
        <f t="shared" si="609"/>
        <v>0</v>
      </c>
      <c r="V99" s="421">
        <f t="shared" si="610"/>
        <v>0</v>
      </c>
      <c r="W99" s="421">
        <f t="shared" si="611"/>
        <v>0</v>
      </c>
      <c r="X99" s="421">
        <f t="shared" si="612"/>
        <v>0</v>
      </c>
      <c r="Y99" s="421">
        <f t="shared" si="613"/>
        <v>0</v>
      </c>
      <c r="Z99" s="421">
        <f t="shared" si="614"/>
        <v>0</v>
      </c>
      <c r="AA99" s="421">
        <f t="shared" si="615"/>
        <v>0</v>
      </c>
      <c r="AB99" s="421">
        <f t="shared" si="616"/>
        <v>0</v>
      </c>
      <c r="AC99" s="421">
        <f t="shared" si="617"/>
        <v>0</v>
      </c>
      <c r="AD99" s="421">
        <f t="shared" si="618"/>
        <v>0</v>
      </c>
      <c r="AE99" s="421">
        <f t="shared" si="619"/>
        <v>0</v>
      </c>
      <c r="AF99" s="421">
        <f t="shared" si="620"/>
        <v>0</v>
      </c>
      <c r="AG99" s="421">
        <f t="shared" si="621"/>
        <v>0</v>
      </c>
      <c r="AH99" s="421">
        <f t="shared" si="622"/>
        <v>0</v>
      </c>
      <c r="AI99" s="421">
        <f t="shared" si="623"/>
        <v>0</v>
      </c>
      <c r="AJ99" s="421">
        <f t="shared" si="624"/>
        <v>0</v>
      </c>
      <c r="AK99" s="421">
        <f t="shared" si="625"/>
        <v>0</v>
      </c>
      <c r="AL99" s="421">
        <f t="shared" si="626"/>
        <v>0</v>
      </c>
      <c r="AM99" s="421">
        <f t="shared" si="627"/>
        <v>0</v>
      </c>
      <c r="AN99" s="421">
        <f t="shared" si="628"/>
        <v>0</v>
      </c>
      <c r="AO99" s="421">
        <f t="shared" si="629"/>
        <v>0</v>
      </c>
      <c r="AP99" s="421">
        <f t="shared" si="630"/>
        <v>0</v>
      </c>
      <c r="AQ99" s="421">
        <f t="shared" si="631"/>
        <v>158333.33333333334</v>
      </c>
      <c r="AR99" s="421">
        <f t="shared" si="632"/>
        <v>158333.33333333334</v>
      </c>
      <c r="AS99" s="421">
        <f t="shared" si="633"/>
        <v>158333.33333333334</v>
      </c>
      <c r="AT99" s="421">
        <f t="shared" si="634"/>
        <v>158333.33333333334</v>
      </c>
      <c r="AU99" s="421">
        <f t="shared" si="635"/>
        <v>158333.33333333334</v>
      </c>
      <c r="AV99" s="421">
        <f t="shared" si="636"/>
        <v>158333.33333333334</v>
      </c>
      <c r="AW99" s="421">
        <f t="shared" si="637"/>
        <v>158333.33333333334</v>
      </c>
      <c r="AX99" s="421">
        <f t="shared" si="638"/>
        <v>158333.33333333334</v>
      </c>
      <c r="AY99" s="421">
        <f t="shared" si="639"/>
        <v>158333.33333333334</v>
      </c>
      <c r="AZ99" s="421">
        <f t="shared" si="640"/>
        <v>158333.33333333334</v>
      </c>
      <c r="BA99" s="421">
        <f t="shared" si="641"/>
        <v>158333.33333333334</v>
      </c>
      <c r="BB99" s="421">
        <f t="shared" si="642"/>
        <v>158333.33333333334</v>
      </c>
      <c r="BC99" s="421">
        <f t="shared" si="643"/>
        <v>163875</v>
      </c>
      <c r="BD99" s="421">
        <f t="shared" si="644"/>
        <v>163875</v>
      </c>
      <c r="BE99" s="421">
        <f t="shared" si="645"/>
        <v>163875</v>
      </c>
      <c r="BF99" s="421">
        <f t="shared" si="646"/>
        <v>163875</v>
      </c>
      <c r="BG99" s="421">
        <f t="shared" si="647"/>
        <v>163875</v>
      </c>
      <c r="BH99" s="421">
        <f t="shared" si="648"/>
        <v>163875</v>
      </c>
      <c r="BI99" s="421">
        <f t="shared" si="649"/>
        <v>163875</v>
      </c>
      <c r="BJ99" s="421">
        <f t="shared" si="650"/>
        <v>163875</v>
      </c>
      <c r="BK99" s="421">
        <f t="shared" si="651"/>
        <v>163875</v>
      </c>
      <c r="BL99" s="421">
        <f t="shared" si="652"/>
        <v>163875</v>
      </c>
      <c r="BM99" s="421">
        <f t="shared" si="653"/>
        <v>163875</v>
      </c>
      <c r="BN99" s="421">
        <f t="shared" si="654"/>
        <v>163875</v>
      </c>
      <c r="BO99" s="421">
        <f t="shared" si="655"/>
        <v>169610.625</v>
      </c>
      <c r="BP99" s="421">
        <f t="shared" si="656"/>
        <v>169610.625</v>
      </c>
      <c r="BQ99" s="421">
        <f t="shared" si="657"/>
        <v>169610.625</v>
      </c>
      <c r="BR99" s="421">
        <f t="shared" si="658"/>
        <v>169610.625</v>
      </c>
      <c r="BS99" s="421">
        <f t="shared" si="659"/>
        <v>169610.625</v>
      </c>
      <c r="BT99" s="421">
        <f t="shared" si="660"/>
        <v>169610.625</v>
      </c>
      <c r="BU99" s="421">
        <f t="shared" si="661"/>
        <v>169610.625</v>
      </c>
      <c r="BV99" s="421">
        <f t="shared" si="662"/>
        <v>169610.625</v>
      </c>
      <c r="BW99" s="421">
        <f t="shared" si="663"/>
        <v>169610.625</v>
      </c>
      <c r="BX99" s="421">
        <f t="shared" si="664"/>
        <v>169610.625</v>
      </c>
      <c r="BY99" s="421">
        <f t="shared" si="665"/>
        <v>169610.625</v>
      </c>
      <c r="BZ99" s="421">
        <f t="shared" si="666"/>
        <v>169610.625</v>
      </c>
      <c r="CA99" s="421">
        <f t="shared" si="667"/>
        <v>175546.99687499998</v>
      </c>
      <c r="CB99" s="421">
        <f t="shared" si="668"/>
        <v>175546.99687499998</v>
      </c>
      <c r="CC99" s="421">
        <f t="shared" si="669"/>
        <v>175546.99687499998</v>
      </c>
      <c r="CD99" s="421">
        <f t="shared" si="670"/>
        <v>175546.99687499998</v>
      </c>
      <c r="CE99" s="421">
        <f t="shared" si="671"/>
        <v>175546.99687499998</v>
      </c>
      <c r="CF99" s="421">
        <f t="shared" si="672"/>
        <v>175546.99687499998</v>
      </c>
      <c r="CG99" s="421">
        <f t="shared" si="673"/>
        <v>175546.99687499998</v>
      </c>
      <c r="CH99" s="421">
        <f t="shared" si="674"/>
        <v>175546.99687499998</v>
      </c>
      <c r="CI99" s="421">
        <f t="shared" si="675"/>
        <v>175546.99687499998</v>
      </c>
      <c r="CJ99" s="421">
        <f t="shared" si="676"/>
        <v>175546.99687499998</v>
      </c>
      <c r="CK99" s="421">
        <f t="shared" si="677"/>
        <v>175546.99687499998</v>
      </c>
      <c r="CL99" s="421">
        <f t="shared" si="678"/>
        <v>175546.99687499998</v>
      </c>
      <c r="CM99" s="421">
        <f t="shared" si="679"/>
        <v>181691.14176562495</v>
      </c>
      <c r="CN99" s="421">
        <f t="shared" si="680"/>
        <v>181691.14176562495</v>
      </c>
      <c r="CO99" s="421">
        <f t="shared" si="681"/>
        <v>181691.14176562495</v>
      </c>
      <c r="CP99" s="421">
        <f t="shared" si="682"/>
        <v>181691.14176562495</v>
      </c>
      <c r="CQ99" s="421">
        <f t="shared" si="683"/>
        <v>181691.14176562495</v>
      </c>
      <c r="CR99" s="421">
        <f t="shared" si="684"/>
        <v>181691.14176562495</v>
      </c>
      <c r="CS99" s="421">
        <f t="shared" si="685"/>
        <v>181691.14176562495</v>
      </c>
      <c r="CT99" s="421">
        <f t="shared" si="686"/>
        <v>181691.14176562495</v>
      </c>
      <c r="CU99" s="421">
        <f t="shared" si="687"/>
        <v>181691.14176562495</v>
      </c>
      <c r="CV99" s="421">
        <f t="shared" si="688"/>
        <v>181691.14176562495</v>
      </c>
      <c r="CW99" s="421">
        <f t="shared" si="689"/>
        <v>181691.14176562495</v>
      </c>
      <c r="CX99" s="421">
        <f t="shared" si="690"/>
        <v>181691.14176562495</v>
      </c>
      <c r="CY99" s="421">
        <f t="shared" si="691"/>
        <v>188050.33172742181</v>
      </c>
      <c r="CZ99" s="421">
        <f t="shared" si="692"/>
        <v>188050.33172742181</v>
      </c>
      <c r="DA99" s="421">
        <f t="shared" si="693"/>
        <v>188050.33172742181</v>
      </c>
      <c r="DB99" s="421">
        <f t="shared" si="694"/>
        <v>188050.33172742181</v>
      </c>
      <c r="DC99" s="421">
        <f t="shared" si="695"/>
        <v>188050.33172742181</v>
      </c>
      <c r="DD99" s="421">
        <f t="shared" si="696"/>
        <v>188050.33172742181</v>
      </c>
      <c r="DE99" s="421">
        <f t="shared" si="697"/>
        <v>188050.33172742181</v>
      </c>
      <c r="DF99" s="421">
        <f t="shared" si="698"/>
        <v>188050.33172742181</v>
      </c>
      <c r="DG99" s="421">
        <f t="shared" si="699"/>
        <v>188050.33172742181</v>
      </c>
      <c r="DH99" s="421">
        <f t="shared" si="700"/>
        <v>188050.33172742181</v>
      </c>
      <c r="DI99" s="421">
        <f t="shared" si="701"/>
        <v>188050.33172742181</v>
      </c>
      <c r="DJ99" s="421">
        <f t="shared" si="702"/>
        <v>188050.33172742181</v>
      </c>
      <c r="DK99" s="421">
        <f t="shared" si="703"/>
        <v>194632.09333788158</v>
      </c>
      <c r="DL99" s="421">
        <f t="shared" si="704"/>
        <v>194632.09333788158</v>
      </c>
      <c r="DM99" s="421">
        <f t="shared" si="705"/>
        <v>194632.09333788158</v>
      </c>
      <c r="DN99" s="421">
        <f t="shared" si="706"/>
        <v>194632.09333788158</v>
      </c>
      <c r="DO99" s="421">
        <f t="shared" si="707"/>
        <v>194632.09333788158</v>
      </c>
      <c r="DP99" s="421">
        <f t="shared" si="708"/>
        <v>194632.09333788158</v>
      </c>
      <c r="DQ99" s="421">
        <f t="shared" si="709"/>
        <v>194632.09333788158</v>
      </c>
      <c r="DR99" s="421">
        <f t="shared" si="710"/>
        <v>194632.09333788158</v>
      </c>
      <c r="DS99" s="421">
        <f t="shared" si="711"/>
        <v>194632.09333788158</v>
      </c>
      <c r="DT99" s="421">
        <f t="shared" si="712"/>
        <v>194632.09333788158</v>
      </c>
      <c r="DU99" s="421">
        <f t="shared" si="713"/>
        <v>194632.09333788158</v>
      </c>
      <c r="DV99" s="421">
        <f t="shared" si="714"/>
        <v>194632.09333788158</v>
      </c>
      <c r="DW99" s="421">
        <f t="shared" si="715"/>
        <v>201444.21660470741</v>
      </c>
      <c r="DX99" s="421">
        <f t="shared" si="716"/>
        <v>201444.21660470741</v>
      </c>
      <c r="DY99" s="421">
        <f t="shared" si="717"/>
        <v>201444.21660470741</v>
      </c>
      <c r="DZ99" s="421">
        <f t="shared" si="718"/>
        <v>201444.21660470741</v>
      </c>
      <c r="EA99" s="421">
        <f t="shared" si="719"/>
        <v>201444.21660470741</v>
      </c>
      <c r="EB99" s="421">
        <f t="shared" si="720"/>
        <v>201444.21660470741</v>
      </c>
      <c r="EC99" s="421">
        <f t="shared" si="721"/>
        <v>201444.21660470741</v>
      </c>
      <c r="ED99" s="421">
        <f t="shared" si="722"/>
        <v>201444.21660470741</v>
      </c>
      <c r="EE99" s="421">
        <f t="shared" si="723"/>
        <v>201444.21660470741</v>
      </c>
      <c r="EF99" s="421">
        <f t="shared" si="724"/>
        <v>201444.21660470741</v>
      </c>
      <c r="EG99" s="421">
        <f t="shared" si="725"/>
        <v>201444.21660470741</v>
      </c>
      <c r="EH99" s="421">
        <f t="shared" si="726"/>
        <v>201444.21660470741</v>
      </c>
      <c r="EI99" s="421">
        <f t="shared" si="727"/>
        <v>208494.76418587213</v>
      </c>
      <c r="EJ99" s="421">
        <f t="shared" si="728"/>
        <v>208494.76418587213</v>
      </c>
      <c r="EK99" s="421">
        <f t="shared" si="729"/>
        <v>208494.76418587213</v>
      </c>
      <c r="EL99" s="421">
        <f t="shared" si="730"/>
        <v>208494.76418587213</v>
      </c>
      <c r="EM99" s="421">
        <f t="shared" si="731"/>
        <v>208494.76418587213</v>
      </c>
      <c r="EN99" s="421">
        <f t="shared" si="732"/>
        <v>208494.76418587213</v>
      </c>
      <c r="EP99" s="220" t="str">
        <f t="shared" si="750"/>
        <v>Snowtunnel</v>
      </c>
      <c r="EQ99" s="20">
        <f t="shared" si="751"/>
        <v>3800</v>
      </c>
      <c r="ER99" s="198">
        <f t="shared" si="752"/>
        <v>28</v>
      </c>
      <c r="ES99" s="18"/>
      <c r="ET99" s="18"/>
      <c r="EU99" s="18"/>
      <c r="EV99" s="422">
        <f t="shared" si="753"/>
        <v>0</v>
      </c>
      <c r="EW99" s="422">
        <f t="shared" si="753"/>
        <v>0</v>
      </c>
      <c r="EX99" s="422">
        <f t="shared" si="753"/>
        <v>0</v>
      </c>
      <c r="EY99" s="422">
        <f t="shared" si="753"/>
        <v>0</v>
      </c>
      <c r="EZ99" s="422">
        <f t="shared" si="753"/>
        <v>0</v>
      </c>
      <c r="FA99" s="422">
        <f t="shared" si="753"/>
        <v>0</v>
      </c>
      <c r="FB99" s="422">
        <f t="shared" si="753"/>
        <v>0</v>
      </c>
      <c r="FC99" s="422">
        <f t="shared" si="753"/>
        <v>0</v>
      </c>
      <c r="FD99" s="422">
        <f t="shared" si="753"/>
        <v>0</v>
      </c>
      <c r="FE99" s="422">
        <f t="shared" si="753"/>
        <v>0</v>
      </c>
      <c r="FF99" s="422">
        <f t="shared" si="753"/>
        <v>0</v>
      </c>
      <c r="FG99" s="422">
        <f t="shared" si="753"/>
        <v>0</v>
      </c>
      <c r="FH99" s="422">
        <f t="shared" si="753"/>
        <v>0</v>
      </c>
      <c r="FI99" s="422">
        <f t="shared" si="753"/>
        <v>0</v>
      </c>
      <c r="FJ99" s="422">
        <f t="shared" si="753"/>
        <v>0</v>
      </c>
      <c r="FK99" s="422">
        <f t="shared" si="753"/>
        <v>0</v>
      </c>
      <c r="FL99" s="422">
        <f t="shared" si="760"/>
        <v>0</v>
      </c>
      <c r="FM99" s="422">
        <f t="shared" si="760"/>
        <v>0</v>
      </c>
      <c r="FN99" s="422">
        <f t="shared" si="760"/>
        <v>0</v>
      </c>
      <c r="FO99" s="422">
        <f t="shared" si="760"/>
        <v>0</v>
      </c>
      <c r="FP99" s="422">
        <f t="shared" si="760"/>
        <v>0</v>
      </c>
      <c r="FQ99" s="422">
        <f t="shared" si="760"/>
        <v>0</v>
      </c>
      <c r="FR99" s="422">
        <f t="shared" si="760"/>
        <v>0</v>
      </c>
      <c r="FS99" s="422">
        <f t="shared" si="760"/>
        <v>0</v>
      </c>
      <c r="FT99" s="422">
        <f t="shared" si="760"/>
        <v>0</v>
      </c>
      <c r="FU99" s="422">
        <f t="shared" si="760"/>
        <v>0</v>
      </c>
      <c r="FV99" s="422">
        <f t="shared" si="760"/>
        <v>0</v>
      </c>
      <c r="FW99" s="422">
        <f t="shared" si="760"/>
        <v>0</v>
      </c>
      <c r="FX99" s="422">
        <f t="shared" si="760"/>
        <v>3800</v>
      </c>
      <c r="FY99" s="422">
        <f t="shared" si="760"/>
        <v>3800</v>
      </c>
      <c r="FZ99" s="422">
        <f t="shared" si="760"/>
        <v>3800</v>
      </c>
      <c r="GA99" s="422">
        <f t="shared" si="760"/>
        <v>3800</v>
      </c>
      <c r="GB99" s="422">
        <f t="shared" si="760"/>
        <v>3800</v>
      </c>
      <c r="GC99" s="422">
        <f t="shared" si="760"/>
        <v>3800</v>
      </c>
      <c r="GD99" s="422">
        <f t="shared" si="760"/>
        <v>3800</v>
      </c>
      <c r="GE99" s="422">
        <f t="shared" si="760"/>
        <v>3800</v>
      </c>
      <c r="GF99" s="422">
        <f t="shared" si="760"/>
        <v>3800</v>
      </c>
      <c r="GG99" s="422">
        <f t="shared" si="760"/>
        <v>3800</v>
      </c>
      <c r="GH99" s="422">
        <f t="shared" si="760"/>
        <v>3800</v>
      </c>
      <c r="GI99" s="422">
        <f t="shared" si="760"/>
        <v>3800</v>
      </c>
      <c r="GJ99" s="422">
        <f t="shared" si="760"/>
        <v>3800</v>
      </c>
      <c r="GK99" s="422">
        <f t="shared" si="760"/>
        <v>3800</v>
      </c>
      <c r="GL99" s="422">
        <f t="shared" si="760"/>
        <v>3800</v>
      </c>
      <c r="GM99" s="422">
        <f t="shared" si="760"/>
        <v>3800</v>
      </c>
      <c r="GN99" s="422">
        <f t="shared" si="760"/>
        <v>3800</v>
      </c>
      <c r="GO99" s="422">
        <f t="shared" si="760"/>
        <v>3800</v>
      </c>
      <c r="GP99" s="422">
        <f t="shared" si="760"/>
        <v>3800</v>
      </c>
      <c r="GQ99" s="422">
        <f t="shared" si="760"/>
        <v>3800</v>
      </c>
      <c r="GR99" s="422">
        <f t="shared" si="760"/>
        <v>3800</v>
      </c>
      <c r="GS99" s="422">
        <f t="shared" si="760"/>
        <v>3800</v>
      </c>
      <c r="GT99" s="422">
        <f t="shared" si="760"/>
        <v>3800</v>
      </c>
      <c r="GU99" s="422">
        <f t="shared" si="760"/>
        <v>3800</v>
      </c>
      <c r="GV99" s="422">
        <f t="shared" si="760"/>
        <v>3800</v>
      </c>
      <c r="GW99" s="422">
        <f t="shared" si="760"/>
        <v>3800</v>
      </c>
      <c r="GX99" s="422">
        <f t="shared" si="760"/>
        <v>3800</v>
      </c>
      <c r="GY99" s="422">
        <f t="shared" si="760"/>
        <v>3800</v>
      </c>
      <c r="GZ99" s="422">
        <f t="shared" si="760"/>
        <v>3800</v>
      </c>
      <c r="HA99" s="422">
        <f t="shared" si="760"/>
        <v>3800</v>
      </c>
      <c r="HB99" s="422">
        <f t="shared" si="760"/>
        <v>3800</v>
      </c>
      <c r="HC99" s="422">
        <f t="shared" si="760"/>
        <v>3800</v>
      </c>
      <c r="HD99" s="422">
        <f t="shared" si="760"/>
        <v>3800</v>
      </c>
      <c r="HE99" s="422">
        <f t="shared" si="760"/>
        <v>3800</v>
      </c>
      <c r="HF99" s="422">
        <f t="shared" si="760"/>
        <v>3800</v>
      </c>
      <c r="HG99" s="422">
        <f t="shared" si="760"/>
        <v>3800</v>
      </c>
      <c r="HH99" s="422">
        <f t="shared" si="760"/>
        <v>3800</v>
      </c>
      <c r="HI99" s="422">
        <f t="shared" si="758"/>
        <v>3800</v>
      </c>
      <c r="HJ99" s="422">
        <f t="shared" si="758"/>
        <v>3800</v>
      </c>
      <c r="HK99" s="422">
        <f t="shared" si="758"/>
        <v>3800</v>
      </c>
      <c r="HL99" s="422">
        <f t="shared" si="758"/>
        <v>3800</v>
      </c>
      <c r="HM99" s="422">
        <f t="shared" si="758"/>
        <v>3800</v>
      </c>
      <c r="HN99" s="422">
        <f t="shared" si="758"/>
        <v>3800</v>
      </c>
      <c r="HO99" s="422">
        <f t="shared" si="758"/>
        <v>3800</v>
      </c>
      <c r="HP99" s="422">
        <f t="shared" si="758"/>
        <v>3800</v>
      </c>
      <c r="HQ99" s="422">
        <f t="shared" si="758"/>
        <v>3800</v>
      </c>
      <c r="HR99" s="422">
        <f t="shared" si="758"/>
        <v>3800</v>
      </c>
      <c r="HS99" s="422">
        <f t="shared" si="758"/>
        <v>3800</v>
      </c>
      <c r="HT99" s="422">
        <f t="shared" si="758"/>
        <v>3800</v>
      </c>
      <c r="HU99" s="422">
        <f t="shared" si="758"/>
        <v>3800</v>
      </c>
      <c r="HV99" s="422">
        <f t="shared" si="758"/>
        <v>3800</v>
      </c>
      <c r="HW99" s="422">
        <f t="shared" si="758"/>
        <v>3800</v>
      </c>
      <c r="HX99" s="422">
        <f t="shared" si="758"/>
        <v>3800</v>
      </c>
      <c r="HY99" s="422">
        <f t="shared" si="758"/>
        <v>3800</v>
      </c>
      <c r="HZ99" s="422">
        <f t="shared" si="758"/>
        <v>3800</v>
      </c>
      <c r="IA99" s="422">
        <f t="shared" si="758"/>
        <v>3800</v>
      </c>
      <c r="IB99" s="422">
        <f t="shared" si="758"/>
        <v>3800</v>
      </c>
      <c r="IC99" s="422">
        <f t="shared" si="758"/>
        <v>3800</v>
      </c>
      <c r="ID99" s="422">
        <f t="shared" si="758"/>
        <v>3800</v>
      </c>
      <c r="IE99" s="422">
        <f t="shared" si="758"/>
        <v>3800</v>
      </c>
      <c r="IF99" s="422">
        <f t="shared" si="758"/>
        <v>3800</v>
      </c>
      <c r="IG99" s="422">
        <f t="shared" si="758"/>
        <v>3800</v>
      </c>
      <c r="IH99" s="422">
        <f t="shared" si="758"/>
        <v>3800</v>
      </c>
      <c r="II99" s="422">
        <f t="shared" si="758"/>
        <v>3800</v>
      </c>
      <c r="IJ99" s="422">
        <f t="shared" si="758"/>
        <v>3800</v>
      </c>
      <c r="IK99" s="422">
        <f t="shared" si="758"/>
        <v>3800</v>
      </c>
      <c r="IL99" s="422">
        <f t="shared" si="758"/>
        <v>3800</v>
      </c>
      <c r="IM99" s="422">
        <f t="shared" si="758"/>
        <v>3800</v>
      </c>
      <c r="IN99" s="422">
        <f t="shared" si="758"/>
        <v>3800</v>
      </c>
      <c r="IO99" s="422">
        <f t="shared" si="758"/>
        <v>3800</v>
      </c>
      <c r="IP99" s="422">
        <f t="shared" si="758"/>
        <v>3800</v>
      </c>
      <c r="IQ99" s="422">
        <f t="shared" si="758"/>
        <v>3800</v>
      </c>
      <c r="IR99" s="422">
        <f t="shared" si="758"/>
        <v>3800</v>
      </c>
      <c r="IS99" s="422">
        <f t="shared" si="758"/>
        <v>3800</v>
      </c>
      <c r="IT99" s="422">
        <f t="shared" si="758"/>
        <v>3800</v>
      </c>
      <c r="IU99" s="422">
        <f t="shared" si="758"/>
        <v>3800</v>
      </c>
      <c r="IV99" s="422">
        <f t="shared" si="758"/>
        <v>3800</v>
      </c>
      <c r="IW99" s="422">
        <f t="shared" si="758"/>
        <v>3800</v>
      </c>
      <c r="IX99" s="422">
        <f t="shared" si="758"/>
        <v>3800</v>
      </c>
      <c r="IY99" s="422">
        <f t="shared" si="758"/>
        <v>3800</v>
      </c>
      <c r="IZ99" s="422">
        <f t="shared" si="758"/>
        <v>3800</v>
      </c>
      <c r="JA99" s="422">
        <f t="shared" si="758"/>
        <v>3800</v>
      </c>
      <c r="JB99" s="422">
        <f t="shared" si="758"/>
        <v>3800</v>
      </c>
      <c r="JC99" s="422">
        <f t="shared" si="758"/>
        <v>3800</v>
      </c>
      <c r="JD99" s="422">
        <f t="shared" si="758"/>
        <v>3800</v>
      </c>
      <c r="JE99" s="422">
        <f t="shared" si="758"/>
        <v>3800</v>
      </c>
      <c r="JF99" s="422">
        <f t="shared" si="758"/>
        <v>3800</v>
      </c>
      <c r="JG99" s="422">
        <f t="shared" si="758"/>
        <v>3800</v>
      </c>
      <c r="JH99" s="422">
        <f t="shared" si="758"/>
        <v>3800</v>
      </c>
      <c r="JI99" s="422">
        <f t="shared" si="758"/>
        <v>3800</v>
      </c>
      <c r="JJ99" s="422">
        <f t="shared" si="758"/>
        <v>3800</v>
      </c>
      <c r="JK99" s="422">
        <f t="shared" si="758"/>
        <v>3800</v>
      </c>
      <c r="JL99" s="422">
        <f t="shared" si="758"/>
        <v>3800</v>
      </c>
      <c r="JM99" s="422">
        <f t="shared" si="758"/>
        <v>3800</v>
      </c>
      <c r="JN99" s="422">
        <f t="shared" si="758"/>
        <v>3800</v>
      </c>
      <c r="JO99" s="422">
        <f t="shared" si="758"/>
        <v>3800</v>
      </c>
      <c r="JP99" s="422">
        <f t="shared" si="758"/>
        <v>3800</v>
      </c>
      <c r="JQ99" s="422">
        <f t="shared" si="758"/>
        <v>3800</v>
      </c>
      <c r="JR99" s="422">
        <f t="shared" si="758"/>
        <v>3800</v>
      </c>
      <c r="JS99" s="422">
        <f t="shared" si="758"/>
        <v>3800</v>
      </c>
      <c r="JT99" s="422" t="n">
        <f t="shared" ref="JT99" si="761">(JT$3&gt;=$ER99)*$EQ99</f>
        <v>3800</v>
      </c>
      <c r="JU99" s="422">
        <f t="shared" si="735"/>
        <v>3800</v>
      </c>
      <c r="JV99" s="422">
        <f t="shared" si="735"/>
        <v>3800</v>
      </c>
      <c r="JW99" s="422">
        <f t="shared" si="735"/>
        <v>3800</v>
      </c>
      <c r="JX99" s="422">
        <f t="shared" si="735"/>
        <v>3800</v>
      </c>
      <c r="JZ99" s="220" t="str">
        <f t="shared" si="754"/>
        <v>Snowtunnel</v>
      </c>
      <c r="KA99" s="422">
        <f t="shared" si="736"/>
        <v>1900000</v>
      </c>
      <c r="KB99" s="198">
        <f t="shared" si="737"/>
        <v>31</v>
      </c>
      <c r="KC99" s="207">
        <f t="shared" si="738"/>
        <v>3.5000000000000003E-2</v>
      </c>
      <c r="KD99" s="214" t="str">
        <f t="shared" si="596"/>
        <v>Annual</v>
      </c>
      <c r="KE99" s="474" t="n">
        <f>MATCH(KD99,Data!$G$24:$G$33,0)</f>
        <v>1</v>
      </c>
      <c r="KF99" s="264"/>
      <c r="KG99" s="475">
        <f t="shared" si="755"/>
        <v>0</v>
      </c>
      <c r="KH99" s="475">
        <f t="shared" si="739"/>
        <v>0</v>
      </c>
      <c r="KI99" s="475">
        <f t="shared" si="739"/>
        <v>0</v>
      </c>
      <c r="KJ99" s="475">
        <f t="shared" si="739"/>
        <v>0</v>
      </c>
      <c r="KK99" s="475">
        <f t="shared" si="739"/>
        <v>0</v>
      </c>
      <c r="KL99" s="475">
        <f t="shared" si="739"/>
        <v>0</v>
      </c>
      <c r="KM99" s="475">
        <f t="shared" si="739"/>
        <v>0</v>
      </c>
      <c r="KN99" s="475">
        <f t="shared" si="739"/>
        <v>0</v>
      </c>
      <c r="KO99" s="475">
        <f t="shared" si="739"/>
        <v>0</v>
      </c>
      <c r="KP99" s="475">
        <f t="shared" si="739"/>
        <v>0</v>
      </c>
      <c r="KQ99" s="475">
        <f t="shared" si="739"/>
        <v>0</v>
      </c>
      <c r="KR99" s="475">
        <f t="shared" si="739"/>
        <v>0</v>
      </c>
      <c r="KS99" s="475">
        <f t="shared" si="739"/>
        <v>0</v>
      </c>
      <c r="KT99" s="475">
        <f t="shared" si="739"/>
        <v>0</v>
      </c>
      <c r="KU99" s="475">
        <f t="shared" si="739"/>
        <v>0</v>
      </c>
      <c r="KV99" s="475">
        <f t="shared" si="739"/>
        <v>0</v>
      </c>
      <c r="KW99" s="475">
        <f t="shared" si="739"/>
        <v>0</v>
      </c>
      <c r="KX99" s="475">
        <f t="shared" si="740"/>
        <v>0</v>
      </c>
      <c r="KY99" s="475">
        <f t="shared" si="740"/>
        <v>0</v>
      </c>
      <c r="KZ99" s="475">
        <f t="shared" si="740"/>
        <v>0</v>
      </c>
      <c r="LA99" s="475">
        <f t="shared" si="740"/>
        <v>0</v>
      </c>
      <c r="LB99" s="475">
        <f t="shared" si="740"/>
        <v>0</v>
      </c>
      <c r="LC99" s="475">
        <f t="shared" si="740"/>
        <v>0</v>
      </c>
      <c r="LD99" s="475">
        <f t="shared" si="740"/>
        <v>0</v>
      </c>
      <c r="LE99" s="475">
        <f t="shared" si="740"/>
        <v>0</v>
      </c>
      <c r="LF99" s="475">
        <f t="shared" si="740"/>
        <v>0</v>
      </c>
      <c r="LG99" s="475">
        <f t="shared" si="740"/>
        <v>0</v>
      </c>
      <c r="LH99" s="475">
        <f t="shared" si="740"/>
        <v>0</v>
      </c>
      <c r="LI99" s="475">
        <f t="shared" si="740"/>
        <v>0</v>
      </c>
      <c r="LJ99" s="475">
        <f t="shared" si="740"/>
        <v>0</v>
      </c>
      <c r="LK99" s="475">
        <f t="shared" si="740"/>
        <v>158333.33333333334</v>
      </c>
      <c r="LL99" s="475">
        <f t="shared" si="740"/>
        <v>158333.33333333334</v>
      </c>
      <c r="LM99" s="475">
        <f t="shared" si="740"/>
        <v>158333.33333333334</v>
      </c>
      <c r="LN99" s="475">
        <f t="shared" si="741"/>
        <v>158333.33333333334</v>
      </c>
      <c r="LO99" s="475">
        <f t="shared" si="741"/>
        <v>158333.33333333334</v>
      </c>
      <c r="LP99" s="475">
        <f t="shared" si="741"/>
        <v>158333.33333333334</v>
      </c>
      <c r="LQ99" s="475">
        <f t="shared" si="741"/>
        <v>158333.33333333334</v>
      </c>
      <c r="LR99" s="475">
        <f t="shared" si="741"/>
        <v>158333.33333333334</v>
      </c>
      <c r="LS99" s="475">
        <f t="shared" si="741"/>
        <v>158333.33333333334</v>
      </c>
      <c r="LT99" s="475">
        <f t="shared" si="741"/>
        <v>158333.33333333334</v>
      </c>
      <c r="LU99" s="475">
        <f t="shared" si="741"/>
        <v>158333.33333333334</v>
      </c>
      <c r="LV99" s="475">
        <f t="shared" si="741"/>
        <v>158333.33333333334</v>
      </c>
      <c r="LW99" s="475">
        <f t="shared" si="741"/>
        <v>163875</v>
      </c>
      <c r="LX99" s="475">
        <f t="shared" si="741"/>
        <v>163875</v>
      </c>
      <c r="LY99" s="475">
        <f t="shared" si="741"/>
        <v>163875</v>
      </c>
      <c r="LZ99" s="475">
        <f t="shared" si="741"/>
        <v>163875</v>
      </c>
      <c r="MA99" s="475">
        <f t="shared" si="741"/>
        <v>163875</v>
      </c>
      <c r="MB99" s="475">
        <f t="shared" si="741"/>
        <v>163875</v>
      </c>
      <c r="MC99" s="475">
        <f t="shared" si="741"/>
        <v>163875</v>
      </c>
      <c r="MD99" s="475">
        <f t="shared" si="742"/>
        <v>163875</v>
      </c>
      <c r="ME99" s="475">
        <f t="shared" si="742"/>
        <v>163875</v>
      </c>
      <c r="MF99" s="475">
        <f t="shared" si="742"/>
        <v>163875</v>
      </c>
      <c r="MG99" s="475">
        <f t="shared" si="742"/>
        <v>163875</v>
      </c>
      <c r="MH99" s="475">
        <f t="shared" si="742"/>
        <v>163875</v>
      </c>
      <c r="MI99" s="475">
        <f t="shared" si="742"/>
        <v>169610.625</v>
      </c>
      <c r="MJ99" s="475">
        <f t="shared" si="742"/>
        <v>169610.625</v>
      </c>
      <c r="MK99" s="475">
        <f t="shared" si="742"/>
        <v>169610.625</v>
      </c>
      <c r="ML99" s="475">
        <f t="shared" si="742"/>
        <v>169610.625</v>
      </c>
      <c r="MM99" s="475">
        <f t="shared" si="742"/>
        <v>169610.625</v>
      </c>
      <c r="MN99" s="475">
        <f t="shared" si="742"/>
        <v>169610.625</v>
      </c>
      <c r="MO99" s="475">
        <f t="shared" si="742"/>
        <v>169610.625</v>
      </c>
      <c r="MP99" s="475">
        <f t="shared" si="742"/>
        <v>169610.625</v>
      </c>
      <c r="MQ99" s="475">
        <f t="shared" si="742"/>
        <v>169610.625</v>
      </c>
      <c r="MR99" s="475">
        <f t="shared" si="742"/>
        <v>169610.625</v>
      </c>
      <c r="MS99" s="475">
        <f t="shared" si="742"/>
        <v>169610.625</v>
      </c>
      <c r="MT99" s="475">
        <f t="shared" si="743"/>
        <v>169610.625</v>
      </c>
      <c r="MU99" s="475">
        <f t="shared" si="743"/>
        <v>175546.99687499998</v>
      </c>
      <c r="MV99" s="475">
        <f t="shared" si="743"/>
        <v>175546.99687499998</v>
      </c>
      <c r="MW99" s="475">
        <f t="shared" si="743"/>
        <v>175546.99687499998</v>
      </c>
      <c r="MX99" s="475">
        <f t="shared" si="743"/>
        <v>175546.99687499998</v>
      </c>
      <c r="MY99" s="475">
        <f t="shared" si="743"/>
        <v>175546.99687499998</v>
      </c>
      <c r="MZ99" s="475">
        <f t="shared" si="743"/>
        <v>175546.99687499998</v>
      </c>
      <c r="NA99" s="475">
        <f t="shared" si="743"/>
        <v>175546.99687499998</v>
      </c>
      <c r="NB99" s="475">
        <f t="shared" si="743"/>
        <v>175546.99687499998</v>
      </c>
      <c r="NC99" s="475">
        <f t="shared" si="743"/>
        <v>175546.99687499998</v>
      </c>
      <c r="ND99" s="475">
        <f t="shared" si="743"/>
        <v>175546.99687499998</v>
      </c>
      <c r="NE99" s="475">
        <f t="shared" si="743"/>
        <v>175546.99687499998</v>
      </c>
      <c r="NF99" s="475">
        <f t="shared" si="743"/>
        <v>175546.99687499998</v>
      </c>
      <c r="NG99" s="475">
        <f t="shared" si="743"/>
        <v>181691.14176562495</v>
      </c>
      <c r="NH99" s="475">
        <f t="shared" si="743"/>
        <v>181691.14176562495</v>
      </c>
      <c r="NI99" s="475">
        <f t="shared" si="743"/>
        <v>181691.14176562495</v>
      </c>
      <c r="NJ99" s="475">
        <f t="shared" si="744"/>
        <v>181691.14176562495</v>
      </c>
      <c r="NK99" s="475">
        <f t="shared" si="744"/>
        <v>181691.14176562495</v>
      </c>
      <c r="NL99" s="475">
        <f t="shared" si="744"/>
        <v>181691.14176562495</v>
      </c>
      <c r="NM99" s="475">
        <f t="shared" si="744"/>
        <v>181691.14176562495</v>
      </c>
      <c r="NN99" s="475">
        <f t="shared" si="744"/>
        <v>181691.14176562495</v>
      </c>
      <c r="NO99" s="475">
        <f t="shared" si="744"/>
        <v>181691.14176562495</v>
      </c>
      <c r="NP99" s="475">
        <f t="shared" si="744"/>
        <v>181691.14176562495</v>
      </c>
      <c r="NQ99" s="475">
        <f t="shared" si="744"/>
        <v>181691.14176562495</v>
      </c>
      <c r="NR99" s="475">
        <f t="shared" si="744"/>
        <v>181691.14176562495</v>
      </c>
      <c r="NS99" s="475">
        <f t="shared" si="744"/>
        <v>188050.33172742181</v>
      </c>
      <c r="NT99" s="475">
        <f t="shared" si="744"/>
        <v>188050.33172742181</v>
      </c>
      <c r="NU99" s="475">
        <f t="shared" si="744"/>
        <v>188050.33172742181</v>
      </c>
      <c r="NV99" s="475">
        <f t="shared" si="744"/>
        <v>188050.33172742181</v>
      </c>
      <c r="NW99" s="475">
        <f t="shared" si="744"/>
        <v>188050.33172742181</v>
      </c>
      <c r="NX99" s="475">
        <f t="shared" si="744"/>
        <v>188050.33172742181</v>
      </c>
      <c r="NY99" s="475">
        <f t="shared" si="744"/>
        <v>188050.33172742181</v>
      </c>
      <c r="NZ99" s="475">
        <f t="shared" si="745"/>
        <v>188050.33172742181</v>
      </c>
      <c r="OA99" s="475">
        <f t="shared" si="745"/>
        <v>188050.33172742181</v>
      </c>
      <c r="OB99" s="475">
        <f t="shared" si="745"/>
        <v>188050.33172742181</v>
      </c>
      <c r="OC99" s="475">
        <f t="shared" si="745"/>
        <v>188050.33172742181</v>
      </c>
      <c r="OD99" s="475">
        <f t="shared" si="745"/>
        <v>188050.33172742181</v>
      </c>
      <c r="OE99" s="475">
        <f t="shared" si="745"/>
        <v>194632.09333788158</v>
      </c>
      <c r="OF99" s="475">
        <f t="shared" si="745"/>
        <v>194632.09333788158</v>
      </c>
      <c r="OG99" s="475">
        <f t="shared" si="745"/>
        <v>194632.09333788158</v>
      </c>
      <c r="OH99" s="475">
        <f t="shared" si="745"/>
        <v>194632.09333788158</v>
      </c>
      <c r="OI99" s="475">
        <f t="shared" si="745"/>
        <v>194632.09333788158</v>
      </c>
      <c r="OJ99" s="475">
        <f t="shared" si="745"/>
        <v>194632.09333788158</v>
      </c>
      <c r="OK99" s="475">
        <f t="shared" si="745"/>
        <v>194632.09333788158</v>
      </c>
      <c r="OL99" s="475">
        <f t="shared" si="745"/>
        <v>194632.09333788158</v>
      </c>
      <c r="OM99" s="475">
        <f t="shared" si="745"/>
        <v>194632.09333788158</v>
      </c>
      <c r="ON99" s="475">
        <f t="shared" si="745"/>
        <v>194632.09333788158</v>
      </c>
      <c r="OO99" s="475">
        <f t="shared" si="745"/>
        <v>194632.09333788158</v>
      </c>
      <c r="OP99" s="475">
        <f t="shared" si="746"/>
        <v>194632.09333788158</v>
      </c>
      <c r="OQ99" s="475">
        <f t="shared" si="746"/>
        <v>201444.21660470741</v>
      </c>
      <c r="OR99" s="475">
        <f t="shared" si="746"/>
        <v>201444.21660470741</v>
      </c>
      <c r="OS99" s="475">
        <f t="shared" si="746"/>
        <v>201444.21660470741</v>
      </c>
      <c r="OT99" s="475">
        <f t="shared" si="746"/>
        <v>201444.21660470741</v>
      </c>
      <c r="OU99" s="475">
        <f t="shared" si="746"/>
        <v>201444.21660470741</v>
      </c>
      <c r="OV99" s="475">
        <f t="shared" si="746"/>
        <v>201444.21660470741</v>
      </c>
      <c r="OW99" s="475">
        <f t="shared" si="746"/>
        <v>201444.21660470741</v>
      </c>
      <c r="OX99" s="475">
        <f t="shared" si="746"/>
        <v>201444.21660470741</v>
      </c>
      <c r="OY99" s="475">
        <f t="shared" si="746"/>
        <v>201444.21660470741</v>
      </c>
      <c r="OZ99" s="475">
        <f t="shared" si="746"/>
        <v>201444.21660470741</v>
      </c>
      <c r="PA99" s="475">
        <f t="shared" si="746"/>
        <v>201444.21660470741</v>
      </c>
      <c r="PB99" s="475">
        <f t="shared" si="746"/>
        <v>201444.21660470741</v>
      </c>
      <c r="PC99" s="475">
        <f t="shared" si="746"/>
        <v>208494.76418587213</v>
      </c>
      <c r="PD99" s="475">
        <f t="shared" si="746"/>
        <v>208494.76418587213</v>
      </c>
      <c r="PE99" s="475">
        <f t="shared" si="746"/>
        <v>208494.76418587213</v>
      </c>
      <c r="PF99" s="475">
        <f t="shared" si="747"/>
        <v>208494.76418587213</v>
      </c>
      <c r="PG99" s="475">
        <f t="shared" si="747"/>
        <v>208494.76418587213</v>
      </c>
      <c r="PH99" s="475">
        <f t="shared" si="747"/>
        <v>208494.76418587213</v>
      </c>
    </row>
    <row r="100">
      <c r="B100" s="473" t="s">
        <v>249</v>
      </c>
      <c r="C100" s="473" t="s">
        <v>250</v>
      </c>
      <c r="D100" s="46">
        <v>31</v>
      </c>
      <c r="E100" s="420" t="n">
        <f>PROJECTS!$AP$27</f>
        <v>2000</v>
      </c>
      <c r="F100" s="46">
        <f t="shared" si="748"/>
        <v>34</v>
      </c>
      <c r="G100" s="44" t="n">
        <f>PROJECTS!$AP$68</f>
        <v>0.035</v>
      </c>
      <c r="H100" s="144" t="n">
        <f>PROJECTS!$AP$76</f>
        <v>500</v>
      </c>
      <c r="I100" s="428">
        <f t="shared" si="601"/>
        <v>1000000</v>
      </c>
      <c r="K100" s="290" t="s">
        <v>239</v>
      </c>
      <c r="L100" s="76"/>
      <c r="M100" s="421">
        <f t="shared" si="749"/>
        <v>0</v>
      </c>
      <c r="N100" s="421">
        <f t="shared" si="602"/>
        <v>0</v>
      </c>
      <c r="O100" s="421">
        <f t="shared" si="603"/>
        <v>0</v>
      </c>
      <c r="P100" s="421">
        <f t="shared" si="604"/>
        <v>0</v>
      </c>
      <c r="Q100" s="421">
        <f t="shared" si="605"/>
        <v>0</v>
      </c>
      <c r="R100" s="421">
        <f t="shared" si="606"/>
        <v>0</v>
      </c>
      <c r="S100" s="421">
        <f t="shared" si="607"/>
        <v>0</v>
      </c>
      <c r="T100" s="421">
        <f t="shared" si="608"/>
        <v>0</v>
      </c>
      <c r="U100" s="421">
        <f t="shared" si="609"/>
        <v>0</v>
      </c>
      <c r="V100" s="421">
        <f t="shared" si="610"/>
        <v>0</v>
      </c>
      <c r="W100" s="421">
        <f t="shared" si="611"/>
        <v>0</v>
      </c>
      <c r="X100" s="421">
        <f t="shared" si="612"/>
        <v>0</v>
      </c>
      <c r="Y100" s="421">
        <f t="shared" si="613"/>
        <v>0</v>
      </c>
      <c r="Z100" s="421">
        <f t="shared" si="614"/>
        <v>0</v>
      </c>
      <c r="AA100" s="421">
        <f t="shared" si="615"/>
        <v>0</v>
      </c>
      <c r="AB100" s="421">
        <f t="shared" si="616"/>
        <v>0</v>
      </c>
      <c r="AC100" s="421">
        <f t="shared" si="617"/>
        <v>0</v>
      </c>
      <c r="AD100" s="421">
        <f t="shared" si="618"/>
        <v>0</v>
      </c>
      <c r="AE100" s="421">
        <f t="shared" si="619"/>
        <v>0</v>
      </c>
      <c r="AF100" s="421">
        <f t="shared" si="620"/>
        <v>0</v>
      </c>
      <c r="AG100" s="421">
        <f t="shared" si="621"/>
        <v>0</v>
      </c>
      <c r="AH100" s="421">
        <f t="shared" si="622"/>
        <v>0</v>
      </c>
      <c r="AI100" s="421">
        <f t="shared" si="623"/>
        <v>0</v>
      </c>
      <c r="AJ100" s="421">
        <f t="shared" si="624"/>
        <v>0</v>
      </c>
      <c r="AK100" s="421">
        <f t="shared" si="625"/>
        <v>0</v>
      </c>
      <c r="AL100" s="421">
        <f t="shared" si="626"/>
        <v>0</v>
      </c>
      <c r="AM100" s="421">
        <f t="shared" si="627"/>
        <v>0</v>
      </c>
      <c r="AN100" s="421">
        <f t="shared" si="628"/>
        <v>0</v>
      </c>
      <c r="AO100" s="421">
        <f t="shared" si="629"/>
        <v>0</v>
      </c>
      <c r="AP100" s="421">
        <f t="shared" si="630"/>
        <v>0</v>
      </c>
      <c r="AQ100" s="421">
        <f t="shared" si="631"/>
        <v>0</v>
      </c>
      <c r="AR100" s="421">
        <f t="shared" si="632"/>
        <v>0</v>
      </c>
      <c r="AS100" s="421">
        <f t="shared" si="633"/>
        <v>0</v>
      </c>
      <c r="AT100" s="421">
        <f t="shared" si="634"/>
        <v>83333.333333333328</v>
      </c>
      <c r="AU100" s="421">
        <f t="shared" si="635"/>
        <v>83333.333333333328</v>
      </c>
      <c r="AV100" s="421">
        <f t="shared" si="636"/>
        <v>83333.333333333328</v>
      </c>
      <c r="AW100" s="421">
        <f t="shared" si="637"/>
        <v>83333.333333333328</v>
      </c>
      <c r="AX100" s="421">
        <f t="shared" si="638"/>
        <v>83333.333333333328</v>
      </c>
      <c r="AY100" s="421">
        <f t="shared" si="639"/>
        <v>83333.333333333328</v>
      </c>
      <c r="AZ100" s="421">
        <f t="shared" si="640"/>
        <v>83333.333333333328</v>
      </c>
      <c r="BA100" s="421">
        <f t="shared" si="641"/>
        <v>83333.333333333328</v>
      </c>
      <c r="BB100" s="421">
        <f t="shared" si="642"/>
        <v>83333.333333333328</v>
      </c>
      <c r="BC100" s="421">
        <f t="shared" si="643"/>
        <v>83333.333333333328</v>
      </c>
      <c r="BD100" s="421">
        <f t="shared" si="644"/>
        <v>83333.333333333328</v>
      </c>
      <c r="BE100" s="421">
        <f t="shared" si="645"/>
        <v>83333.333333333328</v>
      </c>
      <c r="BF100" s="421">
        <f t="shared" si="646"/>
        <v>86249.999999999985</v>
      </c>
      <c r="BG100" s="421">
        <f t="shared" si="647"/>
        <v>86249.999999999985</v>
      </c>
      <c r="BH100" s="421">
        <f t="shared" si="648"/>
        <v>86249.999999999985</v>
      </c>
      <c r="BI100" s="421">
        <f t="shared" si="649"/>
        <v>86249.999999999985</v>
      </c>
      <c r="BJ100" s="421">
        <f t="shared" si="650"/>
        <v>86249.999999999985</v>
      </c>
      <c r="BK100" s="421">
        <f t="shared" si="651"/>
        <v>86249.999999999985</v>
      </c>
      <c r="BL100" s="421">
        <f t="shared" si="652"/>
        <v>86249.999999999985</v>
      </c>
      <c r="BM100" s="421">
        <f t="shared" si="653"/>
        <v>86249.999999999985</v>
      </c>
      <c r="BN100" s="421">
        <f t="shared" si="654"/>
        <v>86249.999999999985</v>
      </c>
      <c r="BO100" s="421">
        <f t="shared" si="655"/>
        <v>86249.999999999985</v>
      </c>
      <c r="BP100" s="421">
        <f t="shared" si="656"/>
        <v>86249.999999999985</v>
      </c>
      <c r="BQ100" s="421">
        <f t="shared" si="657"/>
        <v>86249.999999999985</v>
      </c>
      <c r="BR100" s="421">
        <f t="shared" si="658"/>
        <v>89268.749999999985</v>
      </c>
      <c r="BS100" s="421">
        <f t="shared" si="659"/>
        <v>89268.749999999985</v>
      </c>
      <c r="BT100" s="421">
        <f t="shared" si="660"/>
        <v>89268.749999999985</v>
      </c>
      <c r="BU100" s="421">
        <f t="shared" si="661"/>
        <v>89268.749999999985</v>
      </c>
      <c r="BV100" s="421">
        <f t="shared" si="662"/>
        <v>89268.749999999985</v>
      </c>
      <c r="BW100" s="421">
        <f t="shared" si="663"/>
        <v>89268.749999999985</v>
      </c>
      <c r="BX100" s="421">
        <f t="shared" si="664"/>
        <v>89268.749999999985</v>
      </c>
      <c r="BY100" s="421">
        <f t="shared" si="665"/>
        <v>89268.749999999985</v>
      </c>
      <c r="BZ100" s="421">
        <f t="shared" si="666"/>
        <v>89268.749999999985</v>
      </c>
      <c r="CA100" s="421">
        <f t="shared" si="667"/>
        <v>89268.749999999985</v>
      </c>
      <c r="CB100" s="421">
        <f t="shared" si="668"/>
        <v>89268.749999999985</v>
      </c>
      <c r="CC100" s="421">
        <f t="shared" si="669"/>
        <v>89268.749999999985</v>
      </c>
      <c r="CD100" s="421">
        <f t="shared" si="670"/>
        <v>92393.156249999971</v>
      </c>
      <c r="CE100" s="421">
        <f t="shared" si="671"/>
        <v>92393.156249999971</v>
      </c>
      <c r="CF100" s="421">
        <f t="shared" si="672"/>
        <v>92393.156249999971</v>
      </c>
      <c r="CG100" s="421">
        <f t="shared" si="673"/>
        <v>92393.156249999971</v>
      </c>
      <c r="CH100" s="421">
        <f t="shared" si="674"/>
        <v>92393.156249999971</v>
      </c>
      <c r="CI100" s="421">
        <f t="shared" si="675"/>
        <v>92393.156249999971</v>
      </c>
      <c r="CJ100" s="421">
        <f t="shared" si="676"/>
        <v>92393.156249999971</v>
      </c>
      <c r="CK100" s="421">
        <f t="shared" si="677"/>
        <v>92393.156249999971</v>
      </c>
      <c r="CL100" s="421">
        <f t="shared" si="678"/>
        <v>92393.156249999971</v>
      </c>
      <c r="CM100" s="421">
        <f t="shared" si="679"/>
        <v>92393.156249999971</v>
      </c>
      <c r="CN100" s="421">
        <f t="shared" si="680"/>
        <v>92393.156249999971</v>
      </c>
      <c r="CO100" s="421">
        <f t="shared" si="681"/>
        <v>92393.156249999971</v>
      </c>
      <c r="CP100" s="421">
        <f t="shared" si="682"/>
        <v>95626.91671874997</v>
      </c>
      <c r="CQ100" s="421">
        <f t="shared" si="683"/>
        <v>95626.91671874997</v>
      </c>
      <c r="CR100" s="421">
        <f t="shared" si="684"/>
        <v>95626.91671874997</v>
      </c>
      <c r="CS100" s="421">
        <f t="shared" si="685"/>
        <v>95626.91671874997</v>
      </c>
      <c r="CT100" s="421">
        <f t="shared" si="686"/>
        <v>95626.91671874997</v>
      </c>
      <c r="CU100" s="421">
        <f t="shared" si="687"/>
        <v>95626.91671874997</v>
      </c>
      <c r="CV100" s="421">
        <f t="shared" si="688"/>
        <v>95626.91671874997</v>
      </c>
      <c r="CW100" s="421">
        <f t="shared" si="689"/>
        <v>95626.91671874997</v>
      </c>
      <c r="CX100" s="421">
        <f t="shared" si="690"/>
        <v>95626.91671874997</v>
      </c>
      <c r="CY100" s="421">
        <f t="shared" si="691"/>
        <v>95626.91671874997</v>
      </c>
      <c r="CZ100" s="421">
        <f t="shared" si="692"/>
        <v>95626.91671874997</v>
      </c>
      <c r="DA100" s="421">
        <f t="shared" si="693"/>
        <v>95626.91671874997</v>
      </c>
      <c r="DB100" s="421">
        <f t="shared" si="694"/>
        <v>98973.858803906202</v>
      </c>
      <c r="DC100" s="421">
        <f t="shared" si="695"/>
        <v>98973.858803906202</v>
      </c>
      <c r="DD100" s="421">
        <f t="shared" si="696"/>
        <v>98973.858803906202</v>
      </c>
      <c r="DE100" s="421">
        <f t="shared" si="697"/>
        <v>98973.858803906202</v>
      </c>
      <c r="DF100" s="421">
        <f t="shared" si="698"/>
        <v>98973.858803906202</v>
      </c>
      <c r="DG100" s="421">
        <f t="shared" si="699"/>
        <v>98973.858803906202</v>
      </c>
      <c r="DH100" s="421">
        <f t="shared" si="700"/>
        <v>98973.858803906202</v>
      </c>
      <c r="DI100" s="421">
        <f t="shared" si="701"/>
        <v>98973.858803906202</v>
      </c>
      <c r="DJ100" s="421">
        <f t="shared" si="702"/>
        <v>98973.858803906202</v>
      </c>
      <c r="DK100" s="421">
        <f t="shared" si="703"/>
        <v>98973.858803906202</v>
      </c>
      <c r="DL100" s="421">
        <f t="shared" si="704"/>
        <v>98973.858803906202</v>
      </c>
      <c r="DM100" s="421">
        <f t="shared" si="705"/>
        <v>98973.858803906202</v>
      </c>
      <c r="DN100" s="421">
        <f t="shared" si="706"/>
        <v>102437.94386204293</v>
      </c>
      <c r="DO100" s="421">
        <f t="shared" si="707"/>
        <v>102437.94386204293</v>
      </c>
      <c r="DP100" s="421">
        <f t="shared" si="708"/>
        <v>102437.94386204293</v>
      </c>
      <c r="DQ100" s="421">
        <f t="shared" si="709"/>
        <v>102437.94386204293</v>
      </c>
      <c r="DR100" s="421">
        <f t="shared" si="710"/>
        <v>102437.94386204293</v>
      </c>
      <c r="DS100" s="421">
        <f t="shared" si="711"/>
        <v>102437.94386204293</v>
      </c>
      <c r="DT100" s="421">
        <f t="shared" si="712"/>
        <v>102437.94386204293</v>
      </c>
      <c r="DU100" s="421">
        <f t="shared" si="713"/>
        <v>102437.94386204293</v>
      </c>
      <c r="DV100" s="421">
        <f t="shared" si="714"/>
        <v>102437.94386204293</v>
      </c>
      <c r="DW100" s="421">
        <f t="shared" si="715"/>
        <v>102437.94386204293</v>
      </c>
      <c r="DX100" s="421">
        <f t="shared" si="716"/>
        <v>102437.94386204293</v>
      </c>
      <c r="DY100" s="421">
        <f t="shared" si="717"/>
        <v>102437.94386204293</v>
      </c>
      <c r="DZ100" s="421">
        <f t="shared" si="718"/>
        <v>106023.27189721442</v>
      </c>
      <c r="EA100" s="421">
        <f t="shared" si="719"/>
        <v>106023.27189721442</v>
      </c>
      <c r="EB100" s="421">
        <f t="shared" si="720"/>
        <v>106023.27189721442</v>
      </c>
      <c r="EC100" s="421">
        <f t="shared" si="721"/>
        <v>106023.27189721442</v>
      </c>
      <c r="ED100" s="421">
        <f t="shared" si="722"/>
        <v>106023.27189721442</v>
      </c>
      <c r="EE100" s="421">
        <f t="shared" si="723"/>
        <v>106023.27189721442</v>
      </c>
      <c r="EF100" s="421">
        <f t="shared" si="724"/>
        <v>106023.27189721442</v>
      </c>
      <c r="EG100" s="421">
        <f t="shared" si="725"/>
        <v>106023.27189721442</v>
      </c>
      <c r="EH100" s="421">
        <f t="shared" si="726"/>
        <v>106023.27189721442</v>
      </c>
      <c r="EI100" s="421">
        <f t="shared" si="727"/>
        <v>106023.27189721442</v>
      </c>
      <c r="EJ100" s="421">
        <f t="shared" si="728"/>
        <v>106023.27189721442</v>
      </c>
      <c r="EK100" s="421">
        <f t="shared" si="729"/>
        <v>106023.27189721442</v>
      </c>
      <c r="EL100" s="421">
        <f t="shared" si="730"/>
        <v>109734.0864136169</v>
      </c>
      <c r="EM100" s="421">
        <f t="shared" si="731"/>
        <v>109734.0864136169</v>
      </c>
      <c r="EN100" s="421">
        <f t="shared" si="732"/>
        <v>109734.0864136169</v>
      </c>
      <c r="EP100" s="220" t="str">
        <f t="shared" si="750"/>
        <v>Go Kart</v>
      </c>
      <c r="EQ100" s="20">
        <f t="shared" si="751"/>
        <v>2000</v>
      </c>
      <c r="ER100" s="198">
        <f t="shared" si="752"/>
        <v>31</v>
      </c>
      <c r="ES100" s="18"/>
      <c r="ET100" s="18"/>
      <c r="EU100" s="18"/>
      <c r="EV100" s="422">
        <f t="shared" si="753"/>
        <v>0</v>
      </c>
      <c r="EW100" s="422">
        <f t="shared" si="753"/>
        <v>0</v>
      </c>
      <c r="EX100" s="422">
        <f t="shared" si="753"/>
        <v>0</v>
      </c>
      <c r="EY100" s="422">
        <f t="shared" si="753"/>
        <v>0</v>
      </c>
      <c r="EZ100" s="422">
        <f t="shared" si="753"/>
        <v>0</v>
      </c>
      <c r="FA100" s="422">
        <f t="shared" si="753"/>
        <v>0</v>
      </c>
      <c r="FB100" s="422">
        <f t="shared" si="753"/>
        <v>0</v>
      </c>
      <c r="FC100" s="422">
        <f t="shared" si="753"/>
        <v>0</v>
      </c>
      <c r="FD100" s="422">
        <f t="shared" si="753"/>
        <v>0</v>
      </c>
      <c r="FE100" s="422">
        <f t="shared" si="753"/>
        <v>0</v>
      </c>
      <c r="FF100" s="422">
        <f t="shared" si="753"/>
        <v>0</v>
      </c>
      <c r="FG100" s="422">
        <f t="shared" si="753"/>
        <v>0</v>
      </c>
      <c r="FH100" s="422">
        <f t="shared" si="753"/>
        <v>0</v>
      </c>
      <c r="FI100" s="422">
        <f t="shared" si="753"/>
        <v>0</v>
      </c>
      <c r="FJ100" s="422">
        <f t="shared" si="753"/>
        <v>0</v>
      </c>
      <c r="FK100" s="422">
        <f t="shared" si="753"/>
        <v>0</v>
      </c>
      <c r="FL100" s="422">
        <f t="shared" si="760"/>
        <v>0</v>
      </c>
      <c r="FM100" s="422">
        <f t="shared" si="760"/>
        <v>0</v>
      </c>
      <c r="FN100" s="422">
        <f t="shared" si="760"/>
        <v>0</v>
      </c>
      <c r="FO100" s="422">
        <f t="shared" si="760"/>
        <v>0</v>
      </c>
      <c r="FP100" s="422">
        <f t="shared" si="760"/>
        <v>0</v>
      </c>
      <c r="FQ100" s="422">
        <f t="shared" si="760"/>
        <v>0</v>
      </c>
      <c r="FR100" s="422">
        <f t="shared" si="760"/>
        <v>0</v>
      </c>
      <c r="FS100" s="422">
        <f t="shared" si="760"/>
        <v>0</v>
      </c>
      <c r="FT100" s="422">
        <f t="shared" si="760"/>
        <v>0</v>
      </c>
      <c r="FU100" s="422">
        <f t="shared" si="760"/>
        <v>0</v>
      </c>
      <c r="FV100" s="422">
        <f t="shared" si="760"/>
        <v>0</v>
      </c>
      <c r="FW100" s="422">
        <f t="shared" si="760"/>
        <v>0</v>
      </c>
      <c r="FX100" s="422">
        <f t="shared" si="760"/>
        <v>0</v>
      </c>
      <c r="FY100" s="422">
        <f t="shared" si="760"/>
        <v>0</v>
      </c>
      <c r="FZ100" s="422">
        <f t="shared" si="760"/>
        <v>0</v>
      </c>
      <c r="GA100" s="422">
        <f t="shared" si="760"/>
        <v>2000</v>
      </c>
      <c r="GB100" s="422">
        <f t="shared" si="760"/>
        <v>2000</v>
      </c>
      <c r="GC100" s="422">
        <f t="shared" si="760"/>
        <v>2000</v>
      </c>
      <c r="GD100" s="422">
        <f t="shared" si="760"/>
        <v>2000</v>
      </c>
      <c r="GE100" s="422">
        <f t="shared" si="760"/>
        <v>2000</v>
      </c>
      <c r="GF100" s="422">
        <f t="shared" si="760"/>
        <v>2000</v>
      </c>
      <c r="GG100" s="422">
        <f t="shared" si="760"/>
        <v>2000</v>
      </c>
      <c r="GH100" s="422">
        <f t="shared" si="760"/>
        <v>2000</v>
      </c>
      <c r="GI100" s="422">
        <f t="shared" si="760"/>
        <v>2000</v>
      </c>
      <c r="GJ100" s="422">
        <f t="shared" si="760"/>
        <v>2000</v>
      </c>
      <c r="GK100" s="422">
        <f t="shared" si="760"/>
        <v>2000</v>
      </c>
      <c r="GL100" s="422">
        <f t="shared" si="760"/>
        <v>2000</v>
      </c>
      <c r="GM100" s="422">
        <f t="shared" si="760"/>
        <v>2000</v>
      </c>
      <c r="GN100" s="422">
        <f t="shared" si="760"/>
        <v>2000</v>
      </c>
      <c r="GO100" s="422">
        <f t="shared" si="760"/>
        <v>2000</v>
      </c>
      <c r="GP100" s="422">
        <f t="shared" si="760"/>
        <v>2000</v>
      </c>
      <c r="GQ100" s="422">
        <f t="shared" si="760"/>
        <v>2000</v>
      </c>
      <c r="GR100" s="422">
        <f t="shared" si="760"/>
        <v>2000</v>
      </c>
      <c r="GS100" s="422">
        <f t="shared" si="760"/>
        <v>2000</v>
      </c>
      <c r="GT100" s="422">
        <f t="shared" si="760"/>
        <v>2000</v>
      </c>
      <c r="GU100" s="422">
        <f t="shared" si="760"/>
        <v>2000</v>
      </c>
      <c r="GV100" s="422">
        <f t="shared" si="760"/>
        <v>2000</v>
      </c>
      <c r="GW100" s="422">
        <f t="shared" si="760"/>
        <v>2000</v>
      </c>
      <c r="GX100" s="422">
        <f t="shared" si="760"/>
        <v>2000</v>
      </c>
      <c r="GY100" s="422">
        <f t="shared" si="760"/>
        <v>2000</v>
      </c>
      <c r="GZ100" s="422">
        <f t="shared" si="760"/>
        <v>2000</v>
      </c>
      <c r="HA100" s="422">
        <f t="shared" si="760"/>
        <v>2000</v>
      </c>
      <c r="HB100" s="422">
        <f t="shared" si="760"/>
        <v>2000</v>
      </c>
      <c r="HC100" s="422">
        <f t="shared" si="760"/>
        <v>2000</v>
      </c>
      <c r="HD100" s="422">
        <f t="shared" si="760"/>
        <v>2000</v>
      </c>
      <c r="HE100" s="422">
        <f t="shared" si="760"/>
        <v>2000</v>
      </c>
      <c r="HF100" s="422">
        <f t="shared" si="760"/>
        <v>2000</v>
      </c>
      <c r="HG100" s="422">
        <f t="shared" si="760"/>
        <v>2000</v>
      </c>
      <c r="HH100" s="422">
        <f t="shared" si="760"/>
        <v>2000</v>
      </c>
      <c r="HI100" s="422" t="n">
        <f t="shared" ref="HI100:JT103" si="762">(HI$3&gt;=$ER100)*$EQ100</f>
        <v>2000</v>
      </c>
      <c r="HJ100" s="422">
        <f t="shared" si="762"/>
        <v>2000</v>
      </c>
      <c r="HK100" s="422">
        <f t="shared" si="762"/>
        <v>2000</v>
      </c>
      <c r="HL100" s="422">
        <f t="shared" si="762"/>
        <v>2000</v>
      </c>
      <c r="HM100" s="422">
        <f t="shared" si="762"/>
        <v>2000</v>
      </c>
      <c r="HN100" s="422">
        <f t="shared" si="762"/>
        <v>2000</v>
      </c>
      <c r="HO100" s="422">
        <f t="shared" si="762"/>
        <v>2000</v>
      </c>
      <c r="HP100" s="422">
        <f t="shared" si="762"/>
        <v>2000</v>
      </c>
      <c r="HQ100" s="422">
        <f t="shared" si="762"/>
        <v>2000</v>
      </c>
      <c r="HR100" s="422">
        <f t="shared" si="762"/>
        <v>2000</v>
      </c>
      <c r="HS100" s="422">
        <f t="shared" si="762"/>
        <v>2000</v>
      </c>
      <c r="HT100" s="422">
        <f t="shared" si="762"/>
        <v>2000</v>
      </c>
      <c r="HU100" s="422">
        <f t="shared" si="762"/>
        <v>2000</v>
      </c>
      <c r="HV100" s="422">
        <f t="shared" si="762"/>
        <v>2000</v>
      </c>
      <c r="HW100" s="422">
        <f t="shared" si="762"/>
        <v>2000</v>
      </c>
      <c r="HX100" s="422">
        <f t="shared" si="762"/>
        <v>2000</v>
      </c>
      <c r="HY100" s="422">
        <f t="shared" si="762"/>
        <v>2000</v>
      </c>
      <c r="HZ100" s="422">
        <f t="shared" si="762"/>
        <v>2000</v>
      </c>
      <c r="IA100" s="422">
        <f t="shared" si="762"/>
        <v>2000</v>
      </c>
      <c r="IB100" s="422">
        <f t="shared" si="762"/>
        <v>2000</v>
      </c>
      <c r="IC100" s="422">
        <f t="shared" si="762"/>
        <v>2000</v>
      </c>
      <c r="ID100" s="422">
        <f t="shared" si="762"/>
        <v>2000</v>
      </c>
      <c r="IE100" s="422">
        <f t="shared" si="762"/>
        <v>2000</v>
      </c>
      <c r="IF100" s="422">
        <f t="shared" si="762"/>
        <v>2000</v>
      </c>
      <c r="IG100" s="422">
        <f t="shared" si="762"/>
        <v>2000</v>
      </c>
      <c r="IH100" s="422">
        <f t="shared" si="762"/>
        <v>2000</v>
      </c>
      <c r="II100" s="422">
        <f t="shared" si="762"/>
        <v>2000</v>
      </c>
      <c r="IJ100" s="422">
        <f t="shared" si="762"/>
        <v>2000</v>
      </c>
      <c r="IK100" s="422">
        <f t="shared" si="762"/>
        <v>2000</v>
      </c>
      <c r="IL100" s="422">
        <f t="shared" si="762"/>
        <v>2000</v>
      </c>
      <c r="IM100" s="422">
        <f t="shared" si="762"/>
        <v>2000</v>
      </c>
      <c r="IN100" s="422">
        <f t="shared" si="762"/>
        <v>2000</v>
      </c>
      <c r="IO100" s="422">
        <f t="shared" si="762"/>
        <v>2000</v>
      </c>
      <c r="IP100" s="422">
        <f t="shared" si="762"/>
        <v>2000</v>
      </c>
      <c r="IQ100" s="422">
        <f t="shared" si="762"/>
        <v>2000</v>
      </c>
      <c r="IR100" s="422">
        <f t="shared" si="762"/>
        <v>2000</v>
      </c>
      <c r="IS100" s="422">
        <f t="shared" si="762"/>
        <v>2000</v>
      </c>
      <c r="IT100" s="422">
        <f t="shared" si="762"/>
        <v>2000</v>
      </c>
      <c r="IU100" s="422">
        <f t="shared" si="762"/>
        <v>2000</v>
      </c>
      <c r="IV100" s="422">
        <f t="shared" si="762"/>
        <v>2000</v>
      </c>
      <c r="IW100" s="422">
        <f t="shared" si="762"/>
        <v>2000</v>
      </c>
      <c r="IX100" s="422">
        <f t="shared" si="762"/>
        <v>2000</v>
      </c>
      <c r="IY100" s="422">
        <f t="shared" si="762"/>
        <v>2000</v>
      </c>
      <c r="IZ100" s="422">
        <f t="shared" si="762"/>
        <v>2000</v>
      </c>
      <c r="JA100" s="422">
        <f t="shared" si="762"/>
        <v>2000</v>
      </c>
      <c r="JB100" s="422">
        <f t="shared" si="762"/>
        <v>2000</v>
      </c>
      <c r="JC100" s="422">
        <f t="shared" si="762"/>
        <v>2000</v>
      </c>
      <c r="JD100" s="422">
        <f t="shared" si="762"/>
        <v>2000</v>
      </c>
      <c r="JE100" s="422">
        <f t="shared" si="762"/>
        <v>2000</v>
      </c>
      <c r="JF100" s="422">
        <f t="shared" si="762"/>
        <v>2000</v>
      </c>
      <c r="JG100" s="422">
        <f t="shared" si="762"/>
        <v>2000</v>
      </c>
      <c r="JH100" s="422">
        <f t="shared" si="762"/>
        <v>2000</v>
      </c>
      <c r="JI100" s="422">
        <f t="shared" si="762"/>
        <v>2000</v>
      </c>
      <c r="JJ100" s="422">
        <f t="shared" si="762"/>
        <v>2000</v>
      </c>
      <c r="JK100" s="422">
        <f t="shared" si="762"/>
        <v>2000</v>
      </c>
      <c r="JL100" s="422">
        <f t="shared" si="762"/>
        <v>2000</v>
      </c>
      <c r="JM100" s="422">
        <f t="shared" si="762"/>
        <v>2000</v>
      </c>
      <c r="JN100" s="422">
        <f t="shared" si="762"/>
        <v>2000</v>
      </c>
      <c r="JO100" s="422">
        <f t="shared" si="762"/>
        <v>2000</v>
      </c>
      <c r="JP100" s="422">
        <f t="shared" si="762"/>
        <v>2000</v>
      </c>
      <c r="JQ100" s="422">
        <f t="shared" si="762"/>
        <v>2000</v>
      </c>
      <c r="JR100" s="422">
        <f t="shared" si="762"/>
        <v>2000</v>
      </c>
      <c r="JS100" s="422">
        <f t="shared" si="762"/>
        <v>2000</v>
      </c>
      <c r="JT100" s="422">
        <f t="shared" si="762"/>
        <v>2000</v>
      </c>
      <c r="JU100" s="422">
        <f t="shared" si="735"/>
        <v>2000</v>
      </c>
      <c r="JV100" s="422">
        <f t="shared" si="735"/>
        <v>2000</v>
      </c>
      <c r="JW100" s="422">
        <f t="shared" si="735"/>
        <v>2000</v>
      </c>
      <c r="JX100" s="422">
        <f t="shared" si="735"/>
        <v>2000</v>
      </c>
      <c r="JZ100" s="220" t="str">
        <f t="shared" si="754"/>
        <v>Go Kart</v>
      </c>
      <c r="KA100" s="422">
        <f t="shared" si="736"/>
        <v>1000000</v>
      </c>
      <c r="KB100" s="198">
        <f t="shared" si="737"/>
        <v>34</v>
      </c>
      <c r="KC100" s="207">
        <f t="shared" si="738"/>
        <v>3.5000000000000003E-2</v>
      </c>
      <c r="KD100" s="214" t="str">
        <f t="shared" si="596"/>
        <v>Annual</v>
      </c>
      <c r="KE100" s="474" t="n">
        <f>MATCH(KD100,Data!$G$24:$G$33,0)</f>
        <v>1</v>
      </c>
      <c r="KF100" s="264"/>
      <c r="KG100" s="475">
        <f t="shared" si="755"/>
        <v>0</v>
      </c>
      <c r="KH100" s="475">
        <f t="shared" si="739"/>
        <v>0</v>
      </c>
      <c r="KI100" s="475">
        <f t="shared" si="739"/>
        <v>0</v>
      </c>
      <c r="KJ100" s="475">
        <f t="shared" si="739"/>
        <v>0</v>
      </c>
      <c r="KK100" s="475">
        <f t="shared" si="739"/>
        <v>0</v>
      </c>
      <c r="KL100" s="475">
        <f t="shared" si="739"/>
        <v>0</v>
      </c>
      <c r="KM100" s="475">
        <f t="shared" si="739"/>
        <v>0</v>
      </c>
      <c r="KN100" s="475">
        <f t="shared" si="739"/>
        <v>0</v>
      </c>
      <c r="KO100" s="475">
        <f t="shared" si="739"/>
        <v>0</v>
      </c>
      <c r="KP100" s="475">
        <f t="shared" si="739"/>
        <v>0</v>
      </c>
      <c r="KQ100" s="475">
        <f t="shared" si="739"/>
        <v>0</v>
      </c>
      <c r="KR100" s="475">
        <f t="shared" si="739"/>
        <v>0</v>
      </c>
      <c r="KS100" s="475">
        <f t="shared" si="739"/>
        <v>0</v>
      </c>
      <c r="KT100" s="475">
        <f t="shared" si="739"/>
        <v>0</v>
      </c>
      <c r="KU100" s="475">
        <f t="shared" si="739"/>
        <v>0</v>
      </c>
      <c r="KV100" s="475">
        <f t="shared" si="739"/>
        <v>0</v>
      </c>
      <c r="KW100" s="475">
        <f t="shared" si="739"/>
        <v>0</v>
      </c>
      <c r="KX100" s="475">
        <f t="shared" si="740"/>
        <v>0</v>
      </c>
      <c r="KY100" s="475">
        <f t="shared" si="740"/>
        <v>0</v>
      </c>
      <c r="KZ100" s="475">
        <f t="shared" si="740"/>
        <v>0</v>
      </c>
      <c r="LA100" s="475">
        <f t="shared" si="740"/>
        <v>0</v>
      </c>
      <c r="LB100" s="475">
        <f t="shared" si="740"/>
        <v>0</v>
      </c>
      <c r="LC100" s="475">
        <f t="shared" si="740"/>
        <v>0</v>
      </c>
      <c r="LD100" s="475">
        <f t="shared" si="740"/>
        <v>0</v>
      </c>
      <c r="LE100" s="475">
        <f t="shared" si="740"/>
        <v>0</v>
      </c>
      <c r="LF100" s="475">
        <f t="shared" si="740"/>
        <v>0</v>
      </c>
      <c r="LG100" s="475">
        <f t="shared" si="740"/>
        <v>0</v>
      </c>
      <c r="LH100" s="475">
        <f t="shared" si="740"/>
        <v>0</v>
      </c>
      <c r="LI100" s="475">
        <f t="shared" si="740"/>
        <v>0</v>
      </c>
      <c r="LJ100" s="475">
        <f t="shared" si="740"/>
        <v>0</v>
      </c>
      <c r="LK100" s="475">
        <f t="shared" si="740"/>
        <v>0</v>
      </c>
      <c r="LL100" s="475">
        <f t="shared" si="740"/>
        <v>0</v>
      </c>
      <c r="LM100" s="475">
        <f t="shared" si="740"/>
        <v>0</v>
      </c>
      <c r="LN100" s="475">
        <f t="shared" si="741"/>
        <v>83333.333333333328</v>
      </c>
      <c r="LO100" s="475">
        <f t="shared" si="741"/>
        <v>83333.333333333328</v>
      </c>
      <c r="LP100" s="475">
        <f t="shared" si="741"/>
        <v>83333.333333333328</v>
      </c>
      <c r="LQ100" s="475">
        <f t="shared" si="741"/>
        <v>83333.333333333328</v>
      </c>
      <c r="LR100" s="475">
        <f t="shared" si="741"/>
        <v>83333.333333333328</v>
      </c>
      <c r="LS100" s="475">
        <f t="shared" si="741"/>
        <v>83333.333333333328</v>
      </c>
      <c r="LT100" s="475">
        <f t="shared" si="741"/>
        <v>83333.333333333328</v>
      </c>
      <c r="LU100" s="475">
        <f t="shared" si="741"/>
        <v>83333.333333333328</v>
      </c>
      <c r="LV100" s="475">
        <f t="shared" si="741"/>
        <v>83333.333333333328</v>
      </c>
      <c r="LW100" s="475">
        <f t="shared" si="741"/>
        <v>83333.333333333328</v>
      </c>
      <c r="LX100" s="475">
        <f t="shared" si="741"/>
        <v>83333.333333333328</v>
      </c>
      <c r="LY100" s="475">
        <f t="shared" si="741"/>
        <v>83333.333333333328</v>
      </c>
      <c r="LZ100" s="475">
        <f t="shared" si="741"/>
        <v>86249.999999999985</v>
      </c>
      <c r="MA100" s="475">
        <f t="shared" si="741"/>
        <v>86249.999999999985</v>
      </c>
      <c r="MB100" s="475">
        <f t="shared" si="741"/>
        <v>86249.999999999985</v>
      </c>
      <c r="MC100" s="475">
        <f t="shared" si="741"/>
        <v>86249.999999999985</v>
      </c>
      <c r="MD100" s="475">
        <f t="shared" si="742"/>
        <v>86249.999999999985</v>
      </c>
      <c r="ME100" s="475">
        <f t="shared" si="742"/>
        <v>86249.999999999985</v>
      </c>
      <c r="MF100" s="475">
        <f t="shared" si="742"/>
        <v>86249.999999999985</v>
      </c>
      <c r="MG100" s="475">
        <f t="shared" si="742"/>
        <v>86249.999999999985</v>
      </c>
      <c r="MH100" s="475">
        <f t="shared" si="742"/>
        <v>86249.999999999985</v>
      </c>
      <c r="MI100" s="475">
        <f t="shared" si="742"/>
        <v>86249.999999999985</v>
      </c>
      <c r="MJ100" s="475">
        <f t="shared" si="742"/>
        <v>86249.999999999985</v>
      </c>
      <c r="MK100" s="475">
        <f t="shared" si="742"/>
        <v>86249.999999999985</v>
      </c>
      <c r="ML100" s="475">
        <f t="shared" si="742"/>
        <v>89268.749999999985</v>
      </c>
      <c r="MM100" s="475">
        <f t="shared" si="742"/>
        <v>89268.749999999985</v>
      </c>
      <c r="MN100" s="475">
        <f t="shared" si="742"/>
        <v>89268.749999999985</v>
      </c>
      <c r="MO100" s="475">
        <f t="shared" si="742"/>
        <v>89268.749999999985</v>
      </c>
      <c r="MP100" s="475">
        <f t="shared" si="742"/>
        <v>89268.749999999985</v>
      </c>
      <c r="MQ100" s="475">
        <f t="shared" si="742"/>
        <v>89268.749999999985</v>
      </c>
      <c r="MR100" s="475">
        <f t="shared" si="742"/>
        <v>89268.749999999985</v>
      </c>
      <c r="MS100" s="475">
        <f t="shared" si="742"/>
        <v>89268.749999999985</v>
      </c>
      <c r="MT100" s="475">
        <f t="shared" si="743"/>
        <v>89268.749999999985</v>
      </c>
      <c r="MU100" s="475">
        <f t="shared" si="743"/>
        <v>89268.749999999985</v>
      </c>
      <c r="MV100" s="475">
        <f t="shared" si="743"/>
        <v>89268.749999999985</v>
      </c>
      <c r="MW100" s="475">
        <f t="shared" si="743"/>
        <v>89268.749999999985</v>
      </c>
      <c r="MX100" s="475">
        <f t="shared" si="743"/>
        <v>92393.156249999971</v>
      </c>
      <c r="MY100" s="475">
        <f t="shared" si="743"/>
        <v>92393.156249999971</v>
      </c>
      <c r="MZ100" s="475">
        <f t="shared" si="743"/>
        <v>92393.156249999971</v>
      </c>
      <c r="NA100" s="475">
        <f t="shared" si="743"/>
        <v>92393.156249999971</v>
      </c>
      <c r="NB100" s="475">
        <f t="shared" si="743"/>
        <v>92393.156249999971</v>
      </c>
      <c r="NC100" s="475">
        <f t="shared" si="743"/>
        <v>92393.156249999971</v>
      </c>
      <c r="ND100" s="475">
        <f t="shared" si="743"/>
        <v>92393.156249999971</v>
      </c>
      <c r="NE100" s="475">
        <f t="shared" si="743"/>
        <v>92393.156249999971</v>
      </c>
      <c r="NF100" s="475">
        <f t="shared" si="743"/>
        <v>92393.156249999971</v>
      </c>
      <c r="NG100" s="475">
        <f t="shared" si="743"/>
        <v>92393.156249999971</v>
      </c>
      <c r="NH100" s="475">
        <f t="shared" si="743"/>
        <v>92393.156249999971</v>
      </c>
      <c r="NI100" s="475">
        <f t="shared" si="743"/>
        <v>92393.156249999971</v>
      </c>
      <c r="NJ100" s="475">
        <f t="shared" si="744"/>
        <v>95626.91671874997</v>
      </c>
      <c r="NK100" s="475">
        <f t="shared" si="744"/>
        <v>95626.91671874997</v>
      </c>
      <c r="NL100" s="475">
        <f t="shared" si="744"/>
        <v>95626.91671874997</v>
      </c>
      <c r="NM100" s="475">
        <f t="shared" si="744"/>
        <v>95626.91671874997</v>
      </c>
      <c r="NN100" s="475">
        <f t="shared" si="744"/>
        <v>95626.91671874997</v>
      </c>
      <c r="NO100" s="475">
        <f t="shared" si="744"/>
        <v>95626.91671874997</v>
      </c>
      <c r="NP100" s="475">
        <f t="shared" si="744"/>
        <v>95626.91671874997</v>
      </c>
      <c r="NQ100" s="475">
        <f t="shared" si="744"/>
        <v>95626.91671874997</v>
      </c>
      <c r="NR100" s="475">
        <f t="shared" si="744"/>
        <v>95626.91671874997</v>
      </c>
      <c r="NS100" s="475">
        <f t="shared" si="744"/>
        <v>95626.91671874997</v>
      </c>
      <c r="NT100" s="475">
        <f t="shared" si="744"/>
        <v>95626.91671874997</v>
      </c>
      <c r="NU100" s="475">
        <f t="shared" si="744"/>
        <v>95626.91671874997</v>
      </c>
      <c r="NV100" s="475">
        <f t="shared" si="744"/>
        <v>98973.858803906202</v>
      </c>
      <c r="NW100" s="475">
        <f t="shared" si="744"/>
        <v>98973.858803906202</v>
      </c>
      <c r="NX100" s="475">
        <f t="shared" si="744"/>
        <v>98973.858803906202</v>
      </c>
      <c r="NY100" s="475">
        <f t="shared" si="744"/>
        <v>98973.858803906202</v>
      </c>
      <c r="NZ100" s="475">
        <f t="shared" si="745"/>
        <v>98973.858803906202</v>
      </c>
      <c r="OA100" s="475">
        <f t="shared" si="745"/>
        <v>98973.858803906202</v>
      </c>
      <c r="OB100" s="475">
        <f t="shared" si="745"/>
        <v>98973.858803906202</v>
      </c>
      <c r="OC100" s="475">
        <f t="shared" si="745"/>
        <v>98973.858803906202</v>
      </c>
      <c r="OD100" s="475">
        <f t="shared" si="745"/>
        <v>98973.858803906202</v>
      </c>
      <c r="OE100" s="475">
        <f t="shared" si="745"/>
        <v>98973.858803906202</v>
      </c>
      <c r="OF100" s="475">
        <f t="shared" si="745"/>
        <v>98973.858803906202</v>
      </c>
      <c r="OG100" s="475">
        <f t="shared" si="745"/>
        <v>98973.858803906202</v>
      </c>
      <c r="OH100" s="475">
        <f t="shared" si="745"/>
        <v>102437.94386204293</v>
      </c>
      <c r="OI100" s="475">
        <f t="shared" si="745"/>
        <v>102437.94386204293</v>
      </c>
      <c r="OJ100" s="475">
        <f t="shared" si="745"/>
        <v>102437.94386204293</v>
      </c>
      <c r="OK100" s="475">
        <f t="shared" si="745"/>
        <v>102437.94386204293</v>
      </c>
      <c r="OL100" s="475">
        <f t="shared" si="745"/>
        <v>102437.94386204293</v>
      </c>
      <c r="OM100" s="475">
        <f t="shared" si="745"/>
        <v>102437.94386204293</v>
      </c>
      <c r="ON100" s="475">
        <f t="shared" si="745"/>
        <v>102437.94386204293</v>
      </c>
      <c r="OO100" s="475">
        <f t="shared" si="745"/>
        <v>102437.94386204293</v>
      </c>
      <c r="OP100" s="475">
        <f t="shared" si="746"/>
        <v>102437.94386204293</v>
      </c>
      <c r="OQ100" s="475">
        <f t="shared" si="746"/>
        <v>102437.94386204293</v>
      </c>
      <c r="OR100" s="475">
        <f t="shared" si="746"/>
        <v>102437.94386204293</v>
      </c>
      <c r="OS100" s="475">
        <f t="shared" si="746"/>
        <v>102437.94386204293</v>
      </c>
      <c r="OT100" s="475">
        <f t="shared" si="746"/>
        <v>106023.27189721442</v>
      </c>
      <c r="OU100" s="475">
        <f t="shared" si="746"/>
        <v>106023.27189721442</v>
      </c>
      <c r="OV100" s="475">
        <f t="shared" si="746"/>
        <v>106023.27189721442</v>
      </c>
      <c r="OW100" s="475">
        <f t="shared" si="746"/>
        <v>106023.27189721442</v>
      </c>
      <c r="OX100" s="475">
        <f t="shared" si="746"/>
        <v>106023.27189721442</v>
      </c>
      <c r="OY100" s="475">
        <f t="shared" si="746"/>
        <v>106023.27189721442</v>
      </c>
      <c r="OZ100" s="475">
        <f t="shared" si="746"/>
        <v>106023.27189721442</v>
      </c>
      <c r="PA100" s="475">
        <f t="shared" si="746"/>
        <v>106023.27189721442</v>
      </c>
      <c r="PB100" s="475">
        <f t="shared" si="746"/>
        <v>106023.27189721442</v>
      </c>
      <c r="PC100" s="475">
        <f t="shared" si="746"/>
        <v>106023.27189721442</v>
      </c>
      <c r="PD100" s="475">
        <f t="shared" si="746"/>
        <v>106023.27189721442</v>
      </c>
      <c r="PE100" s="475">
        <f t="shared" si="746"/>
        <v>106023.27189721442</v>
      </c>
      <c r="PF100" s="475">
        <f t="shared" si="747"/>
        <v>109734.0864136169</v>
      </c>
      <c r="PG100" s="475">
        <f t="shared" si="747"/>
        <v>109734.0864136169</v>
      </c>
      <c r="PH100" s="475">
        <f t="shared" si="747"/>
        <v>109734.0864136169</v>
      </c>
    </row>
    <row r="101">
      <c r="B101" s="473" t="s">
        <v>251</v>
      </c>
      <c r="C101" s="473" t="s">
        <v>252</v>
      </c>
      <c r="D101" s="46">
        <v>31</v>
      </c>
      <c r="E101" s="420" t="n">
        <f>PROJECTS!$AP$28</f>
        <v>150</v>
      </c>
      <c r="F101" s="46">
        <f t="shared" si="748"/>
        <v>34</v>
      </c>
      <c r="G101" s="44" t="n">
        <f>PROJECTS!$AP$68</f>
        <v>0.035</v>
      </c>
      <c r="H101" s="144" t="n">
        <f>PROJECTS!$AP$77</f>
        <v>600</v>
      </c>
      <c r="I101" s="428">
        <f t="shared" si="601"/>
        <v>90000</v>
      </c>
      <c r="K101" s="290" t="s">
        <v>239</v>
      </c>
      <c r="L101" s="76"/>
      <c r="M101" s="421">
        <f t="shared" si="749"/>
        <v>0</v>
      </c>
      <c r="N101" s="421">
        <f t="shared" si="602"/>
        <v>0</v>
      </c>
      <c r="O101" s="421">
        <f t="shared" si="603"/>
        <v>0</v>
      </c>
      <c r="P101" s="421">
        <f t="shared" si="604"/>
        <v>0</v>
      </c>
      <c r="Q101" s="421">
        <f t="shared" si="605"/>
        <v>0</v>
      </c>
      <c r="R101" s="421">
        <f t="shared" si="606"/>
        <v>0</v>
      </c>
      <c r="S101" s="421">
        <f t="shared" si="607"/>
        <v>0</v>
      </c>
      <c r="T101" s="421">
        <f t="shared" si="608"/>
        <v>0</v>
      </c>
      <c r="U101" s="421">
        <f t="shared" si="609"/>
        <v>0</v>
      </c>
      <c r="V101" s="421">
        <f t="shared" si="610"/>
        <v>0</v>
      </c>
      <c r="W101" s="421">
        <f t="shared" si="611"/>
        <v>0</v>
      </c>
      <c r="X101" s="421">
        <f t="shared" si="612"/>
        <v>0</v>
      </c>
      <c r="Y101" s="421">
        <f t="shared" si="613"/>
        <v>0</v>
      </c>
      <c r="Z101" s="421">
        <f t="shared" si="614"/>
        <v>0</v>
      </c>
      <c r="AA101" s="421">
        <f t="shared" si="615"/>
        <v>0</v>
      </c>
      <c r="AB101" s="421">
        <f t="shared" si="616"/>
        <v>0</v>
      </c>
      <c r="AC101" s="421">
        <f t="shared" si="617"/>
        <v>0</v>
      </c>
      <c r="AD101" s="421">
        <f t="shared" si="618"/>
        <v>0</v>
      </c>
      <c r="AE101" s="421">
        <f t="shared" si="619"/>
        <v>0</v>
      </c>
      <c r="AF101" s="421">
        <f t="shared" si="620"/>
        <v>0</v>
      </c>
      <c r="AG101" s="421">
        <f t="shared" si="621"/>
        <v>0</v>
      </c>
      <c r="AH101" s="421">
        <f t="shared" si="622"/>
        <v>0</v>
      </c>
      <c r="AI101" s="421">
        <f t="shared" si="623"/>
        <v>0</v>
      </c>
      <c r="AJ101" s="421">
        <f t="shared" si="624"/>
        <v>0</v>
      </c>
      <c r="AK101" s="421">
        <f t="shared" si="625"/>
        <v>0</v>
      </c>
      <c r="AL101" s="421">
        <f t="shared" si="626"/>
        <v>0</v>
      </c>
      <c r="AM101" s="421">
        <f t="shared" si="627"/>
        <v>0</v>
      </c>
      <c r="AN101" s="421">
        <f t="shared" si="628"/>
        <v>0</v>
      </c>
      <c r="AO101" s="421">
        <f t="shared" si="629"/>
        <v>0</v>
      </c>
      <c r="AP101" s="421">
        <f t="shared" si="630"/>
        <v>0</v>
      </c>
      <c r="AQ101" s="421">
        <f t="shared" si="631"/>
        <v>0</v>
      </c>
      <c r="AR101" s="421">
        <f t="shared" si="632"/>
        <v>0</v>
      </c>
      <c r="AS101" s="421">
        <f t="shared" si="633"/>
        <v>0</v>
      </c>
      <c r="AT101" s="421">
        <f t="shared" si="634"/>
        <v>7500</v>
      </c>
      <c r="AU101" s="421">
        <f t="shared" si="635"/>
        <v>7500</v>
      </c>
      <c r="AV101" s="421">
        <f t="shared" si="636"/>
        <v>7500</v>
      </c>
      <c r="AW101" s="421">
        <f t="shared" si="637"/>
        <v>7500</v>
      </c>
      <c r="AX101" s="421">
        <f t="shared" si="638"/>
        <v>7500</v>
      </c>
      <c r="AY101" s="421">
        <f t="shared" si="639"/>
        <v>7500</v>
      </c>
      <c r="AZ101" s="421">
        <f t="shared" si="640"/>
        <v>7500</v>
      </c>
      <c r="BA101" s="421">
        <f t="shared" si="641"/>
        <v>7500</v>
      </c>
      <c r="BB101" s="421">
        <f t="shared" si="642"/>
        <v>7500</v>
      </c>
      <c r="BC101" s="421">
        <f t="shared" si="643"/>
        <v>7500</v>
      </c>
      <c r="BD101" s="421">
        <f t="shared" si="644"/>
        <v>7500</v>
      </c>
      <c r="BE101" s="421">
        <f t="shared" si="645"/>
        <v>7500</v>
      </c>
      <c r="BF101" s="421">
        <f t="shared" si="646"/>
        <v>7762.4999999999991</v>
      </c>
      <c r="BG101" s="421">
        <f t="shared" si="647"/>
        <v>7762.4999999999991</v>
      </c>
      <c r="BH101" s="421">
        <f t="shared" si="648"/>
        <v>7762.4999999999991</v>
      </c>
      <c r="BI101" s="421">
        <f t="shared" si="649"/>
        <v>7762.4999999999991</v>
      </c>
      <c r="BJ101" s="421">
        <f t="shared" si="650"/>
        <v>7762.4999999999991</v>
      </c>
      <c r="BK101" s="421">
        <f t="shared" si="651"/>
        <v>7762.4999999999991</v>
      </c>
      <c r="BL101" s="421">
        <f t="shared" si="652"/>
        <v>7762.4999999999991</v>
      </c>
      <c r="BM101" s="421">
        <f t="shared" si="653"/>
        <v>7762.4999999999991</v>
      </c>
      <c r="BN101" s="421">
        <f t="shared" si="654"/>
        <v>7762.4999999999991</v>
      </c>
      <c r="BO101" s="421">
        <f t="shared" si="655"/>
        <v>7762.4999999999991</v>
      </c>
      <c r="BP101" s="421">
        <f t="shared" si="656"/>
        <v>7762.4999999999991</v>
      </c>
      <c r="BQ101" s="421">
        <f t="shared" si="657"/>
        <v>7762.4999999999991</v>
      </c>
      <c r="BR101" s="421">
        <f t="shared" si="658"/>
        <v>8034.1874999999991</v>
      </c>
      <c r="BS101" s="421">
        <f t="shared" si="659"/>
        <v>8034.1874999999991</v>
      </c>
      <c r="BT101" s="421">
        <f t="shared" si="660"/>
        <v>8034.1874999999991</v>
      </c>
      <c r="BU101" s="421">
        <f t="shared" si="661"/>
        <v>8034.1874999999991</v>
      </c>
      <c r="BV101" s="421">
        <f t="shared" si="662"/>
        <v>8034.1874999999991</v>
      </c>
      <c r="BW101" s="421">
        <f t="shared" si="663"/>
        <v>8034.1874999999991</v>
      </c>
      <c r="BX101" s="421">
        <f t="shared" si="664"/>
        <v>8034.1874999999991</v>
      </c>
      <c r="BY101" s="421">
        <f t="shared" si="665"/>
        <v>8034.1874999999991</v>
      </c>
      <c r="BZ101" s="421">
        <f t="shared" si="666"/>
        <v>8034.1874999999991</v>
      </c>
      <c r="CA101" s="421">
        <f t="shared" si="667"/>
        <v>8034.1874999999991</v>
      </c>
      <c r="CB101" s="421">
        <f t="shared" si="668"/>
        <v>8034.1874999999991</v>
      </c>
      <c r="CC101" s="421">
        <f t="shared" si="669"/>
        <v>8034.1874999999991</v>
      </c>
      <c r="CD101" s="421">
        <f t="shared" si="670"/>
        <v>8315.3840624999975</v>
      </c>
      <c r="CE101" s="421">
        <f t="shared" si="671"/>
        <v>8315.3840624999975</v>
      </c>
      <c r="CF101" s="421">
        <f t="shared" si="672"/>
        <v>8315.3840624999975</v>
      </c>
      <c r="CG101" s="421">
        <f t="shared" si="673"/>
        <v>8315.3840624999975</v>
      </c>
      <c r="CH101" s="421">
        <f t="shared" si="674"/>
        <v>8315.3840624999975</v>
      </c>
      <c r="CI101" s="421">
        <f t="shared" si="675"/>
        <v>8315.3840624999975</v>
      </c>
      <c r="CJ101" s="421">
        <f t="shared" si="676"/>
        <v>8315.3840624999975</v>
      </c>
      <c r="CK101" s="421">
        <f t="shared" si="677"/>
        <v>8315.3840624999975</v>
      </c>
      <c r="CL101" s="421">
        <f t="shared" si="678"/>
        <v>8315.3840624999975</v>
      </c>
      <c r="CM101" s="421">
        <f t="shared" si="679"/>
        <v>8315.3840624999975</v>
      </c>
      <c r="CN101" s="421">
        <f t="shared" si="680"/>
        <v>8315.3840624999975</v>
      </c>
      <c r="CO101" s="421">
        <f t="shared" si="681"/>
        <v>8315.3840624999975</v>
      </c>
      <c r="CP101" s="421">
        <f t="shared" si="682"/>
        <v>8606.4225046874981</v>
      </c>
      <c r="CQ101" s="421">
        <f t="shared" si="683"/>
        <v>8606.4225046874981</v>
      </c>
      <c r="CR101" s="421">
        <f t="shared" si="684"/>
        <v>8606.4225046874981</v>
      </c>
      <c r="CS101" s="421">
        <f t="shared" si="685"/>
        <v>8606.4225046874981</v>
      </c>
      <c r="CT101" s="421">
        <f t="shared" si="686"/>
        <v>8606.4225046874981</v>
      </c>
      <c r="CU101" s="421">
        <f t="shared" si="687"/>
        <v>8606.4225046874981</v>
      </c>
      <c r="CV101" s="421">
        <f t="shared" si="688"/>
        <v>8606.4225046874981</v>
      </c>
      <c r="CW101" s="421">
        <f t="shared" si="689"/>
        <v>8606.4225046874981</v>
      </c>
      <c r="CX101" s="421">
        <f t="shared" si="690"/>
        <v>8606.4225046874981</v>
      </c>
      <c r="CY101" s="421">
        <f t="shared" si="691"/>
        <v>8606.4225046874981</v>
      </c>
      <c r="CZ101" s="421">
        <f t="shared" si="692"/>
        <v>8606.4225046874981</v>
      </c>
      <c r="DA101" s="421">
        <f t="shared" si="693"/>
        <v>8606.4225046874981</v>
      </c>
      <c r="DB101" s="421">
        <f t="shared" si="694"/>
        <v>8907.6472923515594</v>
      </c>
      <c r="DC101" s="421">
        <f t="shared" si="695"/>
        <v>8907.6472923515594</v>
      </c>
      <c r="DD101" s="421">
        <f t="shared" si="696"/>
        <v>8907.6472923515594</v>
      </c>
      <c r="DE101" s="421">
        <f t="shared" si="697"/>
        <v>8907.6472923515594</v>
      </c>
      <c r="DF101" s="421">
        <f t="shared" si="698"/>
        <v>8907.6472923515594</v>
      </c>
      <c r="DG101" s="421">
        <f t="shared" si="699"/>
        <v>8907.6472923515594</v>
      </c>
      <c r="DH101" s="421">
        <f t="shared" si="700"/>
        <v>8907.6472923515594</v>
      </c>
      <c r="DI101" s="421">
        <f t="shared" si="701"/>
        <v>8907.6472923515594</v>
      </c>
      <c r="DJ101" s="421">
        <f t="shared" si="702"/>
        <v>8907.6472923515594</v>
      </c>
      <c r="DK101" s="421">
        <f t="shared" si="703"/>
        <v>8907.6472923515594</v>
      </c>
      <c r="DL101" s="421">
        <f t="shared" si="704"/>
        <v>8907.6472923515594</v>
      </c>
      <c r="DM101" s="421">
        <f t="shared" si="705"/>
        <v>8907.6472923515594</v>
      </c>
      <c r="DN101" s="421">
        <f t="shared" si="706"/>
        <v>9219.414947583864</v>
      </c>
      <c r="DO101" s="421">
        <f t="shared" si="707"/>
        <v>9219.414947583864</v>
      </c>
      <c r="DP101" s="421">
        <f t="shared" si="708"/>
        <v>9219.414947583864</v>
      </c>
      <c r="DQ101" s="421">
        <f t="shared" si="709"/>
        <v>9219.414947583864</v>
      </c>
      <c r="DR101" s="421">
        <f t="shared" si="710"/>
        <v>9219.414947583864</v>
      </c>
      <c r="DS101" s="421">
        <f t="shared" si="711"/>
        <v>9219.414947583864</v>
      </c>
      <c r="DT101" s="421">
        <f t="shared" si="712"/>
        <v>9219.414947583864</v>
      </c>
      <c r="DU101" s="421">
        <f t="shared" si="713"/>
        <v>9219.414947583864</v>
      </c>
      <c r="DV101" s="421">
        <f t="shared" si="714"/>
        <v>9219.414947583864</v>
      </c>
      <c r="DW101" s="421">
        <f t="shared" si="715"/>
        <v>9219.414947583864</v>
      </c>
      <c r="DX101" s="421">
        <f t="shared" si="716"/>
        <v>9219.414947583864</v>
      </c>
      <c r="DY101" s="421">
        <f t="shared" si="717"/>
        <v>9219.414947583864</v>
      </c>
      <c r="DZ101" s="421">
        <f t="shared" si="718"/>
        <v>9542.0944707492981</v>
      </c>
      <c r="EA101" s="421">
        <f t="shared" si="719"/>
        <v>9542.0944707492981</v>
      </c>
      <c r="EB101" s="421">
        <f t="shared" si="720"/>
        <v>9542.0944707492981</v>
      </c>
      <c r="EC101" s="421">
        <f t="shared" si="721"/>
        <v>9542.0944707492981</v>
      </c>
      <c r="ED101" s="421">
        <f t="shared" si="722"/>
        <v>9542.0944707492981</v>
      </c>
      <c r="EE101" s="421">
        <f t="shared" si="723"/>
        <v>9542.0944707492981</v>
      </c>
      <c r="EF101" s="421">
        <f t="shared" si="724"/>
        <v>9542.0944707492981</v>
      </c>
      <c r="EG101" s="421">
        <f t="shared" si="725"/>
        <v>9542.0944707492981</v>
      </c>
      <c r="EH101" s="421">
        <f t="shared" si="726"/>
        <v>9542.0944707492981</v>
      </c>
      <c r="EI101" s="421">
        <f t="shared" si="727"/>
        <v>9542.0944707492981</v>
      </c>
      <c r="EJ101" s="421">
        <f t="shared" si="728"/>
        <v>9542.0944707492981</v>
      </c>
      <c r="EK101" s="421">
        <f t="shared" si="729"/>
        <v>9542.0944707492981</v>
      </c>
      <c r="EL101" s="421">
        <f t="shared" si="730"/>
        <v>9876.0677772255221</v>
      </c>
      <c r="EM101" s="421">
        <f t="shared" si="731"/>
        <v>9876.0677772255221</v>
      </c>
      <c r="EN101" s="421">
        <f t="shared" si="732"/>
        <v>9876.0677772255221</v>
      </c>
      <c r="EP101" s="220" t="str">
        <f t="shared" si="750"/>
        <v>Landscape-Based Attraction</v>
      </c>
      <c r="EQ101" s="20">
        <f t="shared" si="751"/>
        <v>150</v>
      </c>
      <c r="ER101" s="198">
        <f t="shared" si="752"/>
        <v>31</v>
      </c>
      <c r="ES101" s="18"/>
      <c r="ET101" s="18"/>
      <c r="EU101" s="18"/>
      <c r="EV101" s="422">
        <f t="shared" si="753"/>
        <v>0</v>
      </c>
      <c r="EW101" s="422">
        <f t="shared" si="753"/>
        <v>0</v>
      </c>
      <c r="EX101" s="422">
        <f t="shared" si="753"/>
        <v>0</v>
      </c>
      <c r="EY101" s="422">
        <f t="shared" si="753"/>
        <v>0</v>
      </c>
      <c r="EZ101" s="422">
        <f t="shared" si="753"/>
        <v>0</v>
      </c>
      <c r="FA101" s="422">
        <f t="shared" si="753"/>
        <v>0</v>
      </c>
      <c r="FB101" s="422">
        <f t="shared" si="753"/>
        <v>0</v>
      </c>
      <c r="FC101" s="422">
        <f t="shared" si="753"/>
        <v>0</v>
      </c>
      <c r="FD101" s="422">
        <f t="shared" si="753"/>
        <v>0</v>
      </c>
      <c r="FE101" s="422">
        <f t="shared" si="753"/>
        <v>0</v>
      </c>
      <c r="FF101" s="422">
        <f t="shared" si="753"/>
        <v>0</v>
      </c>
      <c r="FG101" s="422">
        <f t="shared" si="753"/>
        <v>0</v>
      </c>
      <c r="FH101" s="422">
        <f t="shared" si="753"/>
        <v>0</v>
      </c>
      <c r="FI101" s="422">
        <f t="shared" si="753"/>
        <v>0</v>
      </c>
      <c r="FJ101" s="422">
        <f t="shared" si="753"/>
        <v>0</v>
      </c>
      <c r="FK101" s="422">
        <f t="shared" si="753"/>
        <v>0</v>
      </c>
      <c r="FL101" s="422">
        <f t="shared" si="760"/>
        <v>0</v>
      </c>
      <c r="FM101" s="422">
        <f t="shared" si="760"/>
        <v>0</v>
      </c>
      <c r="FN101" s="422">
        <f t="shared" si="760"/>
        <v>0</v>
      </c>
      <c r="FO101" s="422">
        <f t="shared" si="760"/>
        <v>0</v>
      </c>
      <c r="FP101" s="422">
        <f t="shared" si="760"/>
        <v>0</v>
      </c>
      <c r="FQ101" s="422">
        <f t="shared" si="760"/>
        <v>0</v>
      </c>
      <c r="FR101" s="422">
        <f t="shared" si="760"/>
        <v>0</v>
      </c>
      <c r="FS101" s="422">
        <f t="shared" si="760"/>
        <v>0</v>
      </c>
      <c r="FT101" s="422">
        <f t="shared" si="760"/>
        <v>0</v>
      </c>
      <c r="FU101" s="422">
        <f t="shared" si="760"/>
        <v>0</v>
      </c>
      <c r="FV101" s="422">
        <f t="shared" si="760"/>
        <v>0</v>
      </c>
      <c r="FW101" s="422">
        <f t="shared" si="760"/>
        <v>0</v>
      </c>
      <c r="FX101" s="422">
        <f t="shared" si="760"/>
        <v>0</v>
      </c>
      <c r="FY101" s="422">
        <f t="shared" si="760"/>
        <v>0</v>
      </c>
      <c r="FZ101" s="422">
        <f t="shared" si="760"/>
        <v>0</v>
      </c>
      <c r="GA101" s="422">
        <f t="shared" si="760"/>
        <v>150</v>
      </c>
      <c r="GB101" s="422">
        <f t="shared" si="760"/>
        <v>150</v>
      </c>
      <c r="GC101" s="422">
        <f t="shared" si="760"/>
        <v>150</v>
      </c>
      <c r="GD101" s="422">
        <f t="shared" si="760"/>
        <v>150</v>
      </c>
      <c r="GE101" s="422">
        <f t="shared" si="760"/>
        <v>150</v>
      </c>
      <c r="GF101" s="422">
        <f t="shared" si="760"/>
        <v>150</v>
      </c>
      <c r="GG101" s="422">
        <f t="shared" si="760"/>
        <v>150</v>
      </c>
      <c r="GH101" s="422">
        <f t="shared" si="760"/>
        <v>150</v>
      </c>
      <c r="GI101" s="422">
        <f t="shared" si="760"/>
        <v>150</v>
      </c>
      <c r="GJ101" s="422">
        <f t="shared" si="760"/>
        <v>150</v>
      </c>
      <c r="GK101" s="422">
        <f t="shared" si="760"/>
        <v>150</v>
      </c>
      <c r="GL101" s="422">
        <f t="shared" si="760"/>
        <v>150</v>
      </c>
      <c r="GM101" s="422">
        <f t="shared" si="760"/>
        <v>150</v>
      </c>
      <c r="GN101" s="422">
        <f t="shared" si="760"/>
        <v>150</v>
      </c>
      <c r="GO101" s="422">
        <f t="shared" si="760"/>
        <v>150</v>
      </c>
      <c r="GP101" s="422">
        <f t="shared" si="760"/>
        <v>150</v>
      </c>
      <c r="GQ101" s="422">
        <f t="shared" si="760"/>
        <v>150</v>
      </c>
      <c r="GR101" s="422">
        <f t="shared" si="760"/>
        <v>150</v>
      </c>
      <c r="GS101" s="422">
        <f t="shared" si="760"/>
        <v>150</v>
      </c>
      <c r="GT101" s="422">
        <f t="shared" si="760"/>
        <v>150</v>
      </c>
      <c r="GU101" s="422">
        <f t="shared" si="760"/>
        <v>150</v>
      </c>
      <c r="GV101" s="422">
        <f t="shared" si="760"/>
        <v>150</v>
      </c>
      <c r="GW101" s="422">
        <f t="shared" si="760"/>
        <v>150</v>
      </c>
      <c r="GX101" s="422">
        <f t="shared" si="760"/>
        <v>150</v>
      </c>
      <c r="GY101" s="422">
        <f t="shared" si="760"/>
        <v>150</v>
      </c>
      <c r="GZ101" s="422">
        <f t="shared" si="760"/>
        <v>150</v>
      </c>
      <c r="HA101" s="422">
        <f t="shared" si="760"/>
        <v>150</v>
      </c>
      <c r="HB101" s="422">
        <f t="shared" si="760"/>
        <v>150</v>
      </c>
      <c r="HC101" s="422">
        <f t="shared" si="760"/>
        <v>150</v>
      </c>
      <c r="HD101" s="422">
        <f t="shared" si="760"/>
        <v>150</v>
      </c>
      <c r="HE101" s="422">
        <f t="shared" si="760"/>
        <v>150</v>
      </c>
      <c r="HF101" s="422">
        <f t="shared" si="760"/>
        <v>150</v>
      </c>
      <c r="HG101" s="422">
        <f t="shared" si="760"/>
        <v>150</v>
      </c>
      <c r="HH101" s="422">
        <f t="shared" si="760"/>
        <v>150</v>
      </c>
      <c r="HI101" s="422">
        <f t="shared" si="762"/>
        <v>150</v>
      </c>
      <c r="HJ101" s="422">
        <f t="shared" si="762"/>
        <v>150</v>
      </c>
      <c r="HK101" s="422">
        <f t="shared" si="762"/>
        <v>150</v>
      </c>
      <c r="HL101" s="422">
        <f t="shared" si="762"/>
        <v>150</v>
      </c>
      <c r="HM101" s="422">
        <f t="shared" si="762"/>
        <v>150</v>
      </c>
      <c r="HN101" s="422">
        <f t="shared" si="762"/>
        <v>150</v>
      </c>
      <c r="HO101" s="422">
        <f t="shared" si="762"/>
        <v>150</v>
      </c>
      <c r="HP101" s="422">
        <f t="shared" si="762"/>
        <v>150</v>
      </c>
      <c r="HQ101" s="422">
        <f t="shared" si="762"/>
        <v>150</v>
      </c>
      <c r="HR101" s="422">
        <f t="shared" si="762"/>
        <v>150</v>
      </c>
      <c r="HS101" s="422">
        <f t="shared" si="762"/>
        <v>150</v>
      </c>
      <c r="HT101" s="422">
        <f t="shared" si="762"/>
        <v>150</v>
      </c>
      <c r="HU101" s="422">
        <f t="shared" si="762"/>
        <v>150</v>
      </c>
      <c r="HV101" s="422">
        <f t="shared" si="762"/>
        <v>150</v>
      </c>
      <c r="HW101" s="422">
        <f t="shared" si="762"/>
        <v>150</v>
      </c>
      <c r="HX101" s="422">
        <f t="shared" si="762"/>
        <v>150</v>
      </c>
      <c r="HY101" s="422">
        <f t="shared" si="762"/>
        <v>150</v>
      </c>
      <c r="HZ101" s="422">
        <f t="shared" si="762"/>
        <v>150</v>
      </c>
      <c r="IA101" s="422">
        <f t="shared" si="762"/>
        <v>150</v>
      </c>
      <c r="IB101" s="422">
        <f t="shared" si="762"/>
        <v>150</v>
      </c>
      <c r="IC101" s="422">
        <f t="shared" si="762"/>
        <v>150</v>
      </c>
      <c r="ID101" s="422">
        <f t="shared" si="762"/>
        <v>150</v>
      </c>
      <c r="IE101" s="422">
        <f t="shared" si="762"/>
        <v>150</v>
      </c>
      <c r="IF101" s="422">
        <f t="shared" si="762"/>
        <v>150</v>
      </c>
      <c r="IG101" s="422">
        <f t="shared" si="762"/>
        <v>150</v>
      </c>
      <c r="IH101" s="422">
        <f t="shared" si="762"/>
        <v>150</v>
      </c>
      <c r="II101" s="422">
        <f t="shared" si="762"/>
        <v>150</v>
      </c>
      <c r="IJ101" s="422">
        <f t="shared" si="762"/>
        <v>150</v>
      </c>
      <c r="IK101" s="422">
        <f t="shared" si="762"/>
        <v>150</v>
      </c>
      <c r="IL101" s="422">
        <f t="shared" si="762"/>
        <v>150</v>
      </c>
      <c r="IM101" s="422">
        <f t="shared" si="762"/>
        <v>150</v>
      </c>
      <c r="IN101" s="422">
        <f t="shared" si="762"/>
        <v>150</v>
      </c>
      <c r="IO101" s="422">
        <f t="shared" si="762"/>
        <v>150</v>
      </c>
      <c r="IP101" s="422">
        <f t="shared" si="762"/>
        <v>150</v>
      </c>
      <c r="IQ101" s="422">
        <f t="shared" si="762"/>
        <v>150</v>
      </c>
      <c r="IR101" s="422">
        <f t="shared" si="762"/>
        <v>150</v>
      </c>
      <c r="IS101" s="422">
        <f t="shared" si="762"/>
        <v>150</v>
      </c>
      <c r="IT101" s="422">
        <f t="shared" si="762"/>
        <v>150</v>
      </c>
      <c r="IU101" s="422">
        <f t="shared" si="762"/>
        <v>150</v>
      </c>
      <c r="IV101" s="422">
        <f t="shared" si="762"/>
        <v>150</v>
      </c>
      <c r="IW101" s="422">
        <f t="shared" si="762"/>
        <v>150</v>
      </c>
      <c r="IX101" s="422">
        <f t="shared" si="762"/>
        <v>150</v>
      </c>
      <c r="IY101" s="422">
        <f t="shared" si="762"/>
        <v>150</v>
      </c>
      <c r="IZ101" s="422">
        <f t="shared" si="762"/>
        <v>150</v>
      </c>
      <c r="JA101" s="422">
        <f t="shared" si="762"/>
        <v>150</v>
      </c>
      <c r="JB101" s="422">
        <f t="shared" si="762"/>
        <v>150</v>
      </c>
      <c r="JC101" s="422">
        <f t="shared" si="762"/>
        <v>150</v>
      </c>
      <c r="JD101" s="422">
        <f t="shared" si="762"/>
        <v>150</v>
      </c>
      <c r="JE101" s="422">
        <f t="shared" si="762"/>
        <v>150</v>
      </c>
      <c r="JF101" s="422">
        <f t="shared" si="762"/>
        <v>150</v>
      </c>
      <c r="JG101" s="422">
        <f t="shared" si="762"/>
        <v>150</v>
      </c>
      <c r="JH101" s="422">
        <f t="shared" si="762"/>
        <v>150</v>
      </c>
      <c r="JI101" s="422">
        <f t="shared" si="762"/>
        <v>150</v>
      </c>
      <c r="JJ101" s="422">
        <f t="shared" si="762"/>
        <v>150</v>
      </c>
      <c r="JK101" s="422">
        <f t="shared" si="762"/>
        <v>150</v>
      </c>
      <c r="JL101" s="422">
        <f t="shared" si="762"/>
        <v>150</v>
      </c>
      <c r="JM101" s="422">
        <f t="shared" si="762"/>
        <v>150</v>
      </c>
      <c r="JN101" s="422">
        <f t="shared" si="762"/>
        <v>150</v>
      </c>
      <c r="JO101" s="422">
        <f t="shared" si="762"/>
        <v>150</v>
      </c>
      <c r="JP101" s="422">
        <f t="shared" si="762"/>
        <v>150</v>
      </c>
      <c r="JQ101" s="422">
        <f t="shared" si="762"/>
        <v>150</v>
      </c>
      <c r="JR101" s="422">
        <f t="shared" si="762"/>
        <v>150</v>
      </c>
      <c r="JS101" s="422">
        <f t="shared" si="762"/>
        <v>150</v>
      </c>
      <c r="JT101" s="422">
        <f t="shared" si="762"/>
        <v>150</v>
      </c>
      <c r="JU101" s="422">
        <f t="shared" si="735"/>
        <v>150</v>
      </c>
      <c r="JV101" s="422">
        <f t="shared" si="735"/>
        <v>150</v>
      </c>
      <c r="JW101" s="422">
        <f t="shared" si="735"/>
        <v>150</v>
      </c>
      <c r="JX101" s="422">
        <f t="shared" si="735"/>
        <v>150</v>
      </c>
      <c r="JZ101" s="220" t="str">
        <f t="shared" si="754"/>
        <v>Landscape-Based Attraction</v>
      </c>
      <c r="KA101" s="422">
        <f t="shared" si="736"/>
        <v>90000</v>
      </c>
      <c r="KB101" s="198">
        <f t="shared" si="737"/>
        <v>34</v>
      </c>
      <c r="KC101" s="207">
        <f t="shared" si="738"/>
        <v>3.5000000000000003E-2</v>
      </c>
      <c r="KD101" s="214" t="str">
        <f t="shared" si="596"/>
        <v>Annual</v>
      </c>
      <c r="KE101" s="474" t="n">
        <f>MATCH(KD101,Data!$G$24:$G$33,0)</f>
        <v>1</v>
      </c>
      <c r="KF101" s="264"/>
      <c r="KG101" s="475">
        <f t="shared" si="755"/>
        <v>0</v>
      </c>
      <c r="KH101" s="475">
        <f t="shared" si="739"/>
        <v>0</v>
      </c>
      <c r="KI101" s="475">
        <f t="shared" si="739"/>
        <v>0</v>
      </c>
      <c r="KJ101" s="475">
        <f t="shared" si="739"/>
        <v>0</v>
      </c>
      <c r="KK101" s="475">
        <f t="shared" si="739"/>
        <v>0</v>
      </c>
      <c r="KL101" s="475">
        <f t="shared" si="739"/>
        <v>0</v>
      </c>
      <c r="KM101" s="475">
        <f t="shared" si="739"/>
        <v>0</v>
      </c>
      <c r="KN101" s="475">
        <f t="shared" si="739"/>
        <v>0</v>
      </c>
      <c r="KO101" s="475">
        <f t="shared" si="739"/>
        <v>0</v>
      </c>
      <c r="KP101" s="475">
        <f t="shared" si="739"/>
        <v>0</v>
      </c>
      <c r="KQ101" s="475">
        <f t="shared" si="739"/>
        <v>0</v>
      </c>
      <c r="KR101" s="475">
        <f t="shared" si="739"/>
        <v>0</v>
      </c>
      <c r="KS101" s="475">
        <f t="shared" si="739"/>
        <v>0</v>
      </c>
      <c r="KT101" s="475">
        <f t="shared" si="739"/>
        <v>0</v>
      </c>
      <c r="KU101" s="475">
        <f t="shared" si="739"/>
        <v>0</v>
      </c>
      <c r="KV101" s="475">
        <f t="shared" si="739"/>
        <v>0</v>
      </c>
      <c r="KW101" s="475">
        <f t="shared" si="739"/>
        <v>0</v>
      </c>
      <c r="KX101" s="475">
        <f t="shared" si="740"/>
        <v>0</v>
      </c>
      <c r="KY101" s="475">
        <f t="shared" si="740"/>
        <v>0</v>
      </c>
      <c r="KZ101" s="475">
        <f t="shared" si="740"/>
        <v>0</v>
      </c>
      <c r="LA101" s="475">
        <f t="shared" si="740"/>
        <v>0</v>
      </c>
      <c r="LB101" s="475">
        <f t="shared" si="740"/>
        <v>0</v>
      </c>
      <c r="LC101" s="475">
        <f t="shared" si="740"/>
        <v>0</v>
      </c>
      <c r="LD101" s="475">
        <f t="shared" si="740"/>
        <v>0</v>
      </c>
      <c r="LE101" s="475">
        <f t="shared" si="740"/>
        <v>0</v>
      </c>
      <c r="LF101" s="475">
        <f t="shared" si="740"/>
        <v>0</v>
      </c>
      <c r="LG101" s="475">
        <f t="shared" si="740"/>
        <v>0</v>
      </c>
      <c r="LH101" s="475">
        <f t="shared" si="740"/>
        <v>0</v>
      </c>
      <c r="LI101" s="475">
        <f t="shared" si="740"/>
        <v>0</v>
      </c>
      <c r="LJ101" s="475">
        <f t="shared" si="740"/>
        <v>0</v>
      </c>
      <c r="LK101" s="475">
        <f t="shared" si="740"/>
        <v>0</v>
      </c>
      <c r="LL101" s="475">
        <f t="shared" si="740"/>
        <v>0</v>
      </c>
      <c r="LM101" s="475">
        <f t="shared" si="740"/>
        <v>0</v>
      </c>
      <c r="LN101" s="475">
        <f t="shared" si="741"/>
        <v>7500</v>
      </c>
      <c r="LO101" s="475">
        <f t="shared" si="741"/>
        <v>7500</v>
      </c>
      <c r="LP101" s="475">
        <f t="shared" si="741"/>
        <v>7500</v>
      </c>
      <c r="LQ101" s="475">
        <f t="shared" si="741"/>
        <v>7500</v>
      </c>
      <c r="LR101" s="475">
        <f t="shared" si="741"/>
        <v>7500</v>
      </c>
      <c r="LS101" s="475">
        <f t="shared" si="741"/>
        <v>7500</v>
      </c>
      <c r="LT101" s="475">
        <f t="shared" si="741"/>
        <v>7500</v>
      </c>
      <c r="LU101" s="475">
        <f t="shared" si="741"/>
        <v>7500</v>
      </c>
      <c r="LV101" s="475">
        <f t="shared" si="741"/>
        <v>7500</v>
      </c>
      <c r="LW101" s="475">
        <f t="shared" si="741"/>
        <v>7500</v>
      </c>
      <c r="LX101" s="475">
        <f t="shared" si="741"/>
        <v>7500</v>
      </c>
      <c r="LY101" s="475">
        <f t="shared" si="741"/>
        <v>7500</v>
      </c>
      <c r="LZ101" s="475">
        <f t="shared" si="741"/>
        <v>7762.4999999999991</v>
      </c>
      <c r="MA101" s="475">
        <f t="shared" si="741"/>
        <v>7762.4999999999991</v>
      </c>
      <c r="MB101" s="475">
        <f t="shared" si="741"/>
        <v>7762.4999999999991</v>
      </c>
      <c r="MC101" s="475">
        <f t="shared" si="741"/>
        <v>7762.4999999999991</v>
      </c>
      <c r="MD101" s="475">
        <f t="shared" si="742"/>
        <v>7762.4999999999991</v>
      </c>
      <c r="ME101" s="475">
        <f t="shared" si="742"/>
        <v>7762.4999999999991</v>
      </c>
      <c r="MF101" s="475">
        <f t="shared" si="742"/>
        <v>7762.4999999999991</v>
      </c>
      <c r="MG101" s="475">
        <f t="shared" si="742"/>
        <v>7762.4999999999991</v>
      </c>
      <c r="MH101" s="475">
        <f t="shared" si="742"/>
        <v>7762.4999999999991</v>
      </c>
      <c r="MI101" s="475">
        <f t="shared" si="742"/>
        <v>7762.4999999999991</v>
      </c>
      <c r="MJ101" s="475">
        <f t="shared" si="742"/>
        <v>7762.4999999999991</v>
      </c>
      <c r="MK101" s="475">
        <f t="shared" si="742"/>
        <v>7762.4999999999991</v>
      </c>
      <c r="ML101" s="475">
        <f t="shared" si="742"/>
        <v>8034.1874999999991</v>
      </c>
      <c r="MM101" s="475">
        <f t="shared" si="742"/>
        <v>8034.1874999999991</v>
      </c>
      <c r="MN101" s="475">
        <f t="shared" si="742"/>
        <v>8034.1874999999991</v>
      </c>
      <c r="MO101" s="475">
        <f t="shared" si="742"/>
        <v>8034.1874999999991</v>
      </c>
      <c r="MP101" s="475">
        <f t="shared" si="742"/>
        <v>8034.1874999999991</v>
      </c>
      <c r="MQ101" s="475">
        <f t="shared" si="742"/>
        <v>8034.1874999999991</v>
      </c>
      <c r="MR101" s="475">
        <f t="shared" si="742"/>
        <v>8034.1874999999991</v>
      </c>
      <c r="MS101" s="475">
        <f t="shared" si="742"/>
        <v>8034.1874999999991</v>
      </c>
      <c r="MT101" s="475">
        <f t="shared" si="743"/>
        <v>8034.1874999999991</v>
      </c>
      <c r="MU101" s="475">
        <f t="shared" si="743"/>
        <v>8034.1874999999991</v>
      </c>
      <c r="MV101" s="475">
        <f t="shared" si="743"/>
        <v>8034.1874999999991</v>
      </c>
      <c r="MW101" s="475">
        <f t="shared" si="743"/>
        <v>8034.1874999999991</v>
      </c>
      <c r="MX101" s="475">
        <f t="shared" si="743"/>
        <v>8315.3840624999975</v>
      </c>
      <c r="MY101" s="475">
        <f t="shared" si="743"/>
        <v>8315.3840624999975</v>
      </c>
      <c r="MZ101" s="475">
        <f t="shared" si="743"/>
        <v>8315.3840624999975</v>
      </c>
      <c r="NA101" s="475">
        <f t="shared" si="743"/>
        <v>8315.3840624999975</v>
      </c>
      <c r="NB101" s="475">
        <f t="shared" si="743"/>
        <v>8315.3840624999975</v>
      </c>
      <c r="NC101" s="475">
        <f t="shared" si="743"/>
        <v>8315.3840624999975</v>
      </c>
      <c r="ND101" s="475">
        <f t="shared" si="743"/>
        <v>8315.3840624999975</v>
      </c>
      <c r="NE101" s="475">
        <f t="shared" si="743"/>
        <v>8315.3840624999975</v>
      </c>
      <c r="NF101" s="475">
        <f t="shared" si="743"/>
        <v>8315.3840624999975</v>
      </c>
      <c r="NG101" s="475">
        <f t="shared" si="743"/>
        <v>8315.3840624999975</v>
      </c>
      <c r="NH101" s="475">
        <f t="shared" si="743"/>
        <v>8315.3840624999975</v>
      </c>
      <c r="NI101" s="475">
        <f t="shared" si="743"/>
        <v>8315.3840624999975</v>
      </c>
      <c r="NJ101" s="475">
        <f t="shared" si="744"/>
        <v>8606.4225046874981</v>
      </c>
      <c r="NK101" s="475">
        <f t="shared" si="744"/>
        <v>8606.4225046874981</v>
      </c>
      <c r="NL101" s="475">
        <f t="shared" si="744"/>
        <v>8606.4225046874981</v>
      </c>
      <c r="NM101" s="475">
        <f t="shared" si="744"/>
        <v>8606.4225046874981</v>
      </c>
      <c r="NN101" s="475">
        <f t="shared" si="744"/>
        <v>8606.4225046874981</v>
      </c>
      <c r="NO101" s="475">
        <f t="shared" si="744"/>
        <v>8606.4225046874981</v>
      </c>
      <c r="NP101" s="475">
        <f t="shared" si="744"/>
        <v>8606.4225046874981</v>
      </c>
      <c r="NQ101" s="475">
        <f t="shared" si="744"/>
        <v>8606.4225046874981</v>
      </c>
      <c r="NR101" s="475">
        <f t="shared" si="744"/>
        <v>8606.4225046874981</v>
      </c>
      <c r="NS101" s="475">
        <f t="shared" si="744"/>
        <v>8606.4225046874981</v>
      </c>
      <c r="NT101" s="475">
        <f t="shared" si="744"/>
        <v>8606.4225046874981</v>
      </c>
      <c r="NU101" s="475">
        <f t="shared" si="744"/>
        <v>8606.4225046874981</v>
      </c>
      <c r="NV101" s="475">
        <f t="shared" si="744"/>
        <v>8907.6472923515594</v>
      </c>
      <c r="NW101" s="475">
        <f t="shared" si="744"/>
        <v>8907.6472923515594</v>
      </c>
      <c r="NX101" s="475">
        <f t="shared" si="744"/>
        <v>8907.6472923515594</v>
      </c>
      <c r="NY101" s="475">
        <f t="shared" si="744"/>
        <v>8907.6472923515594</v>
      </c>
      <c r="NZ101" s="475">
        <f t="shared" si="745"/>
        <v>8907.6472923515594</v>
      </c>
      <c r="OA101" s="475">
        <f t="shared" si="745"/>
        <v>8907.6472923515594</v>
      </c>
      <c r="OB101" s="475">
        <f t="shared" si="745"/>
        <v>8907.6472923515594</v>
      </c>
      <c r="OC101" s="475">
        <f t="shared" si="745"/>
        <v>8907.6472923515594</v>
      </c>
      <c r="OD101" s="475">
        <f t="shared" si="745"/>
        <v>8907.6472923515594</v>
      </c>
      <c r="OE101" s="475">
        <f t="shared" si="745"/>
        <v>8907.6472923515594</v>
      </c>
      <c r="OF101" s="475">
        <f t="shared" si="745"/>
        <v>8907.6472923515594</v>
      </c>
      <c r="OG101" s="475">
        <f t="shared" si="745"/>
        <v>8907.6472923515594</v>
      </c>
      <c r="OH101" s="475">
        <f t="shared" si="745"/>
        <v>9219.414947583864</v>
      </c>
      <c r="OI101" s="475">
        <f t="shared" si="745"/>
        <v>9219.414947583864</v>
      </c>
      <c r="OJ101" s="475">
        <f t="shared" si="745"/>
        <v>9219.414947583864</v>
      </c>
      <c r="OK101" s="475">
        <f t="shared" si="745"/>
        <v>9219.414947583864</v>
      </c>
      <c r="OL101" s="475">
        <f t="shared" si="745"/>
        <v>9219.414947583864</v>
      </c>
      <c r="OM101" s="475">
        <f t="shared" si="745"/>
        <v>9219.414947583864</v>
      </c>
      <c r="ON101" s="475">
        <f t="shared" si="745"/>
        <v>9219.414947583864</v>
      </c>
      <c r="OO101" s="475">
        <f t="shared" si="745"/>
        <v>9219.414947583864</v>
      </c>
      <c r="OP101" s="475">
        <f t="shared" si="746"/>
        <v>9219.414947583864</v>
      </c>
      <c r="OQ101" s="475">
        <f t="shared" si="746"/>
        <v>9219.414947583864</v>
      </c>
      <c r="OR101" s="475">
        <f t="shared" si="746"/>
        <v>9219.414947583864</v>
      </c>
      <c r="OS101" s="475">
        <f t="shared" si="746"/>
        <v>9219.414947583864</v>
      </c>
      <c r="OT101" s="475">
        <f t="shared" si="746"/>
        <v>9542.0944707492981</v>
      </c>
      <c r="OU101" s="475">
        <f t="shared" si="746"/>
        <v>9542.0944707492981</v>
      </c>
      <c r="OV101" s="475">
        <f t="shared" si="746"/>
        <v>9542.0944707492981</v>
      </c>
      <c r="OW101" s="475">
        <f t="shared" si="746"/>
        <v>9542.0944707492981</v>
      </c>
      <c r="OX101" s="475">
        <f t="shared" si="746"/>
        <v>9542.0944707492981</v>
      </c>
      <c r="OY101" s="475">
        <f t="shared" si="746"/>
        <v>9542.0944707492981</v>
      </c>
      <c r="OZ101" s="475">
        <f t="shared" si="746"/>
        <v>9542.0944707492981</v>
      </c>
      <c r="PA101" s="475">
        <f t="shared" si="746"/>
        <v>9542.0944707492981</v>
      </c>
      <c r="PB101" s="475">
        <f t="shared" si="746"/>
        <v>9542.0944707492981</v>
      </c>
      <c r="PC101" s="475">
        <f t="shared" si="746"/>
        <v>9542.0944707492981</v>
      </c>
      <c r="PD101" s="475">
        <f t="shared" si="746"/>
        <v>9542.0944707492981</v>
      </c>
      <c r="PE101" s="475">
        <f t="shared" si="746"/>
        <v>9542.0944707492981</v>
      </c>
      <c r="PF101" s="475">
        <f t="shared" si="747"/>
        <v>9876.0677772255221</v>
      </c>
      <c r="PG101" s="475">
        <f t="shared" si="747"/>
        <v>9876.0677772255221</v>
      </c>
      <c r="PH101" s="475">
        <f t="shared" si="747"/>
        <v>9876.0677772255221</v>
      </c>
    </row>
    <row r="102">
      <c r="B102" s="473" t="s">
        <v>253</v>
      </c>
      <c r="C102" s="473" t="s">
        <v>254</v>
      </c>
      <c r="D102" s="46">
        <v>31</v>
      </c>
      <c r="E102" s="420" t="n">
        <f>PROJECTS!$AP$29</f>
        <v>600</v>
      </c>
      <c r="F102" s="46">
        <f t="shared" si="748"/>
        <v>34</v>
      </c>
      <c r="G102" s="44" t="n">
        <f>PROJECTS!$AP$68</f>
        <v>0.035</v>
      </c>
      <c r="H102" s="144" t="str">
        <f>PROJECTS!$AP$78</f>
      </c>
      <c r="I102" s="428">
        <f t="shared" si="601"/>
        <v>0</v>
      </c>
      <c r="K102" s="290" t="s">
        <v>239</v>
      </c>
      <c r="L102" s="76"/>
      <c r="M102" s="421">
        <f t="shared" si="749"/>
        <v>0</v>
      </c>
      <c r="N102" s="421">
        <f t="shared" si="602"/>
        <v>0</v>
      </c>
      <c r="O102" s="421">
        <f t="shared" si="603"/>
        <v>0</v>
      </c>
      <c r="P102" s="421">
        <f t="shared" si="604"/>
        <v>0</v>
      </c>
      <c r="Q102" s="421">
        <f t="shared" si="605"/>
        <v>0</v>
      </c>
      <c r="R102" s="421">
        <f t="shared" si="606"/>
        <v>0</v>
      </c>
      <c r="S102" s="421">
        <f t="shared" si="607"/>
        <v>0</v>
      </c>
      <c r="T102" s="421">
        <f t="shared" si="608"/>
        <v>0</v>
      </c>
      <c r="U102" s="421">
        <f t="shared" si="609"/>
        <v>0</v>
      </c>
      <c r="V102" s="421">
        <f t="shared" si="610"/>
        <v>0</v>
      </c>
      <c r="W102" s="421">
        <f t="shared" si="611"/>
        <v>0</v>
      </c>
      <c r="X102" s="421">
        <f t="shared" si="612"/>
        <v>0</v>
      </c>
      <c r="Y102" s="421">
        <f t="shared" si="613"/>
        <v>0</v>
      </c>
      <c r="Z102" s="421">
        <f t="shared" si="614"/>
        <v>0</v>
      </c>
      <c r="AA102" s="421">
        <f t="shared" si="615"/>
        <v>0</v>
      </c>
      <c r="AB102" s="421">
        <f t="shared" si="616"/>
        <v>0</v>
      </c>
      <c r="AC102" s="421">
        <f t="shared" si="617"/>
        <v>0</v>
      </c>
      <c r="AD102" s="421">
        <f t="shared" si="618"/>
        <v>0</v>
      </c>
      <c r="AE102" s="421">
        <f t="shared" si="619"/>
        <v>0</v>
      </c>
      <c r="AF102" s="421">
        <f t="shared" si="620"/>
        <v>0</v>
      </c>
      <c r="AG102" s="421">
        <f t="shared" si="621"/>
        <v>0</v>
      </c>
      <c r="AH102" s="421">
        <f t="shared" si="622"/>
        <v>0</v>
      </c>
      <c r="AI102" s="421">
        <f t="shared" si="623"/>
        <v>0</v>
      </c>
      <c r="AJ102" s="421">
        <f t="shared" si="624"/>
        <v>0</v>
      </c>
      <c r="AK102" s="421">
        <f t="shared" si="625"/>
        <v>0</v>
      </c>
      <c r="AL102" s="421">
        <f t="shared" si="626"/>
        <v>0</v>
      </c>
      <c r="AM102" s="421">
        <f t="shared" si="627"/>
        <v>0</v>
      </c>
      <c r="AN102" s="421">
        <f t="shared" si="628"/>
        <v>0</v>
      </c>
      <c r="AO102" s="421">
        <f t="shared" si="629"/>
        <v>0</v>
      </c>
      <c r="AP102" s="421">
        <f t="shared" si="630"/>
        <v>0</v>
      </c>
      <c r="AQ102" s="421">
        <f t="shared" si="631"/>
        <v>0</v>
      </c>
      <c r="AR102" s="421">
        <f t="shared" si="632"/>
        <v>0</v>
      </c>
      <c r="AS102" s="421">
        <f t="shared" si="633"/>
        <v>0</v>
      </c>
      <c r="AT102" s="421">
        <f t="shared" si="634"/>
        <v>0</v>
      </c>
      <c r="AU102" s="421">
        <f t="shared" si="635"/>
        <v>0</v>
      </c>
      <c r="AV102" s="421">
        <f t="shared" si="636"/>
        <v>0</v>
      </c>
      <c r="AW102" s="421">
        <f t="shared" si="637"/>
        <v>0</v>
      </c>
      <c r="AX102" s="421">
        <f t="shared" si="638"/>
        <v>0</v>
      </c>
      <c r="AY102" s="421">
        <f t="shared" si="639"/>
        <v>0</v>
      </c>
      <c r="AZ102" s="421">
        <f t="shared" si="640"/>
        <v>0</v>
      </c>
      <c r="BA102" s="421">
        <f t="shared" si="641"/>
        <v>0</v>
      </c>
      <c r="BB102" s="421">
        <f t="shared" si="642"/>
        <v>0</v>
      </c>
      <c r="BC102" s="421">
        <f t="shared" si="643"/>
        <v>0</v>
      </c>
      <c r="BD102" s="421">
        <f t="shared" si="644"/>
        <v>0</v>
      </c>
      <c r="BE102" s="421">
        <f t="shared" si="645"/>
        <v>0</v>
      </c>
      <c r="BF102" s="421">
        <f t="shared" si="646"/>
        <v>0</v>
      </c>
      <c r="BG102" s="421">
        <f t="shared" si="647"/>
        <v>0</v>
      </c>
      <c r="BH102" s="421">
        <f t="shared" si="648"/>
        <v>0</v>
      </c>
      <c r="BI102" s="421">
        <f t="shared" si="649"/>
        <v>0</v>
      </c>
      <c r="BJ102" s="421">
        <f t="shared" si="650"/>
        <v>0</v>
      </c>
      <c r="BK102" s="421">
        <f t="shared" si="651"/>
        <v>0</v>
      </c>
      <c r="BL102" s="421">
        <f t="shared" si="652"/>
        <v>0</v>
      </c>
      <c r="BM102" s="421">
        <f t="shared" si="653"/>
        <v>0</v>
      </c>
      <c r="BN102" s="421">
        <f t="shared" si="654"/>
        <v>0</v>
      </c>
      <c r="BO102" s="421">
        <f t="shared" si="655"/>
        <v>0</v>
      </c>
      <c r="BP102" s="421">
        <f t="shared" si="656"/>
        <v>0</v>
      </c>
      <c r="BQ102" s="421">
        <f t="shared" si="657"/>
        <v>0</v>
      </c>
      <c r="BR102" s="421">
        <f t="shared" si="658"/>
        <v>0</v>
      </c>
      <c r="BS102" s="421">
        <f t="shared" si="659"/>
        <v>0</v>
      </c>
      <c r="BT102" s="421">
        <f t="shared" si="660"/>
        <v>0</v>
      </c>
      <c r="BU102" s="421">
        <f t="shared" si="661"/>
        <v>0</v>
      </c>
      <c r="BV102" s="421">
        <f t="shared" si="662"/>
        <v>0</v>
      </c>
      <c r="BW102" s="421">
        <f t="shared" si="663"/>
        <v>0</v>
      </c>
      <c r="BX102" s="421">
        <f t="shared" si="664"/>
        <v>0</v>
      </c>
      <c r="BY102" s="421">
        <f t="shared" si="665"/>
        <v>0</v>
      </c>
      <c r="BZ102" s="421">
        <f t="shared" si="666"/>
        <v>0</v>
      </c>
      <c r="CA102" s="421">
        <f t="shared" si="667"/>
        <v>0</v>
      </c>
      <c r="CB102" s="421">
        <f t="shared" si="668"/>
        <v>0</v>
      </c>
      <c r="CC102" s="421">
        <f t="shared" si="669"/>
        <v>0</v>
      </c>
      <c r="CD102" s="421">
        <f t="shared" si="670"/>
        <v>0</v>
      </c>
      <c r="CE102" s="421">
        <f t="shared" si="671"/>
        <v>0</v>
      </c>
      <c r="CF102" s="421">
        <f t="shared" si="672"/>
        <v>0</v>
      </c>
      <c r="CG102" s="421">
        <f t="shared" si="673"/>
        <v>0</v>
      </c>
      <c r="CH102" s="421">
        <f t="shared" si="674"/>
        <v>0</v>
      </c>
      <c r="CI102" s="421">
        <f t="shared" si="675"/>
        <v>0</v>
      </c>
      <c r="CJ102" s="421">
        <f t="shared" si="676"/>
        <v>0</v>
      </c>
      <c r="CK102" s="421">
        <f t="shared" si="677"/>
        <v>0</v>
      </c>
      <c r="CL102" s="421">
        <f t="shared" si="678"/>
        <v>0</v>
      </c>
      <c r="CM102" s="421">
        <f t="shared" si="679"/>
        <v>0</v>
      </c>
      <c r="CN102" s="421">
        <f t="shared" si="680"/>
        <v>0</v>
      </c>
      <c r="CO102" s="421">
        <f t="shared" si="681"/>
        <v>0</v>
      </c>
      <c r="CP102" s="421">
        <f t="shared" si="682"/>
        <v>0</v>
      </c>
      <c r="CQ102" s="421">
        <f t="shared" si="683"/>
        <v>0</v>
      </c>
      <c r="CR102" s="421">
        <f t="shared" si="684"/>
        <v>0</v>
      </c>
      <c r="CS102" s="421">
        <f t="shared" si="685"/>
        <v>0</v>
      </c>
      <c r="CT102" s="421">
        <f t="shared" si="686"/>
        <v>0</v>
      </c>
      <c r="CU102" s="421">
        <f t="shared" si="687"/>
        <v>0</v>
      </c>
      <c r="CV102" s="421">
        <f t="shared" si="688"/>
        <v>0</v>
      </c>
      <c r="CW102" s="421">
        <f t="shared" si="689"/>
        <v>0</v>
      </c>
      <c r="CX102" s="421">
        <f t="shared" si="690"/>
        <v>0</v>
      </c>
      <c r="CY102" s="421">
        <f t="shared" si="691"/>
        <v>0</v>
      </c>
      <c r="CZ102" s="421">
        <f t="shared" si="692"/>
        <v>0</v>
      </c>
      <c r="DA102" s="421">
        <f t="shared" si="693"/>
        <v>0</v>
      </c>
      <c r="DB102" s="421">
        <f t="shared" si="694"/>
        <v>0</v>
      </c>
      <c r="DC102" s="421">
        <f t="shared" si="695"/>
        <v>0</v>
      </c>
      <c r="DD102" s="421">
        <f t="shared" si="696"/>
        <v>0</v>
      </c>
      <c r="DE102" s="421">
        <f t="shared" si="697"/>
        <v>0</v>
      </c>
      <c r="DF102" s="421">
        <f t="shared" si="698"/>
        <v>0</v>
      </c>
      <c r="DG102" s="421">
        <f t="shared" si="699"/>
        <v>0</v>
      </c>
      <c r="DH102" s="421">
        <f t="shared" si="700"/>
        <v>0</v>
      </c>
      <c r="DI102" s="421">
        <f t="shared" si="701"/>
        <v>0</v>
      </c>
      <c r="DJ102" s="421">
        <f t="shared" si="702"/>
        <v>0</v>
      </c>
      <c r="DK102" s="421">
        <f t="shared" si="703"/>
        <v>0</v>
      </c>
      <c r="DL102" s="421">
        <f t="shared" si="704"/>
        <v>0</v>
      </c>
      <c r="DM102" s="421">
        <f t="shared" si="705"/>
        <v>0</v>
      </c>
      <c r="DN102" s="421">
        <f t="shared" si="706"/>
        <v>0</v>
      </c>
      <c r="DO102" s="421">
        <f t="shared" si="707"/>
        <v>0</v>
      </c>
      <c r="DP102" s="421">
        <f t="shared" si="708"/>
        <v>0</v>
      </c>
      <c r="DQ102" s="421">
        <f t="shared" si="709"/>
        <v>0</v>
      </c>
      <c r="DR102" s="421">
        <f t="shared" si="710"/>
        <v>0</v>
      </c>
      <c r="DS102" s="421">
        <f t="shared" si="711"/>
        <v>0</v>
      </c>
      <c r="DT102" s="421">
        <f t="shared" si="712"/>
        <v>0</v>
      </c>
      <c r="DU102" s="421">
        <f t="shared" si="713"/>
        <v>0</v>
      </c>
      <c r="DV102" s="421">
        <f t="shared" si="714"/>
        <v>0</v>
      </c>
      <c r="DW102" s="421">
        <f t="shared" si="715"/>
        <v>0</v>
      </c>
      <c r="DX102" s="421">
        <f t="shared" si="716"/>
        <v>0</v>
      </c>
      <c r="DY102" s="421">
        <f t="shared" si="717"/>
        <v>0</v>
      </c>
      <c r="DZ102" s="421">
        <f t="shared" si="718"/>
        <v>0</v>
      </c>
      <c r="EA102" s="421">
        <f t="shared" si="719"/>
        <v>0</v>
      </c>
      <c r="EB102" s="421">
        <f t="shared" si="720"/>
        <v>0</v>
      </c>
      <c r="EC102" s="421">
        <f t="shared" si="721"/>
        <v>0</v>
      </c>
      <c r="ED102" s="421">
        <f t="shared" si="722"/>
        <v>0</v>
      </c>
      <c r="EE102" s="421">
        <f t="shared" si="723"/>
        <v>0</v>
      </c>
      <c r="EF102" s="421">
        <f t="shared" si="724"/>
        <v>0</v>
      </c>
      <c r="EG102" s="421">
        <f t="shared" si="725"/>
        <v>0</v>
      </c>
      <c r="EH102" s="421">
        <f t="shared" si="726"/>
        <v>0</v>
      </c>
      <c r="EI102" s="421">
        <f t="shared" si="727"/>
        <v>0</v>
      </c>
      <c r="EJ102" s="421">
        <f t="shared" si="728"/>
        <v>0</v>
      </c>
      <c r="EK102" s="421">
        <f t="shared" si="729"/>
        <v>0</v>
      </c>
      <c r="EL102" s="421">
        <f t="shared" si="730"/>
        <v>0</v>
      </c>
      <c r="EM102" s="421">
        <f t="shared" si="731"/>
        <v>0</v>
      </c>
      <c r="EN102" s="421">
        <f t="shared" si="732"/>
        <v>0</v>
      </c>
      <c r="EP102" s="220" t="str">
        <f t="shared" si="750"/>
        <v>Self-Storage Facility</v>
      </c>
      <c r="EQ102" s="20">
        <f t="shared" si="751"/>
        <v>600</v>
      </c>
      <c r="ER102" s="198">
        <f t="shared" si="752"/>
        <v>31</v>
      </c>
      <c r="ES102" s="18"/>
      <c r="ET102" s="18"/>
      <c r="EU102" s="18"/>
      <c r="EV102" s="422">
        <f t="shared" si="753"/>
        <v>0</v>
      </c>
      <c r="EW102" s="422">
        <f t="shared" si="753"/>
        <v>0</v>
      </c>
      <c r="EX102" s="422">
        <f t="shared" si="753"/>
        <v>0</v>
      </c>
      <c r="EY102" s="422">
        <f t="shared" si="753"/>
        <v>0</v>
      </c>
      <c r="EZ102" s="422">
        <f t="shared" si="753"/>
        <v>0</v>
      </c>
      <c r="FA102" s="422">
        <f t="shared" si="753"/>
        <v>0</v>
      </c>
      <c r="FB102" s="422">
        <f t="shared" si="753"/>
        <v>0</v>
      </c>
      <c r="FC102" s="422">
        <f t="shared" si="753"/>
        <v>0</v>
      </c>
      <c r="FD102" s="422">
        <f t="shared" si="753"/>
        <v>0</v>
      </c>
      <c r="FE102" s="422">
        <f t="shared" si="753"/>
        <v>0</v>
      </c>
      <c r="FF102" s="422">
        <f t="shared" si="753"/>
        <v>0</v>
      </c>
      <c r="FG102" s="422">
        <f t="shared" si="753"/>
        <v>0</v>
      </c>
      <c r="FH102" s="422">
        <f t="shared" si="753"/>
        <v>0</v>
      </c>
      <c r="FI102" s="422">
        <f t="shared" si="753"/>
        <v>0</v>
      </c>
      <c r="FJ102" s="422">
        <f t="shared" si="753"/>
        <v>0</v>
      </c>
      <c r="FK102" s="422">
        <f t="shared" si="753"/>
        <v>0</v>
      </c>
      <c r="FL102" s="422">
        <f t="shared" si="760"/>
        <v>0</v>
      </c>
      <c r="FM102" s="422">
        <f t="shared" si="760"/>
        <v>0</v>
      </c>
      <c r="FN102" s="422">
        <f t="shared" si="760"/>
        <v>0</v>
      </c>
      <c r="FO102" s="422">
        <f t="shared" si="760"/>
        <v>0</v>
      </c>
      <c r="FP102" s="422">
        <f t="shared" si="760"/>
        <v>0</v>
      </c>
      <c r="FQ102" s="422">
        <f t="shared" si="760"/>
        <v>0</v>
      </c>
      <c r="FR102" s="422">
        <f t="shared" si="760"/>
        <v>0</v>
      </c>
      <c r="FS102" s="422">
        <f t="shared" si="760"/>
        <v>0</v>
      </c>
      <c r="FT102" s="422">
        <f t="shared" si="760"/>
        <v>0</v>
      </c>
      <c r="FU102" s="422">
        <f t="shared" si="760"/>
        <v>0</v>
      </c>
      <c r="FV102" s="422">
        <f t="shared" si="760"/>
        <v>0</v>
      </c>
      <c r="FW102" s="422">
        <f t="shared" si="760"/>
        <v>0</v>
      </c>
      <c r="FX102" s="422">
        <f t="shared" si="760"/>
        <v>0</v>
      </c>
      <c r="FY102" s="422">
        <f t="shared" si="760"/>
        <v>0</v>
      </c>
      <c r="FZ102" s="422">
        <f t="shared" si="760"/>
        <v>0</v>
      </c>
      <c r="GA102" s="422">
        <f t="shared" si="760"/>
        <v>600</v>
      </c>
      <c r="GB102" s="422">
        <f t="shared" si="760"/>
        <v>600</v>
      </c>
      <c r="GC102" s="422">
        <f t="shared" si="760"/>
        <v>600</v>
      </c>
      <c r="GD102" s="422">
        <f t="shared" si="760"/>
        <v>600</v>
      </c>
      <c r="GE102" s="422">
        <f t="shared" si="760"/>
        <v>600</v>
      </c>
      <c r="GF102" s="422">
        <f t="shared" si="760"/>
        <v>600</v>
      </c>
      <c r="GG102" s="422">
        <f t="shared" si="760"/>
        <v>600</v>
      </c>
      <c r="GH102" s="422">
        <f t="shared" si="760"/>
        <v>600</v>
      </c>
      <c r="GI102" s="422">
        <f t="shared" si="760"/>
        <v>600</v>
      </c>
      <c r="GJ102" s="422">
        <f t="shared" si="760"/>
        <v>600</v>
      </c>
      <c r="GK102" s="422">
        <f t="shared" si="760"/>
        <v>600</v>
      </c>
      <c r="GL102" s="422">
        <f t="shared" si="760"/>
        <v>600</v>
      </c>
      <c r="GM102" s="422">
        <f t="shared" si="760"/>
        <v>600</v>
      </c>
      <c r="GN102" s="422">
        <f t="shared" si="760"/>
        <v>600</v>
      </c>
      <c r="GO102" s="422">
        <f t="shared" si="760"/>
        <v>600</v>
      </c>
      <c r="GP102" s="422">
        <f t="shared" si="760"/>
        <v>600</v>
      </c>
      <c r="GQ102" s="422">
        <f t="shared" si="760"/>
        <v>600</v>
      </c>
      <c r="GR102" s="422">
        <f t="shared" si="760"/>
        <v>600</v>
      </c>
      <c r="GS102" s="422">
        <f t="shared" si="760"/>
        <v>600</v>
      </c>
      <c r="GT102" s="422">
        <f t="shared" si="760"/>
        <v>600</v>
      </c>
      <c r="GU102" s="422">
        <f t="shared" si="760"/>
        <v>600</v>
      </c>
      <c r="GV102" s="422">
        <f t="shared" si="760"/>
        <v>600</v>
      </c>
      <c r="GW102" s="422">
        <f t="shared" si="760"/>
        <v>600</v>
      </c>
      <c r="GX102" s="422">
        <f t="shared" si="760"/>
        <v>600</v>
      </c>
      <c r="GY102" s="422">
        <f t="shared" si="760"/>
        <v>600</v>
      </c>
      <c r="GZ102" s="422">
        <f t="shared" si="760"/>
        <v>600</v>
      </c>
      <c r="HA102" s="422">
        <f t="shared" si="760"/>
        <v>600</v>
      </c>
      <c r="HB102" s="422">
        <f t="shared" si="760"/>
        <v>600</v>
      </c>
      <c r="HC102" s="422">
        <f t="shared" si="760"/>
        <v>600</v>
      </c>
      <c r="HD102" s="422">
        <f t="shared" si="760"/>
        <v>600</v>
      </c>
      <c r="HE102" s="422">
        <f t="shared" si="760"/>
        <v>600</v>
      </c>
      <c r="HF102" s="422">
        <f t="shared" si="760"/>
        <v>600</v>
      </c>
      <c r="HG102" s="422">
        <f t="shared" si="760"/>
        <v>600</v>
      </c>
      <c r="HH102" s="422">
        <f t="shared" si="760"/>
        <v>600</v>
      </c>
      <c r="HI102" s="422">
        <f t="shared" si="762"/>
        <v>600</v>
      </c>
      <c r="HJ102" s="422">
        <f t="shared" si="762"/>
        <v>600</v>
      </c>
      <c r="HK102" s="422">
        <f t="shared" si="762"/>
        <v>600</v>
      </c>
      <c r="HL102" s="422">
        <f t="shared" si="762"/>
        <v>600</v>
      </c>
      <c r="HM102" s="422">
        <f t="shared" si="762"/>
        <v>600</v>
      </c>
      <c r="HN102" s="422">
        <f t="shared" si="762"/>
        <v>600</v>
      </c>
      <c r="HO102" s="422">
        <f t="shared" si="762"/>
        <v>600</v>
      </c>
      <c r="HP102" s="422">
        <f t="shared" si="762"/>
        <v>600</v>
      </c>
      <c r="HQ102" s="422">
        <f t="shared" si="762"/>
        <v>600</v>
      </c>
      <c r="HR102" s="422">
        <f t="shared" si="762"/>
        <v>600</v>
      </c>
      <c r="HS102" s="422">
        <f t="shared" si="762"/>
        <v>600</v>
      </c>
      <c r="HT102" s="422">
        <f t="shared" si="762"/>
        <v>600</v>
      </c>
      <c r="HU102" s="422">
        <f t="shared" si="762"/>
        <v>600</v>
      </c>
      <c r="HV102" s="422">
        <f t="shared" si="762"/>
        <v>600</v>
      </c>
      <c r="HW102" s="422">
        <f t="shared" si="762"/>
        <v>600</v>
      </c>
      <c r="HX102" s="422">
        <f t="shared" si="762"/>
        <v>600</v>
      </c>
      <c r="HY102" s="422">
        <f t="shared" si="762"/>
        <v>600</v>
      </c>
      <c r="HZ102" s="422">
        <f t="shared" si="762"/>
        <v>600</v>
      </c>
      <c r="IA102" s="422">
        <f t="shared" si="762"/>
        <v>600</v>
      </c>
      <c r="IB102" s="422">
        <f t="shared" si="762"/>
        <v>600</v>
      </c>
      <c r="IC102" s="422">
        <f t="shared" si="762"/>
        <v>600</v>
      </c>
      <c r="ID102" s="422">
        <f t="shared" si="762"/>
        <v>600</v>
      </c>
      <c r="IE102" s="422">
        <f t="shared" si="762"/>
        <v>600</v>
      </c>
      <c r="IF102" s="422">
        <f t="shared" si="762"/>
        <v>600</v>
      </c>
      <c r="IG102" s="422">
        <f t="shared" si="762"/>
        <v>600</v>
      </c>
      <c r="IH102" s="422">
        <f t="shared" si="762"/>
        <v>600</v>
      </c>
      <c r="II102" s="422">
        <f t="shared" si="762"/>
        <v>600</v>
      </c>
      <c r="IJ102" s="422">
        <f t="shared" si="762"/>
        <v>600</v>
      </c>
      <c r="IK102" s="422">
        <f t="shared" si="762"/>
        <v>600</v>
      </c>
      <c r="IL102" s="422">
        <f t="shared" si="762"/>
        <v>600</v>
      </c>
      <c r="IM102" s="422">
        <f t="shared" si="762"/>
        <v>600</v>
      </c>
      <c r="IN102" s="422">
        <f t="shared" si="762"/>
        <v>600</v>
      </c>
      <c r="IO102" s="422">
        <f t="shared" si="762"/>
        <v>600</v>
      </c>
      <c r="IP102" s="422">
        <f t="shared" si="762"/>
        <v>600</v>
      </c>
      <c r="IQ102" s="422">
        <f t="shared" si="762"/>
        <v>600</v>
      </c>
      <c r="IR102" s="422">
        <f t="shared" si="762"/>
        <v>600</v>
      </c>
      <c r="IS102" s="422">
        <f t="shared" si="762"/>
        <v>600</v>
      </c>
      <c r="IT102" s="422">
        <f t="shared" si="762"/>
        <v>600</v>
      </c>
      <c r="IU102" s="422">
        <f t="shared" si="762"/>
        <v>600</v>
      </c>
      <c r="IV102" s="422">
        <f t="shared" si="762"/>
        <v>600</v>
      </c>
      <c r="IW102" s="422">
        <f t="shared" si="762"/>
        <v>600</v>
      </c>
      <c r="IX102" s="422">
        <f t="shared" si="762"/>
        <v>600</v>
      </c>
      <c r="IY102" s="422">
        <f t="shared" si="762"/>
        <v>600</v>
      </c>
      <c r="IZ102" s="422">
        <f t="shared" si="762"/>
        <v>600</v>
      </c>
      <c r="JA102" s="422">
        <f t="shared" si="762"/>
        <v>600</v>
      </c>
      <c r="JB102" s="422">
        <f t="shared" si="762"/>
        <v>600</v>
      </c>
      <c r="JC102" s="422">
        <f t="shared" si="762"/>
        <v>600</v>
      </c>
      <c r="JD102" s="422">
        <f t="shared" si="762"/>
        <v>600</v>
      </c>
      <c r="JE102" s="422">
        <f t="shared" si="762"/>
        <v>600</v>
      </c>
      <c r="JF102" s="422">
        <f t="shared" si="762"/>
        <v>600</v>
      </c>
      <c r="JG102" s="422">
        <f t="shared" si="762"/>
        <v>600</v>
      </c>
      <c r="JH102" s="422">
        <f t="shared" si="762"/>
        <v>600</v>
      </c>
      <c r="JI102" s="422">
        <f t="shared" si="762"/>
        <v>600</v>
      </c>
      <c r="JJ102" s="422">
        <f t="shared" si="762"/>
        <v>600</v>
      </c>
      <c r="JK102" s="422">
        <f t="shared" si="762"/>
        <v>600</v>
      </c>
      <c r="JL102" s="422">
        <f t="shared" si="762"/>
        <v>600</v>
      </c>
      <c r="JM102" s="422">
        <f t="shared" si="762"/>
        <v>600</v>
      </c>
      <c r="JN102" s="422">
        <f t="shared" si="762"/>
        <v>600</v>
      </c>
      <c r="JO102" s="422">
        <f t="shared" si="762"/>
        <v>600</v>
      </c>
      <c r="JP102" s="422">
        <f t="shared" si="762"/>
        <v>600</v>
      </c>
      <c r="JQ102" s="422">
        <f t="shared" si="762"/>
        <v>600</v>
      </c>
      <c r="JR102" s="422">
        <f t="shared" si="762"/>
        <v>600</v>
      </c>
      <c r="JS102" s="422">
        <f t="shared" si="762"/>
        <v>600</v>
      </c>
      <c r="JT102" s="422">
        <f t="shared" si="762"/>
        <v>600</v>
      </c>
      <c r="JU102" s="422">
        <f t="shared" si="735"/>
        <v>600</v>
      </c>
      <c r="JV102" s="422">
        <f t="shared" si="735"/>
        <v>600</v>
      </c>
      <c r="JW102" s="422">
        <f t="shared" si="735"/>
        <v>600</v>
      </c>
      <c r="JX102" s="422">
        <f t="shared" si="735"/>
        <v>600</v>
      </c>
      <c r="JZ102" s="220" t="str">
        <f t="shared" si="754"/>
        <v>Self-Storage Facility</v>
      </c>
      <c r="KA102" s="422">
        <f t="shared" si="736"/>
        <v>0</v>
      </c>
      <c r="KB102" s="198">
        <f t="shared" si="737"/>
        <v>34</v>
      </c>
      <c r="KC102" s="207">
        <f t="shared" si="738"/>
        <v>3.5000000000000003E-2</v>
      </c>
      <c r="KD102" s="214" t="str">
        <f t="shared" si="596"/>
        <v>Annual</v>
      </c>
      <c r="KE102" s="474" t="n">
        <f>MATCH(KD102,Data!$G$24:$G$33,0)</f>
        <v>1</v>
      </c>
      <c r="KF102" s="264"/>
      <c r="KG102" s="475">
        <f t="shared" si="755"/>
        <v>0</v>
      </c>
      <c r="KH102" s="475">
        <f t="shared" si="739"/>
        <v>0</v>
      </c>
      <c r="KI102" s="475">
        <f t="shared" si="739"/>
        <v>0</v>
      </c>
      <c r="KJ102" s="475">
        <f t="shared" si="739"/>
        <v>0</v>
      </c>
      <c r="KK102" s="475">
        <f t="shared" si="739"/>
        <v>0</v>
      </c>
      <c r="KL102" s="475">
        <f t="shared" si="739"/>
        <v>0</v>
      </c>
      <c r="KM102" s="475">
        <f t="shared" si="739"/>
        <v>0</v>
      </c>
      <c r="KN102" s="475">
        <f t="shared" si="739"/>
        <v>0</v>
      </c>
      <c r="KO102" s="475">
        <f t="shared" si="739"/>
        <v>0</v>
      </c>
      <c r="KP102" s="475">
        <f t="shared" si="739"/>
        <v>0</v>
      </c>
      <c r="KQ102" s="475">
        <f t="shared" si="739"/>
        <v>0</v>
      </c>
      <c r="KR102" s="475">
        <f t="shared" si="739"/>
        <v>0</v>
      </c>
      <c r="KS102" s="475">
        <f t="shared" si="739"/>
        <v>0</v>
      </c>
      <c r="KT102" s="475">
        <f t="shared" si="739"/>
        <v>0</v>
      </c>
      <c r="KU102" s="475">
        <f t="shared" si="739"/>
        <v>0</v>
      </c>
      <c r="KV102" s="475">
        <f t="shared" si="739"/>
        <v>0</v>
      </c>
      <c r="KW102" s="475">
        <f t="shared" si="739"/>
        <v>0</v>
      </c>
      <c r="KX102" s="475">
        <f t="shared" si="740"/>
        <v>0</v>
      </c>
      <c r="KY102" s="475">
        <f t="shared" si="740"/>
        <v>0</v>
      </c>
      <c r="KZ102" s="475">
        <f t="shared" si="740"/>
        <v>0</v>
      </c>
      <c r="LA102" s="475">
        <f t="shared" si="740"/>
        <v>0</v>
      </c>
      <c r="LB102" s="475">
        <f t="shared" si="740"/>
        <v>0</v>
      </c>
      <c r="LC102" s="475">
        <f t="shared" si="740"/>
        <v>0</v>
      </c>
      <c r="LD102" s="475">
        <f t="shared" si="740"/>
        <v>0</v>
      </c>
      <c r="LE102" s="475">
        <f t="shared" si="740"/>
        <v>0</v>
      </c>
      <c r="LF102" s="475">
        <f t="shared" si="740"/>
        <v>0</v>
      </c>
      <c r="LG102" s="475">
        <f t="shared" si="740"/>
        <v>0</v>
      </c>
      <c r="LH102" s="475">
        <f t="shared" si="740"/>
        <v>0</v>
      </c>
      <c r="LI102" s="475">
        <f t="shared" si="740"/>
        <v>0</v>
      </c>
      <c r="LJ102" s="475">
        <f t="shared" si="740"/>
        <v>0</v>
      </c>
      <c r="LK102" s="475">
        <f t="shared" si="740"/>
        <v>0</v>
      </c>
      <c r="LL102" s="475">
        <f t="shared" si="740"/>
        <v>0</v>
      </c>
      <c r="LM102" s="475">
        <f t="shared" si="740"/>
        <v>0</v>
      </c>
      <c r="LN102" s="475">
        <f t="shared" si="741"/>
        <v>0</v>
      </c>
      <c r="LO102" s="475">
        <f t="shared" si="741"/>
        <v>0</v>
      </c>
      <c r="LP102" s="475">
        <f t="shared" si="741"/>
        <v>0</v>
      </c>
      <c r="LQ102" s="475">
        <f t="shared" si="741"/>
        <v>0</v>
      </c>
      <c r="LR102" s="475">
        <f t="shared" si="741"/>
        <v>0</v>
      </c>
      <c r="LS102" s="475">
        <f t="shared" si="741"/>
        <v>0</v>
      </c>
      <c r="LT102" s="475">
        <f t="shared" si="741"/>
        <v>0</v>
      </c>
      <c r="LU102" s="475">
        <f t="shared" si="741"/>
        <v>0</v>
      </c>
      <c r="LV102" s="475">
        <f t="shared" si="741"/>
        <v>0</v>
      </c>
      <c r="LW102" s="475">
        <f t="shared" si="741"/>
        <v>0</v>
      </c>
      <c r="LX102" s="475">
        <f t="shared" si="741"/>
        <v>0</v>
      </c>
      <c r="LY102" s="475">
        <f t="shared" si="741"/>
        <v>0</v>
      </c>
      <c r="LZ102" s="475">
        <f t="shared" si="741"/>
        <v>0</v>
      </c>
      <c r="MA102" s="475">
        <f t="shared" si="741"/>
        <v>0</v>
      </c>
      <c r="MB102" s="475">
        <f t="shared" si="741"/>
        <v>0</v>
      </c>
      <c r="MC102" s="475">
        <f t="shared" si="741"/>
        <v>0</v>
      </c>
      <c r="MD102" s="475">
        <f t="shared" si="742"/>
        <v>0</v>
      </c>
      <c r="ME102" s="475">
        <f t="shared" si="742"/>
        <v>0</v>
      </c>
      <c r="MF102" s="475">
        <f t="shared" si="742"/>
        <v>0</v>
      </c>
      <c r="MG102" s="475">
        <f t="shared" si="742"/>
        <v>0</v>
      </c>
      <c r="MH102" s="475">
        <f t="shared" si="742"/>
        <v>0</v>
      </c>
      <c r="MI102" s="475">
        <f t="shared" si="742"/>
        <v>0</v>
      </c>
      <c r="MJ102" s="475">
        <f t="shared" si="742"/>
        <v>0</v>
      </c>
      <c r="MK102" s="475">
        <f t="shared" si="742"/>
        <v>0</v>
      </c>
      <c r="ML102" s="475">
        <f t="shared" si="742"/>
        <v>0</v>
      </c>
      <c r="MM102" s="475">
        <f t="shared" si="742"/>
        <v>0</v>
      </c>
      <c r="MN102" s="475">
        <f t="shared" si="742"/>
        <v>0</v>
      </c>
      <c r="MO102" s="475">
        <f t="shared" si="742"/>
        <v>0</v>
      </c>
      <c r="MP102" s="475">
        <f t="shared" si="742"/>
        <v>0</v>
      </c>
      <c r="MQ102" s="475">
        <f t="shared" si="742"/>
        <v>0</v>
      </c>
      <c r="MR102" s="475">
        <f t="shared" si="742"/>
        <v>0</v>
      </c>
      <c r="MS102" s="475">
        <f t="shared" si="742"/>
        <v>0</v>
      </c>
      <c r="MT102" s="475">
        <f t="shared" si="743"/>
        <v>0</v>
      </c>
      <c r="MU102" s="475">
        <f t="shared" si="743"/>
        <v>0</v>
      </c>
      <c r="MV102" s="475">
        <f t="shared" si="743"/>
        <v>0</v>
      </c>
      <c r="MW102" s="475">
        <f t="shared" si="743"/>
        <v>0</v>
      </c>
      <c r="MX102" s="475">
        <f t="shared" si="743"/>
        <v>0</v>
      </c>
      <c r="MY102" s="475">
        <f t="shared" si="743"/>
        <v>0</v>
      </c>
      <c r="MZ102" s="475">
        <f t="shared" si="743"/>
        <v>0</v>
      </c>
      <c r="NA102" s="475">
        <f t="shared" si="743"/>
        <v>0</v>
      </c>
      <c r="NB102" s="475">
        <f t="shared" si="743"/>
        <v>0</v>
      </c>
      <c r="NC102" s="475">
        <f t="shared" si="743"/>
        <v>0</v>
      </c>
      <c r="ND102" s="475">
        <f t="shared" si="743"/>
        <v>0</v>
      </c>
      <c r="NE102" s="475">
        <f t="shared" si="743"/>
        <v>0</v>
      </c>
      <c r="NF102" s="475">
        <f t="shared" si="743"/>
        <v>0</v>
      </c>
      <c r="NG102" s="475">
        <f t="shared" si="743"/>
        <v>0</v>
      </c>
      <c r="NH102" s="475">
        <f t="shared" si="743"/>
        <v>0</v>
      </c>
      <c r="NI102" s="475">
        <f t="shared" si="743"/>
        <v>0</v>
      </c>
      <c r="NJ102" s="475">
        <f t="shared" si="744"/>
        <v>0</v>
      </c>
      <c r="NK102" s="475">
        <f t="shared" si="744"/>
        <v>0</v>
      </c>
      <c r="NL102" s="475">
        <f t="shared" si="744"/>
        <v>0</v>
      </c>
      <c r="NM102" s="475">
        <f t="shared" si="744"/>
        <v>0</v>
      </c>
      <c r="NN102" s="475">
        <f t="shared" si="744"/>
        <v>0</v>
      </c>
      <c r="NO102" s="475">
        <f t="shared" si="744"/>
        <v>0</v>
      </c>
      <c r="NP102" s="475">
        <f t="shared" si="744"/>
        <v>0</v>
      </c>
      <c r="NQ102" s="475">
        <f t="shared" si="744"/>
        <v>0</v>
      </c>
      <c r="NR102" s="475">
        <f t="shared" si="744"/>
        <v>0</v>
      </c>
      <c r="NS102" s="475">
        <f t="shared" si="744"/>
        <v>0</v>
      </c>
      <c r="NT102" s="475">
        <f t="shared" si="744"/>
        <v>0</v>
      </c>
      <c r="NU102" s="475">
        <f t="shared" si="744"/>
        <v>0</v>
      </c>
      <c r="NV102" s="475">
        <f t="shared" si="744"/>
        <v>0</v>
      </c>
      <c r="NW102" s="475">
        <f t="shared" si="744"/>
        <v>0</v>
      </c>
      <c r="NX102" s="475">
        <f t="shared" si="744"/>
        <v>0</v>
      </c>
      <c r="NY102" s="475">
        <f t="shared" si="744"/>
        <v>0</v>
      </c>
      <c r="NZ102" s="475">
        <f t="shared" si="745"/>
        <v>0</v>
      </c>
      <c r="OA102" s="475">
        <f t="shared" si="745"/>
        <v>0</v>
      </c>
      <c r="OB102" s="475">
        <f t="shared" si="745"/>
        <v>0</v>
      </c>
      <c r="OC102" s="475">
        <f t="shared" si="745"/>
        <v>0</v>
      </c>
      <c r="OD102" s="475">
        <f t="shared" si="745"/>
        <v>0</v>
      </c>
      <c r="OE102" s="475">
        <f t="shared" si="745"/>
        <v>0</v>
      </c>
      <c r="OF102" s="475">
        <f t="shared" si="745"/>
        <v>0</v>
      </c>
      <c r="OG102" s="475">
        <f t="shared" si="745"/>
        <v>0</v>
      </c>
      <c r="OH102" s="475">
        <f t="shared" si="745"/>
        <v>0</v>
      </c>
      <c r="OI102" s="475">
        <f t="shared" si="745"/>
        <v>0</v>
      </c>
      <c r="OJ102" s="475">
        <f t="shared" si="745"/>
        <v>0</v>
      </c>
      <c r="OK102" s="475">
        <f t="shared" si="745"/>
        <v>0</v>
      </c>
      <c r="OL102" s="475">
        <f t="shared" si="745"/>
        <v>0</v>
      </c>
      <c r="OM102" s="475">
        <f t="shared" si="745"/>
        <v>0</v>
      </c>
      <c r="ON102" s="475">
        <f t="shared" si="745"/>
        <v>0</v>
      </c>
      <c r="OO102" s="475">
        <f t="shared" si="745"/>
        <v>0</v>
      </c>
      <c r="OP102" s="475">
        <f t="shared" si="746"/>
        <v>0</v>
      </c>
      <c r="OQ102" s="475">
        <f t="shared" si="746"/>
        <v>0</v>
      </c>
      <c r="OR102" s="475">
        <f t="shared" si="746"/>
        <v>0</v>
      </c>
      <c r="OS102" s="475">
        <f t="shared" si="746"/>
        <v>0</v>
      </c>
      <c r="OT102" s="475">
        <f t="shared" si="746"/>
        <v>0</v>
      </c>
      <c r="OU102" s="475">
        <f t="shared" si="746"/>
        <v>0</v>
      </c>
      <c r="OV102" s="475">
        <f t="shared" si="746"/>
        <v>0</v>
      </c>
      <c r="OW102" s="475">
        <f t="shared" si="746"/>
        <v>0</v>
      </c>
      <c r="OX102" s="475">
        <f t="shared" si="746"/>
        <v>0</v>
      </c>
      <c r="OY102" s="475">
        <f t="shared" si="746"/>
        <v>0</v>
      </c>
      <c r="OZ102" s="475">
        <f t="shared" si="746"/>
        <v>0</v>
      </c>
      <c r="PA102" s="475">
        <f t="shared" si="746"/>
        <v>0</v>
      </c>
      <c r="PB102" s="475">
        <f t="shared" si="746"/>
        <v>0</v>
      </c>
      <c r="PC102" s="475">
        <f t="shared" si="746"/>
        <v>0</v>
      </c>
      <c r="PD102" s="475">
        <f t="shared" si="746"/>
        <v>0</v>
      </c>
      <c r="PE102" s="475">
        <f t="shared" si="746"/>
        <v>0</v>
      </c>
      <c r="PF102" s="475">
        <f t="shared" si="747"/>
        <v>0</v>
      </c>
      <c r="PG102" s="475">
        <f t="shared" si="747"/>
        <v>0</v>
      </c>
      <c r="PH102" s="475">
        <f t="shared" si="747"/>
        <v>0</v>
      </c>
    </row>
    <row r="103">
      <c r="B103" s="473" t="s">
        <v>255</v>
      </c>
      <c r="C103" s="473" t="s">
        <v>256</v>
      </c>
      <c r="D103" s="46" t="n">
        <f>Timing_Operation_Begin_Month</f>
        <v>37</v>
      </c>
      <c r="E103" s="420" t="n">
        <f>PROJECTS!$AP$30</f>
        <v>64</v>
      </c>
      <c r="F103" s="46">
        <f t="shared" si="748"/>
        <v>40</v>
      </c>
      <c r="G103" s="44" t="n">
        <f>PROJECTS!$AP$68</f>
        <v>0.035</v>
      </c>
      <c r="H103" s="144" t="str">
        <f>PROJECTS!$AP$79</f>
      </c>
      <c r="I103" s="428">
        <f t="shared" si="601"/>
        <v>0</v>
      </c>
      <c r="K103" s="290" t="s">
        <v>239</v>
      </c>
      <c r="L103" s="76"/>
      <c r="M103" s="421">
        <f t="shared" si="749"/>
        <v>0</v>
      </c>
      <c r="N103" s="421">
        <f t="shared" si="602"/>
        <v>0</v>
      </c>
      <c r="O103" s="421">
        <f t="shared" si="603"/>
        <v>0</v>
      </c>
      <c r="P103" s="421">
        <f t="shared" si="604"/>
        <v>0</v>
      </c>
      <c r="Q103" s="421">
        <f t="shared" si="605"/>
        <v>0</v>
      </c>
      <c r="R103" s="421">
        <f t="shared" si="606"/>
        <v>0</v>
      </c>
      <c r="S103" s="421">
        <f t="shared" si="607"/>
        <v>0</v>
      </c>
      <c r="T103" s="421">
        <f t="shared" si="608"/>
        <v>0</v>
      </c>
      <c r="U103" s="421">
        <f t="shared" si="609"/>
        <v>0</v>
      </c>
      <c r="V103" s="421">
        <f t="shared" si="610"/>
        <v>0</v>
      </c>
      <c r="W103" s="421">
        <f t="shared" si="611"/>
        <v>0</v>
      </c>
      <c r="X103" s="421">
        <f t="shared" si="612"/>
        <v>0</v>
      </c>
      <c r="Y103" s="421">
        <f t="shared" si="613"/>
        <v>0</v>
      </c>
      <c r="Z103" s="421">
        <f t="shared" si="614"/>
        <v>0</v>
      </c>
      <c r="AA103" s="421">
        <f t="shared" si="615"/>
        <v>0</v>
      </c>
      <c r="AB103" s="421">
        <f t="shared" si="616"/>
        <v>0</v>
      </c>
      <c r="AC103" s="421">
        <f t="shared" si="617"/>
        <v>0</v>
      </c>
      <c r="AD103" s="421">
        <f t="shared" si="618"/>
        <v>0</v>
      </c>
      <c r="AE103" s="421">
        <f t="shared" si="619"/>
        <v>0</v>
      </c>
      <c r="AF103" s="421">
        <f t="shared" si="620"/>
        <v>0</v>
      </c>
      <c r="AG103" s="421">
        <f t="shared" si="621"/>
        <v>0</v>
      </c>
      <c r="AH103" s="421">
        <f t="shared" si="622"/>
        <v>0</v>
      </c>
      <c r="AI103" s="421">
        <f t="shared" si="623"/>
        <v>0</v>
      </c>
      <c r="AJ103" s="421">
        <f t="shared" si="624"/>
        <v>0</v>
      </c>
      <c r="AK103" s="421">
        <f t="shared" si="625"/>
        <v>0</v>
      </c>
      <c r="AL103" s="421">
        <f t="shared" si="626"/>
        <v>0</v>
      </c>
      <c r="AM103" s="421">
        <f t="shared" si="627"/>
        <v>0</v>
      </c>
      <c r="AN103" s="421">
        <f t="shared" si="628"/>
        <v>0</v>
      </c>
      <c r="AO103" s="421">
        <f t="shared" si="629"/>
        <v>0</v>
      </c>
      <c r="AP103" s="421">
        <f t="shared" si="630"/>
        <v>0</v>
      </c>
      <c r="AQ103" s="421">
        <f t="shared" si="631"/>
        <v>0</v>
      </c>
      <c r="AR103" s="421">
        <f t="shared" si="632"/>
        <v>0</v>
      </c>
      <c r="AS103" s="421">
        <f t="shared" si="633"/>
        <v>0</v>
      </c>
      <c r="AT103" s="421">
        <f t="shared" si="634"/>
        <v>0</v>
      </c>
      <c r="AU103" s="421">
        <f t="shared" si="635"/>
        <v>0</v>
      </c>
      <c r="AV103" s="421">
        <f t="shared" si="636"/>
        <v>0</v>
      </c>
      <c r="AW103" s="421">
        <f t="shared" si="637"/>
        <v>0</v>
      </c>
      <c r="AX103" s="421">
        <f t="shared" si="638"/>
        <v>0</v>
      </c>
      <c r="AY103" s="421">
        <f t="shared" si="639"/>
        <v>0</v>
      </c>
      <c r="AZ103" s="421">
        <f t="shared" si="640"/>
        <v>0</v>
      </c>
      <c r="BA103" s="421">
        <f t="shared" si="641"/>
        <v>0</v>
      </c>
      <c r="BB103" s="421">
        <f t="shared" si="642"/>
        <v>0</v>
      </c>
      <c r="BC103" s="421">
        <f t="shared" si="643"/>
        <v>0</v>
      </c>
      <c r="BD103" s="421">
        <f t="shared" si="644"/>
        <v>0</v>
      </c>
      <c r="BE103" s="421">
        <f t="shared" si="645"/>
        <v>0</v>
      </c>
      <c r="BF103" s="421">
        <f t="shared" si="646"/>
        <v>0</v>
      </c>
      <c r="BG103" s="421">
        <f t="shared" si="647"/>
        <v>0</v>
      </c>
      <c r="BH103" s="421">
        <f t="shared" si="648"/>
        <v>0</v>
      </c>
      <c r="BI103" s="421">
        <f t="shared" si="649"/>
        <v>0</v>
      </c>
      <c r="BJ103" s="421">
        <f t="shared" si="650"/>
        <v>0</v>
      </c>
      <c r="BK103" s="421">
        <f t="shared" si="651"/>
        <v>0</v>
      </c>
      <c r="BL103" s="421">
        <f t="shared" si="652"/>
        <v>0</v>
      </c>
      <c r="BM103" s="421">
        <f t="shared" si="653"/>
        <v>0</v>
      </c>
      <c r="BN103" s="421">
        <f t="shared" si="654"/>
        <v>0</v>
      </c>
      <c r="BO103" s="421">
        <f t="shared" si="655"/>
        <v>0</v>
      </c>
      <c r="BP103" s="421">
        <f t="shared" si="656"/>
        <v>0</v>
      </c>
      <c r="BQ103" s="421">
        <f t="shared" si="657"/>
        <v>0</v>
      </c>
      <c r="BR103" s="421">
        <f t="shared" si="658"/>
        <v>0</v>
      </c>
      <c r="BS103" s="421">
        <f t="shared" si="659"/>
        <v>0</v>
      </c>
      <c r="BT103" s="421">
        <f t="shared" si="660"/>
        <v>0</v>
      </c>
      <c r="BU103" s="421">
        <f t="shared" si="661"/>
        <v>0</v>
      </c>
      <c r="BV103" s="421">
        <f t="shared" si="662"/>
        <v>0</v>
      </c>
      <c r="BW103" s="421">
        <f t="shared" si="663"/>
        <v>0</v>
      </c>
      <c r="BX103" s="421">
        <f t="shared" si="664"/>
        <v>0</v>
      </c>
      <c r="BY103" s="421">
        <f t="shared" si="665"/>
        <v>0</v>
      </c>
      <c r="BZ103" s="421">
        <f t="shared" si="666"/>
        <v>0</v>
      </c>
      <c r="CA103" s="421">
        <f t="shared" si="667"/>
        <v>0</v>
      </c>
      <c r="CB103" s="421">
        <f t="shared" si="668"/>
        <v>0</v>
      </c>
      <c r="CC103" s="421">
        <f t="shared" si="669"/>
        <v>0</v>
      </c>
      <c r="CD103" s="421">
        <f t="shared" si="670"/>
        <v>0</v>
      </c>
      <c r="CE103" s="421">
        <f t="shared" si="671"/>
        <v>0</v>
      </c>
      <c r="CF103" s="421">
        <f t="shared" si="672"/>
        <v>0</v>
      </c>
      <c r="CG103" s="421">
        <f t="shared" si="673"/>
        <v>0</v>
      </c>
      <c r="CH103" s="421">
        <f t="shared" si="674"/>
        <v>0</v>
      </c>
      <c r="CI103" s="421">
        <f t="shared" si="675"/>
        <v>0</v>
      </c>
      <c r="CJ103" s="421">
        <f t="shared" si="676"/>
        <v>0</v>
      </c>
      <c r="CK103" s="421">
        <f t="shared" si="677"/>
        <v>0</v>
      </c>
      <c r="CL103" s="421">
        <f t="shared" si="678"/>
        <v>0</v>
      </c>
      <c r="CM103" s="421">
        <f t="shared" si="679"/>
        <v>0</v>
      </c>
      <c r="CN103" s="421">
        <f t="shared" si="680"/>
        <v>0</v>
      </c>
      <c r="CO103" s="421">
        <f t="shared" si="681"/>
        <v>0</v>
      </c>
      <c r="CP103" s="421">
        <f t="shared" si="682"/>
        <v>0</v>
      </c>
      <c r="CQ103" s="421">
        <f t="shared" si="683"/>
        <v>0</v>
      </c>
      <c r="CR103" s="421">
        <f t="shared" si="684"/>
        <v>0</v>
      </c>
      <c r="CS103" s="421">
        <f t="shared" si="685"/>
        <v>0</v>
      </c>
      <c r="CT103" s="421">
        <f t="shared" si="686"/>
        <v>0</v>
      </c>
      <c r="CU103" s="421">
        <f t="shared" si="687"/>
        <v>0</v>
      </c>
      <c r="CV103" s="421">
        <f t="shared" si="688"/>
        <v>0</v>
      </c>
      <c r="CW103" s="421">
        <f t="shared" si="689"/>
        <v>0</v>
      </c>
      <c r="CX103" s="421">
        <f t="shared" si="690"/>
        <v>0</v>
      </c>
      <c r="CY103" s="421">
        <f t="shared" si="691"/>
        <v>0</v>
      </c>
      <c r="CZ103" s="421">
        <f t="shared" si="692"/>
        <v>0</v>
      </c>
      <c r="DA103" s="421">
        <f t="shared" si="693"/>
        <v>0</v>
      </c>
      <c r="DB103" s="421">
        <f t="shared" si="694"/>
        <v>0</v>
      </c>
      <c r="DC103" s="421">
        <f t="shared" si="695"/>
        <v>0</v>
      </c>
      <c r="DD103" s="421">
        <f t="shared" si="696"/>
        <v>0</v>
      </c>
      <c r="DE103" s="421">
        <f t="shared" si="697"/>
        <v>0</v>
      </c>
      <c r="DF103" s="421">
        <f t="shared" si="698"/>
        <v>0</v>
      </c>
      <c r="DG103" s="421">
        <f t="shared" si="699"/>
        <v>0</v>
      </c>
      <c r="DH103" s="421">
        <f t="shared" si="700"/>
        <v>0</v>
      </c>
      <c r="DI103" s="421">
        <f t="shared" si="701"/>
        <v>0</v>
      </c>
      <c r="DJ103" s="421">
        <f t="shared" si="702"/>
        <v>0</v>
      </c>
      <c r="DK103" s="421">
        <f t="shared" si="703"/>
        <v>0</v>
      </c>
      <c r="DL103" s="421">
        <f t="shared" si="704"/>
        <v>0</v>
      </c>
      <c r="DM103" s="421">
        <f t="shared" si="705"/>
        <v>0</v>
      </c>
      <c r="DN103" s="421">
        <f t="shared" si="706"/>
        <v>0</v>
      </c>
      <c r="DO103" s="421">
        <f t="shared" si="707"/>
        <v>0</v>
      </c>
      <c r="DP103" s="421">
        <f t="shared" si="708"/>
        <v>0</v>
      </c>
      <c r="DQ103" s="421">
        <f t="shared" si="709"/>
        <v>0</v>
      </c>
      <c r="DR103" s="421">
        <f t="shared" si="710"/>
        <v>0</v>
      </c>
      <c r="DS103" s="421">
        <f t="shared" si="711"/>
        <v>0</v>
      </c>
      <c r="DT103" s="421">
        <f t="shared" si="712"/>
        <v>0</v>
      </c>
      <c r="DU103" s="421">
        <f t="shared" si="713"/>
        <v>0</v>
      </c>
      <c r="DV103" s="421">
        <f t="shared" si="714"/>
        <v>0</v>
      </c>
      <c r="DW103" s="421">
        <f t="shared" si="715"/>
        <v>0</v>
      </c>
      <c r="DX103" s="421">
        <f t="shared" si="716"/>
        <v>0</v>
      </c>
      <c r="DY103" s="421">
        <f t="shared" si="717"/>
        <v>0</v>
      </c>
      <c r="DZ103" s="421">
        <f t="shared" si="718"/>
        <v>0</v>
      </c>
      <c r="EA103" s="421">
        <f t="shared" si="719"/>
        <v>0</v>
      </c>
      <c r="EB103" s="421">
        <f t="shared" si="720"/>
        <v>0</v>
      </c>
      <c r="EC103" s="421">
        <f t="shared" si="721"/>
        <v>0</v>
      </c>
      <c r="ED103" s="421">
        <f t="shared" si="722"/>
        <v>0</v>
      </c>
      <c r="EE103" s="421">
        <f t="shared" si="723"/>
        <v>0</v>
      </c>
      <c r="EF103" s="421">
        <f t="shared" si="724"/>
        <v>0</v>
      </c>
      <c r="EG103" s="421">
        <f t="shared" si="725"/>
        <v>0</v>
      </c>
      <c r="EH103" s="421">
        <f t="shared" si="726"/>
        <v>0</v>
      </c>
      <c r="EI103" s="421">
        <f t="shared" si="727"/>
        <v>0</v>
      </c>
      <c r="EJ103" s="421">
        <f t="shared" si="728"/>
        <v>0</v>
      </c>
      <c r="EK103" s="421">
        <f t="shared" si="729"/>
        <v>0</v>
      </c>
      <c r="EL103" s="421">
        <f t="shared" si="730"/>
        <v>0</v>
      </c>
      <c r="EM103" s="421">
        <f t="shared" si="731"/>
        <v>0</v>
      </c>
      <c r="EN103" s="421">
        <f t="shared" si="732"/>
        <v>0</v>
      </c>
      <c r="EP103" s="220" t="str">
        <f t="shared" si="750"/>
        <v>Convenience Store / Laundromat</v>
      </c>
      <c r="EQ103" s="20">
        <f t="shared" si="751"/>
        <v>64</v>
      </c>
      <c r="ER103" s="198">
        <f t="shared" si="752"/>
        <v>37</v>
      </c>
      <c r="ES103" s="18"/>
      <c r="ET103" s="18"/>
      <c r="EU103" s="18"/>
      <c r="EV103" s="422">
        <f t="shared" si="753"/>
        <v>0</v>
      </c>
      <c r="EW103" s="422">
        <f t="shared" si="753"/>
        <v>0</v>
      </c>
      <c r="EX103" s="422">
        <f t="shared" si="753"/>
        <v>0</v>
      </c>
      <c r="EY103" s="422">
        <f t="shared" si="753"/>
        <v>0</v>
      </c>
      <c r="EZ103" s="422">
        <f t="shared" si="753"/>
        <v>0</v>
      </c>
      <c r="FA103" s="422">
        <f t="shared" si="753"/>
        <v>0</v>
      </c>
      <c r="FB103" s="422">
        <f t="shared" si="753"/>
        <v>0</v>
      </c>
      <c r="FC103" s="422">
        <f t="shared" si="753"/>
        <v>0</v>
      </c>
      <c r="FD103" s="422">
        <f t="shared" si="753"/>
        <v>0</v>
      </c>
      <c r="FE103" s="422">
        <f t="shared" si="753"/>
        <v>0</v>
      </c>
      <c r="FF103" s="422">
        <f t="shared" si="753"/>
        <v>0</v>
      </c>
      <c r="FG103" s="422">
        <f t="shared" si="753"/>
        <v>0</v>
      </c>
      <c r="FH103" s="422">
        <f t="shared" si="753"/>
        <v>0</v>
      </c>
      <c r="FI103" s="422">
        <f t="shared" si="753"/>
        <v>0</v>
      </c>
      <c r="FJ103" s="422">
        <f t="shared" si="753"/>
        <v>0</v>
      </c>
      <c r="FK103" s="422">
        <f t="shared" si="753"/>
        <v>0</v>
      </c>
      <c r="FL103" s="422">
        <f t="shared" si="760"/>
        <v>0</v>
      </c>
      <c r="FM103" s="422">
        <f t="shared" si="760"/>
        <v>0</v>
      </c>
      <c r="FN103" s="422">
        <f t="shared" si="760"/>
        <v>0</v>
      </c>
      <c r="FO103" s="422">
        <f t="shared" si="760"/>
        <v>0</v>
      </c>
      <c r="FP103" s="422">
        <f t="shared" si="760"/>
        <v>0</v>
      </c>
      <c r="FQ103" s="422">
        <f t="shared" si="760"/>
        <v>0</v>
      </c>
      <c r="FR103" s="422">
        <f t="shared" si="760"/>
        <v>0</v>
      </c>
      <c r="FS103" s="422">
        <f t="shared" si="760"/>
        <v>0</v>
      </c>
      <c r="FT103" s="422">
        <f t="shared" si="760"/>
        <v>0</v>
      </c>
      <c r="FU103" s="422">
        <f t="shared" si="760"/>
        <v>0</v>
      </c>
      <c r="FV103" s="422" t="n">
        <f t="shared" ref="FV103:HH103" si="763">(FV$3&gt;=$ER103)*$EQ103</f>
        <v>0</v>
      </c>
      <c r="FW103" s="422">
        <f t="shared" si="763"/>
        <v>0</v>
      </c>
      <c r="FX103" s="422">
        <f t="shared" si="763"/>
        <v>0</v>
      </c>
      <c r="FY103" s="422">
        <f t="shared" si="763"/>
        <v>0</v>
      </c>
      <c r="FZ103" s="422">
        <f t="shared" si="763"/>
        <v>0</v>
      </c>
      <c r="GA103" s="422">
        <f t="shared" si="763"/>
        <v>0</v>
      </c>
      <c r="GB103" s="422">
        <f t="shared" si="763"/>
        <v>0</v>
      </c>
      <c r="GC103" s="422">
        <f t="shared" si="763"/>
        <v>0</v>
      </c>
      <c r="GD103" s="422">
        <f t="shared" si="763"/>
        <v>0</v>
      </c>
      <c r="GE103" s="422">
        <f t="shared" si="763"/>
        <v>0</v>
      </c>
      <c r="GF103" s="422">
        <f t="shared" si="763"/>
        <v>0</v>
      </c>
      <c r="GG103" s="422">
        <f t="shared" si="763"/>
        <v>64</v>
      </c>
      <c r="GH103" s="422">
        <f t="shared" si="763"/>
        <v>64</v>
      </c>
      <c r="GI103" s="422">
        <f t="shared" si="763"/>
        <v>64</v>
      </c>
      <c r="GJ103" s="422">
        <f t="shared" si="763"/>
        <v>64</v>
      </c>
      <c r="GK103" s="422">
        <f t="shared" si="763"/>
        <v>64</v>
      </c>
      <c r="GL103" s="422">
        <f t="shared" si="763"/>
        <v>64</v>
      </c>
      <c r="GM103" s="422">
        <f t="shared" si="763"/>
        <v>64</v>
      </c>
      <c r="GN103" s="422">
        <f t="shared" si="763"/>
        <v>64</v>
      </c>
      <c r="GO103" s="422">
        <f t="shared" si="763"/>
        <v>64</v>
      </c>
      <c r="GP103" s="422">
        <f t="shared" si="763"/>
        <v>64</v>
      </c>
      <c r="GQ103" s="422">
        <f t="shared" si="763"/>
        <v>64</v>
      </c>
      <c r="GR103" s="422">
        <f t="shared" si="763"/>
        <v>64</v>
      </c>
      <c r="GS103" s="422">
        <f t="shared" si="763"/>
        <v>64</v>
      </c>
      <c r="GT103" s="422">
        <f t="shared" si="763"/>
        <v>64</v>
      </c>
      <c r="GU103" s="422">
        <f t="shared" si="763"/>
        <v>64</v>
      </c>
      <c r="GV103" s="422">
        <f t="shared" si="763"/>
        <v>64</v>
      </c>
      <c r="GW103" s="422">
        <f t="shared" si="763"/>
        <v>64</v>
      </c>
      <c r="GX103" s="422">
        <f t="shared" si="763"/>
        <v>64</v>
      </c>
      <c r="GY103" s="422">
        <f t="shared" si="763"/>
        <v>64</v>
      </c>
      <c r="GZ103" s="422">
        <f t="shared" si="763"/>
        <v>64</v>
      </c>
      <c r="HA103" s="422">
        <f t="shared" si="763"/>
        <v>64</v>
      </c>
      <c r="HB103" s="422">
        <f t="shared" si="763"/>
        <v>64</v>
      </c>
      <c r="HC103" s="422">
        <f t="shared" si="763"/>
        <v>64</v>
      </c>
      <c r="HD103" s="422">
        <f t="shared" si="763"/>
        <v>64</v>
      </c>
      <c r="HE103" s="422">
        <f t="shared" si="763"/>
        <v>64</v>
      </c>
      <c r="HF103" s="422">
        <f t="shared" si="763"/>
        <v>64</v>
      </c>
      <c r="HG103" s="422">
        <f t="shared" si="763"/>
        <v>64</v>
      </c>
      <c r="HH103" s="422">
        <f t="shared" si="763"/>
        <v>64</v>
      </c>
      <c r="HI103" s="422">
        <f t="shared" si="762"/>
        <v>64</v>
      </c>
      <c r="HJ103" s="422">
        <f t="shared" si="762"/>
        <v>64</v>
      </c>
      <c r="HK103" s="422">
        <f t="shared" si="762"/>
        <v>64</v>
      </c>
      <c r="HL103" s="422">
        <f t="shared" si="762"/>
        <v>64</v>
      </c>
      <c r="HM103" s="422">
        <f t="shared" si="762"/>
        <v>64</v>
      </c>
      <c r="HN103" s="422">
        <f t="shared" si="762"/>
        <v>64</v>
      </c>
      <c r="HO103" s="422">
        <f t="shared" si="762"/>
        <v>64</v>
      </c>
      <c r="HP103" s="422">
        <f t="shared" si="762"/>
        <v>64</v>
      </c>
      <c r="HQ103" s="422">
        <f t="shared" si="762"/>
        <v>64</v>
      </c>
      <c r="HR103" s="422">
        <f t="shared" si="762"/>
        <v>64</v>
      </c>
      <c r="HS103" s="422">
        <f t="shared" si="762"/>
        <v>64</v>
      </c>
      <c r="HT103" s="422">
        <f t="shared" si="762"/>
        <v>64</v>
      </c>
      <c r="HU103" s="422">
        <f t="shared" si="762"/>
        <v>64</v>
      </c>
      <c r="HV103" s="422">
        <f t="shared" si="762"/>
        <v>64</v>
      </c>
      <c r="HW103" s="422">
        <f t="shared" si="762"/>
        <v>64</v>
      </c>
      <c r="HX103" s="422">
        <f t="shared" si="762"/>
        <v>64</v>
      </c>
      <c r="HY103" s="422">
        <f t="shared" si="762"/>
        <v>64</v>
      </c>
      <c r="HZ103" s="422">
        <f t="shared" si="762"/>
        <v>64</v>
      </c>
      <c r="IA103" s="422">
        <f t="shared" si="762"/>
        <v>64</v>
      </c>
      <c r="IB103" s="422">
        <f t="shared" si="762"/>
        <v>64</v>
      </c>
      <c r="IC103" s="422">
        <f t="shared" si="762"/>
        <v>64</v>
      </c>
      <c r="ID103" s="422">
        <f t="shared" si="762"/>
        <v>64</v>
      </c>
      <c r="IE103" s="422">
        <f t="shared" si="762"/>
        <v>64</v>
      </c>
      <c r="IF103" s="422">
        <f t="shared" si="762"/>
        <v>64</v>
      </c>
      <c r="IG103" s="422">
        <f t="shared" si="762"/>
        <v>64</v>
      </c>
      <c r="IH103" s="422">
        <f t="shared" si="762"/>
        <v>64</v>
      </c>
      <c r="II103" s="422">
        <f t="shared" si="762"/>
        <v>64</v>
      </c>
      <c r="IJ103" s="422">
        <f t="shared" si="762"/>
        <v>64</v>
      </c>
      <c r="IK103" s="422">
        <f t="shared" si="762"/>
        <v>64</v>
      </c>
      <c r="IL103" s="422">
        <f t="shared" si="762"/>
        <v>64</v>
      </c>
      <c r="IM103" s="422">
        <f t="shared" si="762"/>
        <v>64</v>
      </c>
      <c r="IN103" s="422">
        <f t="shared" si="762"/>
        <v>64</v>
      </c>
      <c r="IO103" s="422">
        <f t="shared" si="762"/>
        <v>64</v>
      </c>
      <c r="IP103" s="422">
        <f t="shared" si="762"/>
        <v>64</v>
      </c>
      <c r="IQ103" s="422">
        <f t="shared" si="762"/>
        <v>64</v>
      </c>
      <c r="IR103" s="422">
        <f t="shared" si="762"/>
        <v>64</v>
      </c>
      <c r="IS103" s="422">
        <f t="shared" si="762"/>
        <v>64</v>
      </c>
      <c r="IT103" s="422">
        <f t="shared" si="762"/>
        <v>64</v>
      </c>
      <c r="IU103" s="422">
        <f t="shared" si="762"/>
        <v>64</v>
      </c>
      <c r="IV103" s="422">
        <f t="shared" si="762"/>
        <v>64</v>
      </c>
      <c r="IW103" s="422">
        <f t="shared" si="762"/>
        <v>64</v>
      </c>
      <c r="IX103" s="422">
        <f t="shared" si="762"/>
        <v>64</v>
      </c>
      <c r="IY103" s="422">
        <f t="shared" si="762"/>
        <v>64</v>
      </c>
      <c r="IZ103" s="422">
        <f t="shared" si="762"/>
        <v>64</v>
      </c>
      <c r="JA103" s="422">
        <f t="shared" si="762"/>
        <v>64</v>
      </c>
      <c r="JB103" s="422">
        <f t="shared" si="762"/>
        <v>64</v>
      </c>
      <c r="JC103" s="422">
        <f t="shared" si="762"/>
        <v>64</v>
      </c>
      <c r="JD103" s="422">
        <f t="shared" si="762"/>
        <v>64</v>
      </c>
      <c r="JE103" s="422">
        <f t="shared" si="762"/>
        <v>64</v>
      </c>
      <c r="JF103" s="422">
        <f t="shared" si="762"/>
        <v>64</v>
      </c>
      <c r="JG103" s="422">
        <f t="shared" si="762"/>
        <v>64</v>
      </c>
      <c r="JH103" s="422">
        <f t="shared" si="762"/>
        <v>64</v>
      </c>
      <c r="JI103" s="422">
        <f t="shared" si="762"/>
        <v>64</v>
      </c>
      <c r="JJ103" s="422">
        <f t="shared" si="762"/>
        <v>64</v>
      </c>
      <c r="JK103" s="422">
        <f t="shared" si="762"/>
        <v>64</v>
      </c>
      <c r="JL103" s="422">
        <f t="shared" si="762"/>
        <v>64</v>
      </c>
      <c r="JM103" s="422">
        <f t="shared" si="762"/>
        <v>64</v>
      </c>
      <c r="JN103" s="422">
        <f t="shared" si="762"/>
        <v>64</v>
      </c>
      <c r="JO103" s="422">
        <f t="shared" si="762"/>
        <v>64</v>
      </c>
      <c r="JP103" s="422">
        <f t="shared" si="762"/>
        <v>64</v>
      </c>
      <c r="JQ103" s="422">
        <f t="shared" si="762"/>
        <v>64</v>
      </c>
      <c r="JR103" s="422">
        <f t="shared" si="762"/>
        <v>64</v>
      </c>
      <c r="JS103" s="422">
        <f t="shared" si="762"/>
        <v>64</v>
      </c>
      <c r="JT103" s="422" t="n">
        <f t="shared" ref="JT103" si="764">(JT$3&gt;=$ER103)*$EQ103</f>
        <v>64</v>
      </c>
      <c r="JU103" s="422">
        <f t="shared" si="735"/>
        <v>64</v>
      </c>
      <c r="JV103" s="422">
        <f t="shared" si="735"/>
        <v>64</v>
      </c>
      <c r="JW103" s="422">
        <f t="shared" si="735"/>
        <v>64</v>
      </c>
      <c r="JX103" s="422">
        <f t="shared" si="735"/>
        <v>64</v>
      </c>
      <c r="JZ103" s="220" t="str">
        <f t="shared" si="754"/>
        <v>Convenience Store / Laundromat</v>
      </c>
      <c r="KA103" s="422">
        <f t="shared" si="736"/>
        <v>0</v>
      </c>
      <c r="KB103" s="198">
        <f t="shared" si="737"/>
        <v>40</v>
      </c>
      <c r="KC103" s="207">
        <f t="shared" si="738"/>
        <v>3.5000000000000003E-2</v>
      </c>
      <c r="KD103" s="214" t="str">
        <f t="shared" si="596"/>
        <v>Annual</v>
      </c>
      <c r="KE103" s="474" t="n">
        <f>MATCH(KD103,Data!$G$24:$G$33,0)</f>
        <v>1</v>
      </c>
      <c r="KF103" s="264"/>
      <c r="KG103" s="475">
        <f t="shared" si="755"/>
        <v>0</v>
      </c>
      <c r="KH103" s="475">
        <f t="shared" si="739"/>
        <v>0</v>
      </c>
      <c r="KI103" s="475">
        <f t="shared" si="739"/>
        <v>0</v>
      </c>
      <c r="KJ103" s="475">
        <f t="shared" si="739"/>
        <v>0</v>
      </c>
      <c r="KK103" s="475">
        <f t="shared" si="739"/>
        <v>0</v>
      </c>
      <c r="KL103" s="475">
        <f t="shared" si="739"/>
        <v>0</v>
      </c>
      <c r="KM103" s="475">
        <f t="shared" si="739"/>
        <v>0</v>
      </c>
      <c r="KN103" s="475">
        <f t="shared" si="739"/>
        <v>0</v>
      </c>
      <c r="KO103" s="475">
        <f t="shared" si="739"/>
        <v>0</v>
      </c>
      <c r="KP103" s="475">
        <f t="shared" si="739"/>
        <v>0</v>
      </c>
      <c r="KQ103" s="475">
        <f t="shared" si="739"/>
        <v>0</v>
      </c>
      <c r="KR103" s="475">
        <f t="shared" si="739"/>
        <v>0</v>
      </c>
      <c r="KS103" s="475">
        <f t="shared" si="739"/>
        <v>0</v>
      </c>
      <c r="KT103" s="475">
        <f t="shared" si="739"/>
        <v>0</v>
      </c>
      <c r="KU103" s="475">
        <f t="shared" si="739"/>
        <v>0</v>
      </c>
      <c r="KV103" s="475">
        <f t="shared" si="739"/>
        <v>0</v>
      </c>
      <c r="KW103" s="475">
        <f t="shared" si="739"/>
        <v>0</v>
      </c>
      <c r="KX103" s="475">
        <f t="shared" si="740"/>
        <v>0</v>
      </c>
      <c r="KY103" s="475">
        <f t="shared" si="740"/>
        <v>0</v>
      </c>
      <c r="KZ103" s="475">
        <f t="shared" si="740"/>
        <v>0</v>
      </c>
      <c r="LA103" s="475">
        <f t="shared" si="740"/>
        <v>0</v>
      </c>
      <c r="LB103" s="475">
        <f t="shared" si="740"/>
        <v>0</v>
      </c>
      <c r="LC103" s="475">
        <f t="shared" si="740"/>
        <v>0</v>
      </c>
      <c r="LD103" s="475">
        <f t="shared" si="740"/>
        <v>0</v>
      </c>
      <c r="LE103" s="475">
        <f t="shared" si="740"/>
        <v>0</v>
      </c>
      <c r="LF103" s="475">
        <f t="shared" si="740"/>
        <v>0</v>
      </c>
      <c r="LG103" s="475">
        <f t="shared" si="740"/>
        <v>0</v>
      </c>
      <c r="LH103" s="475">
        <f t="shared" si="740"/>
        <v>0</v>
      </c>
      <c r="LI103" s="475">
        <f t="shared" si="740"/>
        <v>0</v>
      </c>
      <c r="LJ103" s="475">
        <f t="shared" si="740"/>
        <v>0</v>
      </c>
      <c r="LK103" s="475">
        <f t="shared" si="740"/>
        <v>0</v>
      </c>
      <c r="LL103" s="475">
        <f t="shared" si="740"/>
        <v>0</v>
      </c>
      <c r="LM103" s="475">
        <f t="shared" si="740"/>
        <v>0</v>
      </c>
      <c r="LN103" s="475">
        <f t="shared" si="741"/>
        <v>0</v>
      </c>
      <c r="LO103" s="475">
        <f t="shared" si="741"/>
        <v>0</v>
      </c>
      <c r="LP103" s="475">
        <f t="shared" si="741"/>
        <v>0</v>
      </c>
      <c r="LQ103" s="475">
        <f t="shared" si="741"/>
        <v>0</v>
      </c>
      <c r="LR103" s="475">
        <f t="shared" si="741"/>
        <v>0</v>
      </c>
      <c r="LS103" s="475">
        <f t="shared" si="741"/>
        <v>0</v>
      </c>
      <c r="LT103" s="475">
        <f t="shared" si="741"/>
        <v>0</v>
      </c>
      <c r="LU103" s="475">
        <f t="shared" si="741"/>
        <v>0</v>
      </c>
      <c r="LV103" s="475">
        <f t="shared" si="741"/>
        <v>0</v>
      </c>
      <c r="LW103" s="475">
        <f t="shared" si="741"/>
        <v>0</v>
      </c>
      <c r="LX103" s="475">
        <f t="shared" si="741"/>
        <v>0</v>
      </c>
      <c r="LY103" s="475">
        <f t="shared" si="741"/>
        <v>0</v>
      </c>
      <c r="LZ103" s="475">
        <f t="shared" si="741"/>
        <v>0</v>
      </c>
      <c r="MA103" s="475">
        <f t="shared" si="741"/>
        <v>0</v>
      </c>
      <c r="MB103" s="475">
        <f t="shared" si="741"/>
        <v>0</v>
      </c>
      <c r="MC103" s="475">
        <f t="shared" si="741"/>
        <v>0</v>
      </c>
      <c r="MD103" s="475">
        <f t="shared" si="742"/>
        <v>0</v>
      </c>
      <c r="ME103" s="475">
        <f t="shared" si="742"/>
        <v>0</v>
      </c>
      <c r="MF103" s="475">
        <f t="shared" si="742"/>
        <v>0</v>
      </c>
      <c r="MG103" s="475">
        <f t="shared" si="742"/>
        <v>0</v>
      </c>
      <c r="MH103" s="475">
        <f t="shared" si="742"/>
        <v>0</v>
      </c>
      <c r="MI103" s="475">
        <f t="shared" si="742"/>
        <v>0</v>
      </c>
      <c r="MJ103" s="475">
        <f t="shared" si="742"/>
        <v>0</v>
      </c>
      <c r="MK103" s="475">
        <f t="shared" si="742"/>
        <v>0</v>
      </c>
      <c r="ML103" s="475">
        <f t="shared" si="742"/>
        <v>0</v>
      </c>
      <c r="MM103" s="475">
        <f t="shared" si="742"/>
        <v>0</v>
      </c>
      <c r="MN103" s="475">
        <f t="shared" si="742"/>
        <v>0</v>
      </c>
      <c r="MO103" s="475">
        <f t="shared" si="742"/>
        <v>0</v>
      </c>
      <c r="MP103" s="475">
        <f t="shared" si="742"/>
        <v>0</v>
      </c>
      <c r="MQ103" s="475">
        <f t="shared" si="742"/>
        <v>0</v>
      </c>
      <c r="MR103" s="475">
        <f t="shared" si="742"/>
        <v>0</v>
      </c>
      <c r="MS103" s="475">
        <f t="shared" si="742"/>
        <v>0</v>
      </c>
      <c r="MT103" s="475">
        <f t="shared" si="743"/>
        <v>0</v>
      </c>
      <c r="MU103" s="475">
        <f t="shared" si="743"/>
        <v>0</v>
      </c>
      <c r="MV103" s="475">
        <f t="shared" si="743"/>
        <v>0</v>
      </c>
      <c r="MW103" s="475">
        <f t="shared" si="743"/>
        <v>0</v>
      </c>
      <c r="MX103" s="475">
        <f t="shared" si="743"/>
        <v>0</v>
      </c>
      <c r="MY103" s="475">
        <f t="shared" si="743"/>
        <v>0</v>
      </c>
      <c r="MZ103" s="475">
        <f t="shared" si="743"/>
        <v>0</v>
      </c>
      <c r="NA103" s="475">
        <f t="shared" si="743"/>
        <v>0</v>
      </c>
      <c r="NB103" s="475">
        <f t="shared" si="743"/>
        <v>0</v>
      </c>
      <c r="NC103" s="475">
        <f t="shared" si="743"/>
        <v>0</v>
      </c>
      <c r="ND103" s="475">
        <f t="shared" si="743"/>
        <v>0</v>
      </c>
      <c r="NE103" s="475">
        <f t="shared" si="743"/>
        <v>0</v>
      </c>
      <c r="NF103" s="475">
        <f t="shared" si="743"/>
        <v>0</v>
      </c>
      <c r="NG103" s="475">
        <f t="shared" si="743"/>
        <v>0</v>
      </c>
      <c r="NH103" s="475">
        <f t="shared" si="743"/>
        <v>0</v>
      </c>
      <c r="NI103" s="475">
        <f t="shared" si="743"/>
        <v>0</v>
      </c>
      <c r="NJ103" s="475">
        <f t="shared" si="744"/>
        <v>0</v>
      </c>
      <c r="NK103" s="475">
        <f t="shared" si="744"/>
        <v>0</v>
      </c>
      <c r="NL103" s="475">
        <f t="shared" si="744"/>
        <v>0</v>
      </c>
      <c r="NM103" s="475">
        <f t="shared" si="744"/>
        <v>0</v>
      </c>
      <c r="NN103" s="475">
        <f t="shared" si="744"/>
        <v>0</v>
      </c>
      <c r="NO103" s="475">
        <f t="shared" si="744"/>
        <v>0</v>
      </c>
      <c r="NP103" s="475">
        <f t="shared" si="744"/>
        <v>0</v>
      </c>
      <c r="NQ103" s="475">
        <f t="shared" si="744"/>
        <v>0</v>
      </c>
      <c r="NR103" s="475">
        <f t="shared" si="744"/>
        <v>0</v>
      </c>
      <c r="NS103" s="475">
        <f t="shared" si="744"/>
        <v>0</v>
      </c>
      <c r="NT103" s="475">
        <f t="shared" si="744"/>
        <v>0</v>
      </c>
      <c r="NU103" s="475">
        <f t="shared" si="744"/>
        <v>0</v>
      </c>
      <c r="NV103" s="475">
        <f t="shared" si="744"/>
        <v>0</v>
      </c>
      <c r="NW103" s="475">
        <f t="shared" si="744"/>
        <v>0</v>
      </c>
      <c r="NX103" s="475">
        <f t="shared" si="744"/>
        <v>0</v>
      </c>
      <c r="NY103" s="475">
        <f t="shared" si="744"/>
        <v>0</v>
      </c>
      <c r="NZ103" s="475">
        <f t="shared" si="745"/>
        <v>0</v>
      </c>
      <c r="OA103" s="475">
        <f t="shared" si="745"/>
        <v>0</v>
      </c>
      <c r="OB103" s="475">
        <f t="shared" si="745"/>
        <v>0</v>
      </c>
      <c r="OC103" s="475">
        <f t="shared" si="745"/>
        <v>0</v>
      </c>
      <c r="OD103" s="475">
        <f t="shared" si="745"/>
        <v>0</v>
      </c>
      <c r="OE103" s="475">
        <f t="shared" si="745"/>
        <v>0</v>
      </c>
      <c r="OF103" s="475">
        <f t="shared" si="745"/>
        <v>0</v>
      </c>
      <c r="OG103" s="475">
        <f t="shared" si="745"/>
        <v>0</v>
      </c>
      <c r="OH103" s="475">
        <f t="shared" si="745"/>
        <v>0</v>
      </c>
      <c r="OI103" s="475">
        <f t="shared" si="745"/>
        <v>0</v>
      </c>
      <c r="OJ103" s="475">
        <f t="shared" si="745"/>
        <v>0</v>
      </c>
      <c r="OK103" s="475">
        <f t="shared" si="745"/>
        <v>0</v>
      </c>
      <c r="OL103" s="475">
        <f t="shared" si="745"/>
        <v>0</v>
      </c>
      <c r="OM103" s="475">
        <f t="shared" si="745"/>
        <v>0</v>
      </c>
      <c r="ON103" s="475">
        <f t="shared" si="745"/>
        <v>0</v>
      </c>
      <c r="OO103" s="475">
        <f t="shared" si="745"/>
        <v>0</v>
      </c>
      <c r="OP103" s="475">
        <f t="shared" si="746"/>
        <v>0</v>
      </c>
      <c r="OQ103" s="475">
        <f t="shared" si="746"/>
        <v>0</v>
      </c>
      <c r="OR103" s="475">
        <f t="shared" si="746"/>
        <v>0</v>
      </c>
      <c r="OS103" s="475">
        <f t="shared" si="746"/>
        <v>0</v>
      </c>
      <c r="OT103" s="475">
        <f t="shared" si="746"/>
        <v>0</v>
      </c>
      <c r="OU103" s="475">
        <f t="shared" si="746"/>
        <v>0</v>
      </c>
      <c r="OV103" s="475">
        <f t="shared" si="746"/>
        <v>0</v>
      </c>
      <c r="OW103" s="475">
        <f t="shared" si="746"/>
        <v>0</v>
      </c>
      <c r="OX103" s="475">
        <f t="shared" si="746"/>
        <v>0</v>
      </c>
      <c r="OY103" s="475">
        <f t="shared" si="746"/>
        <v>0</v>
      </c>
      <c r="OZ103" s="475">
        <f t="shared" si="746"/>
        <v>0</v>
      </c>
      <c r="PA103" s="475">
        <f t="shared" si="746"/>
        <v>0</v>
      </c>
      <c r="PB103" s="475">
        <f t="shared" si="746"/>
        <v>0</v>
      </c>
      <c r="PC103" s="475">
        <f t="shared" si="746"/>
        <v>0</v>
      </c>
      <c r="PD103" s="475">
        <f t="shared" si="746"/>
        <v>0</v>
      </c>
      <c r="PE103" s="475">
        <f t="shared" si="746"/>
        <v>0</v>
      </c>
      <c r="PF103" s="475">
        <f t="shared" si="747"/>
        <v>0</v>
      </c>
      <c r="PG103" s="475">
        <f t="shared" si="747"/>
        <v>0</v>
      </c>
      <c r="PH103" s="475">
        <f t="shared" si="747"/>
        <v>0</v>
      </c>
    </row>
    <row r="104">
      <c r="B104" s="473" t="s">
        <v>257</v>
      </c>
      <c r="C104" s="473" t="s">
        <v>258</v>
      </c>
      <c r="D104" s="46" t="n">
        <f>Timing_Operation_Begin_Month</f>
        <v>37</v>
      </c>
      <c r="E104" s="425" t="n">
        <f>PROJECTS!$AP$31</f>
        <v>48</v>
      </c>
      <c r="F104" s="145" t="n">
        <f>Timing_Operation_Begin_Month+3</f>
        <v>40</v>
      </c>
      <c r="G104" s="146" t="n">
        <f>PROJECTS!$AP$68</f>
        <v>0.035</v>
      </c>
      <c r="H104" s="147" t="str">
        <f>PROJECTS!$AP$80</f>
      </c>
      <c r="I104" s="439">
        <f t="shared" si="601"/>
        <v>0</v>
      </c>
      <c r="K104" s="290" t="s">
        <v>239</v>
      </c>
      <c r="L104" s="203"/>
      <c r="M104" s="426">
        <f t="shared" si="749"/>
        <v>0</v>
      </c>
      <c r="N104" s="426">
        <f t="shared" si="602"/>
        <v>0</v>
      </c>
      <c r="O104" s="426">
        <f t="shared" si="603"/>
        <v>0</v>
      </c>
      <c r="P104" s="426">
        <f t="shared" si="604"/>
        <v>0</v>
      </c>
      <c r="Q104" s="426">
        <f t="shared" si="605"/>
        <v>0</v>
      </c>
      <c r="R104" s="426">
        <f t="shared" si="606"/>
        <v>0</v>
      </c>
      <c r="S104" s="426">
        <f t="shared" si="607"/>
        <v>0</v>
      </c>
      <c r="T104" s="426">
        <f t="shared" si="608"/>
        <v>0</v>
      </c>
      <c r="U104" s="426">
        <f t="shared" si="609"/>
        <v>0</v>
      </c>
      <c r="V104" s="426">
        <f t="shared" si="610"/>
        <v>0</v>
      </c>
      <c r="W104" s="426">
        <f t="shared" si="611"/>
        <v>0</v>
      </c>
      <c r="X104" s="426">
        <f t="shared" si="612"/>
        <v>0</v>
      </c>
      <c r="Y104" s="426">
        <f t="shared" si="613"/>
        <v>0</v>
      </c>
      <c r="Z104" s="426">
        <f t="shared" si="614"/>
        <v>0</v>
      </c>
      <c r="AA104" s="426">
        <f t="shared" si="615"/>
        <v>0</v>
      </c>
      <c r="AB104" s="426">
        <f t="shared" si="616"/>
        <v>0</v>
      </c>
      <c r="AC104" s="426">
        <f t="shared" si="617"/>
        <v>0</v>
      </c>
      <c r="AD104" s="426">
        <f t="shared" si="618"/>
        <v>0</v>
      </c>
      <c r="AE104" s="426">
        <f t="shared" si="619"/>
        <v>0</v>
      </c>
      <c r="AF104" s="426">
        <f t="shared" si="620"/>
        <v>0</v>
      </c>
      <c r="AG104" s="426">
        <f t="shared" si="621"/>
        <v>0</v>
      </c>
      <c r="AH104" s="426">
        <f t="shared" si="622"/>
        <v>0</v>
      </c>
      <c r="AI104" s="426">
        <f t="shared" si="623"/>
        <v>0</v>
      </c>
      <c r="AJ104" s="426">
        <f t="shared" si="624"/>
        <v>0</v>
      </c>
      <c r="AK104" s="426">
        <f t="shared" si="625"/>
        <v>0</v>
      </c>
      <c r="AL104" s="426">
        <f t="shared" si="626"/>
        <v>0</v>
      </c>
      <c r="AM104" s="426">
        <f t="shared" si="627"/>
        <v>0</v>
      </c>
      <c r="AN104" s="426">
        <f t="shared" si="628"/>
        <v>0</v>
      </c>
      <c r="AO104" s="426">
        <f t="shared" si="629"/>
        <v>0</v>
      </c>
      <c r="AP104" s="426">
        <f t="shared" si="630"/>
        <v>0</v>
      </c>
      <c r="AQ104" s="426">
        <f t="shared" si="631"/>
        <v>0</v>
      </c>
      <c r="AR104" s="426">
        <f t="shared" si="632"/>
        <v>0</v>
      </c>
      <c r="AS104" s="426">
        <f t="shared" si="633"/>
        <v>0</v>
      </c>
      <c r="AT104" s="426">
        <f t="shared" si="634"/>
        <v>0</v>
      </c>
      <c r="AU104" s="426">
        <f t="shared" si="635"/>
        <v>0</v>
      </c>
      <c r="AV104" s="426">
        <f t="shared" si="636"/>
        <v>0</v>
      </c>
      <c r="AW104" s="426">
        <f t="shared" si="637"/>
        <v>0</v>
      </c>
      <c r="AX104" s="426">
        <f t="shared" si="638"/>
        <v>0</v>
      </c>
      <c r="AY104" s="426">
        <f t="shared" si="639"/>
        <v>0</v>
      </c>
      <c r="AZ104" s="426">
        <f t="shared" si="640"/>
        <v>0</v>
      </c>
      <c r="BA104" s="426">
        <f t="shared" si="641"/>
        <v>0</v>
      </c>
      <c r="BB104" s="426">
        <f t="shared" si="642"/>
        <v>0</v>
      </c>
      <c r="BC104" s="426">
        <f t="shared" si="643"/>
        <v>0</v>
      </c>
      <c r="BD104" s="426">
        <f t="shared" si="644"/>
        <v>0</v>
      </c>
      <c r="BE104" s="426">
        <f t="shared" si="645"/>
        <v>0</v>
      </c>
      <c r="BF104" s="426">
        <f t="shared" si="646"/>
        <v>0</v>
      </c>
      <c r="BG104" s="426">
        <f t="shared" si="647"/>
        <v>0</v>
      </c>
      <c r="BH104" s="426">
        <f t="shared" si="648"/>
        <v>0</v>
      </c>
      <c r="BI104" s="426">
        <f t="shared" si="649"/>
        <v>0</v>
      </c>
      <c r="BJ104" s="426">
        <f t="shared" si="650"/>
        <v>0</v>
      </c>
      <c r="BK104" s="426">
        <f t="shared" si="651"/>
        <v>0</v>
      </c>
      <c r="BL104" s="426">
        <f t="shared" si="652"/>
        <v>0</v>
      </c>
      <c r="BM104" s="426">
        <f t="shared" si="653"/>
        <v>0</v>
      </c>
      <c r="BN104" s="426">
        <f t="shared" si="654"/>
        <v>0</v>
      </c>
      <c r="BO104" s="426">
        <f t="shared" si="655"/>
        <v>0</v>
      </c>
      <c r="BP104" s="426">
        <f t="shared" si="656"/>
        <v>0</v>
      </c>
      <c r="BQ104" s="426">
        <f t="shared" si="657"/>
        <v>0</v>
      </c>
      <c r="BR104" s="426">
        <f t="shared" si="658"/>
        <v>0</v>
      </c>
      <c r="BS104" s="426">
        <f t="shared" si="659"/>
        <v>0</v>
      </c>
      <c r="BT104" s="426">
        <f t="shared" si="660"/>
        <v>0</v>
      </c>
      <c r="BU104" s="426">
        <f t="shared" si="661"/>
        <v>0</v>
      </c>
      <c r="BV104" s="426">
        <f t="shared" si="662"/>
        <v>0</v>
      </c>
      <c r="BW104" s="426">
        <f t="shared" si="663"/>
        <v>0</v>
      </c>
      <c r="BX104" s="426">
        <f t="shared" si="664"/>
        <v>0</v>
      </c>
      <c r="BY104" s="426">
        <f t="shared" si="665"/>
        <v>0</v>
      </c>
      <c r="BZ104" s="426">
        <f t="shared" si="666"/>
        <v>0</v>
      </c>
      <c r="CA104" s="426">
        <f t="shared" si="667"/>
        <v>0</v>
      </c>
      <c r="CB104" s="426">
        <f t="shared" si="668"/>
        <v>0</v>
      </c>
      <c r="CC104" s="426">
        <f t="shared" si="669"/>
        <v>0</v>
      </c>
      <c r="CD104" s="426">
        <f t="shared" si="670"/>
        <v>0</v>
      </c>
      <c r="CE104" s="426">
        <f t="shared" si="671"/>
        <v>0</v>
      </c>
      <c r="CF104" s="426">
        <f t="shared" si="672"/>
        <v>0</v>
      </c>
      <c r="CG104" s="426">
        <f t="shared" si="673"/>
        <v>0</v>
      </c>
      <c r="CH104" s="426">
        <f t="shared" si="674"/>
        <v>0</v>
      </c>
      <c r="CI104" s="426">
        <f t="shared" si="675"/>
        <v>0</v>
      </c>
      <c r="CJ104" s="426">
        <f t="shared" si="676"/>
        <v>0</v>
      </c>
      <c r="CK104" s="426">
        <f t="shared" si="677"/>
        <v>0</v>
      </c>
      <c r="CL104" s="426">
        <f t="shared" si="678"/>
        <v>0</v>
      </c>
      <c r="CM104" s="426">
        <f t="shared" si="679"/>
        <v>0</v>
      </c>
      <c r="CN104" s="426">
        <f t="shared" si="680"/>
        <v>0</v>
      </c>
      <c r="CO104" s="426">
        <f t="shared" si="681"/>
        <v>0</v>
      </c>
      <c r="CP104" s="426">
        <f t="shared" si="682"/>
        <v>0</v>
      </c>
      <c r="CQ104" s="426">
        <f t="shared" si="683"/>
        <v>0</v>
      </c>
      <c r="CR104" s="426">
        <f t="shared" si="684"/>
        <v>0</v>
      </c>
      <c r="CS104" s="426">
        <f t="shared" si="685"/>
        <v>0</v>
      </c>
      <c r="CT104" s="426">
        <f t="shared" si="686"/>
        <v>0</v>
      </c>
      <c r="CU104" s="426">
        <f t="shared" si="687"/>
        <v>0</v>
      </c>
      <c r="CV104" s="426">
        <f t="shared" si="688"/>
        <v>0</v>
      </c>
      <c r="CW104" s="426">
        <f t="shared" si="689"/>
        <v>0</v>
      </c>
      <c r="CX104" s="426">
        <f t="shared" si="690"/>
        <v>0</v>
      </c>
      <c r="CY104" s="426">
        <f t="shared" si="691"/>
        <v>0</v>
      </c>
      <c r="CZ104" s="426">
        <f t="shared" si="692"/>
        <v>0</v>
      </c>
      <c r="DA104" s="426">
        <f t="shared" si="693"/>
        <v>0</v>
      </c>
      <c r="DB104" s="426">
        <f t="shared" si="694"/>
        <v>0</v>
      </c>
      <c r="DC104" s="426">
        <f t="shared" si="695"/>
        <v>0</v>
      </c>
      <c r="DD104" s="426">
        <f t="shared" si="696"/>
        <v>0</v>
      </c>
      <c r="DE104" s="426">
        <f t="shared" si="697"/>
        <v>0</v>
      </c>
      <c r="DF104" s="426">
        <f t="shared" si="698"/>
        <v>0</v>
      </c>
      <c r="DG104" s="426">
        <f t="shared" si="699"/>
        <v>0</v>
      </c>
      <c r="DH104" s="426">
        <f t="shared" si="700"/>
        <v>0</v>
      </c>
      <c r="DI104" s="426">
        <f t="shared" si="701"/>
        <v>0</v>
      </c>
      <c r="DJ104" s="426">
        <f t="shared" si="702"/>
        <v>0</v>
      </c>
      <c r="DK104" s="426">
        <f t="shared" si="703"/>
        <v>0</v>
      </c>
      <c r="DL104" s="426">
        <f t="shared" si="704"/>
        <v>0</v>
      </c>
      <c r="DM104" s="426">
        <f t="shared" si="705"/>
        <v>0</v>
      </c>
      <c r="DN104" s="426">
        <f t="shared" si="706"/>
        <v>0</v>
      </c>
      <c r="DO104" s="426">
        <f t="shared" si="707"/>
        <v>0</v>
      </c>
      <c r="DP104" s="426">
        <f t="shared" si="708"/>
        <v>0</v>
      </c>
      <c r="DQ104" s="426">
        <f t="shared" si="709"/>
        <v>0</v>
      </c>
      <c r="DR104" s="426">
        <f t="shared" si="710"/>
        <v>0</v>
      </c>
      <c r="DS104" s="426">
        <f t="shared" si="711"/>
        <v>0</v>
      </c>
      <c r="DT104" s="426">
        <f t="shared" si="712"/>
        <v>0</v>
      </c>
      <c r="DU104" s="426">
        <f t="shared" si="713"/>
        <v>0</v>
      </c>
      <c r="DV104" s="426">
        <f t="shared" si="714"/>
        <v>0</v>
      </c>
      <c r="DW104" s="426">
        <f t="shared" si="715"/>
        <v>0</v>
      </c>
      <c r="DX104" s="426">
        <f t="shared" si="716"/>
        <v>0</v>
      </c>
      <c r="DY104" s="426">
        <f t="shared" si="717"/>
        <v>0</v>
      </c>
      <c r="DZ104" s="426">
        <f t="shared" si="718"/>
        <v>0</v>
      </c>
      <c r="EA104" s="426">
        <f t="shared" si="719"/>
        <v>0</v>
      </c>
      <c r="EB104" s="426">
        <f t="shared" si="720"/>
        <v>0</v>
      </c>
      <c r="EC104" s="426">
        <f t="shared" si="721"/>
        <v>0</v>
      </c>
      <c r="ED104" s="426">
        <f t="shared" si="722"/>
        <v>0</v>
      </c>
      <c r="EE104" s="426">
        <f t="shared" si="723"/>
        <v>0</v>
      </c>
      <c r="EF104" s="426">
        <f t="shared" si="724"/>
        <v>0</v>
      </c>
      <c r="EG104" s="426">
        <f t="shared" si="725"/>
        <v>0</v>
      </c>
      <c r="EH104" s="426">
        <f t="shared" si="726"/>
        <v>0</v>
      </c>
      <c r="EI104" s="426">
        <f t="shared" si="727"/>
        <v>0</v>
      </c>
      <c r="EJ104" s="426">
        <f t="shared" si="728"/>
        <v>0</v>
      </c>
      <c r="EK104" s="426">
        <f t="shared" si="729"/>
        <v>0</v>
      </c>
      <c r="EL104" s="426">
        <f t="shared" si="730"/>
        <v>0</v>
      </c>
      <c r="EM104" s="426">
        <f t="shared" si="731"/>
        <v>0</v>
      </c>
      <c r="EN104" s="426">
        <f t="shared" si="732"/>
        <v>0</v>
      </c>
      <c r="EP104" s="220" t="str">
        <f t="shared" si="750"/>
        <v>eBike / eScooter Storage</v>
      </c>
      <c r="EQ104" s="20">
        <f t="shared" si="751"/>
        <v>48</v>
      </c>
      <c r="ER104" s="198">
        <f t="shared" si="752"/>
        <v>37</v>
      </c>
      <c r="ES104" s="18"/>
      <c r="ET104" s="18"/>
      <c r="EU104" s="18"/>
      <c r="EV104" s="476">
        <f t="shared" si="753"/>
        <v>0</v>
      </c>
      <c r="EW104" s="476">
        <f t="shared" si="756"/>
        <v>0</v>
      </c>
      <c r="EX104" s="476">
        <f t="shared" si="756"/>
        <v>0</v>
      </c>
      <c r="EY104" s="476">
        <f t="shared" si="756"/>
        <v>0</v>
      </c>
      <c r="EZ104" s="476">
        <f t="shared" si="756"/>
        <v>0</v>
      </c>
      <c r="FA104" s="476">
        <f t="shared" si="756"/>
        <v>0</v>
      </c>
      <c r="FB104" s="476">
        <f t="shared" si="756"/>
        <v>0</v>
      </c>
      <c r="FC104" s="476">
        <f t="shared" si="756"/>
        <v>0</v>
      </c>
      <c r="FD104" s="476">
        <f t="shared" si="756"/>
        <v>0</v>
      </c>
      <c r="FE104" s="476">
        <f t="shared" si="756"/>
        <v>0</v>
      </c>
      <c r="FF104" s="476">
        <f t="shared" si="756"/>
        <v>0</v>
      </c>
      <c r="FG104" s="476">
        <f t="shared" si="756"/>
        <v>0</v>
      </c>
      <c r="FH104" s="476">
        <f t="shared" si="756"/>
        <v>0</v>
      </c>
      <c r="FI104" s="476">
        <f t="shared" si="756"/>
        <v>0</v>
      </c>
      <c r="FJ104" s="476">
        <f t="shared" si="756"/>
        <v>0</v>
      </c>
      <c r="FK104" s="476">
        <f t="shared" si="756"/>
        <v>0</v>
      </c>
      <c r="FL104" s="476">
        <f t="shared" si="756"/>
        <v>0</v>
      </c>
      <c r="FM104" s="476">
        <f t="shared" si="756"/>
        <v>0</v>
      </c>
      <c r="FN104" s="476">
        <f t="shared" si="756"/>
        <v>0</v>
      </c>
      <c r="FO104" s="476">
        <f t="shared" si="756"/>
        <v>0</v>
      </c>
      <c r="FP104" s="476">
        <f t="shared" si="756"/>
        <v>0</v>
      </c>
      <c r="FQ104" s="476">
        <f t="shared" si="756"/>
        <v>0</v>
      </c>
      <c r="FR104" s="476">
        <f t="shared" si="756"/>
        <v>0</v>
      </c>
      <c r="FS104" s="476">
        <f t="shared" si="756"/>
        <v>0</v>
      </c>
      <c r="FT104" s="476">
        <f t="shared" si="756"/>
        <v>0</v>
      </c>
      <c r="FU104" s="476">
        <f t="shared" si="756"/>
        <v>0</v>
      </c>
      <c r="FV104" s="476">
        <f t="shared" si="756"/>
        <v>0</v>
      </c>
      <c r="FW104" s="476">
        <f t="shared" si="756"/>
        <v>0</v>
      </c>
      <c r="FX104" s="476">
        <f t="shared" si="756"/>
        <v>0</v>
      </c>
      <c r="FY104" s="476">
        <f t="shared" si="756"/>
        <v>0</v>
      </c>
      <c r="FZ104" s="476">
        <f t="shared" si="756"/>
        <v>0</v>
      </c>
      <c r="GA104" s="476">
        <f t="shared" si="756"/>
        <v>0</v>
      </c>
      <c r="GB104" s="476">
        <f t="shared" si="756"/>
        <v>0</v>
      </c>
      <c r="GC104" s="476">
        <f t="shared" si="756"/>
        <v>0</v>
      </c>
      <c r="GD104" s="476">
        <f t="shared" si="756"/>
        <v>0</v>
      </c>
      <c r="GE104" s="476">
        <f t="shared" si="756"/>
        <v>0</v>
      </c>
      <c r="GF104" s="476">
        <f t="shared" si="756"/>
        <v>0</v>
      </c>
      <c r="GG104" s="476">
        <f t="shared" si="756"/>
        <v>48</v>
      </c>
      <c r="GH104" s="476">
        <f t="shared" si="756"/>
        <v>48</v>
      </c>
      <c r="GI104" s="476">
        <f t="shared" si="756"/>
        <v>48</v>
      </c>
      <c r="GJ104" s="476">
        <f t="shared" si="756"/>
        <v>48</v>
      </c>
      <c r="GK104" s="476">
        <f t="shared" si="756"/>
        <v>48</v>
      </c>
      <c r="GL104" s="476">
        <f t="shared" si="756"/>
        <v>48</v>
      </c>
      <c r="GM104" s="476">
        <f t="shared" si="756"/>
        <v>48</v>
      </c>
      <c r="GN104" s="476">
        <f t="shared" si="756"/>
        <v>48</v>
      </c>
      <c r="GO104" s="476">
        <f t="shared" si="756"/>
        <v>48</v>
      </c>
      <c r="GP104" s="476">
        <f t="shared" si="756"/>
        <v>48</v>
      </c>
      <c r="GQ104" s="476">
        <f t="shared" si="756"/>
        <v>48</v>
      </c>
      <c r="GR104" s="476">
        <f t="shared" si="756"/>
        <v>48</v>
      </c>
      <c r="GS104" s="476">
        <f t="shared" si="756"/>
        <v>48</v>
      </c>
      <c r="GT104" s="476">
        <f t="shared" si="756"/>
        <v>48</v>
      </c>
      <c r="GU104" s="476">
        <f t="shared" si="756"/>
        <v>48</v>
      </c>
      <c r="GV104" s="476">
        <f t="shared" si="756"/>
        <v>48</v>
      </c>
      <c r="GW104" s="476">
        <f t="shared" si="756"/>
        <v>48</v>
      </c>
      <c r="GX104" s="476">
        <f t="shared" si="756"/>
        <v>48</v>
      </c>
      <c r="GY104" s="476">
        <f t="shared" si="756"/>
        <v>48</v>
      </c>
      <c r="GZ104" s="476">
        <f t="shared" si="756"/>
        <v>48</v>
      </c>
      <c r="HA104" s="476">
        <f t="shared" si="756"/>
        <v>48</v>
      </c>
      <c r="HB104" s="476">
        <f t="shared" si="756"/>
        <v>48</v>
      </c>
      <c r="HC104" s="476">
        <f t="shared" si="756"/>
        <v>48</v>
      </c>
      <c r="HD104" s="476">
        <f t="shared" si="756"/>
        <v>48</v>
      </c>
      <c r="HE104" s="476">
        <f t="shared" si="756"/>
        <v>48</v>
      </c>
      <c r="HF104" s="476">
        <f t="shared" si="756"/>
        <v>48</v>
      </c>
      <c r="HG104" s="476">
        <f t="shared" si="756"/>
        <v>48</v>
      </c>
      <c r="HH104" s="476">
        <f t="shared" si="756"/>
        <v>48</v>
      </c>
      <c r="HI104" s="476">
        <f t="shared" si="734"/>
        <v>48</v>
      </c>
      <c r="HJ104" s="476">
        <f t="shared" si="734"/>
        <v>48</v>
      </c>
      <c r="HK104" s="476">
        <f t="shared" si="734"/>
        <v>48</v>
      </c>
      <c r="HL104" s="476">
        <f t="shared" si="734"/>
        <v>48</v>
      </c>
      <c r="HM104" s="476">
        <f t="shared" si="734"/>
        <v>48</v>
      </c>
      <c r="HN104" s="476">
        <f t="shared" si="734"/>
        <v>48</v>
      </c>
      <c r="HO104" s="476">
        <f t="shared" si="734"/>
        <v>48</v>
      </c>
      <c r="HP104" s="476">
        <f t="shared" si="734"/>
        <v>48</v>
      </c>
      <c r="HQ104" s="476">
        <f t="shared" si="734"/>
        <v>48</v>
      </c>
      <c r="HR104" s="476">
        <f t="shared" si="734"/>
        <v>48</v>
      </c>
      <c r="HS104" s="476">
        <f t="shared" si="734"/>
        <v>48</v>
      </c>
      <c r="HT104" s="476">
        <f t="shared" si="734"/>
        <v>48</v>
      </c>
      <c r="HU104" s="476">
        <f t="shared" si="734"/>
        <v>48</v>
      </c>
      <c r="HV104" s="476">
        <f t="shared" si="734"/>
        <v>48</v>
      </c>
      <c r="HW104" s="476">
        <f t="shared" si="734"/>
        <v>48</v>
      </c>
      <c r="HX104" s="476">
        <f t="shared" si="734"/>
        <v>48</v>
      </c>
      <c r="HY104" s="476">
        <f t="shared" si="734"/>
        <v>48</v>
      </c>
      <c r="HZ104" s="476">
        <f t="shared" si="734"/>
        <v>48</v>
      </c>
      <c r="IA104" s="476">
        <f t="shared" si="734"/>
        <v>48</v>
      </c>
      <c r="IB104" s="476">
        <f t="shared" si="734"/>
        <v>48</v>
      </c>
      <c r="IC104" s="476">
        <f t="shared" si="734"/>
        <v>48</v>
      </c>
      <c r="ID104" s="476">
        <f t="shared" si="734"/>
        <v>48</v>
      </c>
      <c r="IE104" s="476">
        <f t="shared" si="734"/>
        <v>48</v>
      </c>
      <c r="IF104" s="476">
        <f t="shared" si="734"/>
        <v>48</v>
      </c>
      <c r="IG104" s="476">
        <f t="shared" si="734"/>
        <v>48</v>
      </c>
      <c r="IH104" s="476">
        <f t="shared" si="734"/>
        <v>48</v>
      </c>
      <c r="II104" s="476">
        <f t="shared" si="734"/>
        <v>48</v>
      </c>
      <c r="IJ104" s="476">
        <f t="shared" si="734"/>
        <v>48</v>
      </c>
      <c r="IK104" s="476">
        <f t="shared" si="734"/>
        <v>48</v>
      </c>
      <c r="IL104" s="476">
        <f t="shared" si="734"/>
        <v>48</v>
      </c>
      <c r="IM104" s="476">
        <f t="shared" si="734"/>
        <v>48</v>
      </c>
      <c r="IN104" s="476">
        <f t="shared" si="734"/>
        <v>48</v>
      </c>
      <c r="IO104" s="476">
        <f t="shared" si="734"/>
        <v>48</v>
      </c>
      <c r="IP104" s="476">
        <f t="shared" si="734"/>
        <v>48</v>
      </c>
      <c r="IQ104" s="476">
        <f t="shared" si="734"/>
        <v>48</v>
      </c>
      <c r="IR104" s="476">
        <f t="shared" si="734"/>
        <v>48</v>
      </c>
      <c r="IS104" s="476">
        <f t="shared" si="734"/>
        <v>48</v>
      </c>
      <c r="IT104" s="476">
        <f t="shared" si="734"/>
        <v>48</v>
      </c>
      <c r="IU104" s="476">
        <f t="shared" si="734"/>
        <v>48</v>
      </c>
      <c r="IV104" s="476">
        <f t="shared" si="734"/>
        <v>48</v>
      </c>
      <c r="IW104" s="476">
        <f t="shared" si="734"/>
        <v>48</v>
      </c>
      <c r="IX104" s="476">
        <f t="shared" si="734"/>
        <v>48</v>
      </c>
      <c r="IY104" s="476">
        <f t="shared" si="734"/>
        <v>48</v>
      </c>
      <c r="IZ104" s="476">
        <f t="shared" si="734"/>
        <v>48</v>
      </c>
      <c r="JA104" s="476">
        <f t="shared" si="734"/>
        <v>48</v>
      </c>
      <c r="JB104" s="476">
        <f t="shared" si="734"/>
        <v>48</v>
      </c>
      <c r="JC104" s="476">
        <f t="shared" si="734"/>
        <v>48</v>
      </c>
      <c r="JD104" s="476">
        <f t="shared" si="734"/>
        <v>48</v>
      </c>
      <c r="JE104" s="476">
        <f t="shared" si="734"/>
        <v>48</v>
      </c>
      <c r="JF104" s="476">
        <f t="shared" si="734"/>
        <v>48</v>
      </c>
      <c r="JG104" s="476">
        <f t="shared" si="734"/>
        <v>48</v>
      </c>
      <c r="JH104" s="476">
        <f t="shared" si="734"/>
        <v>48</v>
      </c>
      <c r="JI104" s="476">
        <f t="shared" si="734"/>
        <v>48</v>
      </c>
      <c r="JJ104" s="476">
        <f t="shared" si="734"/>
        <v>48</v>
      </c>
      <c r="JK104" s="476">
        <f t="shared" si="734"/>
        <v>48</v>
      </c>
      <c r="JL104" s="476">
        <f t="shared" si="734"/>
        <v>48</v>
      </c>
      <c r="JM104" s="476">
        <f t="shared" si="734"/>
        <v>48</v>
      </c>
      <c r="JN104" s="476">
        <f t="shared" si="734"/>
        <v>48</v>
      </c>
      <c r="JO104" s="476">
        <f t="shared" si="734"/>
        <v>48</v>
      </c>
      <c r="JP104" s="476">
        <f t="shared" si="734"/>
        <v>48</v>
      </c>
      <c r="JQ104" s="476">
        <f t="shared" si="734"/>
        <v>48</v>
      </c>
      <c r="JR104" s="476">
        <f t="shared" si="734"/>
        <v>48</v>
      </c>
      <c r="JS104" s="476">
        <f t="shared" si="734"/>
        <v>48</v>
      </c>
      <c r="JT104" s="476">
        <f t="shared" si="734"/>
        <v>48</v>
      </c>
      <c r="JU104" s="476">
        <f t="shared" si="735"/>
        <v>48</v>
      </c>
      <c r="JV104" s="476">
        <f t="shared" si="735"/>
        <v>48</v>
      </c>
      <c r="JW104" s="476">
        <f t="shared" si="735"/>
        <v>48</v>
      </c>
      <c r="JX104" s="476">
        <f t="shared" si="735"/>
        <v>48</v>
      </c>
      <c r="JZ104" s="220" t="str">
        <f t="shared" si="754"/>
        <v>eBike / eScooter Storage</v>
      </c>
      <c r="KA104" s="422">
        <f t="shared" si="736"/>
        <v>0</v>
      </c>
      <c r="KB104" s="198">
        <f t="shared" si="737"/>
        <v>40</v>
      </c>
      <c r="KC104" s="207">
        <f t="shared" si="738"/>
        <v>3.5000000000000003E-2</v>
      </c>
      <c r="KD104" s="214" t="str">
        <f t="shared" si="596"/>
        <v>Annual</v>
      </c>
      <c r="KE104" s="474" t="n">
        <f>MATCH(KD104,Data!$G$24:$G$33,0)</f>
        <v>1</v>
      </c>
      <c r="KF104" s="264"/>
      <c r="KG104" s="477">
        <f t="shared" si="755"/>
        <v>0</v>
      </c>
      <c r="KH104" s="477">
        <f t="shared" si="739"/>
        <v>0</v>
      </c>
      <c r="KI104" s="477">
        <f t="shared" si="739"/>
        <v>0</v>
      </c>
      <c r="KJ104" s="477">
        <f t="shared" si="739"/>
        <v>0</v>
      </c>
      <c r="KK104" s="477">
        <f t="shared" si="739"/>
        <v>0</v>
      </c>
      <c r="KL104" s="477">
        <f t="shared" si="739"/>
        <v>0</v>
      </c>
      <c r="KM104" s="477">
        <f t="shared" si="739"/>
        <v>0</v>
      </c>
      <c r="KN104" s="477">
        <f t="shared" si="739"/>
        <v>0</v>
      </c>
      <c r="KO104" s="477">
        <f t="shared" si="739"/>
        <v>0</v>
      </c>
      <c r="KP104" s="477">
        <f t="shared" si="739"/>
        <v>0</v>
      </c>
      <c r="KQ104" s="477">
        <f t="shared" si="739"/>
        <v>0</v>
      </c>
      <c r="KR104" s="477">
        <f t="shared" si="739"/>
        <v>0</v>
      </c>
      <c r="KS104" s="477">
        <f t="shared" si="739"/>
        <v>0</v>
      </c>
      <c r="KT104" s="477">
        <f t="shared" si="739"/>
        <v>0</v>
      </c>
      <c r="KU104" s="477">
        <f t="shared" si="739"/>
        <v>0</v>
      </c>
      <c r="KV104" s="477">
        <f t="shared" si="739"/>
        <v>0</v>
      </c>
      <c r="KW104" s="477">
        <f t="shared" si="739"/>
        <v>0</v>
      </c>
      <c r="KX104" s="477">
        <f t="shared" si="740"/>
        <v>0</v>
      </c>
      <c r="KY104" s="477">
        <f t="shared" si="740"/>
        <v>0</v>
      </c>
      <c r="KZ104" s="477">
        <f t="shared" si="740"/>
        <v>0</v>
      </c>
      <c r="LA104" s="477">
        <f t="shared" si="740"/>
        <v>0</v>
      </c>
      <c r="LB104" s="477">
        <f t="shared" si="740"/>
        <v>0</v>
      </c>
      <c r="LC104" s="477">
        <f t="shared" si="740"/>
        <v>0</v>
      </c>
      <c r="LD104" s="477">
        <f t="shared" si="740"/>
        <v>0</v>
      </c>
      <c r="LE104" s="477">
        <f t="shared" si="740"/>
        <v>0</v>
      </c>
      <c r="LF104" s="477">
        <f t="shared" si="740"/>
        <v>0</v>
      </c>
      <c r="LG104" s="477">
        <f t="shared" si="740"/>
        <v>0</v>
      </c>
      <c r="LH104" s="477">
        <f t="shared" si="740"/>
        <v>0</v>
      </c>
      <c r="LI104" s="477">
        <f t="shared" si="740"/>
        <v>0</v>
      </c>
      <c r="LJ104" s="477">
        <f t="shared" si="740"/>
        <v>0</v>
      </c>
      <c r="LK104" s="477">
        <f t="shared" si="740"/>
        <v>0</v>
      </c>
      <c r="LL104" s="477">
        <f t="shared" si="740"/>
        <v>0</v>
      </c>
      <c r="LM104" s="477">
        <f t="shared" si="740"/>
        <v>0</v>
      </c>
      <c r="LN104" s="477">
        <f t="shared" si="741"/>
        <v>0</v>
      </c>
      <c r="LO104" s="477">
        <f t="shared" si="741"/>
        <v>0</v>
      </c>
      <c r="LP104" s="477">
        <f t="shared" si="741"/>
        <v>0</v>
      </c>
      <c r="LQ104" s="477">
        <f t="shared" si="741"/>
        <v>0</v>
      </c>
      <c r="LR104" s="477">
        <f t="shared" si="741"/>
        <v>0</v>
      </c>
      <c r="LS104" s="477">
        <f t="shared" si="741"/>
        <v>0</v>
      </c>
      <c r="LT104" s="477">
        <f t="shared" si="741"/>
        <v>0</v>
      </c>
      <c r="LU104" s="477">
        <f t="shared" si="741"/>
        <v>0</v>
      </c>
      <c r="LV104" s="477">
        <f t="shared" si="741"/>
        <v>0</v>
      </c>
      <c r="LW104" s="477">
        <f t="shared" si="741"/>
        <v>0</v>
      </c>
      <c r="LX104" s="477">
        <f t="shared" si="741"/>
        <v>0</v>
      </c>
      <c r="LY104" s="477">
        <f t="shared" si="741"/>
        <v>0</v>
      </c>
      <c r="LZ104" s="477">
        <f t="shared" si="741"/>
        <v>0</v>
      </c>
      <c r="MA104" s="477">
        <f t="shared" si="741"/>
        <v>0</v>
      </c>
      <c r="MB104" s="477">
        <f t="shared" si="741"/>
        <v>0</v>
      </c>
      <c r="MC104" s="477">
        <f t="shared" si="741"/>
        <v>0</v>
      </c>
      <c r="MD104" s="477">
        <f t="shared" si="742"/>
        <v>0</v>
      </c>
      <c r="ME104" s="477">
        <f t="shared" si="742"/>
        <v>0</v>
      </c>
      <c r="MF104" s="477">
        <f t="shared" si="742"/>
        <v>0</v>
      </c>
      <c r="MG104" s="477">
        <f t="shared" si="742"/>
        <v>0</v>
      </c>
      <c r="MH104" s="477">
        <f t="shared" si="742"/>
        <v>0</v>
      </c>
      <c r="MI104" s="477">
        <f t="shared" si="742"/>
        <v>0</v>
      </c>
      <c r="MJ104" s="477">
        <f t="shared" si="742"/>
        <v>0</v>
      </c>
      <c r="MK104" s="477">
        <f t="shared" si="742"/>
        <v>0</v>
      </c>
      <c r="ML104" s="477">
        <f t="shared" si="742"/>
        <v>0</v>
      </c>
      <c r="MM104" s="477">
        <f t="shared" si="742"/>
        <v>0</v>
      </c>
      <c r="MN104" s="477">
        <f t="shared" si="742"/>
        <v>0</v>
      </c>
      <c r="MO104" s="477">
        <f t="shared" si="742"/>
        <v>0</v>
      </c>
      <c r="MP104" s="477">
        <f t="shared" si="742"/>
        <v>0</v>
      </c>
      <c r="MQ104" s="477">
        <f t="shared" si="742"/>
        <v>0</v>
      </c>
      <c r="MR104" s="477">
        <f t="shared" si="742"/>
        <v>0</v>
      </c>
      <c r="MS104" s="477">
        <f t="shared" si="742"/>
        <v>0</v>
      </c>
      <c r="MT104" s="477">
        <f t="shared" si="743"/>
        <v>0</v>
      </c>
      <c r="MU104" s="477">
        <f t="shared" si="743"/>
        <v>0</v>
      </c>
      <c r="MV104" s="477">
        <f t="shared" si="743"/>
        <v>0</v>
      </c>
      <c r="MW104" s="477">
        <f t="shared" si="743"/>
        <v>0</v>
      </c>
      <c r="MX104" s="477">
        <f t="shared" si="743"/>
        <v>0</v>
      </c>
      <c r="MY104" s="477">
        <f t="shared" si="743"/>
        <v>0</v>
      </c>
      <c r="MZ104" s="477">
        <f t="shared" si="743"/>
        <v>0</v>
      </c>
      <c r="NA104" s="477">
        <f t="shared" si="743"/>
        <v>0</v>
      </c>
      <c r="NB104" s="477">
        <f t="shared" si="743"/>
        <v>0</v>
      </c>
      <c r="NC104" s="477">
        <f t="shared" si="743"/>
        <v>0</v>
      </c>
      <c r="ND104" s="477">
        <f t="shared" si="743"/>
        <v>0</v>
      </c>
      <c r="NE104" s="477">
        <f t="shared" si="743"/>
        <v>0</v>
      </c>
      <c r="NF104" s="477">
        <f t="shared" si="743"/>
        <v>0</v>
      </c>
      <c r="NG104" s="477">
        <f t="shared" si="743"/>
        <v>0</v>
      </c>
      <c r="NH104" s="477">
        <f t="shared" si="743"/>
        <v>0</v>
      </c>
      <c r="NI104" s="477">
        <f t="shared" si="743"/>
        <v>0</v>
      </c>
      <c r="NJ104" s="477">
        <f t="shared" si="744"/>
        <v>0</v>
      </c>
      <c r="NK104" s="477">
        <f t="shared" si="744"/>
        <v>0</v>
      </c>
      <c r="NL104" s="477">
        <f t="shared" si="744"/>
        <v>0</v>
      </c>
      <c r="NM104" s="477">
        <f t="shared" si="744"/>
        <v>0</v>
      </c>
      <c r="NN104" s="477">
        <f t="shared" si="744"/>
        <v>0</v>
      </c>
      <c r="NO104" s="477">
        <f t="shared" si="744"/>
        <v>0</v>
      </c>
      <c r="NP104" s="477">
        <f t="shared" si="744"/>
        <v>0</v>
      </c>
      <c r="NQ104" s="477">
        <f t="shared" si="744"/>
        <v>0</v>
      </c>
      <c r="NR104" s="477">
        <f t="shared" si="744"/>
        <v>0</v>
      </c>
      <c r="NS104" s="477">
        <f t="shared" si="744"/>
        <v>0</v>
      </c>
      <c r="NT104" s="477">
        <f t="shared" si="744"/>
        <v>0</v>
      </c>
      <c r="NU104" s="477">
        <f t="shared" si="744"/>
        <v>0</v>
      </c>
      <c r="NV104" s="477">
        <f t="shared" si="744"/>
        <v>0</v>
      </c>
      <c r="NW104" s="477">
        <f t="shared" si="744"/>
        <v>0</v>
      </c>
      <c r="NX104" s="477">
        <f t="shared" si="744"/>
        <v>0</v>
      </c>
      <c r="NY104" s="477">
        <f t="shared" si="744"/>
        <v>0</v>
      </c>
      <c r="NZ104" s="477">
        <f t="shared" si="745"/>
        <v>0</v>
      </c>
      <c r="OA104" s="477">
        <f t="shared" si="745"/>
        <v>0</v>
      </c>
      <c r="OB104" s="477">
        <f t="shared" si="745"/>
        <v>0</v>
      </c>
      <c r="OC104" s="477">
        <f t="shared" si="745"/>
        <v>0</v>
      </c>
      <c r="OD104" s="477">
        <f t="shared" si="745"/>
        <v>0</v>
      </c>
      <c r="OE104" s="477">
        <f t="shared" si="745"/>
        <v>0</v>
      </c>
      <c r="OF104" s="477">
        <f t="shared" si="745"/>
        <v>0</v>
      </c>
      <c r="OG104" s="477">
        <f t="shared" si="745"/>
        <v>0</v>
      </c>
      <c r="OH104" s="477">
        <f t="shared" si="745"/>
        <v>0</v>
      </c>
      <c r="OI104" s="477">
        <f t="shared" si="745"/>
        <v>0</v>
      </c>
      <c r="OJ104" s="477">
        <f t="shared" si="745"/>
        <v>0</v>
      </c>
      <c r="OK104" s="477">
        <f t="shared" si="745"/>
        <v>0</v>
      </c>
      <c r="OL104" s="477">
        <f t="shared" si="745"/>
        <v>0</v>
      </c>
      <c r="OM104" s="477">
        <f t="shared" si="745"/>
        <v>0</v>
      </c>
      <c r="ON104" s="477">
        <f t="shared" si="745"/>
        <v>0</v>
      </c>
      <c r="OO104" s="477">
        <f t="shared" si="745"/>
        <v>0</v>
      </c>
      <c r="OP104" s="477">
        <f t="shared" si="746"/>
        <v>0</v>
      </c>
      <c r="OQ104" s="477">
        <f t="shared" si="746"/>
        <v>0</v>
      </c>
      <c r="OR104" s="477">
        <f t="shared" si="746"/>
        <v>0</v>
      </c>
      <c r="OS104" s="477">
        <f t="shared" si="746"/>
        <v>0</v>
      </c>
      <c r="OT104" s="477">
        <f t="shared" si="746"/>
        <v>0</v>
      </c>
      <c r="OU104" s="477">
        <f t="shared" si="746"/>
        <v>0</v>
      </c>
      <c r="OV104" s="477">
        <f t="shared" si="746"/>
        <v>0</v>
      </c>
      <c r="OW104" s="477">
        <f t="shared" si="746"/>
        <v>0</v>
      </c>
      <c r="OX104" s="477">
        <f t="shared" si="746"/>
        <v>0</v>
      </c>
      <c r="OY104" s="477">
        <f t="shared" si="746"/>
        <v>0</v>
      </c>
      <c r="OZ104" s="477">
        <f t="shared" si="746"/>
        <v>0</v>
      </c>
      <c r="PA104" s="477">
        <f t="shared" si="746"/>
        <v>0</v>
      </c>
      <c r="PB104" s="477">
        <f t="shared" si="746"/>
        <v>0</v>
      </c>
      <c r="PC104" s="477">
        <f t="shared" si="746"/>
        <v>0</v>
      </c>
      <c r="PD104" s="477">
        <f t="shared" si="746"/>
        <v>0</v>
      </c>
      <c r="PE104" s="477">
        <f t="shared" si="746"/>
        <v>0</v>
      </c>
      <c r="PF104" s="477">
        <f t="shared" si="747"/>
        <v>0</v>
      </c>
      <c r="PG104" s="477">
        <f t="shared" si="747"/>
        <v>0</v>
      </c>
      <c r="PH104" s="477">
        <f t="shared" si="747"/>
        <v>0</v>
      </c>
    </row>
    <row r="105">
      <c r="B105" s="431" t="s">
        <v>259</v>
      </c>
      <c r="C105" s="42"/>
      <c r="D105" s="42"/>
      <c r="E105" s="428" t="n">
        <f>SUM(E93:E104)</f>
        <v>78312.38</v>
      </c>
      <c r="F105" s="47" t="n">
        <f>MIN(F93:F104)</f>
        <v>22</v>
      </c>
      <c r="G105" s="148" t="n">
        <f>SUMPRODUCT(G93:G104,I93:I104)/I105</f>
        <v>0.035</v>
      </c>
      <c r="H105" s="149" t="n">
        <f>I105/E105</f>
        <v>207.88539436548857</v>
      </c>
      <c r="I105" s="449" t="n">
        <f>SUM(I93:I104)</f>
        <v>16280000</v>
      </c>
      <c r="K105" s="76"/>
      <c r="L105" s="76"/>
      <c r="M105" s="421" t="n">
        <f t="shared" ref="M105:AR105" si="765">SUM(M93:M104)</f>
        <v>0</v>
      </c>
      <c r="N105" s="421">
        <f t="shared" si="765"/>
        <v>0</v>
      </c>
      <c r="O105" s="421">
        <f t="shared" si="765"/>
        <v>0</v>
      </c>
      <c r="P105" s="421">
        <f t="shared" si="765"/>
        <v>0</v>
      </c>
      <c r="Q105" s="421">
        <f t="shared" si="765"/>
        <v>0</v>
      </c>
      <c r="R105" s="421">
        <f t="shared" si="765"/>
        <v>0</v>
      </c>
      <c r="S105" s="421">
        <f t="shared" si="765"/>
        <v>0</v>
      </c>
      <c r="T105" s="421">
        <f t="shared" si="765"/>
        <v>0</v>
      </c>
      <c r="U105" s="421">
        <f t="shared" si="765"/>
        <v>0</v>
      </c>
      <c r="V105" s="421">
        <f t="shared" si="765"/>
        <v>0</v>
      </c>
      <c r="W105" s="421">
        <f t="shared" si="765"/>
        <v>0</v>
      </c>
      <c r="X105" s="421">
        <f t="shared" si="765"/>
        <v>0</v>
      </c>
      <c r="Y105" s="421">
        <f t="shared" si="765"/>
        <v>0</v>
      </c>
      <c r="Z105" s="421">
        <f t="shared" si="765"/>
        <v>0</v>
      </c>
      <c r="AA105" s="421">
        <f t="shared" si="765"/>
        <v>0</v>
      </c>
      <c r="AB105" s="421">
        <f t="shared" si="765"/>
        <v>0</v>
      </c>
      <c r="AC105" s="421">
        <f t="shared" si="765"/>
        <v>0</v>
      </c>
      <c r="AD105" s="421">
        <f t="shared" si="765"/>
        <v>0</v>
      </c>
      <c r="AE105" s="421">
        <f t="shared" si="765"/>
        <v>0</v>
      </c>
      <c r="AF105" s="421">
        <f t="shared" si="765"/>
        <v>0</v>
      </c>
      <c r="AG105" s="421">
        <f t="shared" si="765"/>
        <v>0</v>
      </c>
      <c r="AH105" s="421">
        <f t="shared" si="765"/>
        <v>716666.66666666663</v>
      </c>
      <c r="AI105" s="421">
        <f t="shared" si="765"/>
        <v>716666.66666666663</v>
      </c>
      <c r="AJ105" s="421">
        <f t="shared" si="765"/>
        <v>716666.66666666663</v>
      </c>
      <c r="AK105" s="421">
        <f t="shared" si="765"/>
        <v>933333.33333333326</v>
      </c>
      <c r="AL105" s="421">
        <f t="shared" si="765"/>
        <v>933333.33333333326</v>
      </c>
      <c r="AM105" s="421">
        <f t="shared" si="765"/>
        <v>933333.33333333326</v>
      </c>
      <c r="AN105" s="421">
        <f t="shared" si="765"/>
        <v>1107500</v>
      </c>
      <c r="AO105" s="421">
        <f t="shared" si="765"/>
        <v>1107500</v>
      </c>
      <c r="AP105" s="421">
        <f t="shared" si="765"/>
        <v>1107500</v>
      </c>
      <c r="AQ105" s="421">
        <f t="shared" si="765"/>
        <v>1265833.3333333333</v>
      </c>
      <c r="AR105" s="421">
        <f t="shared" si="765"/>
        <v>1265833.3333333333</v>
      </c>
      <c r="AS105" s="421" t="n">
        <f t="shared" ref="AS105:BX105" si="766">SUM(AS93:AS104)</f>
        <v>1265833.3333333333</v>
      </c>
      <c r="AT105" s="421">
        <f t="shared" si="766"/>
        <v>1381749.9999999998</v>
      </c>
      <c r="AU105" s="421">
        <f t="shared" si="766"/>
        <v>1381749.9999999998</v>
      </c>
      <c r="AV105" s="421">
        <f t="shared" si="766"/>
        <v>1381749.9999999998</v>
      </c>
      <c r="AW105" s="421">
        <f t="shared" si="766"/>
        <v>1389333.333333333</v>
      </c>
      <c r="AX105" s="421">
        <f t="shared" si="766"/>
        <v>1389333.333333333</v>
      </c>
      <c r="AY105" s="421">
        <f t="shared" si="766"/>
        <v>1389333.333333333</v>
      </c>
      <c r="AZ105" s="421">
        <f t="shared" si="766"/>
        <v>1395429.1666666663</v>
      </c>
      <c r="BA105" s="421">
        <f t="shared" si="766"/>
        <v>1395429.1666666663</v>
      </c>
      <c r="BB105" s="421">
        <f t="shared" si="766"/>
        <v>1395429.1666666663</v>
      </c>
      <c r="BC105" s="421">
        <f t="shared" si="766"/>
        <v>1400970.833333333</v>
      </c>
      <c r="BD105" s="421">
        <f t="shared" si="766"/>
        <v>1400970.833333333</v>
      </c>
      <c r="BE105" s="421">
        <f t="shared" si="766"/>
        <v>1400970.833333333</v>
      </c>
      <c r="BF105" s="421">
        <f t="shared" si="766"/>
        <v>1430111.2499999998</v>
      </c>
      <c r="BG105" s="421">
        <f t="shared" si="766"/>
        <v>1430111.2499999998</v>
      </c>
      <c r="BH105" s="421">
        <f t="shared" si="766"/>
        <v>1430111.2499999998</v>
      </c>
      <c r="BI105" s="421">
        <f t="shared" si="766"/>
        <v>1437959.9999999998</v>
      </c>
      <c r="BJ105" s="421">
        <f t="shared" si="766"/>
        <v>1437959.9999999998</v>
      </c>
      <c r="BK105" s="421">
        <f t="shared" si="766"/>
        <v>1437959.9999999998</v>
      </c>
      <c r="BL105" s="421">
        <f t="shared" si="766"/>
        <v>1444269.1874999998</v>
      </c>
      <c r="BM105" s="421">
        <f t="shared" si="766"/>
        <v>1444269.1874999998</v>
      </c>
      <c r="BN105" s="421">
        <f t="shared" si="766"/>
        <v>1444269.1874999998</v>
      </c>
      <c r="BO105" s="421">
        <f t="shared" si="766"/>
        <v>1450004.8124999998</v>
      </c>
      <c r="BP105" s="421">
        <f t="shared" si="766"/>
        <v>1450004.8124999998</v>
      </c>
      <c r="BQ105" s="421">
        <f t="shared" si="766"/>
        <v>1450004.8124999998</v>
      </c>
      <c r="BR105" s="421">
        <f t="shared" si="766"/>
        <v>1480165.1437499998</v>
      </c>
      <c r="BS105" s="421">
        <f t="shared" si="766"/>
        <v>1480165.1437499998</v>
      </c>
      <c r="BT105" s="421">
        <f t="shared" si="766"/>
        <v>1480165.1437499998</v>
      </c>
      <c r="BU105" s="421">
        <f t="shared" si="766"/>
        <v>1488288.5999999996</v>
      </c>
      <c r="BV105" s="421">
        <f t="shared" si="766"/>
        <v>1488288.5999999996</v>
      </c>
      <c r="BW105" s="421">
        <f t="shared" si="766"/>
        <v>1488288.5999999996</v>
      </c>
      <c r="BX105" s="421">
        <f t="shared" si="766"/>
        <v>1494818.6090624996</v>
      </c>
      <c r="BY105" s="421" t="n">
        <f t="shared" ref="BY105:DD105" si="767">SUM(BY93:BY104)</f>
        <v>1494818.6090624996</v>
      </c>
      <c r="BZ105" s="421">
        <f t="shared" si="767"/>
        <v>1494818.6090624996</v>
      </c>
      <c r="CA105" s="421">
        <f t="shared" si="767"/>
        <v>1500754.9809374996</v>
      </c>
      <c r="CB105" s="421">
        <f t="shared" si="767"/>
        <v>1500754.9809374996</v>
      </c>
      <c r="CC105" s="421">
        <f t="shared" si="767"/>
        <v>1500754.9809374996</v>
      </c>
      <c r="CD105" s="421">
        <f t="shared" si="767"/>
        <v>1531970.9237812494</v>
      </c>
      <c r="CE105" s="421">
        <f t="shared" si="767"/>
        <v>1531970.9237812494</v>
      </c>
      <c r="CF105" s="421">
        <f t="shared" si="767"/>
        <v>1531970.9237812494</v>
      </c>
      <c r="CG105" s="421">
        <f t="shared" si="767"/>
        <v>1540378.7009999997</v>
      </c>
      <c r="CH105" s="421">
        <f t="shared" si="767"/>
        <v>1540378.7009999997</v>
      </c>
      <c r="CI105" s="421">
        <f t="shared" si="767"/>
        <v>1540378.7009999997</v>
      </c>
      <c r="CJ105" s="421">
        <f t="shared" si="767"/>
        <v>1547137.260379687</v>
      </c>
      <c r="CK105" s="421">
        <f t="shared" si="767"/>
        <v>1547137.260379687</v>
      </c>
      <c r="CL105" s="421">
        <f t="shared" si="767"/>
        <v>1547137.260379687</v>
      </c>
      <c r="CM105" s="421">
        <f t="shared" si="767"/>
        <v>1553281.405270312</v>
      </c>
      <c r="CN105" s="421">
        <f t="shared" si="767"/>
        <v>1553281.405270312</v>
      </c>
      <c r="CO105" s="421">
        <f t="shared" si="767"/>
        <v>1553281.405270312</v>
      </c>
      <c r="CP105" s="421">
        <f t="shared" si="767"/>
        <v>1585589.9061135931</v>
      </c>
      <c r="CQ105" s="421">
        <f t="shared" si="767"/>
        <v>1585589.9061135931</v>
      </c>
      <c r="CR105" s="421">
        <f t="shared" si="767"/>
        <v>1585589.9061135931</v>
      </c>
      <c r="CS105" s="421">
        <f t="shared" si="767"/>
        <v>1594291.9555349995</v>
      </c>
      <c r="CT105" s="421">
        <f t="shared" si="767"/>
        <v>1594291.9555349995</v>
      </c>
      <c r="CU105" s="421">
        <f t="shared" si="767"/>
        <v>1594291.9555349995</v>
      </c>
      <c r="CV105" s="421">
        <f t="shared" si="767"/>
        <v>1601287.0644929761</v>
      </c>
      <c r="CW105" s="421">
        <f t="shared" si="767"/>
        <v>1601287.0644929761</v>
      </c>
      <c r="CX105" s="421">
        <f t="shared" si="767"/>
        <v>1601287.0644929761</v>
      </c>
      <c r="CY105" s="421">
        <f t="shared" si="767"/>
        <v>1607646.2544547729</v>
      </c>
      <c r="CZ105" s="421">
        <f t="shared" si="767"/>
        <v>1607646.2544547729</v>
      </c>
      <c r="DA105" s="421">
        <f t="shared" si="767"/>
        <v>1607646.2544547729</v>
      </c>
      <c r="DB105" s="421">
        <f t="shared" si="767"/>
        <v>1641085.552827569</v>
      </c>
      <c r="DC105" s="421">
        <f t="shared" si="767"/>
        <v>1641085.552827569</v>
      </c>
      <c r="DD105" s="421">
        <f t="shared" si="767"/>
        <v>1641085.552827569</v>
      </c>
      <c r="DE105" s="421" t="n">
        <f t="shared" ref="DE105:EJ105" si="768">SUM(DE93:DE104)</f>
        <v>1650092.1739787245</v>
      </c>
      <c r="DF105" s="421">
        <f t="shared" si="768"/>
        <v>1650092.1739787245</v>
      </c>
      <c r="DG105" s="421">
        <f t="shared" si="768"/>
        <v>1650092.1739787245</v>
      </c>
      <c r="DH105" s="421">
        <f t="shared" si="768"/>
        <v>1657332.1117502302</v>
      </c>
      <c r="DI105" s="421">
        <f t="shared" si="768"/>
        <v>1657332.1117502302</v>
      </c>
      <c r="DJ105" s="421">
        <f t="shared" si="768"/>
        <v>1657332.1117502302</v>
      </c>
      <c r="DK105" s="421">
        <f t="shared" si="768"/>
        <v>1663913.87336069</v>
      </c>
      <c r="DL105" s="421">
        <f t="shared" si="768"/>
        <v>1663913.87336069</v>
      </c>
      <c r="DM105" s="421">
        <f t="shared" si="768"/>
        <v>1663913.87336069</v>
      </c>
      <c r="DN105" s="421">
        <f t="shared" si="768"/>
        <v>1698523.5471765336</v>
      </c>
      <c r="DO105" s="421">
        <f t="shared" si="768"/>
        <v>1698523.5471765336</v>
      </c>
      <c r="DP105" s="421">
        <f t="shared" si="768"/>
        <v>1698523.5471765336</v>
      </c>
      <c r="DQ105" s="421">
        <f t="shared" si="768"/>
        <v>1707845.4000679795</v>
      </c>
      <c r="DR105" s="421">
        <f t="shared" si="768"/>
        <v>1707845.4000679795</v>
      </c>
      <c r="DS105" s="421">
        <f t="shared" si="768"/>
        <v>1707845.4000679795</v>
      </c>
      <c r="DT105" s="421">
        <f t="shared" si="768"/>
        <v>1715338.735661488</v>
      </c>
      <c r="DU105" s="421">
        <f t="shared" si="768"/>
        <v>1715338.735661488</v>
      </c>
      <c r="DV105" s="421">
        <f t="shared" si="768"/>
        <v>1715338.735661488</v>
      </c>
      <c r="DW105" s="421">
        <f t="shared" si="768"/>
        <v>1722150.8589283139</v>
      </c>
      <c r="DX105" s="421">
        <f t="shared" si="768"/>
        <v>1722150.8589283139</v>
      </c>
      <c r="DY105" s="421">
        <f t="shared" si="768"/>
        <v>1722150.8589283139</v>
      </c>
      <c r="DZ105" s="421">
        <f t="shared" si="768"/>
        <v>1757971.8713277124</v>
      </c>
      <c r="EA105" s="421">
        <f t="shared" si="768"/>
        <v>1757971.8713277124</v>
      </c>
      <c r="EB105" s="421">
        <f t="shared" si="768"/>
        <v>1757971.8713277124</v>
      </c>
      <c r="EC105" s="421">
        <f t="shared" si="768"/>
        <v>1767619.9890703589</v>
      </c>
      <c r="ED105" s="421">
        <f t="shared" si="768"/>
        <v>1767619.9890703589</v>
      </c>
      <c r="EE105" s="421">
        <f t="shared" si="768"/>
        <v>1767619.9890703589</v>
      </c>
      <c r="EF105" s="421">
        <f t="shared" si="768"/>
        <v>1775375.5914096397</v>
      </c>
      <c r="EG105" s="421">
        <f t="shared" si="768"/>
        <v>1775375.5914096397</v>
      </c>
      <c r="EH105" s="421">
        <f t="shared" si="768"/>
        <v>1775375.5914096397</v>
      </c>
      <c r="EI105" s="421">
        <f t="shared" si="768"/>
        <v>1782426.1389908046</v>
      </c>
      <c r="EJ105" s="421">
        <f t="shared" si="768"/>
        <v>1782426.1389908046</v>
      </c>
      <c r="EK105" s="421" t="n">
        <f t="shared" ref="EK105:EN105" si="769">SUM(EK93:EK104)</f>
        <v>1782426.1389908046</v>
      </c>
      <c r="EL105" s="421">
        <f t="shared" si="769"/>
        <v>1819500.886824182</v>
      </c>
      <c r="EM105" s="421">
        <f t="shared" si="769"/>
        <v>1819500.886824182</v>
      </c>
      <c r="EN105" s="421">
        <f t="shared" si="769"/>
        <v>1819500.886824182</v>
      </c>
      <c r="EP105" s="220"/>
      <c r="EQ105" s="210"/>
      <c r="ER105" s="18"/>
      <c r="ES105" s="18"/>
      <c r="ET105" s="18"/>
      <c r="EU105" s="18"/>
      <c r="EV105" s="422" t="n">
        <f t="shared" ref="EV105:GA105" si="770">SUM(EV93:EV104)</f>
        <v>0</v>
      </c>
      <c r="EW105" s="422">
        <f t="shared" si="770"/>
        <v>0</v>
      </c>
      <c r="EX105" s="422">
        <f t="shared" si="770"/>
        <v>0</v>
      </c>
      <c r="EY105" s="422">
        <f t="shared" si="770"/>
        <v>0</v>
      </c>
      <c r="EZ105" s="422">
        <f t="shared" si="770"/>
        <v>0</v>
      </c>
      <c r="FA105" s="422">
        <f t="shared" si="770"/>
        <v>0</v>
      </c>
      <c r="FB105" s="422">
        <f t="shared" si="770"/>
        <v>0</v>
      </c>
      <c r="FC105" s="422">
        <f t="shared" si="770"/>
        <v>0</v>
      </c>
      <c r="FD105" s="422">
        <f t="shared" si="770"/>
        <v>0</v>
      </c>
      <c r="FE105" s="422">
        <f t="shared" si="770"/>
        <v>0</v>
      </c>
      <c r="FF105" s="422">
        <f t="shared" si="770"/>
        <v>0</v>
      </c>
      <c r="FG105" s="422">
        <f t="shared" si="770"/>
        <v>0</v>
      </c>
      <c r="FH105" s="422">
        <f t="shared" si="770"/>
        <v>0</v>
      </c>
      <c r="FI105" s="422">
        <f t="shared" si="770"/>
        <v>0</v>
      </c>
      <c r="FJ105" s="422">
        <f t="shared" si="770"/>
        <v>0</v>
      </c>
      <c r="FK105" s="422">
        <f t="shared" si="770"/>
        <v>0</v>
      </c>
      <c r="FL105" s="422">
        <f t="shared" si="770"/>
        <v>0</v>
      </c>
      <c r="FM105" s="422">
        <f t="shared" si="770"/>
        <v>0</v>
      </c>
      <c r="FN105" s="422">
        <f t="shared" si="770"/>
        <v>0</v>
      </c>
      <c r="FO105" s="422">
        <f t="shared" si="770"/>
        <v>21500</v>
      </c>
      <c r="FP105" s="422">
        <f t="shared" si="770"/>
        <v>21500</v>
      </c>
      <c r="FQ105" s="422">
        <f t="shared" si="770"/>
        <v>21500</v>
      </c>
      <c r="FR105" s="422">
        <f t="shared" si="770"/>
        <v>48000</v>
      </c>
      <c r="FS105" s="422">
        <f t="shared" si="770"/>
        <v>48000</v>
      </c>
      <c r="FT105" s="422">
        <f t="shared" si="770"/>
        <v>48000</v>
      </c>
      <c r="FU105" s="422">
        <f t="shared" si="770"/>
        <v>52150</v>
      </c>
      <c r="FV105" s="422">
        <f t="shared" si="770"/>
        <v>52150</v>
      </c>
      <c r="FW105" s="422">
        <f t="shared" si="770"/>
        <v>52150</v>
      </c>
      <c r="FX105" s="422">
        <f t="shared" si="770"/>
        <v>75450.38</v>
      </c>
      <c r="FY105" s="422">
        <f t="shared" si="770"/>
        <v>75450.38</v>
      </c>
      <c r="FZ105" s="422">
        <f t="shared" si="770"/>
        <v>75450.38</v>
      </c>
      <c r="GA105" s="422">
        <f t="shared" si="770"/>
        <v>78200.38</v>
      </c>
      <c r="GB105" s="422" t="n">
        <f t="shared" ref="GB105:HG105" si="771">SUM(GB93:GB104)</f>
        <v>78200.38</v>
      </c>
      <c r="GC105" s="422">
        <f t="shared" si="771"/>
        <v>78200.38</v>
      </c>
      <c r="GD105" s="422">
        <f t="shared" si="771"/>
        <v>78200.38</v>
      </c>
      <c r="GE105" s="422">
        <f t="shared" si="771"/>
        <v>78200.38</v>
      </c>
      <c r="GF105" s="422">
        <f t="shared" si="771"/>
        <v>78200.38</v>
      </c>
      <c r="GG105" s="422">
        <f t="shared" si="771"/>
        <v>78312.38</v>
      </c>
      <c r="GH105" s="422">
        <f t="shared" si="771"/>
        <v>78312.38</v>
      </c>
      <c r="GI105" s="422">
        <f t="shared" si="771"/>
        <v>78312.38</v>
      </c>
      <c r="GJ105" s="422">
        <f t="shared" si="771"/>
        <v>78312.38</v>
      </c>
      <c r="GK105" s="422">
        <f t="shared" si="771"/>
        <v>78312.38</v>
      </c>
      <c r="GL105" s="422">
        <f t="shared" si="771"/>
        <v>78312.38</v>
      </c>
      <c r="GM105" s="422">
        <f t="shared" si="771"/>
        <v>78312.38</v>
      </c>
      <c r="GN105" s="422">
        <f t="shared" si="771"/>
        <v>78312.38</v>
      </c>
      <c r="GO105" s="422">
        <f t="shared" si="771"/>
        <v>78312.38</v>
      </c>
      <c r="GP105" s="422">
        <f t="shared" si="771"/>
        <v>78312.38</v>
      </c>
      <c r="GQ105" s="422">
        <f t="shared" si="771"/>
        <v>78312.38</v>
      </c>
      <c r="GR105" s="422">
        <f t="shared" si="771"/>
        <v>78312.38</v>
      </c>
      <c r="GS105" s="422">
        <f t="shared" si="771"/>
        <v>78312.38</v>
      </c>
      <c r="GT105" s="422">
        <f t="shared" si="771"/>
        <v>78312.38</v>
      </c>
      <c r="GU105" s="422">
        <f t="shared" si="771"/>
        <v>78312.38</v>
      </c>
      <c r="GV105" s="422">
        <f t="shared" si="771"/>
        <v>78312.38</v>
      </c>
      <c r="GW105" s="422">
        <f t="shared" si="771"/>
        <v>78312.38</v>
      </c>
      <c r="GX105" s="422">
        <f t="shared" si="771"/>
        <v>78312.38</v>
      </c>
      <c r="GY105" s="422">
        <f t="shared" si="771"/>
        <v>78312.38</v>
      </c>
      <c r="GZ105" s="422">
        <f t="shared" si="771"/>
        <v>78312.38</v>
      </c>
      <c r="HA105" s="422">
        <f t="shared" si="771"/>
        <v>78312.38</v>
      </c>
      <c r="HB105" s="422">
        <f t="shared" si="771"/>
        <v>78312.38</v>
      </c>
      <c r="HC105" s="422">
        <f t="shared" si="771"/>
        <v>78312.38</v>
      </c>
      <c r="HD105" s="422">
        <f t="shared" si="771"/>
        <v>78312.38</v>
      </c>
      <c r="HE105" s="422">
        <f t="shared" si="771"/>
        <v>78312.38</v>
      </c>
      <c r="HF105" s="422">
        <f t="shared" si="771"/>
        <v>78312.38</v>
      </c>
      <c r="HG105" s="422">
        <f t="shared" si="771"/>
        <v>78312.38</v>
      </c>
      <c r="HH105" s="422" t="n">
        <f t="shared" ref="HH105:IM105" si="772">SUM(HH93:HH104)</f>
        <v>78312.38</v>
      </c>
      <c r="HI105" s="422">
        <f t="shared" si="772"/>
        <v>78312.38</v>
      </c>
      <c r="HJ105" s="422">
        <f t="shared" si="772"/>
        <v>78312.38</v>
      </c>
      <c r="HK105" s="422">
        <f t="shared" si="772"/>
        <v>78312.38</v>
      </c>
      <c r="HL105" s="422">
        <f t="shared" si="772"/>
        <v>78312.38</v>
      </c>
      <c r="HM105" s="422">
        <f t="shared" si="772"/>
        <v>78312.38</v>
      </c>
      <c r="HN105" s="422">
        <f t="shared" si="772"/>
        <v>78312.38</v>
      </c>
      <c r="HO105" s="422">
        <f t="shared" si="772"/>
        <v>78312.38</v>
      </c>
      <c r="HP105" s="422">
        <f t="shared" si="772"/>
        <v>78312.38</v>
      </c>
      <c r="HQ105" s="422">
        <f t="shared" si="772"/>
        <v>78312.38</v>
      </c>
      <c r="HR105" s="422">
        <f t="shared" si="772"/>
        <v>78312.38</v>
      </c>
      <c r="HS105" s="422">
        <f t="shared" si="772"/>
        <v>78312.38</v>
      </c>
      <c r="HT105" s="422">
        <f t="shared" si="772"/>
        <v>78312.38</v>
      </c>
      <c r="HU105" s="422">
        <f t="shared" si="772"/>
        <v>78312.38</v>
      </c>
      <c r="HV105" s="422">
        <f t="shared" si="772"/>
        <v>78312.38</v>
      </c>
      <c r="HW105" s="422">
        <f t="shared" si="772"/>
        <v>78312.38</v>
      </c>
      <c r="HX105" s="422">
        <f t="shared" si="772"/>
        <v>78312.38</v>
      </c>
      <c r="HY105" s="422">
        <f t="shared" si="772"/>
        <v>78312.38</v>
      </c>
      <c r="HZ105" s="422">
        <f t="shared" si="772"/>
        <v>78312.38</v>
      </c>
      <c r="IA105" s="422">
        <f t="shared" si="772"/>
        <v>78312.38</v>
      </c>
      <c r="IB105" s="422">
        <f t="shared" si="772"/>
        <v>78312.38</v>
      </c>
      <c r="IC105" s="422">
        <f t="shared" si="772"/>
        <v>78312.38</v>
      </c>
      <c r="ID105" s="422">
        <f t="shared" si="772"/>
        <v>78312.38</v>
      </c>
      <c r="IE105" s="422">
        <f t="shared" si="772"/>
        <v>78312.38</v>
      </c>
      <c r="IF105" s="422">
        <f t="shared" si="772"/>
        <v>78312.38</v>
      </c>
      <c r="IG105" s="422">
        <f t="shared" si="772"/>
        <v>78312.38</v>
      </c>
      <c r="IH105" s="422">
        <f t="shared" si="772"/>
        <v>78312.38</v>
      </c>
      <c r="II105" s="422">
        <f t="shared" si="772"/>
        <v>78312.38</v>
      </c>
      <c r="IJ105" s="422">
        <f t="shared" si="772"/>
        <v>78312.38</v>
      </c>
      <c r="IK105" s="422">
        <f t="shared" si="772"/>
        <v>78312.38</v>
      </c>
      <c r="IL105" s="422">
        <f t="shared" si="772"/>
        <v>78312.38</v>
      </c>
      <c r="IM105" s="422">
        <f t="shared" si="772"/>
        <v>78312.38</v>
      </c>
      <c r="IN105" s="422" t="n">
        <f t="shared" ref="IN105:JS105" si="773">SUM(IN93:IN104)</f>
        <v>78312.38</v>
      </c>
      <c r="IO105" s="422">
        <f t="shared" si="773"/>
        <v>78312.38</v>
      </c>
      <c r="IP105" s="422">
        <f t="shared" si="773"/>
        <v>78312.38</v>
      </c>
      <c r="IQ105" s="422">
        <f t="shared" si="773"/>
        <v>78312.38</v>
      </c>
      <c r="IR105" s="422">
        <f t="shared" si="773"/>
        <v>78312.38</v>
      </c>
      <c r="IS105" s="422">
        <f t="shared" si="773"/>
        <v>78312.38</v>
      </c>
      <c r="IT105" s="422">
        <f t="shared" si="773"/>
        <v>78312.38</v>
      </c>
      <c r="IU105" s="422">
        <f t="shared" si="773"/>
        <v>78312.38</v>
      </c>
      <c r="IV105" s="422">
        <f t="shared" si="773"/>
        <v>78312.38</v>
      </c>
      <c r="IW105" s="422">
        <f t="shared" si="773"/>
        <v>78312.38</v>
      </c>
      <c r="IX105" s="422">
        <f t="shared" si="773"/>
        <v>78312.38</v>
      </c>
      <c r="IY105" s="422">
        <f t="shared" si="773"/>
        <v>78312.38</v>
      </c>
      <c r="IZ105" s="422">
        <f t="shared" si="773"/>
        <v>78312.38</v>
      </c>
      <c r="JA105" s="422">
        <f t="shared" si="773"/>
        <v>78312.38</v>
      </c>
      <c r="JB105" s="422">
        <f t="shared" si="773"/>
        <v>78312.38</v>
      </c>
      <c r="JC105" s="422">
        <f t="shared" si="773"/>
        <v>78312.38</v>
      </c>
      <c r="JD105" s="422">
        <f t="shared" si="773"/>
        <v>78312.38</v>
      </c>
      <c r="JE105" s="422">
        <f t="shared" si="773"/>
        <v>78312.38</v>
      </c>
      <c r="JF105" s="422">
        <f t="shared" si="773"/>
        <v>78312.38</v>
      </c>
      <c r="JG105" s="422">
        <f t="shared" si="773"/>
        <v>78312.38</v>
      </c>
      <c r="JH105" s="422">
        <f t="shared" si="773"/>
        <v>78312.38</v>
      </c>
      <c r="JI105" s="422">
        <f t="shared" si="773"/>
        <v>78312.38</v>
      </c>
      <c r="JJ105" s="422">
        <f t="shared" si="773"/>
        <v>78312.38</v>
      </c>
      <c r="JK105" s="422">
        <f t="shared" si="773"/>
        <v>78312.38</v>
      </c>
      <c r="JL105" s="422">
        <f t="shared" si="773"/>
        <v>78312.38</v>
      </c>
      <c r="JM105" s="422">
        <f t="shared" si="773"/>
        <v>78312.38</v>
      </c>
      <c r="JN105" s="422">
        <f t="shared" si="773"/>
        <v>78312.38</v>
      </c>
      <c r="JO105" s="422">
        <f t="shared" si="773"/>
        <v>78312.38</v>
      </c>
      <c r="JP105" s="422">
        <f t="shared" si="773"/>
        <v>78312.38</v>
      </c>
      <c r="JQ105" s="422">
        <f t="shared" si="773"/>
        <v>78312.38</v>
      </c>
      <c r="JR105" s="422">
        <f t="shared" si="773"/>
        <v>78312.38</v>
      </c>
      <c r="JS105" s="422">
        <f t="shared" si="773"/>
        <v>78312.38</v>
      </c>
      <c r="JT105" s="422" t="n">
        <f t="shared" ref="JT105:JX105" si="774">SUM(JT93:JT104)</f>
        <v>78312.38</v>
      </c>
      <c r="JU105" s="422">
        <f t="shared" si="774"/>
        <v>78312.38</v>
      </c>
      <c r="JV105" s="422">
        <f t="shared" si="774"/>
        <v>78312.38</v>
      </c>
      <c r="JW105" s="422">
        <f t="shared" si="774"/>
        <v>78312.38</v>
      </c>
      <c r="JX105" s="422">
        <f t="shared" si="774"/>
        <v>78312.38</v>
      </c>
      <c r="JZ105" s="263" t="s">
        <v>260</v>
      </c>
      <c r="KA105" s="263"/>
      <c r="KB105" s="263"/>
      <c r="KC105" s="263"/>
      <c r="KD105" s="263"/>
      <c r="KE105" s="263"/>
      <c r="KF105" s="263"/>
      <c r="KG105" s="475" t="n">
        <f t="shared" ref="KG105:LL105" si="775">SUM(KG93:KG104)</f>
        <v>0</v>
      </c>
      <c r="KH105" s="475">
        <f t="shared" si="775"/>
        <v>0</v>
      </c>
      <c r="KI105" s="475">
        <f t="shared" si="775"/>
        <v>0</v>
      </c>
      <c r="KJ105" s="475">
        <f t="shared" si="775"/>
        <v>0</v>
      </c>
      <c r="KK105" s="475">
        <f t="shared" si="775"/>
        <v>0</v>
      </c>
      <c r="KL105" s="475">
        <f t="shared" si="775"/>
        <v>0</v>
      </c>
      <c r="KM105" s="475">
        <f t="shared" si="775"/>
        <v>0</v>
      </c>
      <c r="KN105" s="475">
        <f t="shared" si="775"/>
        <v>0</v>
      </c>
      <c r="KO105" s="475">
        <f t="shared" si="775"/>
        <v>0</v>
      </c>
      <c r="KP105" s="475">
        <f t="shared" si="775"/>
        <v>0</v>
      </c>
      <c r="KQ105" s="475">
        <f t="shared" si="775"/>
        <v>0</v>
      </c>
      <c r="KR105" s="475">
        <f t="shared" si="775"/>
        <v>0</v>
      </c>
      <c r="KS105" s="475">
        <f t="shared" si="775"/>
        <v>0</v>
      </c>
      <c r="KT105" s="475">
        <f t="shared" si="775"/>
        <v>0</v>
      </c>
      <c r="KU105" s="475">
        <f t="shared" si="775"/>
        <v>0</v>
      </c>
      <c r="KV105" s="475">
        <f t="shared" si="775"/>
        <v>0</v>
      </c>
      <c r="KW105" s="475">
        <f t="shared" si="775"/>
        <v>0</v>
      </c>
      <c r="KX105" s="475">
        <f t="shared" si="775"/>
        <v>0</v>
      </c>
      <c r="KY105" s="475">
        <f t="shared" si="775"/>
        <v>0</v>
      </c>
      <c r="KZ105" s="475">
        <f t="shared" si="775"/>
        <v>0</v>
      </c>
      <c r="LA105" s="475">
        <f t="shared" si="775"/>
        <v>0</v>
      </c>
      <c r="LB105" s="475">
        <f t="shared" si="775"/>
        <v>716666.66666666663</v>
      </c>
      <c r="LC105" s="475">
        <f t="shared" si="775"/>
        <v>716666.66666666663</v>
      </c>
      <c r="LD105" s="475">
        <f t="shared" si="775"/>
        <v>716666.66666666663</v>
      </c>
      <c r="LE105" s="475">
        <f t="shared" si="775"/>
        <v>933333.33333333326</v>
      </c>
      <c r="LF105" s="475">
        <f t="shared" si="775"/>
        <v>933333.33333333326</v>
      </c>
      <c r="LG105" s="475">
        <f t="shared" si="775"/>
        <v>933333.33333333326</v>
      </c>
      <c r="LH105" s="475">
        <f t="shared" si="775"/>
        <v>1107500</v>
      </c>
      <c r="LI105" s="475">
        <f t="shared" si="775"/>
        <v>1107500</v>
      </c>
      <c r="LJ105" s="475">
        <f t="shared" si="775"/>
        <v>1107500</v>
      </c>
      <c r="LK105" s="475">
        <f t="shared" si="775"/>
        <v>1265833.3333333333</v>
      </c>
      <c r="LL105" s="475">
        <f t="shared" si="775"/>
        <v>1265833.3333333333</v>
      </c>
      <c r="LM105" s="475" t="n">
        <f t="shared" ref="LM105:MR105" si="776">SUM(LM93:LM104)</f>
        <v>1265833.3333333333</v>
      </c>
      <c r="LN105" s="475">
        <f t="shared" si="776"/>
        <v>1381749.9999999998</v>
      </c>
      <c r="LO105" s="475">
        <f t="shared" si="776"/>
        <v>1381749.9999999998</v>
      </c>
      <c r="LP105" s="475">
        <f t="shared" si="776"/>
        <v>1381749.9999999998</v>
      </c>
      <c r="LQ105" s="475">
        <f t="shared" si="776"/>
        <v>1389333.333333333</v>
      </c>
      <c r="LR105" s="475">
        <f t="shared" si="776"/>
        <v>1389333.333333333</v>
      </c>
      <c r="LS105" s="475">
        <f t="shared" si="776"/>
        <v>1389333.333333333</v>
      </c>
      <c r="LT105" s="475">
        <f t="shared" si="776"/>
        <v>1395429.1666666663</v>
      </c>
      <c r="LU105" s="475">
        <f t="shared" si="776"/>
        <v>1395429.1666666663</v>
      </c>
      <c r="LV105" s="475">
        <f t="shared" si="776"/>
        <v>1395429.1666666663</v>
      </c>
      <c r="LW105" s="475">
        <f t="shared" si="776"/>
        <v>1400970.833333333</v>
      </c>
      <c r="LX105" s="475">
        <f t="shared" si="776"/>
        <v>1400970.833333333</v>
      </c>
      <c r="LY105" s="475">
        <f t="shared" si="776"/>
        <v>1400970.833333333</v>
      </c>
      <c r="LZ105" s="475">
        <f t="shared" si="776"/>
        <v>1430111.2499999998</v>
      </c>
      <c r="MA105" s="475">
        <f t="shared" si="776"/>
        <v>1430111.2499999998</v>
      </c>
      <c r="MB105" s="475">
        <f t="shared" si="776"/>
        <v>1430111.2499999998</v>
      </c>
      <c r="MC105" s="475">
        <f t="shared" si="776"/>
        <v>1437959.9999999998</v>
      </c>
      <c r="MD105" s="475">
        <f t="shared" si="776"/>
        <v>1437959.9999999998</v>
      </c>
      <c r="ME105" s="475">
        <f t="shared" si="776"/>
        <v>1437959.9999999998</v>
      </c>
      <c r="MF105" s="475">
        <f t="shared" si="776"/>
        <v>1444269.1874999998</v>
      </c>
      <c r="MG105" s="475">
        <f t="shared" si="776"/>
        <v>1444269.1874999998</v>
      </c>
      <c r="MH105" s="475">
        <f t="shared" si="776"/>
        <v>1444269.1874999998</v>
      </c>
      <c r="MI105" s="475">
        <f t="shared" si="776"/>
        <v>1450004.8124999998</v>
      </c>
      <c r="MJ105" s="475">
        <f t="shared" si="776"/>
        <v>1450004.8124999998</v>
      </c>
      <c r="MK105" s="475">
        <f t="shared" si="776"/>
        <v>1450004.8124999998</v>
      </c>
      <c r="ML105" s="475">
        <f t="shared" si="776"/>
        <v>1480165.1437499998</v>
      </c>
      <c r="MM105" s="475">
        <f t="shared" si="776"/>
        <v>1480165.1437499998</v>
      </c>
      <c r="MN105" s="475">
        <f t="shared" si="776"/>
        <v>1480165.1437499998</v>
      </c>
      <c r="MO105" s="475">
        <f t="shared" si="776"/>
        <v>1488288.5999999996</v>
      </c>
      <c r="MP105" s="475">
        <f t="shared" si="776"/>
        <v>1488288.5999999996</v>
      </c>
      <c r="MQ105" s="475">
        <f t="shared" si="776"/>
        <v>1488288.5999999996</v>
      </c>
      <c r="MR105" s="475">
        <f t="shared" si="776"/>
        <v>1494818.6090624996</v>
      </c>
      <c r="MS105" s="475" t="n">
        <f t="shared" ref="MS105:NX105" si="777">SUM(MS93:MS104)</f>
        <v>1494818.6090624996</v>
      </c>
      <c r="MT105" s="475">
        <f t="shared" si="777"/>
        <v>1494818.6090624996</v>
      </c>
      <c r="MU105" s="475">
        <f t="shared" si="777"/>
        <v>1500754.9809374996</v>
      </c>
      <c r="MV105" s="475">
        <f t="shared" si="777"/>
        <v>1500754.9809374996</v>
      </c>
      <c r="MW105" s="475">
        <f t="shared" si="777"/>
        <v>1500754.9809374996</v>
      </c>
      <c r="MX105" s="475">
        <f t="shared" si="777"/>
        <v>1531970.9237812494</v>
      </c>
      <c r="MY105" s="475">
        <f t="shared" si="777"/>
        <v>1531970.9237812494</v>
      </c>
      <c r="MZ105" s="475">
        <f t="shared" si="777"/>
        <v>1531970.9237812494</v>
      </c>
      <c r="NA105" s="475">
        <f t="shared" si="777"/>
        <v>1540378.7009999997</v>
      </c>
      <c r="NB105" s="475">
        <f t="shared" si="777"/>
        <v>1540378.7009999997</v>
      </c>
      <c r="NC105" s="475">
        <f t="shared" si="777"/>
        <v>1540378.7009999997</v>
      </c>
      <c r="ND105" s="475">
        <f t="shared" si="777"/>
        <v>1547137.260379687</v>
      </c>
      <c r="NE105" s="475">
        <f t="shared" si="777"/>
        <v>1547137.260379687</v>
      </c>
      <c r="NF105" s="475">
        <f t="shared" si="777"/>
        <v>1547137.260379687</v>
      </c>
      <c r="NG105" s="475">
        <f t="shared" si="777"/>
        <v>1553281.405270312</v>
      </c>
      <c r="NH105" s="475">
        <f t="shared" si="777"/>
        <v>1553281.405270312</v>
      </c>
      <c r="NI105" s="475">
        <f t="shared" si="777"/>
        <v>1553281.405270312</v>
      </c>
      <c r="NJ105" s="475">
        <f t="shared" si="777"/>
        <v>1585589.9061135931</v>
      </c>
      <c r="NK105" s="475">
        <f t="shared" si="777"/>
        <v>1585589.9061135931</v>
      </c>
      <c r="NL105" s="475">
        <f t="shared" si="777"/>
        <v>1585589.9061135931</v>
      </c>
      <c r="NM105" s="475">
        <f t="shared" si="777"/>
        <v>1594291.9555349995</v>
      </c>
      <c r="NN105" s="475">
        <f t="shared" si="777"/>
        <v>1594291.9555349995</v>
      </c>
      <c r="NO105" s="475">
        <f t="shared" si="777"/>
        <v>1594291.9555349995</v>
      </c>
      <c r="NP105" s="475">
        <f t="shared" si="777"/>
        <v>1601287.0644929761</v>
      </c>
      <c r="NQ105" s="475">
        <f t="shared" si="777"/>
        <v>1601287.0644929761</v>
      </c>
      <c r="NR105" s="475">
        <f t="shared" si="777"/>
        <v>1601287.0644929761</v>
      </c>
      <c r="NS105" s="475">
        <f t="shared" si="777"/>
        <v>1607646.2544547729</v>
      </c>
      <c r="NT105" s="475">
        <f t="shared" si="777"/>
        <v>1607646.2544547729</v>
      </c>
      <c r="NU105" s="475">
        <f t="shared" si="777"/>
        <v>1607646.2544547729</v>
      </c>
      <c r="NV105" s="475">
        <f t="shared" si="777"/>
        <v>1641085.552827569</v>
      </c>
      <c r="NW105" s="475">
        <f t="shared" si="777"/>
        <v>1641085.552827569</v>
      </c>
      <c r="NX105" s="475">
        <f t="shared" si="777"/>
        <v>1641085.552827569</v>
      </c>
      <c r="NY105" s="475" t="n">
        <f t="shared" ref="NY105:PD105" si="778">SUM(NY93:NY104)</f>
        <v>1650092.1739787245</v>
      </c>
      <c r="NZ105" s="475">
        <f t="shared" si="778"/>
        <v>1650092.1739787245</v>
      </c>
      <c r="OA105" s="475">
        <f t="shared" si="778"/>
        <v>1650092.1739787245</v>
      </c>
      <c r="OB105" s="475">
        <f t="shared" si="778"/>
        <v>1657332.1117502302</v>
      </c>
      <c r="OC105" s="475">
        <f t="shared" si="778"/>
        <v>1657332.1117502302</v>
      </c>
      <c r="OD105" s="475">
        <f t="shared" si="778"/>
        <v>1657332.1117502302</v>
      </c>
      <c r="OE105" s="475">
        <f t="shared" si="778"/>
        <v>1663913.87336069</v>
      </c>
      <c r="OF105" s="475">
        <f t="shared" si="778"/>
        <v>1663913.87336069</v>
      </c>
      <c r="OG105" s="475">
        <f t="shared" si="778"/>
        <v>1663913.87336069</v>
      </c>
      <c r="OH105" s="475">
        <f t="shared" si="778"/>
        <v>1698523.5471765336</v>
      </c>
      <c r="OI105" s="475">
        <f t="shared" si="778"/>
        <v>1698523.5471765336</v>
      </c>
      <c r="OJ105" s="475">
        <f t="shared" si="778"/>
        <v>1698523.5471765336</v>
      </c>
      <c r="OK105" s="475">
        <f t="shared" si="778"/>
        <v>1707845.4000679795</v>
      </c>
      <c r="OL105" s="475">
        <f t="shared" si="778"/>
        <v>1707845.4000679795</v>
      </c>
      <c r="OM105" s="475">
        <f t="shared" si="778"/>
        <v>1707845.4000679795</v>
      </c>
      <c r="ON105" s="475">
        <f t="shared" si="778"/>
        <v>1715338.735661488</v>
      </c>
      <c r="OO105" s="475">
        <f t="shared" si="778"/>
        <v>1715338.735661488</v>
      </c>
      <c r="OP105" s="475">
        <f t="shared" si="778"/>
        <v>1715338.735661488</v>
      </c>
      <c r="OQ105" s="475">
        <f t="shared" si="778"/>
        <v>1722150.8589283139</v>
      </c>
      <c r="OR105" s="475">
        <f t="shared" si="778"/>
        <v>1722150.8589283139</v>
      </c>
      <c r="OS105" s="475">
        <f t="shared" si="778"/>
        <v>1722150.8589283139</v>
      </c>
      <c r="OT105" s="475">
        <f t="shared" si="778"/>
        <v>1757971.8713277124</v>
      </c>
      <c r="OU105" s="475">
        <f t="shared" si="778"/>
        <v>1757971.8713277124</v>
      </c>
      <c r="OV105" s="475">
        <f t="shared" si="778"/>
        <v>1757971.8713277124</v>
      </c>
      <c r="OW105" s="475">
        <f t="shared" si="778"/>
        <v>1767619.9890703589</v>
      </c>
      <c r="OX105" s="475">
        <f t="shared" si="778"/>
        <v>1767619.9890703589</v>
      </c>
      <c r="OY105" s="475">
        <f t="shared" si="778"/>
        <v>1767619.9890703589</v>
      </c>
      <c r="OZ105" s="475">
        <f t="shared" si="778"/>
        <v>1775375.5914096397</v>
      </c>
      <c r="PA105" s="475">
        <f t="shared" si="778"/>
        <v>1775375.5914096397</v>
      </c>
      <c r="PB105" s="475">
        <f t="shared" si="778"/>
        <v>1775375.5914096397</v>
      </c>
      <c r="PC105" s="475">
        <f t="shared" si="778"/>
        <v>1782426.1389908046</v>
      </c>
      <c r="PD105" s="475">
        <f t="shared" si="778"/>
        <v>1782426.1389908046</v>
      </c>
      <c r="PE105" s="475" t="n">
        <f t="shared" ref="PE105:PH105" si="779">SUM(PE93:PE104)</f>
        <v>1782426.1389908046</v>
      </c>
      <c r="PF105" s="475">
        <f t="shared" si="779"/>
        <v>1819500.886824182</v>
      </c>
      <c r="PG105" s="475">
        <f t="shared" si="779"/>
        <v>1819500.886824182</v>
      </c>
      <c r="PH105" s="475">
        <f t="shared" si="779"/>
        <v>1819500.886824182</v>
      </c>
    </row>
    <row r="106">
      <c r="B106" s="473"/>
      <c r="C106" s="42"/>
      <c r="D106" s="42"/>
      <c r="E106" s="42"/>
      <c r="F106" s="71"/>
      <c r="G106" s="150"/>
      <c r="H106" s="150"/>
      <c r="I106" s="150"/>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c r="CW106" s="76"/>
      <c r="CX106" s="76"/>
      <c r="CY106" s="76"/>
      <c r="CZ106" s="76"/>
      <c r="DA106" s="76"/>
      <c r="DB106" s="76"/>
      <c r="DC106" s="76"/>
      <c r="DD106" s="76"/>
      <c r="DE106" s="76"/>
      <c r="DF106" s="76"/>
      <c r="DG106" s="76"/>
      <c r="DH106" s="76"/>
      <c r="DI106" s="76"/>
      <c r="DJ106" s="76"/>
      <c r="DK106" s="76"/>
      <c r="DL106" s="76"/>
      <c r="DM106" s="76"/>
      <c r="DN106" s="76"/>
      <c r="DO106" s="76"/>
      <c r="DP106" s="76"/>
      <c r="DQ106" s="76"/>
      <c r="DR106" s="76"/>
      <c r="DS106" s="76"/>
      <c r="DT106" s="76"/>
      <c r="DU106" s="76"/>
      <c r="DV106" s="76"/>
      <c r="DW106" s="76"/>
      <c r="DX106" s="76"/>
      <c r="DY106" s="76"/>
      <c r="DZ106" s="76"/>
      <c r="EA106" s="76"/>
      <c r="EB106" s="76"/>
      <c r="EC106" s="76"/>
      <c r="ED106" s="76"/>
      <c r="EE106" s="76"/>
      <c r="EF106" s="76"/>
      <c r="EG106" s="76"/>
      <c r="EH106" s="76"/>
      <c r="EI106" s="76"/>
      <c r="EJ106" s="76"/>
      <c r="EK106" s="76"/>
      <c r="EL106" s="76"/>
      <c r="EM106" s="76"/>
      <c r="EN106" s="76"/>
      <c r="EO106" s="209"/>
      <c r="EP106" s="468"/>
      <c r="EQ106" s="469"/>
      <c r="ER106" s="469"/>
      <c r="ES106" s="469"/>
      <c r="ET106" s="469"/>
      <c r="EU106" s="469"/>
      <c r="EV106" s="469"/>
      <c r="EW106" s="469"/>
      <c r="EX106" s="469"/>
      <c r="EY106" s="469"/>
      <c r="EZ106" s="469"/>
      <c r="FA106" s="469"/>
      <c r="FB106" s="469"/>
      <c r="FC106" s="469"/>
      <c r="FD106" s="469"/>
      <c r="FE106" s="469"/>
      <c r="FF106" s="469"/>
      <c r="FG106" s="469"/>
      <c r="FH106" s="469"/>
      <c r="FI106" s="469"/>
      <c r="FJ106" s="469"/>
      <c r="FK106" s="469"/>
      <c r="FL106" s="469"/>
      <c r="FM106" s="469"/>
      <c r="FN106" s="469"/>
      <c r="FO106" s="469"/>
      <c r="FP106" s="469"/>
      <c r="FQ106" s="469"/>
      <c r="FR106" s="469"/>
      <c r="FS106" s="469"/>
      <c r="FT106" s="469"/>
      <c r="FU106" s="469"/>
      <c r="FV106" s="469"/>
      <c r="FW106" s="469"/>
      <c r="FX106" s="469"/>
      <c r="FY106" s="469"/>
      <c r="FZ106" s="469"/>
      <c r="GA106" s="469"/>
      <c r="GB106" s="469"/>
      <c r="GC106" s="469"/>
      <c r="GD106" s="469"/>
      <c r="GE106" s="469"/>
      <c r="GF106" s="469"/>
      <c r="GG106" s="469"/>
      <c r="GH106" s="469"/>
      <c r="GI106" s="469"/>
      <c r="GJ106" s="469"/>
      <c r="GK106" s="469"/>
      <c r="GL106" s="469"/>
      <c r="GM106" s="469"/>
      <c r="GN106" s="469"/>
      <c r="GO106" s="469"/>
      <c r="GP106" s="469"/>
      <c r="GQ106" s="469"/>
      <c r="GR106" s="469"/>
      <c r="GS106" s="469"/>
      <c r="GT106" s="469"/>
      <c r="GU106" s="469"/>
      <c r="GV106" s="469"/>
      <c r="GW106" s="469"/>
      <c r="GX106" s="469"/>
      <c r="GY106" s="469"/>
      <c r="GZ106" s="469"/>
      <c r="HA106" s="469"/>
      <c r="HB106" s="469"/>
      <c r="HC106" s="469"/>
      <c r="HD106" s="469"/>
      <c r="HE106" s="469"/>
      <c r="HF106" s="469"/>
      <c r="HG106" s="469"/>
      <c r="HH106" s="469"/>
      <c r="HI106" s="469"/>
      <c r="HJ106" s="469"/>
      <c r="HK106" s="469"/>
      <c r="HL106" s="469"/>
      <c r="HM106" s="469"/>
      <c r="HN106" s="469"/>
      <c r="HO106" s="469"/>
      <c r="HP106" s="469"/>
      <c r="HQ106" s="469"/>
      <c r="HR106" s="469"/>
      <c r="HS106" s="469"/>
      <c r="HT106" s="469"/>
      <c r="HU106" s="469"/>
      <c r="HV106" s="469"/>
      <c r="HW106" s="469"/>
      <c r="HX106" s="469"/>
      <c r="HY106" s="469"/>
      <c r="HZ106" s="469"/>
      <c r="IA106" s="469"/>
      <c r="IB106" s="469"/>
      <c r="IC106" s="469"/>
      <c r="ID106" s="469"/>
      <c r="IE106" s="469"/>
      <c r="IF106" s="469"/>
      <c r="IG106" s="469"/>
      <c r="IH106" s="469"/>
      <c r="II106" s="469"/>
      <c r="IJ106" s="469"/>
      <c r="IK106" s="469"/>
      <c r="IL106" s="469"/>
      <c r="IM106" s="469"/>
      <c r="IN106" s="469"/>
      <c r="IO106" s="469"/>
      <c r="IP106" s="469"/>
      <c r="IQ106" s="469"/>
      <c r="IR106" s="469"/>
      <c r="IS106" s="469"/>
      <c r="IT106" s="469"/>
      <c r="IU106" s="469"/>
      <c r="IV106" s="469"/>
      <c r="IW106" s="469"/>
      <c r="IX106" s="469"/>
      <c r="IY106" s="469"/>
      <c r="IZ106" s="469"/>
      <c r="JA106" s="469"/>
      <c r="JB106" s="469"/>
      <c r="JC106" s="469"/>
      <c r="JD106" s="469"/>
      <c r="JE106" s="469"/>
      <c r="JF106" s="469"/>
      <c r="JG106" s="469"/>
      <c r="JH106" s="469"/>
      <c r="JI106" s="469"/>
      <c r="JJ106" s="469"/>
      <c r="JK106" s="469"/>
      <c r="JL106" s="469"/>
      <c r="JM106" s="469"/>
      <c r="JN106" s="469"/>
      <c r="JO106" s="469"/>
      <c r="JP106" s="469"/>
      <c r="JQ106" s="469"/>
      <c r="JR106" s="469"/>
      <c r="JS106" s="469"/>
      <c r="JT106" s="469"/>
      <c r="JU106" s="469"/>
      <c r="JV106" s="469"/>
      <c r="JW106" s="469"/>
      <c r="JX106" s="20"/>
      <c r="JZ106" s="470"/>
      <c r="KA106" s="470"/>
      <c r="KB106" s="470"/>
      <c r="KC106" s="470"/>
      <c r="KD106" s="470"/>
      <c r="KE106" s="470"/>
      <c r="KF106" s="470"/>
      <c r="KG106" s="470"/>
      <c r="KH106" s="470"/>
      <c r="KI106" s="470"/>
      <c r="KJ106" s="470"/>
      <c r="KK106" s="470"/>
      <c r="KL106" s="470"/>
      <c r="KM106" s="470"/>
      <c r="KN106" s="470"/>
      <c r="KO106" s="470"/>
      <c r="KP106" s="470"/>
      <c r="KQ106" s="470"/>
      <c r="KR106" s="470"/>
      <c r="KS106" s="470"/>
      <c r="KT106" s="470"/>
      <c r="KU106" s="470"/>
      <c r="KV106" s="470"/>
      <c r="KW106" s="470"/>
      <c r="KX106" s="470"/>
      <c r="KY106" s="470"/>
      <c r="KZ106" s="470"/>
      <c r="LA106" s="470"/>
      <c r="LB106" s="470"/>
      <c r="LC106" s="470"/>
      <c r="LD106" s="470"/>
      <c r="LE106" s="470"/>
      <c r="LF106" s="470"/>
      <c r="LG106" s="470"/>
      <c r="LH106" s="470"/>
      <c r="LI106" s="470"/>
      <c r="LJ106" s="470"/>
      <c r="LK106" s="470"/>
      <c r="LL106" s="470"/>
      <c r="LM106" s="470"/>
      <c r="LN106" s="470"/>
      <c r="LO106" s="470"/>
      <c r="LP106" s="470"/>
      <c r="LQ106" s="470"/>
      <c r="LR106" s="470"/>
      <c r="LS106" s="470"/>
      <c r="LT106" s="470"/>
      <c r="LU106" s="470"/>
      <c r="LV106" s="470"/>
      <c r="LW106" s="470"/>
      <c r="LX106" s="470"/>
      <c r="LY106" s="470"/>
      <c r="LZ106" s="470"/>
      <c r="MA106" s="470"/>
      <c r="MB106" s="470"/>
      <c r="MC106" s="470"/>
      <c r="MD106" s="470"/>
      <c r="ME106" s="470"/>
      <c r="MF106" s="470"/>
      <c r="MG106" s="470"/>
      <c r="MH106" s="470"/>
      <c r="MI106" s="470"/>
      <c r="MJ106" s="470"/>
      <c r="MK106" s="470"/>
      <c r="ML106" s="470"/>
      <c r="MM106" s="470"/>
      <c r="MN106" s="470"/>
      <c r="MO106" s="470"/>
      <c r="MP106" s="470"/>
      <c r="MQ106" s="470"/>
      <c r="MR106" s="470"/>
      <c r="MS106" s="470"/>
      <c r="MT106" s="470"/>
      <c r="MU106" s="470"/>
      <c r="MV106" s="470"/>
      <c r="MW106" s="470"/>
      <c r="MX106" s="470"/>
      <c r="MY106" s="470"/>
      <c r="MZ106" s="470"/>
      <c r="NA106" s="470"/>
      <c r="NB106" s="470"/>
      <c r="NC106" s="470"/>
      <c r="ND106" s="470"/>
      <c r="NE106" s="470"/>
      <c r="NF106" s="470"/>
      <c r="NG106" s="470"/>
      <c r="NH106" s="470"/>
      <c r="NI106" s="470"/>
      <c r="NJ106" s="470"/>
      <c r="NK106" s="470"/>
      <c r="NL106" s="470"/>
      <c r="NM106" s="470"/>
      <c r="NN106" s="470"/>
      <c r="NO106" s="470"/>
      <c r="NP106" s="470"/>
      <c r="NQ106" s="470"/>
      <c r="NR106" s="470"/>
      <c r="NS106" s="470"/>
      <c r="NT106" s="470"/>
      <c r="NU106" s="470"/>
      <c r="NV106" s="470"/>
      <c r="NW106" s="470"/>
      <c r="NX106" s="470"/>
      <c r="NY106" s="470"/>
      <c r="NZ106" s="470"/>
      <c r="OA106" s="470"/>
      <c r="OB106" s="470"/>
      <c r="OC106" s="470"/>
      <c r="OD106" s="470"/>
      <c r="OE106" s="470"/>
      <c r="OF106" s="470"/>
      <c r="OG106" s="470"/>
      <c r="OH106" s="470"/>
      <c r="OI106" s="470"/>
      <c r="OJ106" s="470"/>
      <c r="OK106" s="470"/>
      <c r="OL106" s="470"/>
      <c r="OM106" s="470"/>
      <c r="ON106" s="470"/>
      <c r="OO106" s="470"/>
      <c r="OP106" s="470"/>
      <c r="OQ106" s="470"/>
      <c r="OR106" s="470"/>
      <c r="OS106" s="470"/>
      <c r="OT106" s="470"/>
      <c r="OU106" s="470"/>
      <c r="OV106" s="470"/>
      <c r="OW106" s="470"/>
      <c r="OX106" s="470"/>
      <c r="OY106" s="470"/>
      <c r="OZ106" s="470"/>
      <c r="PA106" s="470"/>
      <c r="PB106" s="470"/>
      <c r="PC106" s="470"/>
      <c r="PD106" s="470"/>
      <c r="PE106" s="470"/>
      <c r="PF106" s="470"/>
      <c r="PG106" s="470"/>
      <c r="PH106" s="470"/>
    </row>
    <row r="107">
      <c r="B107" s="471" t="s">
        <v>261</v>
      </c>
      <c r="C107" s="471" t="s">
        <v>262</v>
      </c>
      <c r="D107" s="471" t="s">
        <v>263</v>
      </c>
      <c r="E107" s="472" t="s">
        <v>264</v>
      </c>
      <c r="F107" s="43" t="s">
        <v>265</v>
      </c>
      <c r="G107" s="50" t="s">
        <v>266</v>
      </c>
      <c r="H107" s="50" t="str">
        <f>"REC./"&amp;Unit_Type&amp;"/YR"</f>
        <v>REC./M2/YR</v>
      </c>
      <c r="I107" s="150" t="s">
        <v>267</v>
      </c>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c r="CW107" s="76"/>
      <c r="CX107" s="76"/>
      <c r="CY107" s="76"/>
      <c r="CZ107" s="76"/>
      <c r="DA107" s="76"/>
      <c r="DB107" s="76"/>
      <c r="DC107" s="76"/>
      <c r="DD107" s="76"/>
      <c r="DE107" s="76"/>
      <c r="DF107" s="76"/>
      <c r="DG107" s="76"/>
      <c r="DH107" s="76"/>
      <c r="DI107" s="76"/>
      <c r="DJ107" s="76"/>
      <c r="DK107" s="76"/>
      <c r="DL107" s="76"/>
      <c r="DM107" s="76"/>
      <c r="DN107" s="76"/>
      <c r="DO107" s="76"/>
      <c r="DP107" s="76"/>
      <c r="DQ107" s="76"/>
      <c r="DR107" s="76"/>
      <c r="DS107" s="76"/>
      <c r="DT107" s="76"/>
      <c r="DU107" s="76"/>
      <c r="DV107" s="76"/>
      <c r="DW107" s="76"/>
      <c r="DX107" s="76"/>
      <c r="DY107" s="76"/>
      <c r="DZ107" s="76"/>
      <c r="EA107" s="76"/>
      <c r="EB107" s="76"/>
      <c r="EC107" s="76"/>
      <c r="ED107" s="76"/>
      <c r="EE107" s="76"/>
      <c r="EF107" s="76"/>
      <c r="EG107" s="76"/>
      <c r="EH107" s="76"/>
      <c r="EI107" s="76"/>
      <c r="EJ107" s="76"/>
      <c r="EK107" s="76"/>
      <c r="EL107" s="76"/>
      <c r="EM107" s="76"/>
      <c r="EN107" s="76"/>
      <c r="EO107" s="209"/>
      <c r="EP107" s="468"/>
      <c r="EQ107" s="469"/>
      <c r="ER107" s="469"/>
      <c r="ES107" s="469"/>
      <c r="ET107" s="469"/>
      <c r="EU107" s="469"/>
      <c r="EV107" s="469"/>
      <c r="EW107" s="469"/>
      <c r="EX107" s="469"/>
      <c r="EY107" s="469"/>
      <c r="EZ107" s="469"/>
      <c r="FA107" s="469"/>
      <c r="FB107" s="469"/>
      <c r="FC107" s="469"/>
      <c r="FD107" s="469"/>
      <c r="FE107" s="469"/>
      <c r="FF107" s="469"/>
      <c r="FG107" s="469"/>
      <c r="FH107" s="469"/>
      <c r="FI107" s="469"/>
      <c r="FJ107" s="469"/>
      <c r="FK107" s="469"/>
      <c r="FL107" s="469"/>
      <c r="FM107" s="469"/>
      <c r="FN107" s="469"/>
      <c r="FO107" s="469"/>
      <c r="FP107" s="469"/>
      <c r="FQ107" s="469"/>
      <c r="FR107" s="469"/>
      <c r="FS107" s="469"/>
      <c r="FT107" s="469"/>
      <c r="FU107" s="469"/>
      <c r="FV107" s="469"/>
      <c r="FW107" s="469"/>
      <c r="FX107" s="469"/>
      <c r="FY107" s="469"/>
      <c r="FZ107" s="469"/>
      <c r="GA107" s="469"/>
      <c r="GB107" s="469"/>
      <c r="GC107" s="469"/>
      <c r="GD107" s="469"/>
      <c r="GE107" s="469"/>
      <c r="GF107" s="469"/>
      <c r="GG107" s="469"/>
      <c r="GH107" s="469"/>
      <c r="GI107" s="469"/>
      <c r="GJ107" s="469"/>
      <c r="GK107" s="469"/>
      <c r="GL107" s="469"/>
      <c r="GM107" s="469"/>
      <c r="GN107" s="469"/>
      <c r="GO107" s="469"/>
      <c r="GP107" s="469"/>
      <c r="GQ107" s="469"/>
      <c r="GR107" s="469"/>
      <c r="GS107" s="469"/>
      <c r="GT107" s="469"/>
      <c r="GU107" s="469"/>
      <c r="GV107" s="469"/>
      <c r="GW107" s="469"/>
      <c r="GX107" s="469"/>
      <c r="GY107" s="469"/>
      <c r="GZ107" s="469"/>
      <c r="HA107" s="469"/>
      <c r="HB107" s="469"/>
      <c r="HC107" s="469"/>
      <c r="HD107" s="469"/>
      <c r="HE107" s="469"/>
      <c r="HF107" s="469"/>
      <c r="HG107" s="469"/>
      <c r="HH107" s="469"/>
      <c r="HI107" s="469"/>
      <c r="HJ107" s="469"/>
      <c r="HK107" s="469"/>
      <c r="HL107" s="469"/>
      <c r="HM107" s="469"/>
      <c r="HN107" s="469"/>
      <c r="HO107" s="469"/>
      <c r="HP107" s="469"/>
      <c r="HQ107" s="469"/>
      <c r="HR107" s="469"/>
      <c r="HS107" s="469"/>
      <c r="HT107" s="469"/>
      <c r="HU107" s="469"/>
      <c r="HV107" s="469"/>
      <c r="HW107" s="469"/>
      <c r="HX107" s="469"/>
      <c r="HY107" s="469"/>
      <c r="HZ107" s="469"/>
      <c r="IA107" s="469"/>
      <c r="IB107" s="469"/>
      <c r="IC107" s="469"/>
      <c r="ID107" s="469"/>
      <c r="IE107" s="469"/>
      <c r="IF107" s="469"/>
      <c r="IG107" s="469"/>
      <c r="IH107" s="469"/>
      <c r="II107" s="469"/>
      <c r="IJ107" s="469"/>
      <c r="IK107" s="469"/>
      <c r="IL107" s="469"/>
      <c r="IM107" s="469"/>
      <c r="IN107" s="469"/>
      <c r="IO107" s="469"/>
      <c r="IP107" s="469"/>
      <c r="IQ107" s="469"/>
      <c r="IR107" s="469"/>
      <c r="IS107" s="469"/>
      <c r="IT107" s="469"/>
      <c r="IU107" s="469"/>
      <c r="IV107" s="469"/>
      <c r="IW107" s="469"/>
      <c r="IX107" s="469"/>
      <c r="IY107" s="469"/>
      <c r="IZ107" s="469"/>
      <c r="JA107" s="469"/>
      <c r="JB107" s="469"/>
      <c r="JC107" s="469"/>
      <c r="JD107" s="469"/>
      <c r="JE107" s="469"/>
      <c r="JF107" s="469"/>
      <c r="JG107" s="469"/>
      <c r="JH107" s="469"/>
      <c r="JI107" s="469"/>
      <c r="JJ107" s="469"/>
      <c r="JK107" s="469"/>
      <c r="JL107" s="469"/>
      <c r="JM107" s="469"/>
      <c r="JN107" s="469"/>
      <c r="JO107" s="469"/>
      <c r="JP107" s="469"/>
      <c r="JQ107" s="469"/>
      <c r="JR107" s="469"/>
      <c r="JS107" s="469"/>
      <c r="JT107" s="469"/>
      <c r="JU107" s="469"/>
      <c r="JV107" s="469"/>
      <c r="JW107" s="469"/>
      <c r="JX107" s="20"/>
      <c r="JZ107" s="470"/>
      <c r="KA107" s="470"/>
      <c r="KB107" s="470"/>
      <c r="KC107" s="470"/>
      <c r="KD107" s="470"/>
      <c r="KE107" s="470"/>
      <c r="KF107" s="470"/>
      <c r="KG107" s="470"/>
      <c r="KH107" s="470"/>
      <c r="KI107" s="470"/>
      <c r="KJ107" s="470"/>
      <c r="KK107" s="470"/>
      <c r="KL107" s="470"/>
      <c r="KM107" s="470"/>
      <c r="KN107" s="470"/>
      <c r="KO107" s="470"/>
      <c r="KP107" s="470"/>
      <c r="KQ107" s="470"/>
      <c r="KR107" s="470"/>
      <c r="KS107" s="470"/>
      <c r="KT107" s="470"/>
      <c r="KU107" s="470"/>
      <c r="KV107" s="470"/>
      <c r="KW107" s="470"/>
      <c r="KX107" s="470"/>
      <c r="KY107" s="470"/>
      <c r="KZ107" s="470"/>
      <c r="LA107" s="470"/>
      <c r="LB107" s="470"/>
      <c r="LC107" s="470"/>
      <c r="LD107" s="470"/>
      <c r="LE107" s="470"/>
      <c r="LF107" s="470"/>
      <c r="LG107" s="470"/>
      <c r="LH107" s="470"/>
      <c r="LI107" s="470"/>
      <c r="LJ107" s="470"/>
      <c r="LK107" s="470"/>
      <c r="LL107" s="470"/>
      <c r="LM107" s="470"/>
      <c r="LN107" s="470"/>
      <c r="LO107" s="470"/>
      <c r="LP107" s="470"/>
      <c r="LQ107" s="470"/>
      <c r="LR107" s="470"/>
      <c r="LS107" s="470"/>
      <c r="LT107" s="470"/>
      <c r="LU107" s="470"/>
      <c r="LV107" s="470"/>
      <c r="LW107" s="470"/>
      <c r="LX107" s="470"/>
      <c r="LY107" s="470"/>
      <c r="LZ107" s="470"/>
      <c r="MA107" s="470"/>
      <c r="MB107" s="470"/>
      <c r="MC107" s="470"/>
      <c r="MD107" s="470"/>
      <c r="ME107" s="470"/>
      <c r="MF107" s="470"/>
      <c r="MG107" s="470"/>
      <c r="MH107" s="470"/>
      <c r="MI107" s="470"/>
      <c r="MJ107" s="470"/>
      <c r="MK107" s="470"/>
      <c r="ML107" s="470"/>
      <c r="MM107" s="470"/>
      <c r="MN107" s="470"/>
      <c r="MO107" s="470"/>
      <c r="MP107" s="470"/>
      <c r="MQ107" s="470"/>
      <c r="MR107" s="470"/>
      <c r="MS107" s="470"/>
      <c r="MT107" s="470"/>
      <c r="MU107" s="470"/>
      <c r="MV107" s="470"/>
      <c r="MW107" s="470"/>
      <c r="MX107" s="470"/>
      <c r="MY107" s="470"/>
      <c r="MZ107" s="470"/>
      <c r="NA107" s="470"/>
      <c r="NB107" s="470"/>
      <c r="NC107" s="470"/>
      <c r="ND107" s="470"/>
      <c r="NE107" s="470"/>
      <c r="NF107" s="470"/>
      <c r="NG107" s="470"/>
      <c r="NH107" s="470"/>
      <c r="NI107" s="470"/>
      <c r="NJ107" s="470"/>
      <c r="NK107" s="470"/>
      <c r="NL107" s="470"/>
      <c r="NM107" s="470"/>
      <c r="NN107" s="470"/>
      <c r="NO107" s="470"/>
      <c r="NP107" s="470"/>
      <c r="NQ107" s="470"/>
      <c r="NR107" s="470"/>
      <c r="NS107" s="470"/>
      <c r="NT107" s="470"/>
      <c r="NU107" s="470"/>
      <c r="NV107" s="470"/>
      <c r="NW107" s="470"/>
      <c r="NX107" s="470"/>
      <c r="NY107" s="470"/>
      <c r="NZ107" s="470"/>
      <c r="OA107" s="470"/>
      <c r="OB107" s="470"/>
      <c r="OC107" s="470"/>
      <c r="OD107" s="470"/>
      <c r="OE107" s="470"/>
      <c r="OF107" s="470"/>
      <c r="OG107" s="470"/>
      <c r="OH107" s="470"/>
      <c r="OI107" s="470"/>
      <c r="OJ107" s="470"/>
      <c r="OK107" s="470"/>
      <c r="OL107" s="470"/>
      <c r="OM107" s="470"/>
      <c r="ON107" s="470"/>
      <c r="OO107" s="470"/>
      <c r="OP107" s="470"/>
      <c r="OQ107" s="470"/>
      <c r="OR107" s="470"/>
      <c r="OS107" s="470"/>
      <c r="OT107" s="470"/>
      <c r="OU107" s="470"/>
      <c r="OV107" s="470"/>
      <c r="OW107" s="470"/>
      <c r="OX107" s="470"/>
      <c r="OY107" s="470"/>
      <c r="OZ107" s="470"/>
      <c r="PA107" s="470"/>
      <c r="PB107" s="470"/>
      <c r="PC107" s="470"/>
      <c r="PD107" s="470"/>
      <c r="PE107" s="470"/>
      <c r="PF107" s="470"/>
      <c r="PG107" s="470"/>
      <c r="PH107" s="470"/>
    </row>
    <row r="108">
      <c r="B108" s="92" t="str">
        <f t="shared" ref="B108:B119" si="780">C93</f>
        <v>URWLD</v>
      </c>
      <c r="C108" s="473" t="s">
        <v>268</v>
      </c>
      <c r="D108" s="279" t="s">
        <v>269</v>
      </c>
      <c r="E108" s="46" t="n">
        <f t="shared" ref="E108:E119" si="781">+F93</f>
        <v>22</v>
      </c>
      <c r="F108" s="54">
        <v>1</v>
      </c>
      <c r="G108" s="255" t="n">
        <f t="shared" ref="G108:G119" si="782">E93/Units_Ind</f>
        <v>0.27454152204287496</v>
      </c>
      <c r="H108" s="149" t="n">
        <f t="shared" ref="H108:H119" si="783">IFERROR(I108/E93,0)</f>
        <v>41.98925662698547</v>
      </c>
      <c r="I108" s="449" t="n">
        <f t="shared" ref="I108:I119" si="784">F108*G108*$I$138</f>
        <v>902769.0174801877</v>
      </c>
      <c r="K108" s="76"/>
      <c r="L108" s="76"/>
      <c r="M108" s="421" t="n">
        <f t="shared" ref="M108:V119" si="785">(M$3&gt;=$E108)*$G108*$F108*M$138</f>
        <v>0</v>
      </c>
      <c r="N108" s="421">
        <f t="shared" si="785"/>
        <v>0</v>
      </c>
      <c r="O108" s="421">
        <f t="shared" si="785"/>
        <v>0</v>
      </c>
      <c r="P108" s="421">
        <f t="shared" si="785"/>
        <v>0</v>
      </c>
      <c r="Q108" s="421">
        <f t="shared" si="785"/>
        <v>0</v>
      </c>
      <c r="R108" s="421">
        <f t="shared" si="785"/>
        <v>0</v>
      </c>
      <c r="S108" s="421">
        <f t="shared" si="785"/>
        <v>0</v>
      </c>
      <c r="T108" s="421">
        <f t="shared" si="785"/>
        <v>0</v>
      </c>
      <c r="U108" s="421">
        <f t="shared" si="785"/>
        <v>0</v>
      </c>
      <c r="V108" s="421">
        <f t="shared" si="785"/>
        <v>0</v>
      </c>
      <c r="W108" s="421" t="n">
        <f t="shared" ref="W108:AF119" si="786">(W$3&gt;=$E108)*$G108*$F108*W$138</f>
        <v>0</v>
      </c>
      <c r="X108" s="421">
        <f t="shared" si="786"/>
        <v>0</v>
      </c>
      <c r="Y108" s="421">
        <f t="shared" si="786"/>
        <v>0</v>
      </c>
      <c r="Z108" s="421">
        <f t="shared" si="786"/>
        <v>0</v>
      </c>
      <c r="AA108" s="421">
        <f t="shared" si="786"/>
        <v>0</v>
      </c>
      <c r="AB108" s="421">
        <f t="shared" si="786"/>
        <v>0</v>
      </c>
      <c r="AC108" s="421">
        <f t="shared" si="786"/>
        <v>0</v>
      </c>
      <c r="AD108" s="421">
        <f t="shared" si="786"/>
        <v>0</v>
      </c>
      <c r="AE108" s="421">
        <f t="shared" si="786"/>
        <v>0</v>
      </c>
      <c r="AF108" s="421">
        <f t="shared" si="786"/>
        <v>0</v>
      </c>
      <c r="AG108" s="421" t="n">
        <f t="shared" ref="AG108:AP119" si="787">(AG$3&gt;=$E108)*$G108*$F108*AG$138</f>
        <v>0</v>
      </c>
      <c r="AH108" s="421">
        <f t="shared" si="787"/>
        <v>72095.633544928642</v>
      </c>
      <c r="AI108" s="421">
        <f t="shared" si="787"/>
        <v>72095.633544928642</v>
      </c>
      <c r="AJ108" s="421">
        <f t="shared" si="787"/>
        <v>72095.633544928642</v>
      </c>
      <c r="AK108" s="421">
        <f t="shared" si="787"/>
        <v>72095.633544928642</v>
      </c>
      <c r="AL108" s="421">
        <f t="shared" si="787"/>
        <v>72095.633544928642</v>
      </c>
      <c r="AM108" s="421">
        <f t="shared" si="787"/>
        <v>72095.633544928642</v>
      </c>
      <c r="AN108" s="421">
        <f t="shared" si="787"/>
        <v>72095.633544928642</v>
      </c>
      <c r="AO108" s="421">
        <f t="shared" si="787"/>
        <v>72095.633544928642</v>
      </c>
      <c r="AP108" s="421">
        <f t="shared" si="787"/>
        <v>75230.751456682294</v>
      </c>
      <c r="AQ108" s="421" t="n">
        <f t="shared" ref="AQ108:AZ119" si="788">(AQ$3&gt;=$E108)*$G108*$F108*AQ$138</f>
        <v>75230.7514566823</v>
      </c>
      <c r="AR108" s="421">
        <f t="shared" si="788"/>
        <v>75230.751456682294</v>
      </c>
      <c r="AS108" s="421">
        <f t="shared" si="788"/>
        <v>75230.751456682294</v>
      </c>
      <c r="AT108" s="421">
        <f t="shared" si="788"/>
        <v>75230.751456682294</v>
      </c>
      <c r="AU108" s="421">
        <f t="shared" si="788"/>
        <v>75230.751456682294</v>
      </c>
      <c r="AV108" s="421">
        <f t="shared" si="788"/>
        <v>75230.751456682294</v>
      </c>
      <c r="AW108" s="421">
        <f t="shared" si="788"/>
        <v>75230.751456682294</v>
      </c>
      <c r="AX108" s="421">
        <f t="shared" si="788"/>
        <v>75230.751456682294</v>
      </c>
      <c r="AY108" s="421">
        <f t="shared" si="788"/>
        <v>75230.751456682294</v>
      </c>
      <c r="AZ108" s="421">
        <f t="shared" si="788"/>
        <v>75230.751456682294</v>
      </c>
      <c r="BA108" s="421" t="n">
        <f t="shared" ref="BA108:BJ119" si="789">(BA$3&gt;=$E108)*$G108*$F108*BA$138</f>
        <v>75230.7514566823</v>
      </c>
      <c r="BB108" s="421">
        <f t="shared" si="789"/>
        <v>75230.751456682294</v>
      </c>
      <c r="BC108" s="421">
        <f t="shared" si="789"/>
        <v>76885.645544149142</v>
      </c>
      <c r="BD108" s="421">
        <f t="shared" si="789"/>
        <v>76885.645544149142</v>
      </c>
      <c r="BE108" s="421">
        <f t="shared" si="789"/>
        <v>76885.645544149142</v>
      </c>
      <c r="BF108" s="421">
        <f t="shared" si="789"/>
        <v>76885.645544149142</v>
      </c>
      <c r="BG108" s="421">
        <f t="shared" si="789"/>
        <v>76885.645544149142</v>
      </c>
      <c r="BH108" s="421">
        <f t="shared" si="789"/>
        <v>76885.645544149142</v>
      </c>
      <c r="BI108" s="421">
        <f t="shared" si="789"/>
        <v>76885.645544149142</v>
      </c>
      <c r="BJ108" s="421">
        <f t="shared" si="789"/>
        <v>76885.645544149142</v>
      </c>
      <c r="BK108" s="421" t="n">
        <f t="shared" ref="BK108:BT119" si="790">(BK$3&gt;=$E108)*$G108*$F108*BK$138</f>
        <v>76885.64554414914</v>
      </c>
      <c r="BL108" s="421">
        <f t="shared" si="790"/>
        <v>76885.645544149142</v>
      </c>
      <c r="BM108" s="421">
        <f t="shared" si="790"/>
        <v>76885.645544149142</v>
      </c>
      <c r="BN108" s="421">
        <f t="shared" si="790"/>
        <v>76885.645544149142</v>
      </c>
      <c r="BO108" s="421">
        <f t="shared" si="790"/>
        <v>78392.928469169303</v>
      </c>
      <c r="BP108" s="421">
        <f t="shared" si="790"/>
        <v>78392.928469169303</v>
      </c>
      <c r="BQ108" s="421">
        <f t="shared" si="790"/>
        <v>78392.928469169303</v>
      </c>
      <c r="BR108" s="421">
        <f t="shared" si="790"/>
        <v>78392.928469169303</v>
      </c>
      <c r="BS108" s="421">
        <f t="shared" si="790"/>
        <v>78392.928469169303</v>
      </c>
      <c r="BT108" s="421">
        <f t="shared" si="790"/>
        <v>78392.928469169303</v>
      </c>
      <c r="BU108" s="421" t="n">
        <f t="shared" ref="BU108:CD119" si="791">(BU$3&gt;=$E108)*$G108*$F108*BU$138</f>
        <v>78392.9284691693</v>
      </c>
      <c r="BV108" s="421">
        <f t="shared" si="791"/>
        <v>78392.928469169303</v>
      </c>
      <c r="BW108" s="421">
        <f t="shared" si="791"/>
        <v>78392.928469169303</v>
      </c>
      <c r="BX108" s="421">
        <f t="shared" si="791"/>
        <v>78392.928469169303</v>
      </c>
      <c r="BY108" s="421">
        <f t="shared" si="791"/>
        <v>78392.928469169303</v>
      </c>
      <c r="BZ108" s="421">
        <f t="shared" si="791"/>
        <v>78392.928469169303</v>
      </c>
      <c r="CA108" s="421">
        <f t="shared" si="791"/>
        <v>79921.908429666335</v>
      </c>
      <c r="CB108" s="421">
        <f t="shared" si="791"/>
        <v>79921.908429666335</v>
      </c>
      <c r="CC108" s="421">
        <f t="shared" si="791"/>
        <v>79921.908429666335</v>
      </c>
      <c r="CD108" s="421">
        <f t="shared" si="791"/>
        <v>79921.908429666335</v>
      </c>
      <c r="CE108" s="421" t="n">
        <f t="shared" ref="CE108:CN119" si="792">(CE$3&gt;=$E108)*$G108*$F108*CE$138</f>
        <v>79921.90842966633</v>
      </c>
      <c r="CF108" s="421">
        <f t="shared" si="792"/>
        <v>79921.908429666335</v>
      </c>
      <c r="CG108" s="421">
        <f t="shared" si="792"/>
        <v>79921.908429666335</v>
      </c>
      <c r="CH108" s="421">
        <f t="shared" si="792"/>
        <v>79921.908429666335</v>
      </c>
      <c r="CI108" s="421">
        <f t="shared" si="792"/>
        <v>79921.908429666335</v>
      </c>
      <c r="CJ108" s="421">
        <f t="shared" si="792"/>
        <v>79921.908429666335</v>
      </c>
      <c r="CK108" s="421">
        <f t="shared" si="792"/>
        <v>79921.908429666335</v>
      </c>
      <c r="CL108" s="421">
        <f t="shared" si="792"/>
        <v>79921.908429666335</v>
      </c>
      <c r="CM108" s="421">
        <f t="shared" si="792"/>
        <v>79041.750910104485</v>
      </c>
      <c r="CN108" s="421">
        <f t="shared" si="792"/>
        <v>79041.750910104485</v>
      </c>
      <c r="CO108" s="421" t="n">
        <f t="shared" ref="CO108:CX119" si="793">(CO$3&gt;=$E108)*$G108*$F108*CO$138</f>
        <v>79041.75091010449</v>
      </c>
      <c r="CP108" s="421">
        <f t="shared" si="793"/>
        <v>79041.750910104485</v>
      </c>
      <c r="CQ108" s="421">
        <f t="shared" si="793"/>
        <v>79041.750910104485</v>
      </c>
      <c r="CR108" s="421">
        <f t="shared" si="793"/>
        <v>79041.750910104485</v>
      </c>
      <c r="CS108" s="421">
        <f t="shared" si="793"/>
        <v>79041.750910104485</v>
      </c>
      <c r="CT108" s="421">
        <f t="shared" si="793"/>
        <v>79041.750910104485</v>
      </c>
      <c r="CU108" s="421">
        <f t="shared" si="793"/>
        <v>79041.750910104485</v>
      </c>
      <c r="CV108" s="421">
        <f t="shared" si="793"/>
        <v>79041.750910104485</v>
      </c>
      <c r="CW108" s="421">
        <f t="shared" si="793"/>
        <v>79041.750910104485</v>
      </c>
      <c r="CX108" s="421">
        <f t="shared" si="793"/>
        <v>79041.750910104485</v>
      </c>
      <c r="CY108" s="421" t="n">
        <f t="shared" ref="CY108:DH119" si="794">(CY$3&gt;=$E108)*$G108*$F108*CY$138</f>
        <v>80632.85294362559</v>
      </c>
      <c r="CZ108" s="421">
        <f t="shared" si="794"/>
        <v>80632.852943625592</v>
      </c>
      <c r="DA108" s="421">
        <f t="shared" si="794"/>
        <v>80632.852943625592</v>
      </c>
      <c r="DB108" s="421">
        <f t="shared" si="794"/>
        <v>80632.852943625592</v>
      </c>
      <c r="DC108" s="421">
        <f t="shared" si="794"/>
        <v>80632.852943625592</v>
      </c>
      <c r="DD108" s="421">
        <f t="shared" si="794"/>
        <v>80632.852943625592</v>
      </c>
      <c r="DE108" s="421">
        <f t="shared" si="794"/>
        <v>80632.852943625592</v>
      </c>
      <c r="DF108" s="421">
        <f t="shared" si="794"/>
        <v>80632.852943625592</v>
      </c>
      <c r="DG108" s="421">
        <f t="shared" si="794"/>
        <v>80632.852943625592</v>
      </c>
      <c r="DH108" s="421">
        <f t="shared" si="794"/>
        <v>80632.852943625592</v>
      </c>
      <c r="DI108" s="421" t="n">
        <f t="shared" ref="DI108:DR119" si="795">(DI$3&gt;=$E108)*$G108*$F108*DI$138</f>
        <v>80632.85294362559</v>
      </c>
      <c r="DJ108" s="421">
        <f t="shared" si="795"/>
        <v>80632.852943625592</v>
      </c>
      <c r="DK108" s="421">
        <f t="shared" si="795"/>
        <v>82280.002647099071</v>
      </c>
      <c r="DL108" s="421">
        <f t="shared" si="795"/>
        <v>82280.002647099071</v>
      </c>
      <c r="DM108" s="421">
        <f t="shared" si="795"/>
        <v>82280.002647099071</v>
      </c>
      <c r="DN108" s="421">
        <f t="shared" si="795"/>
        <v>82280.002647099071</v>
      </c>
      <c r="DO108" s="421">
        <f t="shared" si="795"/>
        <v>82280.002647099071</v>
      </c>
      <c r="DP108" s="421">
        <f t="shared" si="795"/>
        <v>82280.002647099071</v>
      </c>
      <c r="DQ108" s="421">
        <f t="shared" si="795"/>
        <v>82280.002647099071</v>
      </c>
      <c r="DR108" s="421">
        <f t="shared" si="795"/>
        <v>82280.002647099071</v>
      </c>
      <c r="DS108" s="421" t="n">
        <f t="shared" ref="DS108:EB119" si="796">(DS$3&gt;=$E108)*$G108*$F108*DS$138</f>
        <v>82280.00264709907</v>
      </c>
      <c r="DT108" s="421">
        <f t="shared" si="796"/>
        <v>82280.002647099071</v>
      </c>
      <c r="DU108" s="421">
        <f t="shared" si="796"/>
        <v>82280.002647099071</v>
      </c>
      <c r="DV108" s="421">
        <f t="shared" si="796"/>
        <v>82280.002647099071</v>
      </c>
      <c r="DW108" s="421">
        <f t="shared" si="796"/>
        <v>83985.653376745511</v>
      </c>
      <c r="DX108" s="421">
        <f t="shared" si="796"/>
        <v>83985.653376745511</v>
      </c>
      <c r="DY108" s="421">
        <f t="shared" si="796"/>
        <v>83985.653376745511</v>
      </c>
      <c r="DZ108" s="421">
        <f t="shared" si="796"/>
        <v>83985.653376745511</v>
      </c>
      <c r="EA108" s="421">
        <f t="shared" si="796"/>
        <v>83985.653376745511</v>
      </c>
      <c r="EB108" s="421">
        <f t="shared" si="796"/>
        <v>83985.653376745511</v>
      </c>
      <c r="EC108" s="421" t="n">
        <f t="shared" ref="EC108:EN119" si="797">(EC$3&gt;=$E108)*$G108*$F108*EC$138</f>
        <v>83985.65337674551</v>
      </c>
      <c r="ED108" s="421">
        <f t="shared" si="797"/>
        <v>83985.653376745511</v>
      </c>
      <c r="EE108" s="421">
        <f t="shared" si="797"/>
        <v>83985.653376745511</v>
      </c>
      <c r="EF108" s="421">
        <f t="shared" si="797"/>
        <v>83985.653376745511</v>
      </c>
      <c r="EG108" s="421">
        <f t="shared" si="797"/>
        <v>83985.653376745511</v>
      </c>
      <c r="EH108" s="421">
        <f t="shared" si="797"/>
        <v>83985.653376745511</v>
      </c>
      <c r="EI108" s="421">
        <f t="shared" si="797"/>
        <v>85751.271923223787</v>
      </c>
      <c r="EJ108" s="421">
        <f t="shared" si="797"/>
        <v>85751.271923223787</v>
      </c>
      <c r="EK108" s="421">
        <f t="shared" si="797"/>
        <v>85751.271923223787</v>
      </c>
      <c r="EL108" s="421">
        <f t="shared" si="797"/>
        <v>85751.271923223787</v>
      </c>
      <c r="EM108" s="421">
        <f t="shared" si="797"/>
        <v>85751.271923223787</v>
      </c>
      <c r="EN108" s="421">
        <f t="shared" si="797"/>
        <v>85751.271923223787</v>
      </c>
      <c r="EO108" s="209"/>
      <c r="EP108" s="468"/>
      <c r="EQ108" s="469"/>
      <c r="ER108" s="469"/>
      <c r="ES108" s="469"/>
      <c r="ET108" s="469"/>
      <c r="EU108" s="469"/>
      <c r="EV108" s="469"/>
      <c r="EW108" s="469"/>
      <c r="EX108" s="469"/>
      <c r="EY108" s="469"/>
      <c r="EZ108" s="469"/>
      <c r="FA108" s="469"/>
      <c r="FB108" s="469"/>
      <c r="FC108" s="469"/>
      <c r="FD108" s="469"/>
      <c r="FE108" s="469"/>
      <c r="FF108" s="469"/>
      <c r="FG108" s="469"/>
      <c r="FH108" s="469"/>
      <c r="FI108" s="469"/>
      <c r="FJ108" s="469"/>
      <c r="FK108" s="469"/>
      <c r="FL108" s="469"/>
      <c r="FM108" s="469"/>
      <c r="FN108" s="469"/>
      <c r="FO108" s="469"/>
      <c r="FP108" s="469"/>
      <c r="FQ108" s="469"/>
      <c r="FR108" s="469"/>
      <c r="FS108" s="469"/>
      <c r="FT108" s="469"/>
      <c r="FU108" s="469"/>
      <c r="FV108" s="469"/>
      <c r="FW108" s="469"/>
      <c r="FX108" s="469"/>
      <c r="FY108" s="469"/>
      <c r="FZ108" s="469"/>
      <c r="GA108" s="469"/>
      <c r="GB108" s="469"/>
      <c r="GC108" s="469"/>
      <c r="GD108" s="469"/>
      <c r="GE108" s="469"/>
      <c r="GF108" s="469"/>
      <c r="GG108" s="469"/>
      <c r="GH108" s="469"/>
      <c r="GI108" s="469"/>
      <c r="GJ108" s="469"/>
      <c r="GK108" s="469"/>
      <c r="GL108" s="469"/>
      <c r="GM108" s="469"/>
      <c r="GN108" s="469"/>
      <c r="GO108" s="469"/>
      <c r="GP108" s="469"/>
      <c r="GQ108" s="469"/>
      <c r="GR108" s="469"/>
      <c r="GS108" s="469"/>
      <c r="GT108" s="469"/>
      <c r="GU108" s="469"/>
      <c r="GV108" s="469"/>
      <c r="GW108" s="469"/>
      <c r="GX108" s="469"/>
      <c r="GY108" s="469"/>
      <c r="GZ108" s="469"/>
      <c r="HA108" s="469"/>
      <c r="HB108" s="469"/>
      <c r="HC108" s="469"/>
      <c r="HD108" s="469"/>
      <c r="HE108" s="469"/>
      <c r="HF108" s="469"/>
      <c r="HG108" s="469"/>
      <c r="HH108" s="469"/>
      <c r="HI108" s="469"/>
      <c r="HJ108" s="469"/>
      <c r="HK108" s="469"/>
      <c r="HL108" s="469"/>
      <c r="HM108" s="469"/>
      <c r="HN108" s="469"/>
      <c r="HO108" s="469"/>
      <c r="HP108" s="469"/>
      <c r="HQ108" s="469"/>
      <c r="HR108" s="469"/>
      <c r="HS108" s="469"/>
      <c r="HT108" s="469"/>
      <c r="HU108" s="469"/>
      <c r="HV108" s="469"/>
      <c r="HW108" s="469"/>
      <c r="HX108" s="469"/>
      <c r="HY108" s="469"/>
      <c r="HZ108" s="469"/>
      <c r="IA108" s="469"/>
      <c r="IB108" s="469"/>
      <c r="IC108" s="469"/>
      <c r="ID108" s="469"/>
      <c r="IE108" s="469"/>
      <c r="IF108" s="469"/>
      <c r="IG108" s="469"/>
      <c r="IH108" s="469"/>
      <c r="II108" s="469"/>
      <c r="IJ108" s="469"/>
      <c r="IK108" s="469"/>
      <c r="IL108" s="469"/>
      <c r="IM108" s="469"/>
      <c r="IN108" s="469"/>
      <c r="IO108" s="469"/>
      <c r="IP108" s="469"/>
      <c r="IQ108" s="469"/>
      <c r="IR108" s="469"/>
      <c r="IS108" s="469"/>
      <c r="IT108" s="469"/>
      <c r="IU108" s="469"/>
      <c r="IV108" s="469"/>
      <c r="IW108" s="469"/>
      <c r="IX108" s="469"/>
      <c r="IY108" s="469"/>
      <c r="IZ108" s="469"/>
      <c r="JA108" s="469"/>
      <c r="JB108" s="469"/>
      <c r="JC108" s="469"/>
      <c r="JD108" s="469"/>
      <c r="JE108" s="469"/>
      <c r="JF108" s="469"/>
      <c r="JG108" s="469"/>
      <c r="JH108" s="469"/>
      <c r="JI108" s="469"/>
      <c r="JJ108" s="469"/>
      <c r="JK108" s="469"/>
      <c r="JL108" s="469"/>
      <c r="JM108" s="469"/>
      <c r="JN108" s="469"/>
      <c r="JO108" s="469"/>
      <c r="JP108" s="469"/>
      <c r="JQ108" s="469"/>
      <c r="JR108" s="469"/>
      <c r="JS108" s="469"/>
      <c r="JT108" s="469"/>
      <c r="JU108" s="469"/>
      <c r="JV108" s="469"/>
      <c r="JW108" s="469"/>
      <c r="JX108" s="20"/>
      <c r="JZ108" s="470"/>
      <c r="KA108" s="470"/>
      <c r="KB108" s="470"/>
      <c r="KC108" s="470"/>
      <c r="KD108" s="470"/>
      <c r="KE108" s="470"/>
      <c r="KF108" s="470"/>
      <c r="KG108" s="470"/>
      <c r="KH108" s="470"/>
      <c r="KI108" s="470"/>
      <c r="KJ108" s="470"/>
      <c r="KK108" s="470"/>
      <c r="KL108" s="470"/>
      <c r="KM108" s="470"/>
      <c r="KN108" s="470"/>
      <c r="KO108" s="470"/>
      <c r="KP108" s="470"/>
      <c r="KQ108" s="470"/>
      <c r="KR108" s="470"/>
      <c r="KS108" s="470"/>
      <c r="KT108" s="470"/>
      <c r="KU108" s="470"/>
      <c r="KV108" s="470"/>
      <c r="KW108" s="470"/>
      <c r="KX108" s="470"/>
      <c r="KY108" s="470"/>
      <c r="KZ108" s="470"/>
      <c r="LA108" s="470"/>
      <c r="LB108" s="470"/>
      <c r="LC108" s="470"/>
      <c r="LD108" s="470"/>
      <c r="LE108" s="470"/>
      <c r="LF108" s="470"/>
      <c r="LG108" s="470"/>
      <c r="LH108" s="470"/>
      <c r="LI108" s="470"/>
      <c r="LJ108" s="470"/>
      <c r="LK108" s="470"/>
      <c r="LL108" s="470"/>
      <c r="LM108" s="470"/>
      <c r="LN108" s="470"/>
      <c r="LO108" s="470"/>
      <c r="LP108" s="470"/>
      <c r="LQ108" s="470"/>
      <c r="LR108" s="470"/>
      <c r="LS108" s="470"/>
      <c r="LT108" s="470"/>
      <c r="LU108" s="470"/>
      <c r="LV108" s="470"/>
      <c r="LW108" s="470"/>
      <c r="LX108" s="470"/>
      <c r="LY108" s="470"/>
      <c r="LZ108" s="470"/>
      <c r="MA108" s="470"/>
      <c r="MB108" s="470"/>
      <c r="MC108" s="470"/>
      <c r="MD108" s="470"/>
      <c r="ME108" s="470"/>
      <c r="MF108" s="470"/>
      <c r="MG108" s="470"/>
      <c r="MH108" s="470"/>
      <c r="MI108" s="470"/>
      <c r="MJ108" s="470"/>
      <c r="MK108" s="470"/>
      <c r="ML108" s="470"/>
      <c r="MM108" s="470"/>
      <c r="MN108" s="470"/>
      <c r="MO108" s="470"/>
      <c r="MP108" s="470"/>
      <c r="MQ108" s="470"/>
      <c r="MR108" s="470"/>
      <c r="MS108" s="470"/>
      <c r="MT108" s="470"/>
      <c r="MU108" s="470"/>
      <c r="MV108" s="470"/>
      <c r="MW108" s="470"/>
      <c r="MX108" s="470"/>
      <c r="MY108" s="470"/>
      <c r="MZ108" s="470"/>
      <c r="NA108" s="470"/>
      <c r="NB108" s="470"/>
      <c r="NC108" s="470"/>
      <c r="ND108" s="470"/>
      <c r="NE108" s="470"/>
      <c r="NF108" s="470"/>
      <c r="NG108" s="470"/>
      <c r="NH108" s="470"/>
      <c r="NI108" s="470"/>
      <c r="NJ108" s="470"/>
      <c r="NK108" s="470"/>
      <c r="NL108" s="470"/>
      <c r="NM108" s="470"/>
      <c r="NN108" s="470"/>
      <c r="NO108" s="470"/>
      <c r="NP108" s="470"/>
      <c r="NQ108" s="470"/>
      <c r="NR108" s="470"/>
      <c r="NS108" s="470"/>
      <c r="NT108" s="470"/>
      <c r="NU108" s="470"/>
      <c r="NV108" s="470"/>
      <c r="NW108" s="470"/>
      <c r="NX108" s="470"/>
      <c r="NY108" s="470"/>
      <c r="NZ108" s="470"/>
      <c r="OA108" s="470"/>
      <c r="OB108" s="470"/>
      <c r="OC108" s="470"/>
      <c r="OD108" s="470"/>
      <c r="OE108" s="470"/>
      <c r="OF108" s="470"/>
      <c r="OG108" s="470"/>
      <c r="OH108" s="470"/>
      <c r="OI108" s="470"/>
      <c r="OJ108" s="470"/>
      <c r="OK108" s="470"/>
      <c r="OL108" s="470"/>
      <c r="OM108" s="470"/>
      <c r="ON108" s="470"/>
      <c r="OO108" s="470"/>
      <c r="OP108" s="470"/>
      <c r="OQ108" s="470"/>
      <c r="OR108" s="470"/>
      <c r="OS108" s="470"/>
      <c r="OT108" s="470"/>
      <c r="OU108" s="470"/>
      <c r="OV108" s="470"/>
      <c r="OW108" s="470"/>
      <c r="OX108" s="470"/>
      <c r="OY108" s="470"/>
      <c r="OZ108" s="470"/>
      <c r="PA108" s="470"/>
      <c r="PB108" s="470"/>
      <c r="PC108" s="470"/>
      <c r="PD108" s="470"/>
      <c r="PE108" s="470"/>
      <c r="PF108" s="470"/>
      <c r="PG108" s="470"/>
      <c r="PH108" s="470"/>
    </row>
    <row r="109">
      <c r="B109" s="92" t="str">
        <f t="shared" si="780"/>
        <v>Macquarie/IGLU; Brookfield/Journal</v>
      </c>
      <c r="C109" s="473" t="s">
        <v>270</v>
      </c>
      <c r="D109" s="279" t="s">
        <v>271</v>
      </c>
      <c r="E109" s="46">
        <f t="shared" si="781"/>
        <v>25</v>
      </c>
      <c r="F109" s="54">
        <v>1</v>
      </c>
      <c r="G109" s="255">
        <f t="shared" si="782"/>
        <v>0.25538746236546506</v>
      </c>
      <c r="H109" s="149">
        <f t="shared" si="783"/>
        <v>41.989256626985465</v>
      </c>
      <c r="I109" s="449">
        <f t="shared" si="784"/>
        <v>839785.13253970933</v>
      </c>
      <c r="K109" s="76"/>
      <c r="L109" s="76"/>
      <c r="M109" s="421">
        <f t="shared" si="785"/>
        <v>0</v>
      </c>
      <c r="N109" s="421">
        <f t="shared" si="785"/>
        <v>0</v>
      </c>
      <c r="O109" s="421">
        <f t="shared" si="785"/>
        <v>0</v>
      </c>
      <c r="P109" s="421">
        <f t="shared" si="785"/>
        <v>0</v>
      </c>
      <c r="Q109" s="421">
        <f t="shared" si="785"/>
        <v>0</v>
      </c>
      <c r="R109" s="421">
        <f t="shared" si="785"/>
        <v>0</v>
      </c>
      <c r="S109" s="421">
        <f t="shared" si="785"/>
        <v>0</v>
      </c>
      <c r="T109" s="421">
        <f t="shared" si="785"/>
        <v>0</v>
      </c>
      <c r="U109" s="421">
        <f t="shared" si="785"/>
        <v>0</v>
      </c>
      <c r="V109" s="421">
        <f t="shared" si="785"/>
        <v>0</v>
      </c>
      <c r="W109" s="421">
        <f t="shared" si="786"/>
        <v>0</v>
      </c>
      <c r="X109" s="421">
        <f t="shared" si="786"/>
        <v>0</v>
      </c>
      <c r="Y109" s="421">
        <f t="shared" si="786"/>
        <v>0</v>
      </c>
      <c r="Z109" s="421">
        <f t="shared" si="786"/>
        <v>0</v>
      </c>
      <c r="AA109" s="421">
        <f t="shared" si="786"/>
        <v>0</v>
      </c>
      <c r="AB109" s="421">
        <f t="shared" si="786"/>
        <v>0</v>
      </c>
      <c r="AC109" s="421">
        <f t="shared" si="786"/>
        <v>0</v>
      </c>
      <c r="AD109" s="421">
        <f t="shared" si="786"/>
        <v>0</v>
      </c>
      <c r="AE109" s="421">
        <f t="shared" si="786"/>
        <v>0</v>
      </c>
      <c r="AF109" s="421">
        <f t="shared" si="786"/>
        <v>0</v>
      </c>
      <c r="AG109" s="421">
        <f t="shared" si="787"/>
        <v>0</v>
      </c>
      <c r="AH109" s="421">
        <f t="shared" si="787"/>
        <v>0</v>
      </c>
      <c r="AI109" s="421">
        <f t="shared" si="787"/>
        <v>0</v>
      </c>
      <c r="AJ109" s="421">
        <f t="shared" si="787"/>
        <v>0</v>
      </c>
      <c r="AK109" s="421">
        <f t="shared" si="787"/>
        <v>67065.705623189424</v>
      </c>
      <c r="AL109" s="421">
        <f t="shared" si="787"/>
        <v>67065.705623189424</v>
      </c>
      <c r="AM109" s="421">
        <f t="shared" si="787"/>
        <v>67065.705623189424</v>
      </c>
      <c r="AN109" s="421">
        <f t="shared" si="787"/>
        <v>67065.705623189424</v>
      </c>
      <c r="AO109" s="421">
        <f t="shared" si="787"/>
        <v>67065.705623189424</v>
      </c>
      <c r="AP109" s="421">
        <f t="shared" si="787"/>
        <v>69982.094378309106</v>
      </c>
      <c r="AQ109" s="421">
        <f t="shared" si="788"/>
        <v>69982.094378309106</v>
      </c>
      <c r="AR109" s="421">
        <f t="shared" si="788"/>
        <v>69982.094378309106</v>
      </c>
      <c r="AS109" s="421">
        <f t="shared" si="788"/>
        <v>69982.094378309106</v>
      </c>
      <c r="AT109" s="421">
        <f t="shared" si="788"/>
        <v>69982.094378309106</v>
      </c>
      <c r="AU109" s="421">
        <f t="shared" si="788"/>
        <v>69982.094378309106</v>
      </c>
      <c r="AV109" s="421">
        <f t="shared" si="788"/>
        <v>69982.094378309106</v>
      </c>
      <c r="AW109" s="421">
        <f t="shared" si="788"/>
        <v>69982.094378309106</v>
      </c>
      <c r="AX109" s="421">
        <f t="shared" si="788"/>
        <v>69982.094378309106</v>
      </c>
      <c r="AY109" s="421">
        <f t="shared" si="788"/>
        <v>69982.094378309106</v>
      </c>
      <c r="AZ109" s="421">
        <f t="shared" si="788"/>
        <v>69982.094378309106</v>
      </c>
      <c r="BA109" s="421">
        <f t="shared" si="789"/>
        <v>69982.094378309106</v>
      </c>
      <c r="BB109" s="421">
        <f t="shared" si="789"/>
        <v>69982.094378309106</v>
      </c>
      <c r="BC109" s="421">
        <f t="shared" si="789"/>
        <v>71521.530738743371</v>
      </c>
      <c r="BD109" s="421">
        <f t="shared" si="789"/>
        <v>71521.530738743371</v>
      </c>
      <c r="BE109" s="421">
        <f t="shared" si="789"/>
        <v>71521.530738743371</v>
      </c>
      <c r="BF109" s="421">
        <f t="shared" si="789"/>
        <v>71521.530738743371</v>
      </c>
      <c r="BG109" s="421">
        <f t="shared" si="789"/>
        <v>71521.530738743371</v>
      </c>
      <c r="BH109" s="421">
        <f t="shared" si="789"/>
        <v>71521.530738743371</v>
      </c>
      <c r="BI109" s="421">
        <f t="shared" si="789"/>
        <v>71521.530738743371</v>
      </c>
      <c r="BJ109" s="421">
        <f t="shared" si="789"/>
        <v>71521.530738743371</v>
      </c>
      <c r="BK109" s="421">
        <f t="shared" si="790"/>
        <v>71521.530738743371</v>
      </c>
      <c r="BL109" s="421">
        <f t="shared" si="790"/>
        <v>71521.530738743371</v>
      </c>
      <c r="BM109" s="421">
        <f t="shared" si="790"/>
        <v>71521.530738743371</v>
      </c>
      <c r="BN109" s="421">
        <f t="shared" si="790"/>
        <v>71521.530738743371</v>
      </c>
      <c r="BO109" s="421">
        <f t="shared" si="790"/>
        <v>72923.654389924923</v>
      </c>
      <c r="BP109" s="421">
        <f t="shared" si="790"/>
        <v>72923.654389924923</v>
      </c>
      <c r="BQ109" s="421">
        <f t="shared" si="790"/>
        <v>72923.654389924923</v>
      </c>
      <c r="BR109" s="421">
        <f t="shared" si="790"/>
        <v>72923.654389924923</v>
      </c>
      <c r="BS109" s="421">
        <f t="shared" si="790"/>
        <v>72923.654389924923</v>
      </c>
      <c r="BT109" s="421">
        <f t="shared" si="790"/>
        <v>72923.654389924923</v>
      </c>
      <c r="BU109" s="421">
        <f t="shared" si="791"/>
        <v>72923.654389924923</v>
      </c>
      <c r="BV109" s="421">
        <f t="shared" si="791"/>
        <v>72923.654389924923</v>
      </c>
      <c r="BW109" s="421">
        <f t="shared" si="791"/>
        <v>72923.654389924923</v>
      </c>
      <c r="BX109" s="421">
        <f t="shared" si="791"/>
        <v>72923.654389924923</v>
      </c>
      <c r="BY109" s="421">
        <f t="shared" si="791"/>
        <v>72923.654389924923</v>
      </c>
      <c r="BZ109" s="421">
        <f t="shared" si="791"/>
        <v>72923.654389924923</v>
      </c>
      <c r="CA109" s="421">
        <f t="shared" si="791"/>
        <v>74345.961329922167</v>
      </c>
      <c r="CB109" s="421">
        <f t="shared" si="791"/>
        <v>74345.961329922167</v>
      </c>
      <c r="CC109" s="421">
        <f t="shared" si="791"/>
        <v>74345.961329922167</v>
      </c>
      <c r="CD109" s="421">
        <f t="shared" si="791"/>
        <v>74345.961329922167</v>
      </c>
      <c r="CE109" s="421">
        <f t="shared" si="792"/>
        <v>74345.961329922167</v>
      </c>
      <c r="CF109" s="421">
        <f t="shared" si="792"/>
        <v>74345.961329922167</v>
      </c>
      <c r="CG109" s="421">
        <f t="shared" si="792"/>
        <v>74345.961329922167</v>
      </c>
      <c r="CH109" s="421">
        <f t="shared" si="792"/>
        <v>74345.961329922167</v>
      </c>
      <c r="CI109" s="421">
        <f t="shared" si="792"/>
        <v>74345.961329922167</v>
      </c>
      <c r="CJ109" s="421">
        <f t="shared" si="792"/>
        <v>74345.961329922167</v>
      </c>
      <c r="CK109" s="421">
        <f t="shared" si="792"/>
        <v>74345.961329922167</v>
      </c>
      <c r="CL109" s="421">
        <f t="shared" si="792"/>
        <v>74345.961329922167</v>
      </c>
      <c r="CM109" s="421">
        <f t="shared" si="792"/>
        <v>73527.210148934406</v>
      </c>
      <c r="CN109" s="421">
        <f t="shared" si="792"/>
        <v>73527.210148934406</v>
      </c>
      <c r="CO109" s="421">
        <f t="shared" si="793"/>
        <v>73527.210148934406</v>
      </c>
      <c r="CP109" s="421">
        <f t="shared" si="793"/>
        <v>73527.210148934406</v>
      </c>
      <c r="CQ109" s="421">
        <f t="shared" si="793"/>
        <v>73527.210148934406</v>
      </c>
      <c r="CR109" s="421">
        <f t="shared" si="793"/>
        <v>73527.210148934406</v>
      </c>
      <c r="CS109" s="421">
        <f t="shared" si="793"/>
        <v>73527.210148934406</v>
      </c>
      <c r="CT109" s="421">
        <f t="shared" si="793"/>
        <v>73527.210148934406</v>
      </c>
      <c r="CU109" s="421">
        <f t="shared" si="793"/>
        <v>73527.210148934406</v>
      </c>
      <c r="CV109" s="421">
        <f t="shared" si="793"/>
        <v>73527.210148934406</v>
      </c>
      <c r="CW109" s="421">
        <f t="shared" si="793"/>
        <v>73527.210148934406</v>
      </c>
      <c r="CX109" s="421">
        <f t="shared" si="793"/>
        <v>73527.210148934406</v>
      </c>
      <c r="CY109" s="421">
        <f t="shared" si="794"/>
        <v>75007.305063837761</v>
      </c>
      <c r="CZ109" s="421">
        <f t="shared" si="794"/>
        <v>75007.305063837761</v>
      </c>
      <c r="DA109" s="421">
        <f t="shared" si="794"/>
        <v>75007.305063837761</v>
      </c>
      <c r="DB109" s="421">
        <f t="shared" si="794"/>
        <v>75007.305063837761</v>
      </c>
      <c r="DC109" s="421">
        <f t="shared" si="794"/>
        <v>75007.305063837761</v>
      </c>
      <c r="DD109" s="421">
        <f t="shared" si="794"/>
        <v>75007.305063837761</v>
      </c>
      <c r="DE109" s="421">
        <f t="shared" si="794"/>
        <v>75007.305063837761</v>
      </c>
      <c r="DF109" s="421">
        <f t="shared" si="794"/>
        <v>75007.305063837761</v>
      </c>
      <c r="DG109" s="421">
        <f t="shared" si="794"/>
        <v>75007.305063837761</v>
      </c>
      <c r="DH109" s="421">
        <f t="shared" si="794"/>
        <v>75007.305063837761</v>
      </c>
      <c r="DI109" s="421">
        <f t="shared" si="795"/>
        <v>75007.305063837761</v>
      </c>
      <c r="DJ109" s="421">
        <f t="shared" si="795"/>
        <v>75007.305063837761</v>
      </c>
      <c r="DK109" s="421">
        <f t="shared" si="795"/>
        <v>76539.537346138663</v>
      </c>
      <c r="DL109" s="421">
        <f t="shared" si="795"/>
        <v>76539.537346138663</v>
      </c>
      <c r="DM109" s="421">
        <f t="shared" si="795"/>
        <v>76539.537346138663</v>
      </c>
      <c r="DN109" s="421">
        <f t="shared" si="795"/>
        <v>76539.537346138663</v>
      </c>
      <c r="DO109" s="421">
        <f t="shared" si="795"/>
        <v>76539.537346138663</v>
      </c>
      <c r="DP109" s="421">
        <f t="shared" si="795"/>
        <v>76539.537346138663</v>
      </c>
      <c r="DQ109" s="421">
        <f t="shared" si="795"/>
        <v>76539.537346138663</v>
      </c>
      <c r="DR109" s="421">
        <f t="shared" si="795"/>
        <v>76539.537346138663</v>
      </c>
      <c r="DS109" s="421">
        <f t="shared" si="796"/>
        <v>76539.537346138663</v>
      </c>
      <c r="DT109" s="421">
        <f t="shared" si="796"/>
        <v>76539.537346138663</v>
      </c>
      <c r="DU109" s="421">
        <f t="shared" si="796"/>
        <v>76539.537346138663</v>
      </c>
      <c r="DV109" s="421">
        <f t="shared" si="796"/>
        <v>76539.537346138663</v>
      </c>
      <c r="DW109" s="421">
        <f t="shared" si="796"/>
        <v>78126.189187670243</v>
      </c>
      <c r="DX109" s="421">
        <f t="shared" si="796"/>
        <v>78126.189187670243</v>
      </c>
      <c r="DY109" s="421">
        <f t="shared" si="796"/>
        <v>78126.189187670243</v>
      </c>
      <c r="DZ109" s="421">
        <f t="shared" si="796"/>
        <v>78126.189187670243</v>
      </c>
      <c r="EA109" s="421">
        <f t="shared" si="796"/>
        <v>78126.189187670243</v>
      </c>
      <c r="EB109" s="421">
        <f t="shared" si="796"/>
        <v>78126.189187670243</v>
      </c>
      <c r="EC109" s="421">
        <f t="shared" si="797"/>
        <v>78126.189187670243</v>
      </c>
      <c r="ED109" s="421">
        <f t="shared" si="797"/>
        <v>78126.189187670243</v>
      </c>
      <c r="EE109" s="421">
        <f t="shared" si="797"/>
        <v>78126.189187670243</v>
      </c>
      <c r="EF109" s="421">
        <f t="shared" si="797"/>
        <v>78126.189187670243</v>
      </c>
      <c r="EG109" s="421">
        <f t="shared" si="797"/>
        <v>78126.189187670243</v>
      </c>
      <c r="EH109" s="421">
        <f t="shared" si="797"/>
        <v>78126.189187670243</v>
      </c>
      <c r="EI109" s="421">
        <f t="shared" si="797"/>
        <v>79768.62504485932</v>
      </c>
      <c r="EJ109" s="421">
        <f t="shared" si="797"/>
        <v>79768.62504485932</v>
      </c>
      <c r="EK109" s="421">
        <f t="shared" si="797"/>
        <v>79768.62504485932</v>
      </c>
      <c r="EL109" s="421">
        <f t="shared" si="797"/>
        <v>79768.62504485932</v>
      </c>
      <c r="EM109" s="421">
        <f t="shared" si="797"/>
        <v>79768.62504485932</v>
      </c>
      <c r="EN109" s="421">
        <f t="shared" si="797"/>
        <v>79768.62504485932</v>
      </c>
      <c r="EO109" s="209"/>
      <c r="EP109" s="468"/>
      <c r="EQ109" s="469"/>
      <c r="ER109" s="469"/>
      <c r="ES109" s="469"/>
      <c r="ET109" s="469"/>
      <c r="EU109" s="469"/>
      <c r="EV109" s="469"/>
      <c r="EW109" s="469"/>
      <c r="EX109" s="469"/>
      <c r="EY109" s="469"/>
      <c r="EZ109" s="469"/>
      <c r="FA109" s="469"/>
      <c r="FB109" s="469"/>
      <c r="FC109" s="469"/>
      <c r="FD109" s="469"/>
      <c r="FE109" s="469"/>
      <c r="FF109" s="469"/>
      <c r="FG109" s="469"/>
      <c r="FH109" s="469"/>
      <c r="FI109" s="469"/>
      <c r="FJ109" s="469"/>
      <c r="FK109" s="469"/>
      <c r="FL109" s="469"/>
      <c r="FM109" s="469"/>
      <c r="FN109" s="469"/>
      <c r="FO109" s="469"/>
      <c r="FP109" s="469"/>
      <c r="FQ109" s="469"/>
      <c r="FR109" s="469"/>
      <c r="FS109" s="469"/>
      <c r="FT109" s="469"/>
      <c r="FU109" s="469"/>
      <c r="FV109" s="469"/>
      <c r="FW109" s="469"/>
      <c r="FX109" s="469"/>
      <c r="FY109" s="469"/>
      <c r="FZ109" s="469"/>
      <c r="GA109" s="469"/>
      <c r="GB109" s="469"/>
      <c r="GC109" s="469"/>
      <c r="GD109" s="469"/>
      <c r="GE109" s="469"/>
      <c r="GF109" s="469"/>
      <c r="GG109" s="469"/>
      <c r="GH109" s="469"/>
      <c r="GI109" s="469"/>
      <c r="GJ109" s="469"/>
      <c r="GK109" s="469"/>
      <c r="GL109" s="469"/>
      <c r="GM109" s="469"/>
      <c r="GN109" s="469"/>
      <c r="GO109" s="469"/>
      <c r="GP109" s="469"/>
      <c r="GQ109" s="469"/>
      <c r="GR109" s="469"/>
      <c r="GS109" s="469"/>
      <c r="GT109" s="469"/>
      <c r="GU109" s="469"/>
      <c r="GV109" s="469"/>
      <c r="GW109" s="469"/>
      <c r="GX109" s="469"/>
      <c r="GY109" s="469"/>
      <c r="GZ109" s="469"/>
      <c r="HA109" s="469"/>
      <c r="HB109" s="469"/>
      <c r="HC109" s="469"/>
      <c r="HD109" s="469"/>
      <c r="HE109" s="469"/>
      <c r="HF109" s="469"/>
      <c r="HG109" s="469"/>
      <c r="HH109" s="469"/>
      <c r="HI109" s="469"/>
      <c r="HJ109" s="469"/>
      <c r="HK109" s="469"/>
      <c r="HL109" s="469"/>
      <c r="HM109" s="469"/>
      <c r="HN109" s="469"/>
      <c r="HO109" s="469"/>
      <c r="HP109" s="469"/>
      <c r="HQ109" s="469"/>
      <c r="HR109" s="469"/>
      <c r="HS109" s="469"/>
      <c r="HT109" s="469"/>
      <c r="HU109" s="469"/>
      <c r="HV109" s="469"/>
      <c r="HW109" s="469"/>
      <c r="HX109" s="469"/>
      <c r="HY109" s="469"/>
      <c r="HZ109" s="469"/>
      <c r="IA109" s="469"/>
      <c r="IB109" s="469"/>
      <c r="IC109" s="469"/>
      <c r="ID109" s="469"/>
      <c r="IE109" s="469"/>
      <c r="IF109" s="469"/>
      <c r="IG109" s="469"/>
      <c r="IH109" s="469"/>
      <c r="II109" s="469"/>
      <c r="IJ109" s="469"/>
      <c r="IK109" s="469"/>
      <c r="IL109" s="469"/>
      <c r="IM109" s="469"/>
      <c r="IN109" s="469"/>
      <c r="IO109" s="469"/>
      <c r="IP109" s="469"/>
      <c r="IQ109" s="469"/>
      <c r="IR109" s="469"/>
      <c r="IS109" s="469"/>
      <c r="IT109" s="469"/>
      <c r="IU109" s="469"/>
      <c r="IV109" s="469"/>
      <c r="IW109" s="469"/>
      <c r="IX109" s="469"/>
      <c r="IY109" s="469"/>
      <c r="IZ109" s="469"/>
      <c r="JA109" s="469"/>
      <c r="JB109" s="469"/>
      <c r="JC109" s="469"/>
      <c r="JD109" s="469"/>
      <c r="JE109" s="469"/>
      <c r="JF109" s="469"/>
      <c r="JG109" s="469"/>
      <c r="JH109" s="469"/>
      <c r="JI109" s="469"/>
      <c r="JJ109" s="469"/>
      <c r="JK109" s="469"/>
      <c r="JL109" s="469"/>
      <c r="JM109" s="469"/>
      <c r="JN109" s="469"/>
      <c r="JO109" s="469"/>
      <c r="JP109" s="469"/>
      <c r="JQ109" s="469"/>
      <c r="JR109" s="469"/>
      <c r="JS109" s="469"/>
      <c r="JT109" s="469"/>
      <c r="JU109" s="469"/>
      <c r="JV109" s="469"/>
      <c r="JW109" s="469"/>
      <c r="JX109" s="20"/>
      <c r="JZ109" s="470"/>
      <c r="KA109" s="470"/>
      <c r="KB109" s="470"/>
      <c r="KC109" s="470"/>
      <c r="KD109" s="470"/>
      <c r="KE109" s="470"/>
      <c r="KF109" s="470"/>
      <c r="KG109" s="470"/>
      <c r="KH109" s="470"/>
      <c r="KI109" s="470"/>
      <c r="KJ109" s="470"/>
      <c r="KK109" s="470"/>
      <c r="KL109" s="470"/>
      <c r="KM109" s="470"/>
      <c r="KN109" s="470"/>
      <c r="KO109" s="470"/>
      <c r="KP109" s="470"/>
      <c r="KQ109" s="470"/>
      <c r="KR109" s="470"/>
      <c r="KS109" s="470"/>
      <c r="KT109" s="470"/>
      <c r="KU109" s="470"/>
      <c r="KV109" s="470"/>
      <c r="KW109" s="470"/>
      <c r="KX109" s="470"/>
      <c r="KY109" s="470"/>
      <c r="KZ109" s="470"/>
      <c r="LA109" s="470"/>
      <c r="LB109" s="470"/>
      <c r="LC109" s="470"/>
      <c r="LD109" s="470"/>
      <c r="LE109" s="470"/>
      <c r="LF109" s="470"/>
      <c r="LG109" s="470"/>
      <c r="LH109" s="470"/>
      <c r="LI109" s="470"/>
      <c r="LJ109" s="470"/>
      <c r="LK109" s="470"/>
      <c r="LL109" s="470"/>
      <c r="LM109" s="470"/>
      <c r="LN109" s="470"/>
      <c r="LO109" s="470"/>
      <c r="LP109" s="470"/>
      <c r="LQ109" s="470"/>
      <c r="LR109" s="470"/>
      <c r="LS109" s="470"/>
      <c r="LT109" s="470"/>
      <c r="LU109" s="470"/>
      <c r="LV109" s="470"/>
      <c r="LW109" s="470"/>
      <c r="LX109" s="470"/>
      <c r="LY109" s="470"/>
      <c r="LZ109" s="470"/>
      <c r="MA109" s="470"/>
      <c r="MB109" s="470"/>
      <c r="MC109" s="470"/>
      <c r="MD109" s="470"/>
      <c r="ME109" s="470"/>
      <c r="MF109" s="470"/>
      <c r="MG109" s="470"/>
      <c r="MH109" s="470"/>
      <c r="MI109" s="470"/>
      <c r="MJ109" s="470"/>
      <c r="MK109" s="470"/>
      <c r="ML109" s="470"/>
      <c r="MM109" s="470"/>
      <c r="MN109" s="470"/>
      <c r="MO109" s="470"/>
      <c r="MP109" s="470"/>
      <c r="MQ109" s="470"/>
      <c r="MR109" s="470"/>
      <c r="MS109" s="470"/>
      <c r="MT109" s="470"/>
      <c r="MU109" s="470"/>
      <c r="MV109" s="470"/>
      <c r="MW109" s="470"/>
      <c r="MX109" s="470"/>
      <c r="MY109" s="470"/>
      <c r="MZ109" s="470"/>
      <c r="NA109" s="470"/>
      <c r="NB109" s="470"/>
      <c r="NC109" s="470"/>
      <c r="ND109" s="470"/>
      <c r="NE109" s="470"/>
      <c r="NF109" s="470"/>
      <c r="NG109" s="470"/>
      <c r="NH109" s="470"/>
      <c r="NI109" s="470"/>
      <c r="NJ109" s="470"/>
      <c r="NK109" s="470"/>
      <c r="NL109" s="470"/>
      <c r="NM109" s="470"/>
      <c r="NN109" s="470"/>
      <c r="NO109" s="470"/>
      <c r="NP109" s="470"/>
      <c r="NQ109" s="470"/>
      <c r="NR109" s="470"/>
      <c r="NS109" s="470"/>
      <c r="NT109" s="470"/>
      <c r="NU109" s="470"/>
      <c r="NV109" s="470"/>
      <c r="NW109" s="470"/>
      <c r="NX109" s="470"/>
      <c r="NY109" s="470"/>
      <c r="NZ109" s="470"/>
      <c r="OA109" s="470"/>
      <c r="OB109" s="470"/>
      <c r="OC109" s="470"/>
      <c r="OD109" s="470"/>
      <c r="OE109" s="470"/>
      <c r="OF109" s="470"/>
      <c r="OG109" s="470"/>
      <c r="OH109" s="470"/>
      <c r="OI109" s="470"/>
      <c r="OJ109" s="470"/>
      <c r="OK109" s="470"/>
      <c r="OL109" s="470"/>
      <c r="OM109" s="470"/>
      <c r="ON109" s="470"/>
      <c r="OO109" s="470"/>
      <c r="OP109" s="470"/>
      <c r="OQ109" s="470"/>
      <c r="OR109" s="470"/>
      <c r="OS109" s="470"/>
      <c r="OT109" s="470"/>
      <c r="OU109" s="470"/>
      <c r="OV109" s="470"/>
      <c r="OW109" s="470"/>
      <c r="OX109" s="470"/>
      <c r="OY109" s="470"/>
      <c r="OZ109" s="470"/>
      <c r="PA109" s="470"/>
      <c r="PB109" s="470"/>
      <c r="PC109" s="470"/>
      <c r="PD109" s="470"/>
      <c r="PE109" s="470"/>
      <c r="PF109" s="470"/>
      <c r="PG109" s="470"/>
      <c r="PH109" s="470"/>
    </row>
    <row r="110">
      <c r="B110" s="92" t="str">
        <f t="shared" si="780"/>
        <v>LiveHouse</v>
      </c>
      <c r="C110" s="473" t="s">
        <v>270</v>
      </c>
      <c r="D110" s="279" t="s">
        <v>271</v>
      </c>
      <c r="E110" s="46">
        <f t="shared" si="781"/>
        <v>25</v>
      </c>
      <c r="F110" s="54">
        <v>1</v>
      </c>
      <c r="G110" s="255">
        <f t="shared" si="782"/>
        <v>8.3000925268776143E-2</v>
      </c>
      <c r="H110" s="149">
        <f t="shared" si="783"/>
        <v>41.989256626985465</v>
      </c>
      <c r="I110" s="449">
        <f t="shared" si="784"/>
        <v>272930.16807540553</v>
      </c>
      <c r="K110" s="76"/>
      <c r="L110" s="76"/>
      <c r="M110" s="421">
        <f t="shared" si="785"/>
        <v>0</v>
      </c>
      <c r="N110" s="421">
        <f t="shared" si="785"/>
        <v>0</v>
      </c>
      <c r="O110" s="421">
        <f t="shared" si="785"/>
        <v>0</v>
      </c>
      <c r="P110" s="421">
        <f t="shared" si="785"/>
        <v>0</v>
      </c>
      <c r="Q110" s="421">
        <f t="shared" si="785"/>
        <v>0</v>
      </c>
      <c r="R110" s="421">
        <f t="shared" si="785"/>
        <v>0</v>
      </c>
      <c r="S110" s="421">
        <f t="shared" si="785"/>
        <v>0</v>
      </c>
      <c r="T110" s="421">
        <f t="shared" si="785"/>
        <v>0</v>
      </c>
      <c r="U110" s="421">
        <f t="shared" si="785"/>
        <v>0</v>
      </c>
      <c r="V110" s="421">
        <f t="shared" si="785"/>
        <v>0</v>
      </c>
      <c r="W110" s="421">
        <f t="shared" si="786"/>
        <v>0</v>
      </c>
      <c r="X110" s="421">
        <f t="shared" si="786"/>
        <v>0</v>
      </c>
      <c r="Y110" s="421">
        <f t="shared" si="786"/>
        <v>0</v>
      </c>
      <c r="Z110" s="421">
        <f t="shared" si="786"/>
        <v>0</v>
      </c>
      <c r="AA110" s="421">
        <f t="shared" si="786"/>
        <v>0</v>
      </c>
      <c r="AB110" s="421">
        <f t="shared" si="786"/>
        <v>0</v>
      </c>
      <c r="AC110" s="421">
        <f t="shared" si="786"/>
        <v>0</v>
      </c>
      <c r="AD110" s="421">
        <f t="shared" si="786"/>
        <v>0</v>
      </c>
      <c r="AE110" s="421">
        <f t="shared" si="786"/>
        <v>0</v>
      </c>
      <c r="AF110" s="421">
        <f t="shared" si="786"/>
        <v>0</v>
      </c>
      <c r="AG110" s="421">
        <f t="shared" si="787"/>
        <v>0</v>
      </c>
      <c r="AH110" s="421">
        <f t="shared" si="787"/>
        <v>0</v>
      </c>
      <c r="AI110" s="421">
        <f t="shared" si="787"/>
        <v>0</v>
      </c>
      <c r="AJ110" s="421">
        <f t="shared" si="787"/>
        <v>0</v>
      </c>
      <c r="AK110" s="421">
        <f t="shared" si="787"/>
        <v>21796.354327536563</v>
      </c>
      <c r="AL110" s="421">
        <f t="shared" si="787"/>
        <v>21796.354327536563</v>
      </c>
      <c r="AM110" s="421">
        <f t="shared" si="787"/>
        <v>21796.354327536563</v>
      </c>
      <c r="AN110" s="421">
        <f t="shared" si="787"/>
        <v>21796.354327536563</v>
      </c>
      <c r="AO110" s="421">
        <f t="shared" si="787"/>
        <v>21796.354327536563</v>
      </c>
      <c r="AP110" s="421">
        <f t="shared" si="787"/>
        <v>22744.180672950461</v>
      </c>
      <c r="AQ110" s="421">
        <f t="shared" si="788"/>
        <v>22744.180672950461</v>
      </c>
      <c r="AR110" s="421">
        <f t="shared" si="788"/>
        <v>22744.180672950461</v>
      </c>
      <c r="AS110" s="421">
        <f t="shared" si="788"/>
        <v>22744.180672950461</v>
      </c>
      <c r="AT110" s="421">
        <f t="shared" si="788"/>
        <v>22744.180672950461</v>
      </c>
      <c r="AU110" s="421">
        <f t="shared" si="788"/>
        <v>22744.180672950461</v>
      </c>
      <c r="AV110" s="421">
        <f t="shared" si="788"/>
        <v>22744.180672950461</v>
      </c>
      <c r="AW110" s="421">
        <f t="shared" si="788"/>
        <v>22744.180672950461</v>
      </c>
      <c r="AX110" s="421">
        <f t="shared" si="788"/>
        <v>22744.180672950461</v>
      </c>
      <c r="AY110" s="421">
        <f t="shared" si="788"/>
        <v>22744.180672950461</v>
      </c>
      <c r="AZ110" s="421">
        <f t="shared" si="788"/>
        <v>22744.180672950461</v>
      </c>
      <c r="BA110" s="421">
        <f t="shared" si="789"/>
        <v>22744.180672950461</v>
      </c>
      <c r="BB110" s="421">
        <f t="shared" si="789"/>
        <v>22744.180672950461</v>
      </c>
      <c r="BC110" s="421">
        <f t="shared" si="789"/>
        <v>23244.497490091595</v>
      </c>
      <c r="BD110" s="421">
        <f t="shared" si="789"/>
        <v>23244.497490091595</v>
      </c>
      <c r="BE110" s="421">
        <f t="shared" si="789"/>
        <v>23244.497490091595</v>
      </c>
      <c r="BF110" s="421">
        <f t="shared" si="789"/>
        <v>23244.497490091595</v>
      </c>
      <c r="BG110" s="421">
        <f t="shared" si="789"/>
        <v>23244.497490091595</v>
      </c>
      <c r="BH110" s="421">
        <f t="shared" si="789"/>
        <v>23244.497490091595</v>
      </c>
      <c r="BI110" s="421">
        <f t="shared" si="789"/>
        <v>23244.497490091595</v>
      </c>
      <c r="BJ110" s="421">
        <f t="shared" si="789"/>
        <v>23244.497490091595</v>
      </c>
      <c r="BK110" s="421">
        <f t="shared" si="790"/>
        <v>23244.497490091595</v>
      </c>
      <c r="BL110" s="421">
        <f t="shared" si="790"/>
        <v>23244.497490091595</v>
      </c>
      <c r="BM110" s="421">
        <f t="shared" si="790"/>
        <v>23244.497490091595</v>
      </c>
      <c r="BN110" s="421">
        <f t="shared" si="790"/>
        <v>23244.497490091595</v>
      </c>
      <c r="BO110" s="421">
        <f t="shared" si="790"/>
        <v>23700.187676725604</v>
      </c>
      <c r="BP110" s="421">
        <f t="shared" si="790"/>
        <v>23700.187676725604</v>
      </c>
      <c r="BQ110" s="421">
        <f t="shared" si="790"/>
        <v>23700.187676725604</v>
      </c>
      <c r="BR110" s="421">
        <f t="shared" si="790"/>
        <v>23700.187676725604</v>
      </c>
      <c r="BS110" s="421">
        <f t="shared" si="790"/>
        <v>23700.187676725604</v>
      </c>
      <c r="BT110" s="421">
        <f t="shared" si="790"/>
        <v>23700.187676725604</v>
      </c>
      <c r="BU110" s="421">
        <f t="shared" si="791"/>
        <v>23700.187676725604</v>
      </c>
      <c r="BV110" s="421">
        <f t="shared" si="791"/>
        <v>23700.187676725604</v>
      </c>
      <c r="BW110" s="421">
        <f t="shared" si="791"/>
        <v>23700.187676725604</v>
      </c>
      <c r="BX110" s="421">
        <f t="shared" si="791"/>
        <v>23700.187676725604</v>
      </c>
      <c r="BY110" s="421">
        <f t="shared" si="791"/>
        <v>23700.187676725604</v>
      </c>
      <c r="BZ110" s="421">
        <f t="shared" si="791"/>
        <v>23700.187676725604</v>
      </c>
      <c r="CA110" s="421">
        <f t="shared" si="791"/>
        <v>24162.437432224706</v>
      </c>
      <c r="CB110" s="421">
        <f t="shared" si="791"/>
        <v>24162.437432224706</v>
      </c>
      <c r="CC110" s="421">
        <f t="shared" si="791"/>
        <v>24162.437432224706</v>
      </c>
      <c r="CD110" s="421">
        <f t="shared" si="791"/>
        <v>24162.437432224706</v>
      </c>
      <c r="CE110" s="421">
        <f t="shared" si="792"/>
        <v>24162.437432224706</v>
      </c>
      <c r="CF110" s="421">
        <f t="shared" si="792"/>
        <v>24162.437432224706</v>
      </c>
      <c r="CG110" s="421">
        <f t="shared" si="792"/>
        <v>24162.437432224706</v>
      </c>
      <c r="CH110" s="421">
        <f t="shared" si="792"/>
        <v>24162.437432224706</v>
      </c>
      <c r="CI110" s="421">
        <f t="shared" si="792"/>
        <v>24162.437432224706</v>
      </c>
      <c r="CJ110" s="421">
        <f t="shared" si="792"/>
        <v>24162.437432224706</v>
      </c>
      <c r="CK110" s="421">
        <f t="shared" si="792"/>
        <v>24162.437432224706</v>
      </c>
      <c r="CL110" s="421">
        <f t="shared" si="792"/>
        <v>24162.437432224706</v>
      </c>
      <c r="CM110" s="421">
        <f t="shared" si="792"/>
        <v>23896.343298403681</v>
      </c>
      <c r="CN110" s="421">
        <f t="shared" si="792"/>
        <v>23896.343298403681</v>
      </c>
      <c r="CO110" s="421">
        <f t="shared" si="793"/>
        <v>23896.343298403681</v>
      </c>
      <c r="CP110" s="421">
        <f t="shared" si="793"/>
        <v>23896.343298403681</v>
      </c>
      <c r="CQ110" s="421">
        <f t="shared" si="793"/>
        <v>23896.343298403681</v>
      </c>
      <c r="CR110" s="421">
        <f t="shared" si="793"/>
        <v>23896.343298403681</v>
      </c>
      <c r="CS110" s="421">
        <f t="shared" si="793"/>
        <v>23896.343298403681</v>
      </c>
      <c r="CT110" s="421">
        <f t="shared" si="793"/>
        <v>23896.343298403681</v>
      </c>
      <c r="CU110" s="421">
        <f t="shared" si="793"/>
        <v>23896.343298403681</v>
      </c>
      <c r="CV110" s="421">
        <f t="shared" si="793"/>
        <v>23896.343298403681</v>
      </c>
      <c r="CW110" s="421">
        <f t="shared" si="793"/>
        <v>23896.343298403681</v>
      </c>
      <c r="CX110" s="421">
        <f t="shared" si="793"/>
        <v>23896.343298403681</v>
      </c>
      <c r="CY110" s="421">
        <f t="shared" si="794"/>
        <v>24377.374145747272</v>
      </c>
      <c r="CZ110" s="421">
        <f t="shared" si="794"/>
        <v>24377.374145747272</v>
      </c>
      <c r="DA110" s="421">
        <f t="shared" si="794"/>
        <v>24377.374145747272</v>
      </c>
      <c r="DB110" s="421">
        <f t="shared" si="794"/>
        <v>24377.374145747272</v>
      </c>
      <c r="DC110" s="421">
        <f t="shared" si="794"/>
        <v>24377.374145747272</v>
      </c>
      <c r="DD110" s="421">
        <f t="shared" si="794"/>
        <v>24377.374145747272</v>
      </c>
      <c r="DE110" s="421">
        <f t="shared" si="794"/>
        <v>24377.374145747272</v>
      </c>
      <c r="DF110" s="421">
        <f t="shared" si="794"/>
        <v>24377.374145747272</v>
      </c>
      <c r="DG110" s="421">
        <f t="shared" si="794"/>
        <v>24377.374145747272</v>
      </c>
      <c r="DH110" s="421">
        <f t="shared" si="794"/>
        <v>24377.374145747272</v>
      </c>
      <c r="DI110" s="421">
        <f t="shared" si="795"/>
        <v>24377.374145747272</v>
      </c>
      <c r="DJ110" s="421">
        <f t="shared" si="795"/>
        <v>24377.374145747272</v>
      </c>
      <c r="DK110" s="421">
        <f t="shared" si="795"/>
        <v>24875.349637495066</v>
      </c>
      <c r="DL110" s="421">
        <f t="shared" si="795"/>
        <v>24875.349637495066</v>
      </c>
      <c r="DM110" s="421">
        <f t="shared" si="795"/>
        <v>24875.349637495066</v>
      </c>
      <c r="DN110" s="421">
        <f t="shared" si="795"/>
        <v>24875.349637495066</v>
      </c>
      <c r="DO110" s="421">
        <f t="shared" si="795"/>
        <v>24875.349637495066</v>
      </c>
      <c r="DP110" s="421">
        <f t="shared" si="795"/>
        <v>24875.349637495066</v>
      </c>
      <c r="DQ110" s="421">
        <f t="shared" si="795"/>
        <v>24875.349637495066</v>
      </c>
      <c r="DR110" s="421">
        <f t="shared" si="795"/>
        <v>24875.349637495066</v>
      </c>
      <c r="DS110" s="421">
        <f t="shared" si="796"/>
        <v>24875.349637495066</v>
      </c>
      <c r="DT110" s="421">
        <f t="shared" si="796"/>
        <v>24875.349637495066</v>
      </c>
      <c r="DU110" s="421">
        <f t="shared" si="796"/>
        <v>24875.349637495066</v>
      </c>
      <c r="DV110" s="421">
        <f t="shared" si="796"/>
        <v>24875.349637495066</v>
      </c>
      <c r="DW110" s="421">
        <f t="shared" si="796"/>
        <v>25391.011485992825</v>
      </c>
      <c r="DX110" s="421">
        <f t="shared" si="796"/>
        <v>25391.011485992825</v>
      </c>
      <c r="DY110" s="421">
        <f t="shared" si="796"/>
        <v>25391.011485992825</v>
      </c>
      <c r="DZ110" s="421">
        <f t="shared" si="796"/>
        <v>25391.011485992825</v>
      </c>
      <c r="EA110" s="421">
        <f t="shared" si="796"/>
        <v>25391.011485992825</v>
      </c>
      <c r="EB110" s="421">
        <f t="shared" si="796"/>
        <v>25391.011485992825</v>
      </c>
      <c r="EC110" s="421">
        <f t="shared" si="797"/>
        <v>25391.011485992825</v>
      </c>
      <c r="ED110" s="421">
        <f t="shared" si="797"/>
        <v>25391.011485992825</v>
      </c>
      <c r="EE110" s="421">
        <f t="shared" si="797"/>
        <v>25391.011485992825</v>
      </c>
      <c r="EF110" s="421">
        <f t="shared" si="797"/>
        <v>25391.011485992825</v>
      </c>
      <c r="EG110" s="421">
        <f t="shared" si="797"/>
        <v>25391.011485992825</v>
      </c>
      <c r="EH110" s="421">
        <f t="shared" si="797"/>
        <v>25391.011485992825</v>
      </c>
      <c r="EI110" s="421">
        <f t="shared" si="797"/>
        <v>25924.803139579279</v>
      </c>
      <c r="EJ110" s="421">
        <f t="shared" si="797"/>
        <v>25924.803139579279</v>
      </c>
      <c r="EK110" s="421">
        <f t="shared" si="797"/>
        <v>25924.803139579279</v>
      </c>
      <c r="EL110" s="421">
        <f t="shared" si="797"/>
        <v>25924.803139579279</v>
      </c>
      <c r="EM110" s="421">
        <f t="shared" si="797"/>
        <v>25924.803139579279</v>
      </c>
      <c r="EN110" s="421">
        <f t="shared" si="797"/>
        <v>25924.803139579279</v>
      </c>
      <c r="EO110" s="209"/>
      <c r="EP110" s="468"/>
      <c r="EQ110" s="469"/>
      <c r="ER110" s="469"/>
      <c r="ES110" s="469"/>
      <c r="ET110" s="469"/>
      <c r="EU110" s="469"/>
      <c r="EV110" s="469"/>
      <c r="EW110" s="469"/>
      <c r="EX110" s="469"/>
      <c r="EY110" s="469"/>
      <c r="EZ110" s="469"/>
      <c r="FA110" s="469"/>
      <c r="FB110" s="469"/>
      <c r="FC110" s="469"/>
      <c r="FD110" s="469"/>
      <c r="FE110" s="469"/>
      <c r="FF110" s="469"/>
      <c r="FG110" s="469"/>
      <c r="FH110" s="469"/>
      <c r="FI110" s="469"/>
      <c r="FJ110" s="469"/>
      <c r="FK110" s="469"/>
      <c r="FL110" s="469"/>
      <c r="FM110" s="469"/>
      <c r="FN110" s="469"/>
      <c r="FO110" s="469"/>
      <c r="FP110" s="469"/>
      <c r="FQ110" s="469"/>
      <c r="FR110" s="469"/>
      <c r="FS110" s="469"/>
      <c r="FT110" s="469"/>
      <c r="FU110" s="469"/>
      <c r="FV110" s="469"/>
      <c r="FW110" s="469"/>
      <c r="FX110" s="469"/>
      <c r="FY110" s="469"/>
      <c r="FZ110" s="469"/>
      <c r="GA110" s="469"/>
      <c r="GB110" s="469"/>
      <c r="GC110" s="469"/>
      <c r="GD110" s="469"/>
      <c r="GE110" s="469"/>
      <c r="GF110" s="469"/>
      <c r="GG110" s="469"/>
      <c r="GH110" s="469"/>
      <c r="GI110" s="469"/>
      <c r="GJ110" s="469"/>
      <c r="GK110" s="469"/>
      <c r="GL110" s="469"/>
      <c r="GM110" s="469"/>
      <c r="GN110" s="469"/>
      <c r="GO110" s="469"/>
      <c r="GP110" s="469"/>
      <c r="GQ110" s="469"/>
      <c r="GR110" s="469"/>
      <c r="GS110" s="469"/>
      <c r="GT110" s="469"/>
      <c r="GU110" s="469"/>
      <c r="GV110" s="469"/>
      <c r="GW110" s="469"/>
      <c r="GX110" s="469"/>
      <c r="GY110" s="469"/>
      <c r="GZ110" s="469"/>
      <c r="HA110" s="469"/>
      <c r="HB110" s="469"/>
      <c r="HC110" s="469"/>
      <c r="HD110" s="469"/>
      <c r="HE110" s="469"/>
      <c r="HF110" s="469"/>
      <c r="HG110" s="469"/>
      <c r="HH110" s="469"/>
      <c r="HI110" s="469"/>
      <c r="HJ110" s="469"/>
      <c r="HK110" s="469"/>
      <c r="HL110" s="469"/>
      <c r="HM110" s="469"/>
      <c r="HN110" s="469"/>
      <c r="HO110" s="469"/>
      <c r="HP110" s="469"/>
      <c r="HQ110" s="469"/>
      <c r="HR110" s="469"/>
      <c r="HS110" s="469"/>
      <c r="HT110" s="469"/>
      <c r="HU110" s="469"/>
      <c r="HV110" s="469"/>
      <c r="HW110" s="469"/>
      <c r="HX110" s="469"/>
      <c r="HY110" s="469"/>
      <c r="HZ110" s="469"/>
      <c r="IA110" s="469"/>
      <c r="IB110" s="469"/>
      <c r="IC110" s="469"/>
      <c r="ID110" s="469"/>
      <c r="IE110" s="469"/>
      <c r="IF110" s="469"/>
      <c r="IG110" s="469"/>
      <c r="IH110" s="469"/>
      <c r="II110" s="469"/>
      <c r="IJ110" s="469"/>
      <c r="IK110" s="469"/>
      <c r="IL110" s="469"/>
      <c r="IM110" s="469"/>
      <c r="IN110" s="469"/>
      <c r="IO110" s="469"/>
      <c r="IP110" s="469"/>
      <c r="IQ110" s="469"/>
      <c r="IR110" s="469"/>
      <c r="IS110" s="469"/>
      <c r="IT110" s="469"/>
      <c r="IU110" s="469"/>
      <c r="IV110" s="469"/>
      <c r="IW110" s="469"/>
      <c r="IX110" s="469"/>
      <c r="IY110" s="469"/>
      <c r="IZ110" s="469"/>
      <c r="JA110" s="469"/>
      <c r="JB110" s="469"/>
      <c r="JC110" s="469"/>
      <c r="JD110" s="469"/>
      <c r="JE110" s="469"/>
      <c r="JF110" s="469"/>
      <c r="JG110" s="469"/>
      <c r="JH110" s="469"/>
      <c r="JI110" s="469"/>
      <c r="JJ110" s="469"/>
      <c r="JK110" s="469"/>
      <c r="JL110" s="469"/>
      <c r="JM110" s="469"/>
      <c r="JN110" s="469"/>
      <c r="JO110" s="469"/>
      <c r="JP110" s="469"/>
      <c r="JQ110" s="469"/>
      <c r="JR110" s="469"/>
      <c r="JS110" s="469"/>
      <c r="JT110" s="469"/>
      <c r="JU110" s="469"/>
      <c r="JV110" s="469"/>
      <c r="JW110" s="469"/>
      <c r="JX110" s="20"/>
      <c r="JZ110" s="470"/>
      <c r="KA110" s="470"/>
      <c r="KB110" s="470"/>
      <c r="KC110" s="470"/>
      <c r="KD110" s="470"/>
      <c r="KE110" s="470"/>
      <c r="KF110" s="470"/>
      <c r="KG110" s="470"/>
      <c r="KH110" s="470"/>
      <c r="KI110" s="470"/>
      <c r="KJ110" s="470"/>
      <c r="KK110" s="470"/>
      <c r="KL110" s="470"/>
      <c r="KM110" s="470"/>
      <c r="KN110" s="470"/>
      <c r="KO110" s="470"/>
      <c r="KP110" s="470"/>
      <c r="KQ110" s="470"/>
      <c r="KR110" s="470"/>
      <c r="KS110" s="470"/>
      <c r="KT110" s="470"/>
      <c r="KU110" s="470"/>
      <c r="KV110" s="470"/>
      <c r="KW110" s="470"/>
      <c r="KX110" s="470"/>
      <c r="KY110" s="470"/>
      <c r="KZ110" s="470"/>
      <c r="LA110" s="470"/>
      <c r="LB110" s="470"/>
      <c r="LC110" s="470"/>
      <c r="LD110" s="470"/>
      <c r="LE110" s="470"/>
      <c r="LF110" s="470"/>
      <c r="LG110" s="470"/>
      <c r="LH110" s="470"/>
      <c r="LI110" s="470"/>
      <c r="LJ110" s="470"/>
      <c r="LK110" s="470"/>
      <c r="LL110" s="470"/>
      <c r="LM110" s="470"/>
      <c r="LN110" s="470"/>
      <c r="LO110" s="470"/>
      <c r="LP110" s="470"/>
      <c r="LQ110" s="470"/>
      <c r="LR110" s="470"/>
      <c r="LS110" s="470"/>
      <c r="LT110" s="470"/>
      <c r="LU110" s="470"/>
      <c r="LV110" s="470"/>
      <c r="LW110" s="470"/>
      <c r="LX110" s="470"/>
      <c r="LY110" s="470"/>
      <c r="LZ110" s="470"/>
      <c r="MA110" s="470"/>
      <c r="MB110" s="470"/>
      <c r="MC110" s="470"/>
      <c r="MD110" s="470"/>
      <c r="ME110" s="470"/>
      <c r="MF110" s="470"/>
      <c r="MG110" s="470"/>
      <c r="MH110" s="470"/>
      <c r="MI110" s="470"/>
      <c r="MJ110" s="470"/>
      <c r="MK110" s="470"/>
      <c r="ML110" s="470"/>
      <c r="MM110" s="470"/>
      <c r="MN110" s="470"/>
      <c r="MO110" s="470"/>
      <c r="MP110" s="470"/>
      <c r="MQ110" s="470"/>
      <c r="MR110" s="470"/>
      <c r="MS110" s="470"/>
      <c r="MT110" s="470"/>
      <c r="MU110" s="470"/>
      <c r="MV110" s="470"/>
      <c r="MW110" s="470"/>
      <c r="MX110" s="470"/>
      <c r="MY110" s="470"/>
      <c r="MZ110" s="470"/>
      <c r="NA110" s="470"/>
      <c r="NB110" s="470"/>
      <c r="NC110" s="470"/>
      <c r="ND110" s="470"/>
      <c r="NE110" s="470"/>
      <c r="NF110" s="470"/>
      <c r="NG110" s="470"/>
      <c r="NH110" s="470"/>
      <c r="NI110" s="470"/>
      <c r="NJ110" s="470"/>
      <c r="NK110" s="470"/>
      <c r="NL110" s="470"/>
      <c r="NM110" s="470"/>
      <c r="NN110" s="470"/>
      <c r="NO110" s="470"/>
      <c r="NP110" s="470"/>
      <c r="NQ110" s="470"/>
      <c r="NR110" s="470"/>
      <c r="NS110" s="470"/>
      <c r="NT110" s="470"/>
      <c r="NU110" s="470"/>
      <c r="NV110" s="470"/>
      <c r="NW110" s="470"/>
      <c r="NX110" s="470"/>
      <c r="NY110" s="470"/>
      <c r="NZ110" s="470"/>
      <c r="OA110" s="470"/>
      <c r="OB110" s="470"/>
      <c r="OC110" s="470"/>
      <c r="OD110" s="470"/>
      <c r="OE110" s="470"/>
      <c r="OF110" s="470"/>
      <c r="OG110" s="470"/>
      <c r="OH110" s="470"/>
      <c r="OI110" s="470"/>
      <c r="OJ110" s="470"/>
      <c r="OK110" s="470"/>
      <c r="OL110" s="470"/>
      <c r="OM110" s="470"/>
      <c r="ON110" s="470"/>
      <c r="OO110" s="470"/>
      <c r="OP110" s="470"/>
      <c r="OQ110" s="470"/>
      <c r="OR110" s="470"/>
      <c r="OS110" s="470"/>
      <c r="OT110" s="470"/>
      <c r="OU110" s="470"/>
      <c r="OV110" s="470"/>
      <c r="OW110" s="470"/>
      <c r="OX110" s="470"/>
      <c r="OY110" s="470"/>
      <c r="OZ110" s="470"/>
      <c r="PA110" s="470"/>
      <c r="PB110" s="470"/>
      <c r="PC110" s="470"/>
      <c r="PD110" s="470"/>
      <c r="PE110" s="470"/>
      <c r="PF110" s="470"/>
      <c r="PG110" s="470"/>
      <c r="PH110" s="470"/>
    </row>
    <row r="111">
      <c r="B111" s="92" t="str">
        <f t="shared" si="780"/>
        <v>Food Truck Park</v>
      </c>
      <c r="C111" s="473" t="s">
        <v>272</v>
      </c>
      <c r="D111" s="279" t="s">
        <v>271</v>
      </c>
      <c r="E111" s="46">
        <f t="shared" si="781"/>
        <v>28</v>
      </c>
      <c r="F111" s="54">
        <v>1</v>
      </c>
      <c r="G111" s="255">
        <f t="shared" si="782"/>
        <v>1.9154059677409881E-3</v>
      </c>
      <c r="H111" s="149">
        <f t="shared" si="783"/>
        <v>41.989256626985473</v>
      </c>
      <c r="I111" s="449">
        <f t="shared" si="784"/>
        <v>6298.388494047821</v>
      </c>
      <c r="K111" s="76"/>
      <c r="L111" s="76"/>
      <c r="M111" s="421">
        <f t="shared" si="785"/>
        <v>0</v>
      </c>
      <c r="N111" s="421">
        <f t="shared" si="785"/>
        <v>0</v>
      </c>
      <c r="O111" s="421">
        <f t="shared" si="785"/>
        <v>0</v>
      </c>
      <c r="P111" s="421">
        <f t="shared" si="785"/>
        <v>0</v>
      </c>
      <c r="Q111" s="421">
        <f t="shared" si="785"/>
        <v>0</v>
      </c>
      <c r="R111" s="421">
        <f t="shared" si="785"/>
        <v>0</v>
      </c>
      <c r="S111" s="421">
        <f t="shared" si="785"/>
        <v>0</v>
      </c>
      <c r="T111" s="421">
        <f t="shared" si="785"/>
        <v>0</v>
      </c>
      <c r="U111" s="421">
        <f t="shared" si="785"/>
        <v>0</v>
      </c>
      <c r="V111" s="421">
        <f t="shared" si="785"/>
        <v>0</v>
      </c>
      <c r="W111" s="421">
        <f t="shared" si="786"/>
        <v>0</v>
      </c>
      <c r="X111" s="421">
        <f t="shared" si="786"/>
        <v>0</v>
      </c>
      <c r="Y111" s="421">
        <f t="shared" si="786"/>
        <v>0</v>
      </c>
      <c r="Z111" s="421">
        <f t="shared" si="786"/>
        <v>0</v>
      </c>
      <c r="AA111" s="421">
        <f t="shared" si="786"/>
        <v>0</v>
      </c>
      <c r="AB111" s="421">
        <f t="shared" si="786"/>
        <v>0</v>
      </c>
      <c r="AC111" s="421">
        <f t="shared" si="786"/>
        <v>0</v>
      </c>
      <c r="AD111" s="421">
        <f t="shared" si="786"/>
        <v>0</v>
      </c>
      <c r="AE111" s="421">
        <f t="shared" si="786"/>
        <v>0</v>
      </c>
      <c r="AF111" s="421">
        <f t="shared" si="786"/>
        <v>0</v>
      </c>
      <c r="AG111" s="421">
        <f t="shared" si="787"/>
        <v>0</v>
      </c>
      <c r="AH111" s="421">
        <f t="shared" si="787"/>
        <v>0</v>
      </c>
      <c r="AI111" s="421">
        <f t="shared" si="787"/>
        <v>0</v>
      </c>
      <c r="AJ111" s="421">
        <f t="shared" si="787"/>
        <v>0</v>
      </c>
      <c r="AK111" s="421">
        <f t="shared" si="787"/>
        <v>0</v>
      </c>
      <c r="AL111" s="421">
        <f t="shared" si="787"/>
        <v>0</v>
      </c>
      <c r="AM111" s="421">
        <f t="shared" si="787"/>
        <v>0</v>
      </c>
      <c r="AN111" s="421">
        <f t="shared" si="787"/>
        <v>502.99279217392069</v>
      </c>
      <c r="AO111" s="421">
        <f t="shared" si="787"/>
        <v>502.99279217392069</v>
      </c>
      <c r="AP111" s="421">
        <f t="shared" si="787"/>
        <v>524.86570783731838</v>
      </c>
      <c r="AQ111" s="421">
        <f t="shared" si="788"/>
        <v>524.86570783731838</v>
      </c>
      <c r="AR111" s="421">
        <f t="shared" si="788"/>
        <v>524.86570783731838</v>
      </c>
      <c r="AS111" s="421">
        <f t="shared" si="788"/>
        <v>524.86570783731838</v>
      </c>
      <c r="AT111" s="421">
        <f t="shared" si="788"/>
        <v>524.86570783731838</v>
      </c>
      <c r="AU111" s="421">
        <f t="shared" si="788"/>
        <v>524.86570783731838</v>
      </c>
      <c r="AV111" s="421">
        <f t="shared" si="788"/>
        <v>524.86570783731838</v>
      </c>
      <c r="AW111" s="421">
        <f t="shared" si="788"/>
        <v>524.86570783731838</v>
      </c>
      <c r="AX111" s="421">
        <f t="shared" si="788"/>
        <v>524.86570783731838</v>
      </c>
      <c r="AY111" s="421">
        <f t="shared" si="788"/>
        <v>524.86570783731838</v>
      </c>
      <c r="AZ111" s="421">
        <f t="shared" si="788"/>
        <v>524.86570783731838</v>
      </c>
      <c r="BA111" s="421">
        <f t="shared" si="789"/>
        <v>524.86570783731838</v>
      </c>
      <c r="BB111" s="421">
        <f t="shared" si="789"/>
        <v>524.86570783731838</v>
      </c>
      <c r="BC111" s="421">
        <f t="shared" si="789"/>
        <v>536.41148054057533</v>
      </c>
      <c r="BD111" s="421">
        <f t="shared" si="789"/>
        <v>536.41148054057533</v>
      </c>
      <c r="BE111" s="421">
        <f t="shared" si="789"/>
        <v>536.41148054057533</v>
      </c>
      <c r="BF111" s="421">
        <f t="shared" si="789"/>
        <v>536.41148054057533</v>
      </c>
      <c r="BG111" s="421">
        <f t="shared" si="789"/>
        <v>536.41148054057533</v>
      </c>
      <c r="BH111" s="421">
        <f t="shared" si="789"/>
        <v>536.41148054057533</v>
      </c>
      <c r="BI111" s="421">
        <f t="shared" si="789"/>
        <v>536.41148054057533</v>
      </c>
      <c r="BJ111" s="421">
        <f t="shared" si="789"/>
        <v>536.41148054057533</v>
      </c>
      <c r="BK111" s="421">
        <f t="shared" si="790"/>
        <v>536.41148054057533</v>
      </c>
      <c r="BL111" s="421">
        <f t="shared" si="790"/>
        <v>536.41148054057533</v>
      </c>
      <c r="BM111" s="421">
        <f t="shared" si="790"/>
        <v>536.41148054057533</v>
      </c>
      <c r="BN111" s="421">
        <f t="shared" si="790"/>
        <v>536.41148054057533</v>
      </c>
      <c r="BO111" s="421">
        <f t="shared" si="790"/>
        <v>546.92740792443703</v>
      </c>
      <c r="BP111" s="421">
        <f t="shared" si="790"/>
        <v>546.92740792443703</v>
      </c>
      <c r="BQ111" s="421">
        <f t="shared" si="790"/>
        <v>546.92740792443703</v>
      </c>
      <c r="BR111" s="421">
        <f t="shared" si="790"/>
        <v>546.92740792443703</v>
      </c>
      <c r="BS111" s="421">
        <f t="shared" si="790"/>
        <v>546.92740792443703</v>
      </c>
      <c r="BT111" s="421">
        <f t="shared" si="790"/>
        <v>546.92740792443703</v>
      </c>
      <c r="BU111" s="421">
        <f t="shared" si="791"/>
        <v>546.92740792443703</v>
      </c>
      <c r="BV111" s="421">
        <f t="shared" si="791"/>
        <v>546.92740792443703</v>
      </c>
      <c r="BW111" s="421">
        <f t="shared" si="791"/>
        <v>546.92740792443703</v>
      </c>
      <c r="BX111" s="421">
        <f t="shared" si="791"/>
        <v>546.92740792443703</v>
      </c>
      <c r="BY111" s="421">
        <f t="shared" si="791"/>
        <v>546.92740792443703</v>
      </c>
      <c r="BZ111" s="421">
        <f t="shared" si="791"/>
        <v>546.92740792443703</v>
      </c>
      <c r="CA111" s="421">
        <f t="shared" si="791"/>
        <v>557.59470997441633</v>
      </c>
      <c r="CB111" s="421">
        <f t="shared" si="791"/>
        <v>557.59470997441633</v>
      </c>
      <c r="CC111" s="421">
        <f t="shared" si="791"/>
        <v>557.59470997441633</v>
      </c>
      <c r="CD111" s="421">
        <f t="shared" si="791"/>
        <v>557.59470997441633</v>
      </c>
      <c r="CE111" s="421">
        <f t="shared" si="792"/>
        <v>557.59470997441633</v>
      </c>
      <c r="CF111" s="421">
        <f t="shared" si="792"/>
        <v>557.59470997441633</v>
      </c>
      <c r="CG111" s="421">
        <f t="shared" si="792"/>
        <v>557.59470997441633</v>
      </c>
      <c r="CH111" s="421">
        <f t="shared" si="792"/>
        <v>557.59470997441633</v>
      </c>
      <c r="CI111" s="421">
        <f t="shared" si="792"/>
        <v>557.59470997441633</v>
      </c>
      <c r="CJ111" s="421">
        <f t="shared" si="792"/>
        <v>557.59470997441633</v>
      </c>
      <c r="CK111" s="421">
        <f t="shared" si="792"/>
        <v>557.59470997441633</v>
      </c>
      <c r="CL111" s="421">
        <f t="shared" si="792"/>
        <v>557.59470997441633</v>
      </c>
      <c r="CM111" s="421">
        <f t="shared" si="792"/>
        <v>551.45407611700807</v>
      </c>
      <c r="CN111" s="421">
        <f t="shared" si="792"/>
        <v>551.45407611700807</v>
      </c>
      <c r="CO111" s="421">
        <f t="shared" si="793"/>
        <v>551.45407611700807</v>
      </c>
      <c r="CP111" s="421">
        <f t="shared" si="793"/>
        <v>551.45407611700807</v>
      </c>
      <c r="CQ111" s="421">
        <f t="shared" si="793"/>
        <v>551.45407611700807</v>
      </c>
      <c r="CR111" s="421">
        <f t="shared" si="793"/>
        <v>551.45407611700807</v>
      </c>
      <c r="CS111" s="421">
        <f t="shared" si="793"/>
        <v>551.45407611700807</v>
      </c>
      <c r="CT111" s="421">
        <f t="shared" si="793"/>
        <v>551.45407611700807</v>
      </c>
      <c r="CU111" s="421">
        <f t="shared" si="793"/>
        <v>551.45407611700807</v>
      </c>
      <c r="CV111" s="421">
        <f t="shared" si="793"/>
        <v>551.45407611700807</v>
      </c>
      <c r="CW111" s="421">
        <f t="shared" si="793"/>
        <v>551.45407611700807</v>
      </c>
      <c r="CX111" s="421">
        <f t="shared" si="793"/>
        <v>551.45407611700807</v>
      </c>
      <c r="CY111" s="421">
        <f t="shared" si="794"/>
        <v>562.55478797878322</v>
      </c>
      <c r="CZ111" s="421">
        <f t="shared" si="794"/>
        <v>562.55478797878322</v>
      </c>
      <c r="DA111" s="421">
        <f t="shared" si="794"/>
        <v>562.55478797878322</v>
      </c>
      <c r="DB111" s="421">
        <f t="shared" si="794"/>
        <v>562.55478797878322</v>
      </c>
      <c r="DC111" s="421">
        <f t="shared" si="794"/>
        <v>562.55478797878322</v>
      </c>
      <c r="DD111" s="421">
        <f t="shared" si="794"/>
        <v>562.55478797878322</v>
      </c>
      <c r="DE111" s="421">
        <f t="shared" si="794"/>
        <v>562.55478797878322</v>
      </c>
      <c r="DF111" s="421">
        <f t="shared" si="794"/>
        <v>562.55478797878322</v>
      </c>
      <c r="DG111" s="421">
        <f t="shared" si="794"/>
        <v>562.55478797878322</v>
      </c>
      <c r="DH111" s="421">
        <f t="shared" si="794"/>
        <v>562.55478797878322</v>
      </c>
      <c r="DI111" s="421">
        <f t="shared" si="795"/>
        <v>562.55478797878322</v>
      </c>
      <c r="DJ111" s="421">
        <f t="shared" si="795"/>
        <v>562.55478797878322</v>
      </c>
      <c r="DK111" s="421">
        <f t="shared" si="795"/>
        <v>574.0465300960401</v>
      </c>
      <c r="DL111" s="421">
        <f t="shared" si="795"/>
        <v>574.0465300960401</v>
      </c>
      <c r="DM111" s="421">
        <f t="shared" si="795"/>
        <v>574.0465300960401</v>
      </c>
      <c r="DN111" s="421">
        <f t="shared" si="795"/>
        <v>574.0465300960401</v>
      </c>
      <c r="DO111" s="421">
        <f t="shared" si="795"/>
        <v>574.0465300960401</v>
      </c>
      <c r="DP111" s="421">
        <f t="shared" si="795"/>
        <v>574.0465300960401</v>
      </c>
      <c r="DQ111" s="421">
        <f t="shared" si="795"/>
        <v>574.0465300960401</v>
      </c>
      <c r="DR111" s="421">
        <f t="shared" si="795"/>
        <v>574.0465300960401</v>
      </c>
      <c r="DS111" s="421">
        <f t="shared" si="796"/>
        <v>574.0465300960401</v>
      </c>
      <c r="DT111" s="421">
        <f t="shared" si="796"/>
        <v>574.0465300960401</v>
      </c>
      <c r="DU111" s="421">
        <f t="shared" si="796"/>
        <v>574.0465300960401</v>
      </c>
      <c r="DV111" s="421">
        <f t="shared" si="796"/>
        <v>574.0465300960401</v>
      </c>
      <c r="DW111" s="421">
        <f t="shared" si="796"/>
        <v>585.94641890752678</v>
      </c>
      <c r="DX111" s="421">
        <f t="shared" si="796"/>
        <v>585.94641890752678</v>
      </c>
      <c r="DY111" s="421">
        <f t="shared" si="796"/>
        <v>585.94641890752678</v>
      </c>
      <c r="DZ111" s="421">
        <f t="shared" si="796"/>
        <v>585.94641890752678</v>
      </c>
      <c r="EA111" s="421">
        <f t="shared" si="796"/>
        <v>585.94641890752678</v>
      </c>
      <c r="EB111" s="421">
        <f t="shared" si="796"/>
        <v>585.94641890752678</v>
      </c>
      <c r="EC111" s="421">
        <f t="shared" si="797"/>
        <v>585.94641890752678</v>
      </c>
      <c r="ED111" s="421">
        <f t="shared" si="797"/>
        <v>585.94641890752678</v>
      </c>
      <c r="EE111" s="421">
        <f t="shared" si="797"/>
        <v>585.94641890752678</v>
      </c>
      <c r="EF111" s="421">
        <f t="shared" si="797"/>
        <v>585.94641890752678</v>
      </c>
      <c r="EG111" s="421">
        <f t="shared" si="797"/>
        <v>585.94641890752678</v>
      </c>
      <c r="EH111" s="421">
        <f t="shared" si="797"/>
        <v>585.94641890752678</v>
      </c>
      <c r="EI111" s="421">
        <f t="shared" si="797"/>
        <v>598.26468783644498</v>
      </c>
      <c r="EJ111" s="421">
        <f t="shared" si="797"/>
        <v>598.26468783644498</v>
      </c>
      <c r="EK111" s="421">
        <f t="shared" si="797"/>
        <v>598.26468783644498</v>
      </c>
      <c r="EL111" s="421">
        <f t="shared" si="797"/>
        <v>598.26468783644498</v>
      </c>
      <c r="EM111" s="421">
        <f t="shared" si="797"/>
        <v>598.26468783644498</v>
      </c>
      <c r="EN111" s="421">
        <f t="shared" si="797"/>
        <v>598.26468783644498</v>
      </c>
      <c r="EO111" s="209"/>
      <c r="EP111" s="468"/>
      <c r="EQ111" s="469"/>
      <c r="ER111" s="469"/>
      <c r="ES111" s="469"/>
      <c r="ET111" s="469"/>
      <c r="EU111" s="469"/>
      <c r="EV111" s="469"/>
      <c r="EW111" s="469"/>
      <c r="EX111" s="469"/>
      <c r="EY111" s="469"/>
      <c r="EZ111" s="469"/>
      <c r="FA111" s="469"/>
      <c r="FB111" s="469"/>
      <c r="FC111" s="469"/>
      <c r="FD111" s="469"/>
      <c r="FE111" s="469"/>
      <c r="FF111" s="469"/>
      <c r="FG111" s="469"/>
      <c r="FH111" s="469"/>
      <c r="FI111" s="469"/>
      <c r="FJ111" s="469"/>
      <c r="FK111" s="469"/>
      <c r="FL111" s="469"/>
      <c r="FM111" s="469"/>
      <c r="FN111" s="469"/>
      <c r="FO111" s="469"/>
      <c r="FP111" s="469"/>
      <c r="FQ111" s="469"/>
      <c r="FR111" s="469"/>
      <c r="FS111" s="469"/>
      <c r="FT111" s="469"/>
      <c r="FU111" s="469"/>
      <c r="FV111" s="469"/>
      <c r="FW111" s="469"/>
      <c r="FX111" s="469"/>
      <c r="FY111" s="469"/>
      <c r="FZ111" s="469"/>
      <c r="GA111" s="469"/>
      <c r="GB111" s="469"/>
      <c r="GC111" s="469"/>
      <c r="GD111" s="469"/>
      <c r="GE111" s="469"/>
      <c r="GF111" s="469"/>
      <c r="GG111" s="469"/>
      <c r="GH111" s="469"/>
      <c r="GI111" s="469"/>
      <c r="GJ111" s="469"/>
      <c r="GK111" s="469"/>
      <c r="GL111" s="469"/>
      <c r="GM111" s="469"/>
      <c r="GN111" s="469"/>
      <c r="GO111" s="469"/>
      <c r="GP111" s="469"/>
      <c r="GQ111" s="469"/>
      <c r="GR111" s="469"/>
      <c r="GS111" s="469"/>
      <c r="GT111" s="469"/>
      <c r="GU111" s="469"/>
      <c r="GV111" s="469"/>
      <c r="GW111" s="469"/>
      <c r="GX111" s="469"/>
      <c r="GY111" s="469"/>
      <c r="GZ111" s="469"/>
      <c r="HA111" s="469"/>
      <c r="HB111" s="469"/>
      <c r="HC111" s="469"/>
      <c r="HD111" s="469"/>
      <c r="HE111" s="469"/>
      <c r="HF111" s="469"/>
      <c r="HG111" s="469"/>
      <c r="HH111" s="469"/>
      <c r="HI111" s="469"/>
      <c r="HJ111" s="469"/>
      <c r="HK111" s="469"/>
      <c r="HL111" s="469"/>
      <c r="HM111" s="469"/>
      <c r="HN111" s="469"/>
      <c r="HO111" s="469"/>
      <c r="HP111" s="469"/>
      <c r="HQ111" s="469"/>
      <c r="HR111" s="469"/>
      <c r="HS111" s="469"/>
      <c r="HT111" s="469"/>
      <c r="HU111" s="469"/>
      <c r="HV111" s="469"/>
      <c r="HW111" s="469"/>
      <c r="HX111" s="469"/>
      <c r="HY111" s="469"/>
      <c r="HZ111" s="469"/>
      <c r="IA111" s="469"/>
      <c r="IB111" s="469"/>
      <c r="IC111" s="469"/>
      <c r="ID111" s="469"/>
      <c r="IE111" s="469"/>
      <c r="IF111" s="469"/>
      <c r="IG111" s="469"/>
      <c r="IH111" s="469"/>
      <c r="II111" s="469"/>
      <c r="IJ111" s="469"/>
      <c r="IK111" s="469"/>
      <c r="IL111" s="469"/>
      <c r="IM111" s="469"/>
      <c r="IN111" s="469"/>
      <c r="IO111" s="469"/>
      <c r="IP111" s="469"/>
      <c r="IQ111" s="469"/>
      <c r="IR111" s="469"/>
      <c r="IS111" s="469"/>
      <c r="IT111" s="469"/>
      <c r="IU111" s="469"/>
      <c r="IV111" s="469"/>
      <c r="IW111" s="469"/>
      <c r="IX111" s="469"/>
      <c r="IY111" s="469"/>
      <c r="IZ111" s="469"/>
      <c r="JA111" s="469"/>
      <c r="JB111" s="469"/>
      <c r="JC111" s="469"/>
      <c r="JD111" s="469"/>
      <c r="JE111" s="469"/>
      <c r="JF111" s="469"/>
      <c r="JG111" s="469"/>
      <c r="JH111" s="469"/>
      <c r="JI111" s="469"/>
      <c r="JJ111" s="469"/>
      <c r="JK111" s="469"/>
      <c r="JL111" s="469"/>
      <c r="JM111" s="469"/>
      <c r="JN111" s="469"/>
      <c r="JO111" s="469"/>
      <c r="JP111" s="469"/>
      <c r="JQ111" s="469"/>
      <c r="JR111" s="469"/>
      <c r="JS111" s="469"/>
      <c r="JT111" s="469"/>
      <c r="JU111" s="469"/>
      <c r="JV111" s="469"/>
      <c r="JW111" s="469"/>
      <c r="JX111" s="20"/>
      <c r="JZ111" s="470"/>
      <c r="KA111" s="470"/>
      <c r="KB111" s="470"/>
      <c r="KC111" s="470"/>
      <c r="KD111" s="470"/>
      <c r="KE111" s="470"/>
      <c r="KF111" s="470"/>
      <c r="KG111" s="470"/>
      <c r="KH111" s="470"/>
      <c r="KI111" s="470"/>
      <c r="KJ111" s="470"/>
      <c r="KK111" s="470"/>
      <c r="KL111" s="470"/>
      <c r="KM111" s="470"/>
      <c r="KN111" s="470"/>
      <c r="KO111" s="470"/>
      <c r="KP111" s="470"/>
      <c r="KQ111" s="470"/>
      <c r="KR111" s="470"/>
      <c r="KS111" s="470"/>
      <c r="KT111" s="470"/>
      <c r="KU111" s="470"/>
      <c r="KV111" s="470"/>
      <c r="KW111" s="470"/>
      <c r="KX111" s="470"/>
      <c r="KY111" s="470"/>
      <c r="KZ111" s="470"/>
      <c r="LA111" s="470"/>
      <c r="LB111" s="470"/>
      <c r="LC111" s="470"/>
      <c r="LD111" s="470"/>
      <c r="LE111" s="470"/>
      <c r="LF111" s="470"/>
      <c r="LG111" s="470"/>
      <c r="LH111" s="470"/>
      <c r="LI111" s="470"/>
      <c r="LJ111" s="470"/>
      <c r="LK111" s="470"/>
      <c r="LL111" s="470"/>
      <c r="LM111" s="470"/>
      <c r="LN111" s="470"/>
      <c r="LO111" s="470"/>
      <c r="LP111" s="470"/>
      <c r="LQ111" s="470"/>
      <c r="LR111" s="470"/>
      <c r="LS111" s="470"/>
      <c r="LT111" s="470"/>
      <c r="LU111" s="470"/>
      <c r="LV111" s="470"/>
      <c r="LW111" s="470"/>
      <c r="LX111" s="470"/>
      <c r="LY111" s="470"/>
      <c r="LZ111" s="470"/>
      <c r="MA111" s="470"/>
      <c r="MB111" s="470"/>
      <c r="MC111" s="470"/>
      <c r="MD111" s="470"/>
      <c r="ME111" s="470"/>
      <c r="MF111" s="470"/>
      <c r="MG111" s="470"/>
      <c r="MH111" s="470"/>
      <c r="MI111" s="470"/>
      <c r="MJ111" s="470"/>
      <c r="MK111" s="470"/>
      <c r="ML111" s="470"/>
      <c r="MM111" s="470"/>
      <c r="MN111" s="470"/>
      <c r="MO111" s="470"/>
      <c r="MP111" s="470"/>
      <c r="MQ111" s="470"/>
      <c r="MR111" s="470"/>
      <c r="MS111" s="470"/>
      <c r="MT111" s="470"/>
      <c r="MU111" s="470"/>
      <c r="MV111" s="470"/>
      <c r="MW111" s="470"/>
      <c r="MX111" s="470"/>
      <c r="MY111" s="470"/>
      <c r="MZ111" s="470"/>
      <c r="NA111" s="470"/>
      <c r="NB111" s="470"/>
      <c r="NC111" s="470"/>
      <c r="ND111" s="470"/>
      <c r="NE111" s="470"/>
      <c r="NF111" s="470"/>
      <c r="NG111" s="470"/>
      <c r="NH111" s="470"/>
      <c r="NI111" s="470"/>
      <c r="NJ111" s="470"/>
      <c r="NK111" s="470"/>
      <c r="NL111" s="470"/>
      <c r="NM111" s="470"/>
      <c r="NN111" s="470"/>
      <c r="NO111" s="470"/>
      <c r="NP111" s="470"/>
      <c r="NQ111" s="470"/>
      <c r="NR111" s="470"/>
      <c r="NS111" s="470"/>
      <c r="NT111" s="470"/>
      <c r="NU111" s="470"/>
      <c r="NV111" s="470"/>
      <c r="NW111" s="470"/>
      <c r="NX111" s="470"/>
      <c r="NY111" s="470"/>
      <c r="NZ111" s="470"/>
      <c r="OA111" s="470"/>
      <c r="OB111" s="470"/>
      <c r="OC111" s="470"/>
      <c r="OD111" s="470"/>
      <c r="OE111" s="470"/>
      <c r="OF111" s="470"/>
      <c r="OG111" s="470"/>
      <c r="OH111" s="470"/>
      <c r="OI111" s="470"/>
      <c r="OJ111" s="470"/>
      <c r="OK111" s="470"/>
      <c r="OL111" s="470"/>
      <c r="OM111" s="470"/>
      <c r="ON111" s="470"/>
      <c r="OO111" s="470"/>
      <c r="OP111" s="470"/>
      <c r="OQ111" s="470"/>
      <c r="OR111" s="470"/>
      <c r="OS111" s="470"/>
      <c r="OT111" s="470"/>
      <c r="OU111" s="470"/>
      <c r="OV111" s="470"/>
      <c r="OW111" s="470"/>
      <c r="OX111" s="470"/>
      <c r="OY111" s="470"/>
      <c r="OZ111" s="470"/>
      <c r="PA111" s="470"/>
      <c r="PB111" s="470"/>
      <c r="PC111" s="470"/>
      <c r="PD111" s="470"/>
      <c r="PE111" s="470"/>
      <c r="PF111" s="470"/>
      <c r="PG111" s="470"/>
      <c r="PH111" s="470"/>
    </row>
    <row r="112">
      <c r="B112" s="92" t="str">
        <f t="shared" si="780"/>
        <v>Genesis Health &amp; Fitness</v>
      </c>
      <c r="C112" s="473" t="s">
        <v>270</v>
      </c>
      <c r="D112" s="279" t="s">
        <v>271</v>
      </c>
      <c r="E112" s="46">
        <f t="shared" si="781"/>
        <v>28</v>
      </c>
      <c r="F112" s="54">
        <v>1</v>
      </c>
      <c r="G112" s="255">
        <f t="shared" si="782"/>
        <v>5.1077492473093011E-2</v>
      </c>
      <c r="H112" s="149">
        <f t="shared" si="783"/>
        <v>41.989256626985473</v>
      </c>
      <c r="I112" s="449">
        <f t="shared" si="784"/>
        <v>167957.02650794189</v>
      </c>
      <c r="K112" s="76"/>
      <c r="L112" s="76"/>
      <c r="M112" s="421">
        <f t="shared" si="785"/>
        <v>0</v>
      </c>
      <c r="N112" s="421">
        <f t="shared" si="785"/>
        <v>0</v>
      </c>
      <c r="O112" s="421">
        <f t="shared" si="785"/>
        <v>0</v>
      </c>
      <c r="P112" s="421">
        <f t="shared" si="785"/>
        <v>0</v>
      </c>
      <c r="Q112" s="421">
        <f t="shared" si="785"/>
        <v>0</v>
      </c>
      <c r="R112" s="421">
        <f t="shared" si="785"/>
        <v>0</v>
      </c>
      <c r="S112" s="421">
        <f t="shared" si="785"/>
        <v>0</v>
      </c>
      <c r="T112" s="421">
        <f t="shared" si="785"/>
        <v>0</v>
      </c>
      <c r="U112" s="421">
        <f t="shared" si="785"/>
        <v>0</v>
      </c>
      <c r="V112" s="421">
        <f t="shared" si="785"/>
        <v>0</v>
      </c>
      <c r="W112" s="421">
        <f t="shared" si="786"/>
        <v>0</v>
      </c>
      <c r="X112" s="421">
        <f t="shared" si="786"/>
        <v>0</v>
      </c>
      <c r="Y112" s="421">
        <f t="shared" si="786"/>
        <v>0</v>
      </c>
      <c r="Z112" s="421">
        <f t="shared" si="786"/>
        <v>0</v>
      </c>
      <c r="AA112" s="421">
        <f t="shared" si="786"/>
        <v>0</v>
      </c>
      <c r="AB112" s="421">
        <f t="shared" si="786"/>
        <v>0</v>
      </c>
      <c r="AC112" s="421">
        <f t="shared" si="786"/>
        <v>0</v>
      </c>
      <c r="AD112" s="421">
        <f t="shared" si="786"/>
        <v>0</v>
      </c>
      <c r="AE112" s="421">
        <f t="shared" si="786"/>
        <v>0</v>
      </c>
      <c r="AF112" s="421">
        <f t="shared" si="786"/>
        <v>0</v>
      </c>
      <c r="AG112" s="421">
        <f t="shared" si="787"/>
        <v>0</v>
      </c>
      <c r="AH112" s="421">
        <f t="shared" si="787"/>
        <v>0</v>
      </c>
      <c r="AI112" s="421">
        <f t="shared" si="787"/>
        <v>0</v>
      </c>
      <c r="AJ112" s="421">
        <f t="shared" si="787"/>
        <v>0</v>
      </c>
      <c r="AK112" s="421">
        <f t="shared" si="787"/>
        <v>0</v>
      </c>
      <c r="AL112" s="421">
        <f t="shared" si="787"/>
        <v>0</v>
      </c>
      <c r="AM112" s="421">
        <f t="shared" si="787"/>
        <v>0</v>
      </c>
      <c r="AN112" s="421">
        <f t="shared" si="787"/>
        <v>13413.141124637885</v>
      </c>
      <c r="AO112" s="421">
        <f t="shared" si="787"/>
        <v>13413.141124637885</v>
      </c>
      <c r="AP112" s="421">
        <f t="shared" si="787"/>
        <v>13996.418875661822</v>
      </c>
      <c r="AQ112" s="421">
        <f t="shared" si="788"/>
        <v>13996.418875661822</v>
      </c>
      <c r="AR112" s="421">
        <f t="shared" si="788"/>
        <v>13996.418875661822</v>
      </c>
      <c r="AS112" s="421">
        <f t="shared" si="788"/>
        <v>13996.418875661822</v>
      </c>
      <c r="AT112" s="421">
        <f t="shared" si="788"/>
        <v>13996.418875661822</v>
      </c>
      <c r="AU112" s="421">
        <f t="shared" si="788"/>
        <v>13996.418875661822</v>
      </c>
      <c r="AV112" s="421">
        <f t="shared" si="788"/>
        <v>13996.418875661822</v>
      </c>
      <c r="AW112" s="421">
        <f t="shared" si="788"/>
        <v>13996.418875661822</v>
      </c>
      <c r="AX112" s="421">
        <f t="shared" si="788"/>
        <v>13996.418875661822</v>
      </c>
      <c r="AY112" s="421">
        <f t="shared" si="788"/>
        <v>13996.418875661822</v>
      </c>
      <c r="AZ112" s="421">
        <f t="shared" si="788"/>
        <v>13996.418875661822</v>
      </c>
      <c r="BA112" s="421">
        <f t="shared" si="789"/>
        <v>13996.418875661822</v>
      </c>
      <c r="BB112" s="421">
        <f t="shared" si="789"/>
        <v>13996.418875661822</v>
      </c>
      <c r="BC112" s="421">
        <f t="shared" si="789"/>
        <v>14304.306147748675</v>
      </c>
      <c r="BD112" s="421">
        <f t="shared" si="789"/>
        <v>14304.306147748675</v>
      </c>
      <c r="BE112" s="421">
        <f t="shared" si="789"/>
        <v>14304.306147748675</v>
      </c>
      <c r="BF112" s="421">
        <f t="shared" si="789"/>
        <v>14304.306147748675</v>
      </c>
      <c r="BG112" s="421">
        <f t="shared" si="789"/>
        <v>14304.306147748675</v>
      </c>
      <c r="BH112" s="421">
        <f t="shared" si="789"/>
        <v>14304.306147748675</v>
      </c>
      <c r="BI112" s="421">
        <f t="shared" si="789"/>
        <v>14304.306147748675</v>
      </c>
      <c r="BJ112" s="421">
        <f t="shared" si="789"/>
        <v>14304.306147748675</v>
      </c>
      <c r="BK112" s="421">
        <f t="shared" si="790"/>
        <v>14304.306147748675</v>
      </c>
      <c r="BL112" s="421">
        <f t="shared" si="790"/>
        <v>14304.306147748675</v>
      </c>
      <c r="BM112" s="421">
        <f t="shared" si="790"/>
        <v>14304.306147748675</v>
      </c>
      <c r="BN112" s="421">
        <f t="shared" si="790"/>
        <v>14304.306147748675</v>
      </c>
      <c r="BO112" s="421">
        <f t="shared" si="790"/>
        <v>14584.730877984986</v>
      </c>
      <c r="BP112" s="421">
        <f t="shared" si="790"/>
        <v>14584.730877984986</v>
      </c>
      <c r="BQ112" s="421">
        <f t="shared" si="790"/>
        <v>14584.730877984986</v>
      </c>
      <c r="BR112" s="421">
        <f t="shared" si="790"/>
        <v>14584.730877984986</v>
      </c>
      <c r="BS112" s="421">
        <f t="shared" si="790"/>
        <v>14584.730877984986</v>
      </c>
      <c r="BT112" s="421">
        <f t="shared" si="790"/>
        <v>14584.730877984986</v>
      </c>
      <c r="BU112" s="421">
        <f t="shared" si="791"/>
        <v>14584.730877984986</v>
      </c>
      <c r="BV112" s="421">
        <f t="shared" si="791"/>
        <v>14584.730877984986</v>
      </c>
      <c r="BW112" s="421">
        <f t="shared" si="791"/>
        <v>14584.730877984986</v>
      </c>
      <c r="BX112" s="421">
        <f t="shared" si="791"/>
        <v>14584.730877984986</v>
      </c>
      <c r="BY112" s="421">
        <f t="shared" si="791"/>
        <v>14584.730877984986</v>
      </c>
      <c r="BZ112" s="421">
        <f t="shared" si="791"/>
        <v>14584.730877984986</v>
      </c>
      <c r="CA112" s="421">
        <f t="shared" si="791"/>
        <v>14869.192265984433</v>
      </c>
      <c r="CB112" s="421">
        <f t="shared" si="791"/>
        <v>14869.192265984433</v>
      </c>
      <c r="CC112" s="421">
        <f t="shared" si="791"/>
        <v>14869.192265984433</v>
      </c>
      <c r="CD112" s="421">
        <f t="shared" si="791"/>
        <v>14869.192265984433</v>
      </c>
      <c r="CE112" s="421">
        <f t="shared" si="792"/>
        <v>14869.192265984433</v>
      </c>
      <c r="CF112" s="421">
        <f t="shared" si="792"/>
        <v>14869.192265984433</v>
      </c>
      <c r="CG112" s="421">
        <f t="shared" si="792"/>
        <v>14869.192265984433</v>
      </c>
      <c r="CH112" s="421">
        <f t="shared" si="792"/>
        <v>14869.192265984433</v>
      </c>
      <c r="CI112" s="421">
        <f t="shared" si="792"/>
        <v>14869.192265984433</v>
      </c>
      <c r="CJ112" s="421">
        <f t="shared" si="792"/>
        <v>14869.192265984433</v>
      </c>
      <c r="CK112" s="421">
        <f t="shared" si="792"/>
        <v>14869.192265984433</v>
      </c>
      <c r="CL112" s="421">
        <f t="shared" si="792"/>
        <v>14869.192265984433</v>
      </c>
      <c r="CM112" s="421">
        <f t="shared" si="792"/>
        <v>14705.44202978688</v>
      </c>
      <c r="CN112" s="421">
        <f t="shared" si="792"/>
        <v>14705.44202978688</v>
      </c>
      <c r="CO112" s="421">
        <f t="shared" si="793"/>
        <v>14705.44202978688</v>
      </c>
      <c r="CP112" s="421">
        <f t="shared" si="793"/>
        <v>14705.44202978688</v>
      </c>
      <c r="CQ112" s="421">
        <f t="shared" si="793"/>
        <v>14705.44202978688</v>
      </c>
      <c r="CR112" s="421">
        <f t="shared" si="793"/>
        <v>14705.44202978688</v>
      </c>
      <c r="CS112" s="421">
        <f t="shared" si="793"/>
        <v>14705.44202978688</v>
      </c>
      <c r="CT112" s="421">
        <f t="shared" si="793"/>
        <v>14705.44202978688</v>
      </c>
      <c r="CU112" s="421">
        <f t="shared" si="793"/>
        <v>14705.44202978688</v>
      </c>
      <c r="CV112" s="421">
        <f t="shared" si="793"/>
        <v>14705.44202978688</v>
      </c>
      <c r="CW112" s="421">
        <f t="shared" si="793"/>
        <v>14705.44202978688</v>
      </c>
      <c r="CX112" s="421">
        <f t="shared" si="793"/>
        <v>14705.44202978688</v>
      </c>
      <c r="CY112" s="421">
        <f t="shared" si="794"/>
        <v>15001.461012767551</v>
      </c>
      <c r="CZ112" s="421">
        <f t="shared" si="794"/>
        <v>15001.461012767551</v>
      </c>
      <c r="DA112" s="421">
        <f t="shared" si="794"/>
        <v>15001.461012767551</v>
      </c>
      <c r="DB112" s="421">
        <f t="shared" si="794"/>
        <v>15001.461012767551</v>
      </c>
      <c r="DC112" s="421">
        <f t="shared" si="794"/>
        <v>15001.461012767551</v>
      </c>
      <c r="DD112" s="421">
        <f t="shared" si="794"/>
        <v>15001.461012767551</v>
      </c>
      <c r="DE112" s="421">
        <f t="shared" si="794"/>
        <v>15001.461012767551</v>
      </c>
      <c r="DF112" s="421">
        <f t="shared" si="794"/>
        <v>15001.461012767551</v>
      </c>
      <c r="DG112" s="421">
        <f t="shared" si="794"/>
        <v>15001.461012767551</v>
      </c>
      <c r="DH112" s="421">
        <f t="shared" si="794"/>
        <v>15001.461012767551</v>
      </c>
      <c r="DI112" s="421">
        <f t="shared" si="795"/>
        <v>15001.461012767551</v>
      </c>
      <c r="DJ112" s="421">
        <f t="shared" si="795"/>
        <v>15001.461012767551</v>
      </c>
      <c r="DK112" s="421">
        <f t="shared" si="795"/>
        <v>15307.907469227734</v>
      </c>
      <c r="DL112" s="421">
        <f t="shared" si="795"/>
        <v>15307.907469227734</v>
      </c>
      <c r="DM112" s="421">
        <f t="shared" si="795"/>
        <v>15307.907469227734</v>
      </c>
      <c r="DN112" s="421">
        <f t="shared" si="795"/>
        <v>15307.907469227734</v>
      </c>
      <c r="DO112" s="421">
        <f t="shared" si="795"/>
        <v>15307.907469227734</v>
      </c>
      <c r="DP112" s="421">
        <f t="shared" si="795"/>
        <v>15307.907469227734</v>
      </c>
      <c r="DQ112" s="421">
        <f t="shared" si="795"/>
        <v>15307.907469227734</v>
      </c>
      <c r="DR112" s="421">
        <f t="shared" si="795"/>
        <v>15307.907469227734</v>
      </c>
      <c r="DS112" s="421">
        <f t="shared" si="796"/>
        <v>15307.907469227734</v>
      </c>
      <c r="DT112" s="421">
        <f t="shared" si="796"/>
        <v>15307.907469227734</v>
      </c>
      <c r="DU112" s="421">
        <f t="shared" si="796"/>
        <v>15307.907469227734</v>
      </c>
      <c r="DV112" s="421">
        <f t="shared" si="796"/>
        <v>15307.907469227734</v>
      </c>
      <c r="DW112" s="421">
        <f t="shared" si="796"/>
        <v>15625.237837534047</v>
      </c>
      <c r="DX112" s="421">
        <f t="shared" si="796"/>
        <v>15625.237837534047</v>
      </c>
      <c r="DY112" s="421">
        <f t="shared" si="796"/>
        <v>15625.237837534047</v>
      </c>
      <c r="DZ112" s="421">
        <f t="shared" si="796"/>
        <v>15625.237837534047</v>
      </c>
      <c r="EA112" s="421">
        <f t="shared" si="796"/>
        <v>15625.237837534047</v>
      </c>
      <c r="EB112" s="421">
        <f t="shared" si="796"/>
        <v>15625.237837534047</v>
      </c>
      <c r="EC112" s="421">
        <f t="shared" si="797"/>
        <v>15625.237837534047</v>
      </c>
      <c r="ED112" s="421">
        <f t="shared" si="797"/>
        <v>15625.237837534047</v>
      </c>
      <c r="EE112" s="421">
        <f t="shared" si="797"/>
        <v>15625.237837534047</v>
      </c>
      <c r="EF112" s="421">
        <f t="shared" si="797"/>
        <v>15625.237837534047</v>
      </c>
      <c r="EG112" s="421">
        <f t="shared" si="797"/>
        <v>15625.237837534047</v>
      </c>
      <c r="EH112" s="421">
        <f t="shared" si="797"/>
        <v>15625.237837534047</v>
      </c>
      <c r="EI112" s="421">
        <f t="shared" si="797"/>
        <v>15953.725008971865</v>
      </c>
      <c r="EJ112" s="421">
        <f t="shared" si="797"/>
        <v>15953.725008971865</v>
      </c>
      <c r="EK112" s="421">
        <f t="shared" si="797"/>
        <v>15953.725008971865</v>
      </c>
      <c r="EL112" s="421">
        <f t="shared" si="797"/>
        <v>15953.725008971865</v>
      </c>
      <c r="EM112" s="421">
        <f t="shared" si="797"/>
        <v>15953.725008971865</v>
      </c>
      <c r="EN112" s="421">
        <f t="shared" si="797"/>
        <v>15953.725008971865</v>
      </c>
      <c r="EO112" s="209"/>
      <c r="EP112" s="468"/>
      <c r="EQ112" s="469"/>
      <c r="ER112" s="469"/>
      <c r="ES112" s="469"/>
      <c r="ET112" s="469"/>
      <c r="EU112" s="469"/>
      <c r="EV112" s="469"/>
      <c r="EW112" s="469"/>
      <c r="EX112" s="469"/>
      <c r="EY112" s="469"/>
      <c r="EZ112" s="469"/>
      <c r="FA112" s="469"/>
      <c r="FB112" s="469"/>
      <c r="FC112" s="469"/>
      <c r="FD112" s="469"/>
      <c r="FE112" s="469"/>
      <c r="FF112" s="469"/>
      <c r="FG112" s="469"/>
      <c r="FH112" s="469"/>
      <c r="FI112" s="469"/>
      <c r="FJ112" s="469"/>
      <c r="FK112" s="469"/>
      <c r="FL112" s="469"/>
      <c r="FM112" s="469"/>
      <c r="FN112" s="469"/>
      <c r="FO112" s="469"/>
      <c r="FP112" s="469"/>
      <c r="FQ112" s="469"/>
      <c r="FR112" s="469"/>
      <c r="FS112" s="469"/>
      <c r="FT112" s="469"/>
      <c r="FU112" s="469"/>
      <c r="FV112" s="469"/>
      <c r="FW112" s="469"/>
      <c r="FX112" s="469"/>
      <c r="FY112" s="469"/>
      <c r="FZ112" s="469"/>
      <c r="GA112" s="469"/>
      <c r="GB112" s="469"/>
      <c r="GC112" s="469"/>
      <c r="GD112" s="469"/>
      <c r="GE112" s="469"/>
      <c r="GF112" s="469"/>
      <c r="GG112" s="469"/>
      <c r="GH112" s="469"/>
      <c r="GI112" s="469"/>
      <c r="GJ112" s="469"/>
      <c r="GK112" s="469"/>
      <c r="GL112" s="469"/>
      <c r="GM112" s="469"/>
      <c r="GN112" s="469"/>
      <c r="GO112" s="469"/>
      <c r="GP112" s="469"/>
      <c r="GQ112" s="469"/>
      <c r="GR112" s="469"/>
      <c r="GS112" s="469"/>
      <c r="GT112" s="469"/>
      <c r="GU112" s="469"/>
      <c r="GV112" s="469"/>
      <c r="GW112" s="469"/>
      <c r="GX112" s="469"/>
      <c r="GY112" s="469"/>
      <c r="GZ112" s="469"/>
      <c r="HA112" s="469"/>
      <c r="HB112" s="469"/>
      <c r="HC112" s="469"/>
      <c r="HD112" s="469"/>
      <c r="HE112" s="469"/>
      <c r="HF112" s="469"/>
      <c r="HG112" s="469"/>
      <c r="HH112" s="469"/>
      <c r="HI112" s="469"/>
      <c r="HJ112" s="469"/>
      <c r="HK112" s="469"/>
      <c r="HL112" s="469"/>
      <c r="HM112" s="469"/>
      <c r="HN112" s="469"/>
      <c r="HO112" s="469"/>
      <c r="HP112" s="469"/>
      <c r="HQ112" s="469"/>
      <c r="HR112" s="469"/>
      <c r="HS112" s="469"/>
      <c r="HT112" s="469"/>
      <c r="HU112" s="469"/>
      <c r="HV112" s="469"/>
      <c r="HW112" s="469"/>
      <c r="HX112" s="469"/>
      <c r="HY112" s="469"/>
      <c r="HZ112" s="469"/>
      <c r="IA112" s="469"/>
      <c r="IB112" s="469"/>
      <c r="IC112" s="469"/>
      <c r="ID112" s="469"/>
      <c r="IE112" s="469"/>
      <c r="IF112" s="469"/>
      <c r="IG112" s="469"/>
      <c r="IH112" s="469"/>
      <c r="II112" s="469"/>
      <c r="IJ112" s="469"/>
      <c r="IK112" s="469"/>
      <c r="IL112" s="469"/>
      <c r="IM112" s="469"/>
      <c r="IN112" s="469"/>
      <c r="IO112" s="469"/>
      <c r="IP112" s="469"/>
      <c r="IQ112" s="469"/>
      <c r="IR112" s="469"/>
      <c r="IS112" s="469"/>
      <c r="IT112" s="469"/>
      <c r="IU112" s="469"/>
      <c r="IV112" s="469"/>
      <c r="IW112" s="469"/>
      <c r="IX112" s="469"/>
      <c r="IY112" s="469"/>
      <c r="IZ112" s="469"/>
      <c r="JA112" s="469"/>
      <c r="JB112" s="469"/>
      <c r="JC112" s="469"/>
      <c r="JD112" s="469"/>
      <c r="JE112" s="469"/>
      <c r="JF112" s="469"/>
      <c r="JG112" s="469"/>
      <c r="JH112" s="469"/>
      <c r="JI112" s="469"/>
      <c r="JJ112" s="469"/>
      <c r="JK112" s="469"/>
      <c r="JL112" s="469"/>
      <c r="JM112" s="469"/>
      <c r="JN112" s="469"/>
      <c r="JO112" s="469"/>
      <c r="JP112" s="469"/>
      <c r="JQ112" s="469"/>
      <c r="JR112" s="469"/>
      <c r="JS112" s="469"/>
      <c r="JT112" s="469"/>
      <c r="JU112" s="469"/>
      <c r="JV112" s="469"/>
      <c r="JW112" s="469"/>
      <c r="JX112" s="20"/>
      <c r="JZ112" s="470"/>
      <c r="KA112" s="470"/>
      <c r="KB112" s="470"/>
      <c r="KC112" s="470"/>
      <c r="KD112" s="470"/>
      <c r="KE112" s="470"/>
      <c r="KF112" s="470"/>
      <c r="KG112" s="470"/>
      <c r="KH112" s="470"/>
      <c r="KI112" s="470"/>
      <c r="KJ112" s="470"/>
      <c r="KK112" s="470"/>
      <c r="KL112" s="470"/>
      <c r="KM112" s="470"/>
      <c r="KN112" s="470"/>
      <c r="KO112" s="470"/>
      <c r="KP112" s="470"/>
      <c r="KQ112" s="470"/>
      <c r="KR112" s="470"/>
      <c r="KS112" s="470"/>
      <c r="KT112" s="470"/>
      <c r="KU112" s="470"/>
      <c r="KV112" s="470"/>
      <c r="KW112" s="470"/>
      <c r="KX112" s="470"/>
      <c r="KY112" s="470"/>
      <c r="KZ112" s="470"/>
      <c r="LA112" s="470"/>
      <c r="LB112" s="470"/>
      <c r="LC112" s="470"/>
      <c r="LD112" s="470"/>
      <c r="LE112" s="470"/>
      <c r="LF112" s="470"/>
      <c r="LG112" s="470"/>
      <c r="LH112" s="470"/>
      <c r="LI112" s="470"/>
      <c r="LJ112" s="470"/>
      <c r="LK112" s="470"/>
      <c r="LL112" s="470"/>
      <c r="LM112" s="470"/>
      <c r="LN112" s="470"/>
      <c r="LO112" s="470"/>
      <c r="LP112" s="470"/>
      <c r="LQ112" s="470"/>
      <c r="LR112" s="470"/>
      <c r="LS112" s="470"/>
      <c r="LT112" s="470"/>
      <c r="LU112" s="470"/>
      <c r="LV112" s="470"/>
      <c r="LW112" s="470"/>
      <c r="LX112" s="470"/>
      <c r="LY112" s="470"/>
      <c r="LZ112" s="470"/>
      <c r="MA112" s="470"/>
      <c r="MB112" s="470"/>
      <c r="MC112" s="470"/>
      <c r="MD112" s="470"/>
      <c r="ME112" s="470"/>
      <c r="MF112" s="470"/>
      <c r="MG112" s="470"/>
      <c r="MH112" s="470"/>
      <c r="MI112" s="470"/>
      <c r="MJ112" s="470"/>
      <c r="MK112" s="470"/>
      <c r="ML112" s="470"/>
      <c r="MM112" s="470"/>
      <c r="MN112" s="470"/>
      <c r="MO112" s="470"/>
      <c r="MP112" s="470"/>
      <c r="MQ112" s="470"/>
      <c r="MR112" s="470"/>
      <c r="MS112" s="470"/>
      <c r="MT112" s="470"/>
      <c r="MU112" s="470"/>
      <c r="MV112" s="470"/>
      <c r="MW112" s="470"/>
      <c r="MX112" s="470"/>
      <c r="MY112" s="470"/>
      <c r="MZ112" s="470"/>
      <c r="NA112" s="470"/>
      <c r="NB112" s="470"/>
      <c r="NC112" s="470"/>
      <c r="ND112" s="470"/>
      <c r="NE112" s="470"/>
      <c r="NF112" s="470"/>
      <c r="NG112" s="470"/>
      <c r="NH112" s="470"/>
      <c r="NI112" s="470"/>
      <c r="NJ112" s="470"/>
      <c r="NK112" s="470"/>
      <c r="NL112" s="470"/>
      <c r="NM112" s="470"/>
      <c r="NN112" s="470"/>
      <c r="NO112" s="470"/>
      <c r="NP112" s="470"/>
      <c r="NQ112" s="470"/>
      <c r="NR112" s="470"/>
      <c r="NS112" s="470"/>
      <c r="NT112" s="470"/>
      <c r="NU112" s="470"/>
      <c r="NV112" s="470"/>
      <c r="NW112" s="470"/>
      <c r="NX112" s="470"/>
      <c r="NY112" s="470"/>
      <c r="NZ112" s="470"/>
      <c r="OA112" s="470"/>
      <c r="OB112" s="470"/>
      <c r="OC112" s="470"/>
      <c r="OD112" s="470"/>
      <c r="OE112" s="470"/>
      <c r="OF112" s="470"/>
      <c r="OG112" s="470"/>
      <c r="OH112" s="470"/>
      <c r="OI112" s="470"/>
      <c r="OJ112" s="470"/>
      <c r="OK112" s="470"/>
      <c r="OL112" s="470"/>
      <c r="OM112" s="470"/>
      <c r="ON112" s="470"/>
      <c r="OO112" s="470"/>
      <c r="OP112" s="470"/>
      <c r="OQ112" s="470"/>
      <c r="OR112" s="470"/>
      <c r="OS112" s="470"/>
      <c r="OT112" s="470"/>
      <c r="OU112" s="470"/>
      <c r="OV112" s="470"/>
      <c r="OW112" s="470"/>
      <c r="OX112" s="470"/>
      <c r="OY112" s="470"/>
      <c r="OZ112" s="470"/>
      <c r="PA112" s="470"/>
      <c r="PB112" s="470"/>
      <c r="PC112" s="470"/>
      <c r="PD112" s="470"/>
      <c r="PE112" s="470"/>
      <c r="PF112" s="470"/>
      <c r="PG112" s="470"/>
      <c r="PH112" s="470"/>
    </row>
    <row r="113">
      <c r="B113" s="92" t="str">
        <f t="shared" si="780"/>
        <v>Secure (Preferred)</v>
      </c>
      <c r="C113" s="473" t="s">
        <v>270</v>
      </c>
      <c r="D113" s="279" t="s">
        <v>271</v>
      </c>
      <c r="E113" s="46">
        <f t="shared" si="781"/>
        <v>31</v>
      </c>
      <c r="F113" s="54">
        <v>1</v>
      </c>
      <c r="G113" s="255">
        <f t="shared" si="782"/>
        <v>0.24900762816811339</v>
      </c>
      <c r="H113" s="149">
        <f t="shared" si="783"/>
        <v>41.989256626985465</v>
      </c>
      <c r="I113" s="449">
        <f t="shared" si="784"/>
        <v>818806.46014373493</v>
      </c>
      <c r="K113" s="76"/>
      <c r="L113" s="76"/>
      <c r="M113" s="421">
        <f t="shared" si="785"/>
        <v>0</v>
      </c>
      <c r="N113" s="421">
        <f t="shared" si="785"/>
        <v>0</v>
      </c>
      <c r="O113" s="421">
        <f t="shared" si="785"/>
        <v>0</v>
      </c>
      <c r="P113" s="421">
        <f t="shared" si="785"/>
        <v>0</v>
      </c>
      <c r="Q113" s="421">
        <f t="shared" si="785"/>
        <v>0</v>
      </c>
      <c r="R113" s="421">
        <f t="shared" si="785"/>
        <v>0</v>
      </c>
      <c r="S113" s="421">
        <f t="shared" si="785"/>
        <v>0</v>
      </c>
      <c r="T113" s="421">
        <f t="shared" si="785"/>
        <v>0</v>
      </c>
      <c r="U113" s="421">
        <f t="shared" si="785"/>
        <v>0</v>
      </c>
      <c r="V113" s="421">
        <f t="shared" si="785"/>
        <v>0</v>
      </c>
      <c r="W113" s="421">
        <f t="shared" si="786"/>
        <v>0</v>
      </c>
      <c r="X113" s="421">
        <f t="shared" si="786"/>
        <v>0</v>
      </c>
      <c r="Y113" s="421">
        <f t="shared" si="786"/>
        <v>0</v>
      </c>
      <c r="Z113" s="421">
        <f t="shared" si="786"/>
        <v>0</v>
      </c>
      <c r="AA113" s="421">
        <f t="shared" si="786"/>
        <v>0</v>
      </c>
      <c r="AB113" s="421">
        <f t="shared" si="786"/>
        <v>0</v>
      </c>
      <c r="AC113" s="421">
        <f t="shared" si="786"/>
        <v>0</v>
      </c>
      <c r="AD113" s="421">
        <f t="shared" si="786"/>
        <v>0</v>
      </c>
      <c r="AE113" s="421">
        <f t="shared" si="786"/>
        <v>0</v>
      </c>
      <c r="AF113" s="421">
        <f t="shared" si="786"/>
        <v>0</v>
      </c>
      <c r="AG113" s="421">
        <f t="shared" si="787"/>
        <v>0</v>
      </c>
      <c r="AH113" s="421">
        <f t="shared" si="787"/>
        <v>0</v>
      </c>
      <c r="AI113" s="421">
        <f t="shared" si="787"/>
        <v>0</v>
      </c>
      <c r="AJ113" s="421">
        <f t="shared" si="787"/>
        <v>0</v>
      </c>
      <c r="AK113" s="421">
        <f t="shared" si="787"/>
        <v>0</v>
      </c>
      <c r="AL113" s="421">
        <f t="shared" si="787"/>
        <v>0</v>
      </c>
      <c r="AM113" s="421">
        <f t="shared" si="787"/>
        <v>0</v>
      </c>
      <c r="AN113" s="421">
        <f t="shared" si="787"/>
        <v>0</v>
      </c>
      <c r="AO113" s="421">
        <f t="shared" si="787"/>
        <v>0</v>
      </c>
      <c r="AP113" s="421">
        <f t="shared" si="787"/>
        <v>0</v>
      </c>
      <c r="AQ113" s="421">
        <f t="shared" si="788"/>
        <v>68233.871678644573</v>
      </c>
      <c r="AR113" s="421">
        <f t="shared" si="788"/>
        <v>68233.871678644573</v>
      </c>
      <c r="AS113" s="421">
        <f t="shared" si="788"/>
        <v>68233.871678644573</v>
      </c>
      <c r="AT113" s="421">
        <f t="shared" si="788"/>
        <v>68233.871678644573</v>
      </c>
      <c r="AU113" s="421">
        <f t="shared" si="788"/>
        <v>68233.871678644573</v>
      </c>
      <c r="AV113" s="421">
        <f t="shared" si="788"/>
        <v>68233.871678644573</v>
      </c>
      <c r="AW113" s="421">
        <f t="shared" si="788"/>
        <v>68233.871678644573</v>
      </c>
      <c r="AX113" s="421">
        <f t="shared" si="788"/>
        <v>68233.871678644573</v>
      </c>
      <c r="AY113" s="421">
        <f t="shared" si="788"/>
        <v>68233.871678644573</v>
      </c>
      <c r="AZ113" s="421">
        <f t="shared" si="788"/>
        <v>68233.871678644573</v>
      </c>
      <c r="BA113" s="421">
        <f t="shared" si="789"/>
        <v>68233.871678644573</v>
      </c>
      <c r="BB113" s="421">
        <f t="shared" si="789"/>
        <v>68233.871678644573</v>
      </c>
      <c r="BC113" s="421">
        <f t="shared" si="789"/>
        <v>69734.851379358835</v>
      </c>
      <c r="BD113" s="421">
        <f t="shared" si="789"/>
        <v>69734.851379358835</v>
      </c>
      <c r="BE113" s="421">
        <f t="shared" si="789"/>
        <v>69734.851379358835</v>
      </c>
      <c r="BF113" s="421">
        <f t="shared" si="789"/>
        <v>69734.851379358835</v>
      </c>
      <c r="BG113" s="421">
        <f t="shared" si="789"/>
        <v>69734.851379358835</v>
      </c>
      <c r="BH113" s="421">
        <f t="shared" si="789"/>
        <v>69734.851379358835</v>
      </c>
      <c r="BI113" s="421">
        <f t="shared" si="789"/>
        <v>69734.851379358835</v>
      </c>
      <c r="BJ113" s="421">
        <f t="shared" si="789"/>
        <v>69734.851379358835</v>
      </c>
      <c r="BK113" s="421">
        <f t="shared" si="790"/>
        <v>69734.851379358835</v>
      </c>
      <c r="BL113" s="421">
        <f t="shared" si="790"/>
        <v>69734.851379358835</v>
      </c>
      <c r="BM113" s="421">
        <f t="shared" si="790"/>
        <v>69734.851379358835</v>
      </c>
      <c r="BN113" s="421">
        <f t="shared" si="790"/>
        <v>69734.851379358835</v>
      </c>
      <c r="BO113" s="421">
        <f t="shared" si="790"/>
        <v>71101.948579610224</v>
      </c>
      <c r="BP113" s="421">
        <f t="shared" si="790"/>
        <v>71101.948579610224</v>
      </c>
      <c r="BQ113" s="421">
        <f t="shared" si="790"/>
        <v>71101.948579610224</v>
      </c>
      <c r="BR113" s="421">
        <f t="shared" si="790"/>
        <v>71101.948579610224</v>
      </c>
      <c r="BS113" s="421">
        <f t="shared" si="790"/>
        <v>71101.948579610224</v>
      </c>
      <c r="BT113" s="421">
        <f t="shared" si="790"/>
        <v>71101.948579610224</v>
      </c>
      <c r="BU113" s="421">
        <f t="shared" si="791"/>
        <v>71101.948579610224</v>
      </c>
      <c r="BV113" s="421">
        <f t="shared" si="791"/>
        <v>71101.948579610224</v>
      </c>
      <c r="BW113" s="421">
        <f t="shared" si="791"/>
        <v>71101.948579610224</v>
      </c>
      <c r="BX113" s="421">
        <f t="shared" si="791"/>
        <v>71101.948579610224</v>
      </c>
      <c r="BY113" s="421">
        <f t="shared" si="791"/>
        <v>71101.948579610224</v>
      </c>
      <c r="BZ113" s="421">
        <f t="shared" si="791"/>
        <v>71101.948579610224</v>
      </c>
      <c r="CA113" s="421">
        <f t="shared" si="791"/>
        <v>72488.724869939397</v>
      </c>
      <c r="CB113" s="421">
        <f t="shared" si="791"/>
        <v>72488.724869939397</v>
      </c>
      <c r="CC113" s="421">
        <f t="shared" si="791"/>
        <v>72488.724869939397</v>
      </c>
      <c r="CD113" s="421">
        <f t="shared" si="791"/>
        <v>72488.724869939397</v>
      </c>
      <c r="CE113" s="421">
        <f t="shared" si="792"/>
        <v>72488.724869939397</v>
      </c>
      <c r="CF113" s="421">
        <f t="shared" si="792"/>
        <v>72488.724869939397</v>
      </c>
      <c r="CG113" s="421">
        <f t="shared" si="792"/>
        <v>72488.724869939397</v>
      </c>
      <c r="CH113" s="421">
        <f t="shared" si="792"/>
        <v>72488.724869939397</v>
      </c>
      <c r="CI113" s="421">
        <f t="shared" si="792"/>
        <v>72488.724869939397</v>
      </c>
      <c r="CJ113" s="421">
        <f t="shared" si="792"/>
        <v>72488.724869939397</v>
      </c>
      <c r="CK113" s="421">
        <f t="shared" si="792"/>
        <v>72488.724869939397</v>
      </c>
      <c r="CL113" s="421">
        <f t="shared" si="792"/>
        <v>72488.724869939397</v>
      </c>
      <c r="CM113" s="421">
        <f t="shared" si="792"/>
        <v>71690.426912203868</v>
      </c>
      <c r="CN113" s="421">
        <f t="shared" si="792"/>
        <v>71690.426912203868</v>
      </c>
      <c r="CO113" s="421">
        <f t="shared" si="793"/>
        <v>71690.426912203868</v>
      </c>
      <c r="CP113" s="421">
        <f t="shared" si="793"/>
        <v>71690.426912203868</v>
      </c>
      <c r="CQ113" s="421">
        <f t="shared" si="793"/>
        <v>71690.426912203868</v>
      </c>
      <c r="CR113" s="421">
        <f t="shared" si="793"/>
        <v>71690.426912203868</v>
      </c>
      <c r="CS113" s="421">
        <f t="shared" si="793"/>
        <v>71690.426912203868</v>
      </c>
      <c r="CT113" s="421">
        <f t="shared" si="793"/>
        <v>71690.426912203868</v>
      </c>
      <c r="CU113" s="421">
        <f t="shared" si="793"/>
        <v>71690.426912203868</v>
      </c>
      <c r="CV113" s="421">
        <f t="shared" si="793"/>
        <v>71690.426912203868</v>
      </c>
      <c r="CW113" s="421">
        <f t="shared" si="793"/>
        <v>71690.426912203868</v>
      </c>
      <c r="CX113" s="421">
        <f t="shared" si="793"/>
        <v>71690.426912203868</v>
      </c>
      <c r="CY113" s="421">
        <f t="shared" si="794"/>
        <v>73133.547576038036</v>
      </c>
      <c r="CZ113" s="421">
        <f t="shared" si="794"/>
        <v>73133.547576038036</v>
      </c>
      <c r="DA113" s="421">
        <f t="shared" si="794"/>
        <v>73133.547576038036</v>
      </c>
      <c r="DB113" s="421">
        <f t="shared" si="794"/>
        <v>73133.547576038036</v>
      </c>
      <c r="DC113" s="421">
        <f t="shared" si="794"/>
        <v>73133.547576038036</v>
      </c>
      <c r="DD113" s="421">
        <f t="shared" si="794"/>
        <v>73133.547576038036</v>
      </c>
      <c r="DE113" s="421">
        <f t="shared" si="794"/>
        <v>73133.547576038036</v>
      </c>
      <c r="DF113" s="421">
        <f t="shared" si="794"/>
        <v>73133.547576038036</v>
      </c>
      <c r="DG113" s="421">
        <f t="shared" si="794"/>
        <v>73133.547576038036</v>
      </c>
      <c r="DH113" s="421">
        <f t="shared" si="794"/>
        <v>73133.547576038036</v>
      </c>
      <c r="DI113" s="421">
        <f t="shared" si="795"/>
        <v>73133.547576038036</v>
      </c>
      <c r="DJ113" s="421">
        <f t="shared" si="795"/>
        <v>73133.547576038036</v>
      </c>
      <c r="DK113" s="421">
        <f t="shared" si="795"/>
        <v>74627.503163694782</v>
      </c>
      <c r="DL113" s="421">
        <f t="shared" si="795"/>
        <v>74627.503163694782</v>
      </c>
      <c r="DM113" s="421">
        <f t="shared" si="795"/>
        <v>74627.503163694782</v>
      </c>
      <c r="DN113" s="421">
        <f t="shared" si="795"/>
        <v>74627.503163694782</v>
      </c>
      <c r="DO113" s="421">
        <f t="shared" si="795"/>
        <v>74627.503163694782</v>
      </c>
      <c r="DP113" s="421">
        <f t="shared" si="795"/>
        <v>74627.503163694782</v>
      </c>
      <c r="DQ113" s="421">
        <f t="shared" si="795"/>
        <v>74627.503163694782</v>
      </c>
      <c r="DR113" s="421">
        <f t="shared" si="795"/>
        <v>74627.503163694782</v>
      </c>
      <c r="DS113" s="421">
        <f t="shared" si="796"/>
        <v>74627.503163694782</v>
      </c>
      <c r="DT113" s="421">
        <f t="shared" si="796"/>
        <v>74627.503163694782</v>
      </c>
      <c r="DU113" s="421">
        <f t="shared" si="796"/>
        <v>74627.503163694782</v>
      </c>
      <c r="DV113" s="421">
        <f t="shared" si="796"/>
        <v>74627.503163694782</v>
      </c>
      <c r="DW113" s="421">
        <f t="shared" si="796"/>
        <v>76174.518855573056</v>
      </c>
      <c r="DX113" s="421">
        <f t="shared" si="796"/>
        <v>76174.518855573056</v>
      </c>
      <c r="DY113" s="421">
        <f t="shared" si="796"/>
        <v>76174.518855573056</v>
      </c>
      <c r="DZ113" s="421">
        <f t="shared" si="796"/>
        <v>76174.518855573056</v>
      </c>
      <c r="EA113" s="421">
        <f t="shared" si="796"/>
        <v>76174.518855573056</v>
      </c>
      <c r="EB113" s="421">
        <f t="shared" si="796"/>
        <v>76174.518855573056</v>
      </c>
      <c r="EC113" s="421">
        <f t="shared" si="797"/>
        <v>76174.518855573056</v>
      </c>
      <c r="ED113" s="421">
        <f t="shared" si="797"/>
        <v>76174.518855573056</v>
      </c>
      <c r="EE113" s="421">
        <f t="shared" si="797"/>
        <v>76174.518855573056</v>
      </c>
      <c r="EF113" s="421">
        <f t="shared" si="797"/>
        <v>76174.518855573056</v>
      </c>
      <c r="EG113" s="421">
        <f t="shared" si="797"/>
        <v>76174.518855573056</v>
      </c>
      <c r="EH113" s="421">
        <f t="shared" si="797"/>
        <v>76174.518855573056</v>
      </c>
      <c r="EI113" s="421">
        <f t="shared" si="797"/>
        <v>77775.925022613694</v>
      </c>
      <c r="EJ113" s="421">
        <f t="shared" si="797"/>
        <v>77775.925022613694</v>
      </c>
      <c r="EK113" s="421">
        <f t="shared" si="797"/>
        <v>77775.925022613694</v>
      </c>
      <c r="EL113" s="421">
        <f t="shared" si="797"/>
        <v>77775.925022613694</v>
      </c>
      <c r="EM113" s="421">
        <f t="shared" si="797"/>
        <v>77775.925022613694</v>
      </c>
      <c r="EN113" s="421">
        <f t="shared" si="797"/>
        <v>77775.925022613694</v>
      </c>
      <c r="EO113" s="209"/>
      <c r="EP113" s="468"/>
      <c r="EQ113" s="469"/>
      <c r="ER113" s="469"/>
      <c r="ES113" s="469"/>
      <c r="ET113" s="469"/>
      <c r="EU113" s="469"/>
      <c r="EV113" s="469"/>
      <c r="EW113" s="469"/>
      <c r="EX113" s="469"/>
      <c r="EY113" s="469"/>
      <c r="EZ113" s="469"/>
      <c r="FA113" s="469"/>
      <c r="FB113" s="469"/>
      <c r="FC113" s="469"/>
      <c r="FD113" s="469"/>
      <c r="FE113" s="469"/>
      <c r="FF113" s="469"/>
      <c r="FG113" s="469"/>
      <c r="FH113" s="469"/>
      <c r="FI113" s="469"/>
      <c r="FJ113" s="469"/>
      <c r="FK113" s="469"/>
      <c r="FL113" s="469"/>
      <c r="FM113" s="469"/>
      <c r="FN113" s="469"/>
      <c r="FO113" s="469"/>
      <c r="FP113" s="469"/>
      <c r="FQ113" s="469"/>
      <c r="FR113" s="469"/>
      <c r="FS113" s="469"/>
      <c r="FT113" s="469"/>
      <c r="FU113" s="469"/>
      <c r="FV113" s="469"/>
      <c r="FW113" s="469"/>
      <c r="FX113" s="469"/>
      <c r="FY113" s="469"/>
      <c r="FZ113" s="469"/>
      <c r="GA113" s="469"/>
      <c r="GB113" s="469"/>
      <c r="GC113" s="469"/>
      <c r="GD113" s="469"/>
      <c r="GE113" s="469"/>
      <c r="GF113" s="469"/>
      <c r="GG113" s="469"/>
      <c r="GH113" s="469"/>
      <c r="GI113" s="469"/>
      <c r="GJ113" s="469"/>
      <c r="GK113" s="469"/>
      <c r="GL113" s="469"/>
      <c r="GM113" s="469"/>
      <c r="GN113" s="469"/>
      <c r="GO113" s="469"/>
      <c r="GP113" s="469"/>
      <c r="GQ113" s="469"/>
      <c r="GR113" s="469"/>
      <c r="GS113" s="469"/>
      <c r="GT113" s="469"/>
      <c r="GU113" s="469"/>
      <c r="GV113" s="469"/>
      <c r="GW113" s="469"/>
      <c r="GX113" s="469"/>
      <c r="GY113" s="469"/>
      <c r="GZ113" s="469"/>
      <c r="HA113" s="469"/>
      <c r="HB113" s="469"/>
      <c r="HC113" s="469"/>
      <c r="HD113" s="469"/>
      <c r="HE113" s="469"/>
      <c r="HF113" s="469"/>
      <c r="HG113" s="469"/>
      <c r="HH113" s="469"/>
      <c r="HI113" s="469"/>
      <c r="HJ113" s="469"/>
      <c r="HK113" s="469"/>
      <c r="HL113" s="469"/>
      <c r="HM113" s="469"/>
      <c r="HN113" s="469"/>
      <c r="HO113" s="469"/>
      <c r="HP113" s="469"/>
      <c r="HQ113" s="469"/>
      <c r="HR113" s="469"/>
      <c r="HS113" s="469"/>
      <c r="HT113" s="469"/>
      <c r="HU113" s="469"/>
      <c r="HV113" s="469"/>
      <c r="HW113" s="469"/>
      <c r="HX113" s="469"/>
      <c r="HY113" s="469"/>
      <c r="HZ113" s="469"/>
      <c r="IA113" s="469"/>
      <c r="IB113" s="469"/>
      <c r="IC113" s="469"/>
      <c r="ID113" s="469"/>
      <c r="IE113" s="469"/>
      <c r="IF113" s="469"/>
      <c r="IG113" s="469"/>
      <c r="IH113" s="469"/>
      <c r="II113" s="469"/>
      <c r="IJ113" s="469"/>
      <c r="IK113" s="469"/>
      <c r="IL113" s="469"/>
      <c r="IM113" s="469"/>
      <c r="IN113" s="469"/>
      <c r="IO113" s="469"/>
      <c r="IP113" s="469"/>
      <c r="IQ113" s="469"/>
      <c r="IR113" s="469"/>
      <c r="IS113" s="469"/>
      <c r="IT113" s="469"/>
      <c r="IU113" s="469"/>
      <c r="IV113" s="469"/>
      <c r="IW113" s="469"/>
      <c r="IX113" s="469"/>
      <c r="IY113" s="469"/>
      <c r="IZ113" s="469"/>
      <c r="JA113" s="469"/>
      <c r="JB113" s="469"/>
      <c r="JC113" s="469"/>
      <c r="JD113" s="469"/>
      <c r="JE113" s="469"/>
      <c r="JF113" s="469"/>
      <c r="JG113" s="469"/>
      <c r="JH113" s="469"/>
      <c r="JI113" s="469"/>
      <c r="JJ113" s="469"/>
      <c r="JK113" s="469"/>
      <c r="JL113" s="469"/>
      <c r="JM113" s="469"/>
      <c r="JN113" s="469"/>
      <c r="JO113" s="469"/>
      <c r="JP113" s="469"/>
      <c r="JQ113" s="469"/>
      <c r="JR113" s="469"/>
      <c r="JS113" s="469"/>
      <c r="JT113" s="469"/>
      <c r="JU113" s="469"/>
      <c r="JV113" s="469"/>
      <c r="JW113" s="469"/>
      <c r="JX113" s="20"/>
      <c r="JZ113" s="470"/>
      <c r="KA113" s="470"/>
      <c r="KB113" s="470"/>
      <c r="KC113" s="470"/>
      <c r="KD113" s="470"/>
      <c r="KE113" s="470"/>
      <c r="KF113" s="470"/>
      <c r="KG113" s="470"/>
      <c r="KH113" s="470"/>
      <c r="KI113" s="470"/>
      <c r="KJ113" s="470"/>
      <c r="KK113" s="470"/>
      <c r="KL113" s="470"/>
      <c r="KM113" s="470"/>
      <c r="KN113" s="470"/>
      <c r="KO113" s="470"/>
      <c r="KP113" s="470"/>
      <c r="KQ113" s="470"/>
      <c r="KR113" s="470"/>
      <c r="KS113" s="470"/>
      <c r="KT113" s="470"/>
      <c r="KU113" s="470"/>
      <c r="KV113" s="470"/>
      <c r="KW113" s="470"/>
      <c r="KX113" s="470"/>
      <c r="KY113" s="470"/>
      <c r="KZ113" s="470"/>
      <c r="LA113" s="470"/>
      <c r="LB113" s="470"/>
      <c r="LC113" s="470"/>
      <c r="LD113" s="470"/>
      <c r="LE113" s="470"/>
      <c r="LF113" s="470"/>
      <c r="LG113" s="470"/>
      <c r="LH113" s="470"/>
      <c r="LI113" s="470"/>
      <c r="LJ113" s="470"/>
      <c r="LK113" s="470"/>
      <c r="LL113" s="470"/>
      <c r="LM113" s="470"/>
      <c r="LN113" s="470"/>
      <c r="LO113" s="470"/>
      <c r="LP113" s="470"/>
      <c r="LQ113" s="470"/>
      <c r="LR113" s="470"/>
      <c r="LS113" s="470"/>
      <c r="LT113" s="470"/>
      <c r="LU113" s="470"/>
      <c r="LV113" s="470"/>
      <c r="LW113" s="470"/>
      <c r="LX113" s="470"/>
      <c r="LY113" s="470"/>
      <c r="LZ113" s="470"/>
      <c r="MA113" s="470"/>
      <c r="MB113" s="470"/>
      <c r="MC113" s="470"/>
      <c r="MD113" s="470"/>
      <c r="ME113" s="470"/>
      <c r="MF113" s="470"/>
      <c r="MG113" s="470"/>
      <c r="MH113" s="470"/>
      <c r="MI113" s="470"/>
      <c r="MJ113" s="470"/>
      <c r="MK113" s="470"/>
      <c r="ML113" s="470"/>
      <c r="MM113" s="470"/>
      <c r="MN113" s="470"/>
      <c r="MO113" s="470"/>
      <c r="MP113" s="470"/>
      <c r="MQ113" s="470"/>
      <c r="MR113" s="470"/>
      <c r="MS113" s="470"/>
      <c r="MT113" s="470"/>
      <c r="MU113" s="470"/>
      <c r="MV113" s="470"/>
      <c r="MW113" s="470"/>
      <c r="MX113" s="470"/>
      <c r="MY113" s="470"/>
      <c r="MZ113" s="470"/>
      <c r="NA113" s="470"/>
      <c r="NB113" s="470"/>
      <c r="NC113" s="470"/>
      <c r="ND113" s="470"/>
      <c r="NE113" s="470"/>
      <c r="NF113" s="470"/>
      <c r="NG113" s="470"/>
      <c r="NH113" s="470"/>
      <c r="NI113" s="470"/>
      <c r="NJ113" s="470"/>
      <c r="NK113" s="470"/>
      <c r="NL113" s="470"/>
      <c r="NM113" s="470"/>
      <c r="NN113" s="470"/>
      <c r="NO113" s="470"/>
      <c r="NP113" s="470"/>
      <c r="NQ113" s="470"/>
      <c r="NR113" s="470"/>
      <c r="NS113" s="470"/>
      <c r="NT113" s="470"/>
      <c r="NU113" s="470"/>
      <c r="NV113" s="470"/>
      <c r="NW113" s="470"/>
      <c r="NX113" s="470"/>
      <c r="NY113" s="470"/>
      <c r="NZ113" s="470"/>
      <c r="OA113" s="470"/>
      <c r="OB113" s="470"/>
      <c r="OC113" s="470"/>
      <c r="OD113" s="470"/>
      <c r="OE113" s="470"/>
      <c r="OF113" s="470"/>
      <c r="OG113" s="470"/>
      <c r="OH113" s="470"/>
      <c r="OI113" s="470"/>
      <c r="OJ113" s="470"/>
      <c r="OK113" s="470"/>
      <c r="OL113" s="470"/>
      <c r="OM113" s="470"/>
      <c r="ON113" s="470"/>
      <c r="OO113" s="470"/>
      <c r="OP113" s="470"/>
      <c r="OQ113" s="470"/>
      <c r="OR113" s="470"/>
      <c r="OS113" s="470"/>
      <c r="OT113" s="470"/>
      <c r="OU113" s="470"/>
      <c r="OV113" s="470"/>
      <c r="OW113" s="470"/>
      <c r="OX113" s="470"/>
      <c r="OY113" s="470"/>
      <c r="OZ113" s="470"/>
      <c r="PA113" s="470"/>
      <c r="PB113" s="470"/>
      <c r="PC113" s="470"/>
      <c r="PD113" s="470"/>
      <c r="PE113" s="470"/>
      <c r="PF113" s="470"/>
      <c r="PG113" s="470"/>
      <c r="PH113" s="470"/>
    </row>
    <row r="114">
      <c r="B114" s="92" t="str">
        <f t="shared" si="780"/>
        <v>Snowtunnel</v>
      </c>
      <c r="C114" s="473" t="s">
        <v>270</v>
      </c>
      <c r="D114" s="279" t="s">
        <v>271</v>
      </c>
      <c r="E114" s="46">
        <f t="shared" si="781"/>
        <v>31</v>
      </c>
      <c r="F114" s="54">
        <v>1</v>
      </c>
      <c r="G114" s="255">
        <f t="shared" si="782"/>
        <v>4.8523617849438365E-2</v>
      </c>
      <c r="H114" s="149">
        <f t="shared" si="783"/>
        <v>41.989256626985473</v>
      </c>
      <c r="I114" s="449">
        <f t="shared" si="784"/>
        <v>159559.1751825448</v>
      </c>
      <c r="K114" s="76"/>
      <c r="L114" s="76"/>
      <c r="M114" s="421">
        <f t="shared" si="785"/>
        <v>0</v>
      </c>
      <c r="N114" s="421">
        <f t="shared" si="785"/>
        <v>0</v>
      </c>
      <c r="O114" s="421">
        <f t="shared" si="785"/>
        <v>0</v>
      </c>
      <c r="P114" s="421">
        <f t="shared" si="785"/>
        <v>0</v>
      </c>
      <c r="Q114" s="421">
        <f t="shared" si="785"/>
        <v>0</v>
      </c>
      <c r="R114" s="421">
        <f t="shared" si="785"/>
        <v>0</v>
      </c>
      <c r="S114" s="421">
        <f t="shared" si="785"/>
        <v>0</v>
      </c>
      <c r="T114" s="421">
        <f t="shared" si="785"/>
        <v>0</v>
      </c>
      <c r="U114" s="421">
        <f t="shared" si="785"/>
        <v>0</v>
      </c>
      <c r="V114" s="421">
        <f t="shared" si="785"/>
        <v>0</v>
      </c>
      <c r="W114" s="421">
        <f t="shared" si="786"/>
        <v>0</v>
      </c>
      <c r="X114" s="421">
        <f t="shared" si="786"/>
        <v>0</v>
      </c>
      <c r="Y114" s="421">
        <f t="shared" si="786"/>
        <v>0</v>
      </c>
      <c r="Z114" s="421">
        <f t="shared" si="786"/>
        <v>0</v>
      </c>
      <c r="AA114" s="421">
        <f t="shared" si="786"/>
        <v>0</v>
      </c>
      <c r="AB114" s="421">
        <f t="shared" si="786"/>
        <v>0</v>
      </c>
      <c r="AC114" s="421">
        <f t="shared" si="786"/>
        <v>0</v>
      </c>
      <c r="AD114" s="421">
        <f t="shared" si="786"/>
        <v>0</v>
      </c>
      <c r="AE114" s="421">
        <f t="shared" si="786"/>
        <v>0</v>
      </c>
      <c r="AF114" s="421">
        <f t="shared" si="786"/>
        <v>0</v>
      </c>
      <c r="AG114" s="421">
        <f t="shared" si="787"/>
        <v>0</v>
      </c>
      <c r="AH114" s="421">
        <f t="shared" si="787"/>
        <v>0</v>
      </c>
      <c r="AI114" s="421">
        <f t="shared" si="787"/>
        <v>0</v>
      </c>
      <c r="AJ114" s="421">
        <f t="shared" si="787"/>
        <v>0</v>
      </c>
      <c r="AK114" s="421">
        <f t="shared" si="787"/>
        <v>0</v>
      </c>
      <c r="AL114" s="421">
        <f t="shared" si="787"/>
        <v>0</v>
      </c>
      <c r="AM114" s="421">
        <f t="shared" si="787"/>
        <v>0</v>
      </c>
      <c r="AN114" s="421">
        <f t="shared" si="787"/>
        <v>0</v>
      </c>
      <c r="AO114" s="421">
        <f t="shared" si="787"/>
        <v>0</v>
      </c>
      <c r="AP114" s="421">
        <f t="shared" si="787"/>
        <v>0</v>
      </c>
      <c r="AQ114" s="421">
        <f t="shared" si="788"/>
        <v>13296.597931878732</v>
      </c>
      <c r="AR114" s="421">
        <f t="shared" si="788"/>
        <v>13296.597931878732</v>
      </c>
      <c r="AS114" s="421">
        <f t="shared" si="788"/>
        <v>13296.597931878732</v>
      </c>
      <c r="AT114" s="421">
        <f t="shared" si="788"/>
        <v>13296.597931878732</v>
      </c>
      <c r="AU114" s="421">
        <f t="shared" si="788"/>
        <v>13296.597931878732</v>
      </c>
      <c r="AV114" s="421">
        <f t="shared" si="788"/>
        <v>13296.597931878732</v>
      </c>
      <c r="AW114" s="421">
        <f t="shared" si="788"/>
        <v>13296.597931878732</v>
      </c>
      <c r="AX114" s="421">
        <f t="shared" si="788"/>
        <v>13296.597931878732</v>
      </c>
      <c r="AY114" s="421">
        <f t="shared" si="788"/>
        <v>13296.597931878732</v>
      </c>
      <c r="AZ114" s="421">
        <f t="shared" si="788"/>
        <v>13296.597931878732</v>
      </c>
      <c r="BA114" s="421">
        <f t="shared" si="789"/>
        <v>13296.597931878732</v>
      </c>
      <c r="BB114" s="421">
        <f t="shared" si="789"/>
        <v>13296.597931878732</v>
      </c>
      <c r="BC114" s="421">
        <f t="shared" si="789"/>
        <v>13589.090840361243</v>
      </c>
      <c r="BD114" s="421">
        <f t="shared" si="789"/>
        <v>13589.090840361243</v>
      </c>
      <c r="BE114" s="421">
        <f t="shared" si="789"/>
        <v>13589.090840361243</v>
      </c>
      <c r="BF114" s="421">
        <f t="shared" si="789"/>
        <v>13589.090840361243</v>
      </c>
      <c r="BG114" s="421">
        <f t="shared" si="789"/>
        <v>13589.090840361243</v>
      </c>
      <c r="BH114" s="421">
        <f t="shared" si="789"/>
        <v>13589.090840361243</v>
      </c>
      <c r="BI114" s="421">
        <f t="shared" si="789"/>
        <v>13589.090840361243</v>
      </c>
      <c r="BJ114" s="421">
        <f t="shared" si="789"/>
        <v>13589.090840361243</v>
      </c>
      <c r="BK114" s="421">
        <f t="shared" si="790"/>
        <v>13589.090840361243</v>
      </c>
      <c r="BL114" s="421">
        <f t="shared" si="790"/>
        <v>13589.090840361243</v>
      </c>
      <c r="BM114" s="421">
        <f t="shared" si="790"/>
        <v>13589.090840361243</v>
      </c>
      <c r="BN114" s="421">
        <f t="shared" si="790"/>
        <v>13589.090840361243</v>
      </c>
      <c r="BO114" s="421">
        <f t="shared" si="790"/>
        <v>13855.494334085737</v>
      </c>
      <c r="BP114" s="421">
        <f t="shared" si="790"/>
        <v>13855.494334085737</v>
      </c>
      <c r="BQ114" s="421">
        <f t="shared" si="790"/>
        <v>13855.494334085737</v>
      </c>
      <c r="BR114" s="421">
        <f t="shared" si="790"/>
        <v>13855.494334085737</v>
      </c>
      <c r="BS114" s="421">
        <f t="shared" si="790"/>
        <v>13855.494334085737</v>
      </c>
      <c r="BT114" s="421">
        <f t="shared" si="790"/>
        <v>13855.494334085737</v>
      </c>
      <c r="BU114" s="421">
        <f t="shared" si="791"/>
        <v>13855.494334085737</v>
      </c>
      <c r="BV114" s="421">
        <f t="shared" si="791"/>
        <v>13855.494334085737</v>
      </c>
      <c r="BW114" s="421">
        <f t="shared" si="791"/>
        <v>13855.494334085737</v>
      </c>
      <c r="BX114" s="421">
        <f t="shared" si="791"/>
        <v>13855.494334085737</v>
      </c>
      <c r="BY114" s="421">
        <f t="shared" si="791"/>
        <v>13855.494334085737</v>
      </c>
      <c r="BZ114" s="421">
        <f t="shared" si="791"/>
        <v>13855.494334085737</v>
      </c>
      <c r="CA114" s="421">
        <f t="shared" si="791"/>
        <v>14125.732652685214</v>
      </c>
      <c r="CB114" s="421">
        <f t="shared" si="791"/>
        <v>14125.732652685214</v>
      </c>
      <c r="CC114" s="421">
        <f t="shared" si="791"/>
        <v>14125.732652685214</v>
      </c>
      <c r="CD114" s="421">
        <f t="shared" si="791"/>
        <v>14125.732652685214</v>
      </c>
      <c r="CE114" s="421">
        <f t="shared" si="792"/>
        <v>14125.732652685214</v>
      </c>
      <c r="CF114" s="421">
        <f t="shared" si="792"/>
        <v>14125.732652685214</v>
      </c>
      <c r="CG114" s="421">
        <f t="shared" si="792"/>
        <v>14125.732652685214</v>
      </c>
      <c r="CH114" s="421">
        <f t="shared" si="792"/>
        <v>14125.732652685214</v>
      </c>
      <c r="CI114" s="421">
        <f t="shared" si="792"/>
        <v>14125.732652685214</v>
      </c>
      <c r="CJ114" s="421">
        <f t="shared" si="792"/>
        <v>14125.732652685214</v>
      </c>
      <c r="CK114" s="421">
        <f t="shared" si="792"/>
        <v>14125.732652685214</v>
      </c>
      <c r="CL114" s="421">
        <f t="shared" si="792"/>
        <v>14125.732652685214</v>
      </c>
      <c r="CM114" s="421">
        <f t="shared" si="792"/>
        <v>13970.169928297537</v>
      </c>
      <c r="CN114" s="421">
        <f t="shared" si="792"/>
        <v>13970.169928297537</v>
      </c>
      <c r="CO114" s="421">
        <f t="shared" si="793"/>
        <v>13970.169928297537</v>
      </c>
      <c r="CP114" s="421">
        <f t="shared" si="793"/>
        <v>13970.169928297537</v>
      </c>
      <c r="CQ114" s="421">
        <f t="shared" si="793"/>
        <v>13970.169928297537</v>
      </c>
      <c r="CR114" s="421">
        <f t="shared" si="793"/>
        <v>13970.169928297537</v>
      </c>
      <c r="CS114" s="421">
        <f t="shared" si="793"/>
        <v>13970.169928297537</v>
      </c>
      <c r="CT114" s="421">
        <f t="shared" si="793"/>
        <v>13970.169928297537</v>
      </c>
      <c r="CU114" s="421">
        <f t="shared" si="793"/>
        <v>13970.169928297537</v>
      </c>
      <c r="CV114" s="421">
        <f t="shared" si="793"/>
        <v>13970.169928297537</v>
      </c>
      <c r="CW114" s="421">
        <f t="shared" si="793"/>
        <v>13970.169928297537</v>
      </c>
      <c r="CX114" s="421">
        <f t="shared" si="793"/>
        <v>13970.169928297537</v>
      </c>
      <c r="CY114" s="421">
        <f t="shared" si="794"/>
        <v>14251.387962129174</v>
      </c>
      <c r="CZ114" s="421">
        <f t="shared" si="794"/>
        <v>14251.387962129174</v>
      </c>
      <c r="DA114" s="421">
        <f t="shared" si="794"/>
        <v>14251.387962129174</v>
      </c>
      <c r="DB114" s="421">
        <f t="shared" si="794"/>
        <v>14251.387962129174</v>
      </c>
      <c r="DC114" s="421">
        <f t="shared" si="794"/>
        <v>14251.387962129174</v>
      </c>
      <c r="DD114" s="421">
        <f t="shared" si="794"/>
        <v>14251.387962129174</v>
      </c>
      <c r="DE114" s="421">
        <f t="shared" si="794"/>
        <v>14251.387962129174</v>
      </c>
      <c r="DF114" s="421">
        <f t="shared" si="794"/>
        <v>14251.387962129174</v>
      </c>
      <c r="DG114" s="421">
        <f t="shared" si="794"/>
        <v>14251.387962129174</v>
      </c>
      <c r="DH114" s="421">
        <f t="shared" si="794"/>
        <v>14251.387962129174</v>
      </c>
      <c r="DI114" s="421">
        <f t="shared" si="795"/>
        <v>14251.387962129174</v>
      </c>
      <c r="DJ114" s="421">
        <f t="shared" si="795"/>
        <v>14251.387962129174</v>
      </c>
      <c r="DK114" s="421">
        <f t="shared" si="795"/>
        <v>14542.512095766348</v>
      </c>
      <c r="DL114" s="421">
        <f t="shared" si="795"/>
        <v>14542.512095766348</v>
      </c>
      <c r="DM114" s="421">
        <f t="shared" si="795"/>
        <v>14542.512095766348</v>
      </c>
      <c r="DN114" s="421">
        <f t="shared" si="795"/>
        <v>14542.512095766348</v>
      </c>
      <c r="DO114" s="421">
        <f t="shared" si="795"/>
        <v>14542.512095766348</v>
      </c>
      <c r="DP114" s="421">
        <f t="shared" si="795"/>
        <v>14542.512095766348</v>
      </c>
      <c r="DQ114" s="421">
        <f t="shared" si="795"/>
        <v>14542.512095766348</v>
      </c>
      <c r="DR114" s="421">
        <f t="shared" si="795"/>
        <v>14542.512095766348</v>
      </c>
      <c r="DS114" s="421">
        <f t="shared" si="796"/>
        <v>14542.512095766348</v>
      </c>
      <c r="DT114" s="421">
        <f t="shared" si="796"/>
        <v>14542.512095766348</v>
      </c>
      <c r="DU114" s="421">
        <f t="shared" si="796"/>
        <v>14542.512095766348</v>
      </c>
      <c r="DV114" s="421">
        <f t="shared" si="796"/>
        <v>14542.512095766348</v>
      </c>
      <c r="DW114" s="421">
        <f t="shared" si="796"/>
        <v>14843.975945657347</v>
      </c>
      <c r="DX114" s="421">
        <f t="shared" si="796"/>
        <v>14843.975945657347</v>
      </c>
      <c r="DY114" s="421">
        <f t="shared" si="796"/>
        <v>14843.975945657347</v>
      </c>
      <c r="DZ114" s="421">
        <f t="shared" si="796"/>
        <v>14843.975945657347</v>
      </c>
      <c r="EA114" s="421">
        <f t="shared" si="796"/>
        <v>14843.975945657347</v>
      </c>
      <c r="EB114" s="421">
        <f t="shared" si="796"/>
        <v>14843.975945657347</v>
      </c>
      <c r="EC114" s="421">
        <f t="shared" si="797"/>
        <v>14843.975945657347</v>
      </c>
      <c r="ED114" s="421">
        <f t="shared" si="797"/>
        <v>14843.975945657347</v>
      </c>
      <c r="EE114" s="421">
        <f t="shared" si="797"/>
        <v>14843.975945657347</v>
      </c>
      <c r="EF114" s="421">
        <f t="shared" si="797"/>
        <v>14843.975945657347</v>
      </c>
      <c r="EG114" s="421">
        <f t="shared" si="797"/>
        <v>14843.975945657347</v>
      </c>
      <c r="EH114" s="421">
        <f t="shared" si="797"/>
        <v>14843.975945657347</v>
      </c>
      <c r="EI114" s="421">
        <f t="shared" si="797"/>
        <v>15156.038758523273</v>
      </c>
      <c r="EJ114" s="421">
        <f t="shared" si="797"/>
        <v>15156.038758523273</v>
      </c>
      <c r="EK114" s="421">
        <f t="shared" si="797"/>
        <v>15156.038758523273</v>
      </c>
      <c r="EL114" s="421">
        <f t="shared" si="797"/>
        <v>15156.038758523273</v>
      </c>
      <c r="EM114" s="421">
        <f t="shared" si="797"/>
        <v>15156.038758523273</v>
      </c>
      <c r="EN114" s="421">
        <f t="shared" si="797"/>
        <v>15156.038758523273</v>
      </c>
      <c r="EO114" s="209"/>
      <c r="EP114" s="468"/>
      <c r="EQ114" s="469"/>
      <c r="ER114" s="469"/>
      <c r="ES114" s="469"/>
      <c r="ET114" s="469"/>
      <c r="EU114" s="469"/>
      <c r="EV114" s="469"/>
      <c r="EW114" s="469"/>
      <c r="EX114" s="469"/>
      <c r="EY114" s="469"/>
      <c r="EZ114" s="469"/>
      <c r="FA114" s="469"/>
      <c r="FB114" s="469"/>
      <c r="FC114" s="469"/>
      <c r="FD114" s="469"/>
      <c r="FE114" s="469"/>
      <c r="FF114" s="469"/>
      <c r="FG114" s="469"/>
      <c r="FH114" s="469"/>
      <c r="FI114" s="469"/>
      <c r="FJ114" s="469"/>
      <c r="FK114" s="469"/>
      <c r="FL114" s="469"/>
      <c r="FM114" s="469"/>
      <c r="FN114" s="469"/>
      <c r="FO114" s="469"/>
      <c r="FP114" s="469"/>
      <c r="FQ114" s="469"/>
      <c r="FR114" s="469"/>
      <c r="FS114" s="469"/>
      <c r="FT114" s="469"/>
      <c r="FU114" s="469"/>
      <c r="FV114" s="469"/>
      <c r="FW114" s="469"/>
      <c r="FX114" s="469"/>
      <c r="FY114" s="469"/>
      <c r="FZ114" s="469"/>
      <c r="GA114" s="469"/>
      <c r="GB114" s="469"/>
      <c r="GC114" s="469"/>
      <c r="GD114" s="469"/>
      <c r="GE114" s="469"/>
      <c r="GF114" s="469"/>
      <c r="GG114" s="469"/>
      <c r="GH114" s="469"/>
      <c r="GI114" s="469"/>
      <c r="GJ114" s="469"/>
      <c r="GK114" s="469"/>
      <c r="GL114" s="469"/>
      <c r="GM114" s="469"/>
      <c r="GN114" s="469"/>
      <c r="GO114" s="469"/>
      <c r="GP114" s="469"/>
      <c r="GQ114" s="469"/>
      <c r="GR114" s="469"/>
      <c r="GS114" s="469"/>
      <c r="GT114" s="469"/>
      <c r="GU114" s="469"/>
      <c r="GV114" s="469"/>
      <c r="GW114" s="469"/>
      <c r="GX114" s="469"/>
      <c r="GY114" s="469"/>
      <c r="GZ114" s="469"/>
      <c r="HA114" s="469"/>
      <c r="HB114" s="469"/>
      <c r="HC114" s="469"/>
      <c r="HD114" s="469"/>
      <c r="HE114" s="469"/>
      <c r="HF114" s="469"/>
      <c r="HG114" s="469"/>
      <c r="HH114" s="469"/>
      <c r="HI114" s="469"/>
      <c r="HJ114" s="469"/>
      <c r="HK114" s="469"/>
      <c r="HL114" s="469"/>
      <c r="HM114" s="469"/>
      <c r="HN114" s="469"/>
      <c r="HO114" s="469"/>
      <c r="HP114" s="469"/>
      <c r="HQ114" s="469"/>
      <c r="HR114" s="469"/>
      <c r="HS114" s="469"/>
      <c r="HT114" s="469"/>
      <c r="HU114" s="469"/>
      <c r="HV114" s="469"/>
      <c r="HW114" s="469"/>
      <c r="HX114" s="469"/>
      <c r="HY114" s="469"/>
      <c r="HZ114" s="469"/>
      <c r="IA114" s="469"/>
      <c r="IB114" s="469"/>
      <c r="IC114" s="469"/>
      <c r="ID114" s="469"/>
      <c r="IE114" s="469"/>
      <c r="IF114" s="469"/>
      <c r="IG114" s="469"/>
      <c r="IH114" s="469"/>
      <c r="II114" s="469"/>
      <c r="IJ114" s="469"/>
      <c r="IK114" s="469"/>
      <c r="IL114" s="469"/>
      <c r="IM114" s="469"/>
      <c r="IN114" s="469"/>
      <c r="IO114" s="469"/>
      <c r="IP114" s="469"/>
      <c r="IQ114" s="469"/>
      <c r="IR114" s="469"/>
      <c r="IS114" s="469"/>
      <c r="IT114" s="469"/>
      <c r="IU114" s="469"/>
      <c r="IV114" s="469"/>
      <c r="IW114" s="469"/>
      <c r="IX114" s="469"/>
      <c r="IY114" s="469"/>
      <c r="IZ114" s="469"/>
      <c r="JA114" s="469"/>
      <c r="JB114" s="469"/>
      <c r="JC114" s="469"/>
      <c r="JD114" s="469"/>
      <c r="JE114" s="469"/>
      <c r="JF114" s="469"/>
      <c r="JG114" s="469"/>
      <c r="JH114" s="469"/>
      <c r="JI114" s="469"/>
      <c r="JJ114" s="469"/>
      <c r="JK114" s="469"/>
      <c r="JL114" s="469"/>
      <c r="JM114" s="469"/>
      <c r="JN114" s="469"/>
      <c r="JO114" s="469"/>
      <c r="JP114" s="469"/>
      <c r="JQ114" s="469"/>
      <c r="JR114" s="469"/>
      <c r="JS114" s="469"/>
      <c r="JT114" s="469"/>
      <c r="JU114" s="469"/>
      <c r="JV114" s="469"/>
      <c r="JW114" s="469"/>
      <c r="JX114" s="20"/>
      <c r="JZ114" s="470"/>
      <c r="KA114" s="470"/>
      <c r="KB114" s="470"/>
      <c r="KC114" s="470"/>
      <c r="KD114" s="470"/>
      <c r="KE114" s="470"/>
      <c r="KF114" s="470"/>
      <c r="KG114" s="470"/>
      <c r="KH114" s="470"/>
      <c r="KI114" s="470"/>
      <c r="KJ114" s="470"/>
      <c r="KK114" s="470"/>
      <c r="KL114" s="470"/>
      <c r="KM114" s="470"/>
      <c r="KN114" s="470"/>
      <c r="KO114" s="470"/>
      <c r="KP114" s="470"/>
      <c r="KQ114" s="470"/>
      <c r="KR114" s="470"/>
      <c r="KS114" s="470"/>
      <c r="KT114" s="470"/>
      <c r="KU114" s="470"/>
      <c r="KV114" s="470"/>
      <c r="KW114" s="470"/>
      <c r="KX114" s="470"/>
      <c r="KY114" s="470"/>
      <c r="KZ114" s="470"/>
      <c r="LA114" s="470"/>
      <c r="LB114" s="470"/>
      <c r="LC114" s="470"/>
      <c r="LD114" s="470"/>
      <c r="LE114" s="470"/>
      <c r="LF114" s="470"/>
      <c r="LG114" s="470"/>
      <c r="LH114" s="470"/>
      <c r="LI114" s="470"/>
      <c r="LJ114" s="470"/>
      <c r="LK114" s="470"/>
      <c r="LL114" s="470"/>
      <c r="LM114" s="470"/>
      <c r="LN114" s="470"/>
      <c r="LO114" s="470"/>
      <c r="LP114" s="470"/>
      <c r="LQ114" s="470"/>
      <c r="LR114" s="470"/>
      <c r="LS114" s="470"/>
      <c r="LT114" s="470"/>
      <c r="LU114" s="470"/>
      <c r="LV114" s="470"/>
      <c r="LW114" s="470"/>
      <c r="LX114" s="470"/>
      <c r="LY114" s="470"/>
      <c r="LZ114" s="470"/>
      <c r="MA114" s="470"/>
      <c r="MB114" s="470"/>
      <c r="MC114" s="470"/>
      <c r="MD114" s="470"/>
      <c r="ME114" s="470"/>
      <c r="MF114" s="470"/>
      <c r="MG114" s="470"/>
      <c r="MH114" s="470"/>
      <c r="MI114" s="470"/>
      <c r="MJ114" s="470"/>
      <c r="MK114" s="470"/>
      <c r="ML114" s="470"/>
      <c r="MM114" s="470"/>
      <c r="MN114" s="470"/>
      <c r="MO114" s="470"/>
      <c r="MP114" s="470"/>
      <c r="MQ114" s="470"/>
      <c r="MR114" s="470"/>
      <c r="MS114" s="470"/>
      <c r="MT114" s="470"/>
      <c r="MU114" s="470"/>
      <c r="MV114" s="470"/>
      <c r="MW114" s="470"/>
      <c r="MX114" s="470"/>
      <c r="MY114" s="470"/>
      <c r="MZ114" s="470"/>
      <c r="NA114" s="470"/>
      <c r="NB114" s="470"/>
      <c r="NC114" s="470"/>
      <c r="ND114" s="470"/>
      <c r="NE114" s="470"/>
      <c r="NF114" s="470"/>
      <c r="NG114" s="470"/>
      <c r="NH114" s="470"/>
      <c r="NI114" s="470"/>
      <c r="NJ114" s="470"/>
      <c r="NK114" s="470"/>
      <c r="NL114" s="470"/>
      <c r="NM114" s="470"/>
      <c r="NN114" s="470"/>
      <c r="NO114" s="470"/>
      <c r="NP114" s="470"/>
      <c r="NQ114" s="470"/>
      <c r="NR114" s="470"/>
      <c r="NS114" s="470"/>
      <c r="NT114" s="470"/>
      <c r="NU114" s="470"/>
      <c r="NV114" s="470"/>
      <c r="NW114" s="470"/>
      <c r="NX114" s="470"/>
      <c r="NY114" s="470"/>
      <c r="NZ114" s="470"/>
      <c r="OA114" s="470"/>
      <c r="OB114" s="470"/>
      <c r="OC114" s="470"/>
      <c r="OD114" s="470"/>
      <c r="OE114" s="470"/>
      <c r="OF114" s="470"/>
      <c r="OG114" s="470"/>
      <c r="OH114" s="470"/>
      <c r="OI114" s="470"/>
      <c r="OJ114" s="470"/>
      <c r="OK114" s="470"/>
      <c r="OL114" s="470"/>
      <c r="OM114" s="470"/>
      <c r="ON114" s="470"/>
      <c r="OO114" s="470"/>
      <c r="OP114" s="470"/>
      <c r="OQ114" s="470"/>
      <c r="OR114" s="470"/>
      <c r="OS114" s="470"/>
      <c r="OT114" s="470"/>
      <c r="OU114" s="470"/>
      <c r="OV114" s="470"/>
      <c r="OW114" s="470"/>
      <c r="OX114" s="470"/>
      <c r="OY114" s="470"/>
      <c r="OZ114" s="470"/>
      <c r="PA114" s="470"/>
      <c r="PB114" s="470"/>
      <c r="PC114" s="470"/>
      <c r="PD114" s="470"/>
      <c r="PE114" s="470"/>
      <c r="PF114" s="470"/>
      <c r="PG114" s="470"/>
      <c r="PH114" s="470"/>
    </row>
    <row r="115">
      <c r="B115" s="92" t="str">
        <f t="shared" si="780"/>
        <v>Funtime Group</v>
      </c>
      <c r="C115" s="473" t="s">
        <v>270</v>
      </c>
      <c r="D115" s="279" t="s">
        <v>271</v>
      </c>
      <c r="E115" s="46">
        <f t="shared" si="781"/>
        <v>34</v>
      </c>
      <c r="F115" s="54">
        <v>1</v>
      </c>
      <c r="G115" s="255">
        <f t="shared" si="782"/>
        <v>2.5538746236546506E-2</v>
      </c>
      <c r="H115" s="149">
        <f t="shared" si="783"/>
        <v>41.989256626985473</v>
      </c>
      <c r="I115" s="449">
        <f t="shared" si="784"/>
        <v>83978.513253970945</v>
      </c>
      <c r="K115" s="76"/>
      <c r="L115" s="76"/>
      <c r="M115" s="421">
        <f t="shared" si="785"/>
        <v>0</v>
      </c>
      <c r="N115" s="421">
        <f t="shared" si="785"/>
        <v>0</v>
      </c>
      <c r="O115" s="421">
        <f t="shared" si="785"/>
        <v>0</v>
      </c>
      <c r="P115" s="421">
        <f t="shared" si="785"/>
        <v>0</v>
      </c>
      <c r="Q115" s="421">
        <f t="shared" si="785"/>
        <v>0</v>
      </c>
      <c r="R115" s="421">
        <f t="shared" si="785"/>
        <v>0</v>
      </c>
      <c r="S115" s="421">
        <f t="shared" si="785"/>
        <v>0</v>
      </c>
      <c r="T115" s="421">
        <f t="shared" si="785"/>
        <v>0</v>
      </c>
      <c r="U115" s="421">
        <f t="shared" si="785"/>
        <v>0</v>
      </c>
      <c r="V115" s="421">
        <f t="shared" si="785"/>
        <v>0</v>
      </c>
      <c r="W115" s="421">
        <f t="shared" si="786"/>
        <v>0</v>
      </c>
      <c r="X115" s="421">
        <f t="shared" si="786"/>
        <v>0</v>
      </c>
      <c r="Y115" s="421">
        <f t="shared" si="786"/>
        <v>0</v>
      </c>
      <c r="Z115" s="421">
        <f t="shared" si="786"/>
        <v>0</v>
      </c>
      <c r="AA115" s="421">
        <f t="shared" si="786"/>
        <v>0</v>
      </c>
      <c r="AB115" s="421">
        <f t="shared" si="786"/>
        <v>0</v>
      </c>
      <c r="AC115" s="421">
        <f t="shared" si="786"/>
        <v>0</v>
      </c>
      <c r="AD115" s="421">
        <f t="shared" si="786"/>
        <v>0</v>
      </c>
      <c r="AE115" s="421">
        <f t="shared" si="786"/>
        <v>0</v>
      </c>
      <c r="AF115" s="421">
        <f t="shared" si="786"/>
        <v>0</v>
      </c>
      <c r="AG115" s="421">
        <f t="shared" si="787"/>
        <v>0</v>
      </c>
      <c r="AH115" s="421">
        <f t="shared" si="787"/>
        <v>0</v>
      </c>
      <c r="AI115" s="421">
        <f t="shared" si="787"/>
        <v>0</v>
      </c>
      <c r="AJ115" s="421">
        <f t="shared" si="787"/>
        <v>0</v>
      </c>
      <c r="AK115" s="421">
        <f t="shared" si="787"/>
        <v>0</v>
      </c>
      <c r="AL115" s="421">
        <f t="shared" si="787"/>
        <v>0</v>
      </c>
      <c r="AM115" s="421">
        <f t="shared" si="787"/>
        <v>0</v>
      </c>
      <c r="AN115" s="421">
        <f t="shared" si="787"/>
        <v>0</v>
      </c>
      <c r="AO115" s="421">
        <f t="shared" si="787"/>
        <v>0</v>
      </c>
      <c r="AP115" s="421">
        <f t="shared" si="787"/>
        <v>0</v>
      </c>
      <c r="AQ115" s="421">
        <f t="shared" si="788"/>
        <v>0</v>
      </c>
      <c r="AR115" s="421">
        <f t="shared" si="788"/>
        <v>0</v>
      </c>
      <c r="AS115" s="421">
        <f t="shared" si="788"/>
        <v>0</v>
      </c>
      <c r="AT115" s="421">
        <f t="shared" si="788"/>
        <v>6998.2094378309112</v>
      </c>
      <c r="AU115" s="421">
        <f t="shared" si="788"/>
        <v>6998.2094378309112</v>
      </c>
      <c r="AV115" s="421">
        <f t="shared" si="788"/>
        <v>6998.2094378309112</v>
      </c>
      <c r="AW115" s="421">
        <f t="shared" si="788"/>
        <v>6998.2094378309112</v>
      </c>
      <c r="AX115" s="421">
        <f t="shared" si="788"/>
        <v>6998.2094378309112</v>
      </c>
      <c r="AY115" s="421">
        <f t="shared" si="788"/>
        <v>6998.2094378309112</v>
      </c>
      <c r="AZ115" s="421">
        <f t="shared" si="788"/>
        <v>6998.2094378309112</v>
      </c>
      <c r="BA115" s="421">
        <f t="shared" si="789"/>
        <v>6998.2094378309112</v>
      </c>
      <c r="BB115" s="421">
        <f t="shared" si="789"/>
        <v>6998.2094378309112</v>
      </c>
      <c r="BC115" s="421">
        <f t="shared" si="789"/>
        <v>7152.1530738743377</v>
      </c>
      <c r="BD115" s="421">
        <f t="shared" si="789"/>
        <v>7152.1530738743377</v>
      </c>
      <c r="BE115" s="421">
        <f t="shared" si="789"/>
        <v>7152.1530738743377</v>
      </c>
      <c r="BF115" s="421">
        <f t="shared" si="789"/>
        <v>7152.1530738743377</v>
      </c>
      <c r="BG115" s="421">
        <f t="shared" si="789"/>
        <v>7152.1530738743377</v>
      </c>
      <c r="BH115" s="421">
        <f t="shared" si="789"/>
        <v>7152.1530738743377</v>
      </c>
      <c r="BI115" s="421">
        <f t="shared" si="789"/>
        <v>7152.1530738743377</v>
      </c>
      <c r="BJ115" s="421">
        <f t="shared" si="789"/>
        <v>7152.1530738743377</v>
      </c>
      <c r="BK115" s="421">
        <f t="shared" si="790"/>
        <v>7152.1530738743377</v>
      </c>
      <c r="BL115" s="421">
        <f t="shared" si="790"/>
        <v>7152.1530738743377</v>
      </c>
      <c r="BM115" s="421">
        <f t="shared" si="790"/>
        <v>7152.1530738743377</v>
      </c>
      <c r="BN115" s="421">
        <f t="shared" si="790"/>
        <v>7152.1530738743377</v>
      </c>
      <c r="BO115" s="421">
        <f t="shared" si="790"/>
        <v>7292.3654389924932</v>
      </c>
      <c r="BP115" s="421">
        <f t="shared" si="790"/>
        <v>7292.3654389924932</v>
      </c>
      <c r="BQ115" s="421">
        <f t="shared" si="790"/>
        <v>7292.3654389924932</v>
      </c>
      <c r="BR115" s="421">
        <f t="shared" si="790"/>
        <v>7292.3654389924932</v>
      </c>
      <c r="BS115" s="421">
        <f t="shared" si="790"/>
        <v>7292.3654389924932</v>
      </c>
      <c r="BT115" s="421">
        <f t="shared" si="790"/>
        <v>7292.3654389924932</v>
      </c>
      <c r="BU115" s="421">
        <f t="shared" si="791"/>
        <v>7292.3654389924932</v>
      </c>
      <c r="BV115" s="421">
        <f t="shared" si="791"/>
        <v>7292.3654389924932</v>
      </c>
      <c r="BW115" s="421">
        <f t="shared" si="791"/>
        <v>7292.3654389924932</v>
      </c>
      <c r="BX115" s="421">
        <f t="shared" si="791"/>
        <v>7292.3654389924932</v>
      </c>
      <c r="BY115" s="421">
        <f t="shared" si="791"/>
        <v>7292.3654389924932</v>
      </c>
      <c r="BZ115" s="421">
        <f t="shared" si="791"/>
        <v>7292.3654389924932</v>
      </c>
      <c r="CA115" s="421">
        <f t="shared" si="791"/>
        <v>7434.5961329922166</v>
      </c>
      <c r="CB115" s="421">
        <f t="shared" si="791"/>
        <v>7434.5961329922166</v>
      </c>
      <c r="CC115" s="421">
        <f t="shared" si="791"/>
        <v>7434.5961329922166</v>
      </c>
      <c r="CD115" s="421">
        <f t="shared" si="791"/>
        <v>7434.5961329922166</v>
      </c>
      <c r="CE115" s="421">
        <f t="shared" si="792"/>
        <v>7434.5961329922166</v>
      </c>
      <c r="CF115" s="421">
        <f t="shared" si="792"/>
        <v>7434.5961329922166</v>
      </c>
      <c r="CG115" s="421">
        <f t="shared" si="792"/>
        <v>7434.5961329922166</v>
      </c>
      <c r="CH115" s="421">
        <f t="shared" si="792"/>
        <v>7434.5961329922166</v>
      </c>
      <c r="CI115" s="421">
        <f t="shared" si="792"/>
        <v>7434.5961329922166</v>
      </c>
      <c r="CJ115" s="421">
        <f t="shared" si="792"/>
        <v>7434.5961329922166</v>
      </c>
      <c r="CK115" s="421">
        <f t="shared" si="792"/>
        <v>7434.5961329922166</v>
      </c>
      <c r="CL115" s="421">
        <f t="shared" si="792"/>
        <v>7434.5961329922166</v>
      </c>
      <c r="CM115" s="421">
        <f t="shared" si="792"/>
        <v>7352.72101489344</v>
      </c>
      <c r="CN115" s="421">
        <f t="shared" si="792"/>
        <v>7352.72101489344</v>
      </c>
      <c r="CO115" s="421">
        <f t="shared" si="793"/>
        <v>7352.72101489344</v>
      </c>
      <c r="CP115" s="421">
        <f t="shared" si="793"/>
        <v>7352.72101489344</v>
      </c>
      <c r="CQ115" s="421">
        <f t="shared" si="793"/>
        <v>7352.72101489344</v>
      </c>
      <c r="CR115" s="421">
        <f t="shared" si="793"/>
        <v>7352.72101489344</v>
      </c>
      <c r="CS115" s="421">
        <f t="shared" si="793"/>
        <v>7352.72101489344</v>
      </c>
      <c r="CT115" s="421">
        <f t="shared" si="793"/>
        <v>7352.72101489344</v>
      </c>
      <c r="CU115" s="421">
        <f t="shared" si="793"/>
        <v>7352.72101489344</v>
      </c>
      <c r="CV115" s="421">
        <f t="shared" si="793"/>
        <v>7352.72101489344</v>
      </c>
      <c r="CW115" s="421">
        <f t="shared" si="793"/>
        <v>7352.72101489344</v>
      </c>
      <c r="CX115" s="421">
        <f t="shared" si="793"/>
        <v>7352.72101489344</v>
      </c>
      <c r="CY115" s="421">
        <f t="shared" si="794"/>
        <v>7500.7305063837757</v>
      </c>
      <c r="CZ115" s="421">
        <f t="shared" si="794"/>
        <v>7500.7305063837757</v>
      </c>
      <c r="DA115" s="421">
        <f t="shared" si="794"/>
        <v>7500.7305063837757</v>
      </c>
      <c r="DB115" s="421">
        <f t="shared" si="794"/>
        <v>7500.7305063837757</v>
      </c>
      <c r="DC115" s="421">
        <f t="shared" si="794"/>
        <v>7500.7305063837757</v>
      </c>
      <c r="DD115" s="421">
        <f t="shared" si="794"/>
        <v>7500.7305063837757</v>
      </c>
      <c r="DE115" s="421">
        <f t="shared" si="794"/>
        <v>7500.7305063837757</v>
      </c>
      <c r="DF115" s="421">
        <f t="shared" si="794"/>
        <v>7500.7305063837757</v>
      </c>
      <c r="DG115" s="421">
        <f t="shared" si="794"/>
        <v>7500.7305063837757</v>
      </c>
      <c r="DH115" s="421">
        <f t="shared" si="794"/>
        <v>7500.7305063837757</v>
      </c>
      <c r="DI115" s="421">
        <f t="shared" si="795"/>
        <v>7500.7305063837757</v>
      </c>
      <c r="DJ115" s="421">
        <f t="shared" si="795"/>
        <v>7500.7305063837757</v>
      </c>
      <c r="DK115" s="421">
        <f t="shared" si="795"/>
        <v>7653.9537346138668</v>
      </c>
      <c r="DL115" s="421">
        <f t="shared" si="795"/>
        <v>7653.9537346138668</v>
      </c>
      <c r="DM115" s="421">
        <f t="shared" si="795"/>
        <v>7653.9537346138668</v>
      </c>
      <c r="DN115" s="421">
        <f t="shared" si="795"/>
        <v>7653.9537346138668</v>
      </c>
      <c r="DO115" s="421">
        <f t="shared" si="795"/>
        <v>7653.9537346138668</v>
      </c>
      <c r="DP115" s="421">
        <f t="shared" si="795"/>
        <v>7653.9537346138668</v>
      </c>
      <c r="DQ115" s="421">
        <f t="shared" si="795"/>
        <v>7653.9537346138668</v>
      </c>
      <c r="DR115" s="421">
        <f t="shared" si="795"/>
        <v>7653.9537346138668</v>
      </c>
      <c r="DS115" s="421">
        <f t="shared" si="796"/>
        <v>7653.9537346138668</v>
      </c>
      <c r="DT115" s="421">
        <f t="shared" si="796"/>
        <v>7653.9537346138668</v>
      </c>
      <c r="DU115" s="421">
        <f t="shared" si="796"/>
        <v>7653.9537346138668</v>
      </c>
      <c r="DV115" s="421">
        <f t="shared" si="796"/>
        <v>7653.9537346138668</v>
      </c>
      <c r="DW115" s="421">
        <f t="shared" si="796"/>
        <v>7812.6189187670234</v>
      </c>
      <c r="DX115" s="421">
        <f t="shared" si="796"/>
        <v>7812.6189187670234</v>
      </c>
      <c r="DY115" s="421">
        <f t="shared" si="796"/>
        <v>7812.6189187670234</v>
      </c>
      <c r="DZ115" s="421">
        <f t="shared" si="796"/>
        <v>7812.6189187670234</v>
      </c>
      <c r="EA115" s="421">
        <f t="shared" si="796"/>
        <v>7812.6189187670234</v>
      </c>
      <c r="EB115" s="421">
        <f t="shared" si="796"/>
        <v>7812.6189187670234</v>
      </c>
      <c r="EC115" s="421">
        <f t="shared" si="797"/>
        <v>7812.6189187670234</v>
      </c>
      <c r="ED115" s="421">
        <f t="shared" si="797"/>
        <v>7812.6189187670234</v>
      </c>
      <c r="EE115" s="421">
        <f t="shared" si="797"/>
        <v>7812.6189187670234</v>
      </c>
      <c r="EF115" s="421">
        <f t="shared" si="797"/>
        <v>7812.6189187670234</v>
      </c>
      <c r="EG115" s="421">
        <f t="shared" si="797"/>
        <v>7812.6189187670234</v>
      </c>
      <c r="EH115" s="421">
        <f t="shared" si="797"/>
        <v>7812.6189187670234</v>
      </c>
      <c r="EI115" s="421">
        <f t="shared" si="797"/>
        <v>7976.8625044859327</v>
      </c>
      <c r="EJ115" s="421">
        <f t="shared" si="797"/>
        <v>7976.8625044859327</v>
      </c>
      <c r="EK115" s="421">
        <f t="shared" si="797"/>
        <v>7976.8625044859327</v>
      </c>
      <c r="EL115" s="421">
        <f t="shared" si="797"/>
        <v>7976.8625044859327</v>
      </c>
      <c r="EM115" s="421">
        <f t="shared" si="797"/>
        <v>7976.8625044859327</v>
      </c>
      <c r="EN115" s="421">
        <f t="shared" si="797"/>
        <v>7976.8625044859327</v>
      </c>
      <c r="EO115" s="209"/>
      <c r="EP115" s="468"/>
      <c r="EQ115" s="469"/>
      <c r="ER115" s="469"/>
      <c r="ES115" s="469"/>
      <c r="ET115" s="469"/>
      <c r="EU115" s="469"/>
      <c r="EV115" s="469"/>
      <c r="EW115" s="469"/>
      <c r="EX115" s="469"/>
      <c r="EY115" s="469"/>
      <c r="EZ115" s="469"/>
      <c r="FA115" s="469"/>
      <c r="FB115" s="469"/>
      <c r="FC115" s="469"/>
      <c r="FD115" s="469"/>
      <c r="FE115" s="469"/>
      <c r="FF115" s="469"/>
      <c r="FG115" s="469"/>
      <c r="FH115" s="469"/>
      <c r="FI115" s="469"/>
      <c r="FJ115" s="469"/>
      <c r="FK115" s="469"/>
      <c r="FL115" s="469"/>
      <c r="FM115" s="469"/>
      <c r="FN115" s="469"/>
      <c r="FO115" s="469"/>
      <c r="FP115" s="469"/>
      <c r="FQ115" s="469"/>
      <c r="FR115" s="469"/>
      <c r="FS115" s="469"/>
      <c r="FT115" s="469"/>
      <c r="FU115" s="469"/>
      <c r="FV115" s="469"/>
      <c r="FW115" s="469"/>
      <c r="FX115" s="469"/>
      <c r="FY115" s="469"/>
      <c r="FZ115" s="469"/>
      <c r="GA115" s="469"/>
      <c r="GB115" s="469"/>
      <c r="GC115" s="469"/>
      <c r="GD115" s="469"/>
      <c r="GE115" s="469"/>
      <c r="GF115" s="469"/>
      <c r="GG115" s="469"/>
      <c r="GH115" s="469"/>
      <c r="GI115" s="469"/>
      <c r="GJ115" s="469"/>
      <c r="GK115" s="469"/>
      <c r="GL115" s="469"/>
      <c r="GM115" s="469"/>
      <c r="GN115" s="469"/>
      <c r="GO115" s="469"/>
      <c r="GP115" s="469"/>
      <c r="GQ115" s="469"/>
      <c r="GR115" s="469"/>
      <c r="GS115" s="469"/>
      <c r="GT115" s="469"/>
      <c r="GU115" s="469"/>
      <c r="GV115" s="469"/>
      <c r="GW115" s="469"/>
      <c r="GX115" s="469"/>
      <c r="GY115" s="469"/>
      <c r="GZ115" s="469"/>
      <c r="HA115" s="469"/>
      <c r="HB115" s="469"/>
      <c r="HC115" s="469"/>
      <c r="HD115" s="469"/>
      <c r="HE115" s="469"/>
      <c r="HF115" s="469"/>
      <c r="HG115" s="469"/>
      <c r="HH115" s="469"/>
      <c r="HI115" s="469"/>
      <c r="HJ115" s="469"/>
      <c r="HK115" s="469"/>
      <c r="HL115" s="469"/>
      <c r="HM115" s="469"/>
      <c r="HN115" s="469"/>
      <c r="HO115" s="469"/>
      <c r="HP115" s="469"/>
      <c r="HQ115" s="469"/>
      <c r="HR115" s="469"/>
      <c r="HS115" s="469"/>
      <c r="HT115" s="469"/>
      <c r="HU115" s="469"/>
      <c r="HV115" s="469"/>
      <c r="HW115" s="469"/>
      <c r="HX115" s="469"/>
      <c r="HY115" s="469"/>
      <c r="HZ115" s="469"/>
      <c r="IA115" s="469"/>
      <c r="IB115" s="469"/>
      <c r="IC115" s="469"/>
      <c r="ID115" s="469"/>
      <c r="IE115" s="469"/>
      <c r="IF115" s="469"/>
      <c r="IG115" s="469"/>
      <c r="IH115" s="469"/>
      <c r="II115" s="469"/>
      <c r="IJ115" s="469"/>
      <c r="IK115" s="469"/>
      <c r="IL115" s="469"/>
      <c r="IM115" s="469"/>
      <c r="IN115" s="469"/>
      <c r="IO115" s="469"/>
      <c r="IP115" s="469"/>
      <c r="IQ115" s="469"/>
      <c r="IR115" s="469"/>
      <c r="IS115" s="469"/>
      <c r="IT115" s="469"/>
      <c r="IU115" s="469"/>
      <c r="IV115" s="469"/>
      <c r="IW115" s="469"/>
      <c r="IX115" s="469"/>
      <c r="IY115" s="469"/>
      <c r="IZ115" s="469"/>
      <c r="JA115" s="469"/>
      <c r="JB115" s="469"/>
      <c r="JC115" s="469"/>
      <c r="JD115" s="469"/>
      <c r="JE115" s="469"/>
      <c r="JF115" s="469"/>
      <c r="JG115" s="469"/>
      <c r="JH115" s="469"/>
      <c r="JI115" s="469"/>
      <c r="JJ115" s="469"/>
      <c r="JK115" s="469"/>
      <c r="JL115" s="469"/>
      <c r="JM115" s="469"/>
      <c r="JN115" s="469"/>
      <c r="JO115" s="469"/>
      <c r="JP115" s="469"/>
      <c r="JQ115" s="469"/>
      <c r="JR115" s="469"/>
      <c r="JS115" s="469"/>
      <c r="JT115" s="469"/>
      <c r="JU115" s="469"/>
      <c r="JV115" s="469"/>
      <c r="JW115" s="469"/>
      <c r="JX115" s="20"/>
      <c r="JZ115" s="470"/>
      <c r="KA115" s="470"/>
      <c r="KB115" s="470"/>
      <c r="KC115" s="470"/>
      <c r="KD115" s="470"/>
      <c r="KE115" s="470"/>
      <c r="KF115" s="470"/>
      <c r="KG115" s="470"/>
      <c r="KH115" s="470"/>
      <c r="KI115" s="470"/>
      <c r="KJ115" s="470"/>
      <c r="KK115" s="470"/>
      <c r="KL115" s="470"/>
      <c r="KM115" s="470"/>
      <c r="KN115" s="470"/>
      <c r="KO115" s="470"/>
      <c r="KP115" s="470"/>
      <c r="KQ115" s="470"/>
      <c r="KR115" s="470"/>
      <c r="KS115" s="470"/>
      <c r="KT115" s="470"/>
      <c r="KU115" s="470"/>
      <c r="KV115" s="470"/>
      <c r="KW115" s="470"/>
      <c r="KX115" s="470"/>
      <c r="KY115" s="470"/>
      <c r="KZ115" s="470"/>
      <c r="LA115" s="470"/>
      <c r="LB115" s="470"/>
      <c r="LC115" s="470"/>
      <c r="LD115" s="470"/>
      <c r="LE115" s="470"/>
      <c r="LF115" s="470"/>
      <c r="LG115" s="470"/>
      <c r="LH115" s="470"/>
      <c r="LI115" s="470"/>
      <c r="LJ115" s="470"/>
      <c r="LK115" s="470"/>
      <c r="LL115" s="470"/>
      <c r="LM115" s="470"/>
      <c r="LN115" s="470"/>
      <c r="LO115" s="470"/>
      <c r="LP115" s="470"/>
      <c r="LQ115" s="470"/>
      <c r="LR115" s="470"/>
      <c r="LS115" s="470"/>
      <c r="LT115" s="470"/>
      <c r="LU115" s="470"/>
      <c r="LV115" s="470"/>
      <c r="LW115" s="470"/>
      <c r="LX115" s="470"/>
      <c r="LY115" s="470"/>
      <c r="LZ115" s="470"/>
      <c r="MA115" s="470"/>
      <c r="MB115" s="470"/>
      <c r="MC115" s="470"/>
      <c r="MD115" s="470"/>
      <c r="ME115" s="470"/>
      <c r="MF115" s="470"/>
      <c r="MG115" s="470"/>
      <c r="MH115" s="470"/>
      <c r="MI115" s="470"/>
      <c r="MJ115" s="470"/>
      <c r="MK115" s="470"/>
      <c r="ML115" s="470"/>
      <c r="MM115" s="470"/>
      <c r="MN115" s="470"/>
      <c r="MO115" s="470"/>
      <c r="MP115" s="470"/>
      <c r="MQ115" s="470"/>
      <c r="MR115" s="470"/>
      <c r="MS115" s="470"/>
      <c r="MT115" s="470"/>
      <c r="MU115" s="470"/>
      <c r="MV115" s="470"/>
      <c r="MW115" s="470"/>
      <c r="MX115" s="470"/>
      <c r="MY115" s="470"/>
      <c r="MZ115" s="470"/>
      <c r="NA115" s="470"/>
      <c r="NB115" s="470"/>
      <c r="NC115" s="470"/>
      <c r="ND115" s="470"/>
      <c r="NE115" s="470"/>
      <c r="NF115" s="470"/>
      <c r="NG115" s="470"/>
      <c r="NH115" s="470"/>
      <c r="NI115" s="470"/>
      <c r="NJ115" s="470"/>
      <c r="NK115" s="470"/>
      <c r="NL115" s="470"/>
      <c r="NM115" s="470"/>
      <c r="NN115" s="470"/>
      <c r="NO115" s="470"/>
      <c r="NP115" s="470"/>
      <c r="NQ115" s="470"/>
      <c r="NR115" s="470"/>
      <c r="NS115" s="470"/>
      <c r="NT115" s="470"/>
      <c r="NU115" s="470"/>
      <c r="NV115" s="470"/>
      <c r="NW115" s="470"/>
      <c r="NX115" s="470"/>
      <c r="NY115" s="470"/>
      <c r="NZ115" s="470"/>
      <c r="OA115" s="470"/>
      <c r="OB115" s="470"/>
      <c r="OC115" s="470"/>
      <c r="OD115" s="470"/>
      <c r="OE115" s="470"/>
      <c r="OF115" s="470"/>
      <c r="OG115" s="470"/>
      <c r="OH115" s="470"/>
      <c r="OI115" s="470"/>
      <c r="OJ115" s="470"/>
      <c r="OK115" s="470"/>
      <c r="OL115" s="470"/>
      <c r="OM115" s="470"/>
      <c r="ON115" s="470"/>
      <c r="OO115" s="470"/>
      <c r="OP115" s="470"/>
      <c r="OQ115" s="470"/>
      <c r="OR115" s="470"/>
      <c r="OS115" s="470"/>
      <c r="OT115" s="470"/>
      <c r="OU115" s="470"/>
      <c r="OV115" s="470"/>
      <c r="OW115" s="470"/>
      <c r="OX115" s="470"/>
      <c r="OY115" s="470"/>
      <c r="OZ115" s="470"/>
      <c r="PA115" s="470"/>
      <c r="PB115" s="470"/>
      <c r="PC115" s="470"/>
      <c r="PD115" s="470"/>
      <c r="PE115" s="470"/>
      <c r="PF115" s="470"/>
      <c r="PG115" s="470"/>
      <c r="PH115" s="470"/>
    </row>
    <row r="116">
      <c r="B116" s="92" t="str">
        <f t="shared" si="780"/>
        <v>Operating Group</v>
      </c>
      <c r="C116" s="473" t="s">
        <v>270</v>
      </c>
      <c r="D116" s="279" t="s">
        <v>271</v>
      </c>
      <c r="E116" s="46">
        <f t="shared" si="781"/>
        <v>34</v>
      </c>
      <c r="F116" s="54">
        <v>1</v>
      </c>
      <c r="G116" s="255">
        <f t="shared" si="782"/>
        <v>1.9154059677409881E-3</v>
      </c>
      <c r="H116" s="149">
        <f t="shared" si="783"/>
        <v>41.989256626985473</v>
      </c>
      <c r="I116" s="449">
        <f t="shared" si="784"/>
        <v>6298.388494047821</v>
      </c>
      <c r="K116" s="76"/>
      <c r="L116" s="76"/>
      <c r="M116" s="421">
        <f t="shared" si="785"/>
        <v>0</v>
      </c>
      <c r="N116" s="421">
        <f t="shared" si="785"/>
        <v>0</v>
      </c>
      <c r="O116" s="421">
        <f t="shared" si="785"/>
        <v>0</v>
      </c>
      <c r="P116" s="421">
        <f t="shared" si="785"/>
        <v>0</v>
      </c>
      <c r="Q116" s="421">
        <f t="shared" si="785"/>
        <v>0</v>
      </c>
      <c r="R116" s="421">
        <f t="shared" si="785"/>
        <v>0</v>
      </c>
      <c r="S116" s="421">
        <f t="shared" si="785"/>
        <v>0</v>
      </c>
      <c r="T116" s="421">
        <f t="shared" si="785"/>
        <v>0</v>
      </c>
      <c r="U116" s="421">
        <f t="shared" si="785"/>
        <v>0</v>
      </c>
      <c r="V116" s="421">
        <f t="shared" si="785"/>
        <v>0</v>
      </c>
      <c r="W116" s="421">
        <f t="shared" si="786"/>
        <v>0</v>
      </c>
      <c r="X116" s="421">
        <f t="shared" si="786"/>
        <v>0</v>
      </c>
      <c r="Y116" s="421">
        <f t="shared" si="786"/>
        <v>0</v>
      </c>
      <c r="Z116" s="421">
        <f t="shared" si="786"/>
        <v>0</v>
      </c>
      <c r="AA116" s="421">
        <f t="shared" si="786"/>
        <v>0</v>
      </c>
      <c r="AB116" s="421">
        <f t="shared" si="786"/>
        <v>0</v>
      </c>
      <c r="AC116" s="421">
        <f t="shared" si="786"/>
        <v>0</v>
      </c>
      <c r="AD116" s="421">
        <f t="shared" si="786"/>
        <v>0</v>
      </c>
      <c r="AE116" s="421">
        <f t="shared" si="786"/>
        <v>0</v>
      </c>
      <c r="AF116" s="421">
        <f t="shared" si="786"/>
        <v>0</v>
      </c>
      <c r="AG116" s="421">
        <f t="shared" si="787"/>
        <v>0</v>
      </c>
      <c r="AH116" s="421">
        <f t="shared" si="787"/>
        <v>0</v>
      </c>
      <c r="AI116" s="421">
        <f t="shared" si="787"/>
        <v>0</v>
      </c>
      <c r="AJ116" s="421">
        <f t="shared" si="787"/>
        <v>0</v>
      </c>
      <c r="AK116" s="421">
        <f t="shared" si="787"/>
        <v>0</v>
      </c>
      <c r="AL116" s="421">
        <f t="shared" si="787"/>
        <v>0</v>
      </c>
      <c r="AM116" s="421">
        <f t="shared" si="787"/>
        <v>0</v>
      </c>
      <c r="AN116" s="421">
        <f t="shared" si="787"/>
        <v>0</v>
      </c>
      <c r="AO116" s="421">
        <f t="shared" si="787"/>
        <v>0</v>
      </c>
      <c r="AP116" s="421">
        <f t="shared" si="787"/>
        <v>0</v>
      </c>
      <c r="AQ116" s="421">
        <f t="shared" si="788"/>
        <v>0</v>
      </c>
      <c r="AR116" s="421">
        <f t="shared" si="788"/>
        <v>0</v>
      </c>
      <c r="AS116" s="421">
        <f t="shared" si="788"/>
        <v>0</v>
      </c>
      <c r="AT116" s="421">
        <f t="shared" si="788"/>
        <v>524.86570783731838</v>
      </c>
      <c r="AU116" s="421">
        <f t="shared" si="788"/>
        <v>524.86570783731838</v>
      </c>
      <c r="AV116" s="421">
        <f t="shared" si="788"/>
        <v>524.86570783731838</v>
      </c>
      <c r="AW116" s="421">
        <f t="shared" si="788"/>
        <v>524.86570783731838</v>
      </c>
      <c r="AX116" s="421">
        <f t="shared" si="788"/>
        <v>524.86570783731838</v>
      </c>
      <c r="AY116" s="421">
        <f t="shared" si="788"/>
        <v>524.86570783731838</v>
      </c>
      <c r="AZ116" s="421">
        <f t="shared" si="788"/>
        <v>524.86570783731838</v>
      </c>
      <c r="BA116" s="421">
        <f t="shared" si="789"/>
        <v>524.86570783731838</v>
      </c>
      <c r="BB116" s="421">
        <f t="shared" si="789"/>
        <v>524.86570783731838</v>
      </c>
      <c r="BC116" s="421">
        <f t="shared" si="789"/>
        <v>536.41148054057533</v>
      </c>
      <c r="BD116" s="421">
        <f t="shared" si="789"/>
        <v>536.41148054057533</v>
      </c>
      <c r="BE116" s="421">
        <f t="shared" si="789"/>
        <v>536.41148054057533</v>
      </c>
      <c r="BF116" s="421">
        <f t="shared" si="789"/>
        <v>536.41148054057533</v>
      </c>
      <c r="BG116" s="421">
        <f t="shared" si="789"/>
        <v>536.41148054057533</v>
      </c>
      <c r="BH116" s="421">
        <f t="shared" si="789"/>
        <v>536.41148054057533</v>
      </c>
      <c r="BI116" s="421">
        <f t="shared" si="789"/>
        <v>536.41148054057533</v>
      </c>
      <c r="BJ116" s="421">
        <f t="shared" si="789"/>
        <v>536.41148054057533</v>
      </c>
      <c r="BK116" s="421">
        <f t="shared" si="790"/>
        <v>536.41148054057533</v>
      </c>
      <c r="BL116" s="421">
        <f t="shared" si="790"/>
        <v>536.41148054057533</v>
      </c>
      <c r="BM116" s="421">
        <f t="shared" si="790"/>
        <v>536.41148054057533</v>
      </c>
      <c r="BN116" s="421">
        <f t="shared" si="790"/>
        <v>536.41148054057533</v>
      </c>
      <c r="BO116" s="421">
        <f t="shared" si="790"/>
        <v>546.92740792443703</v>
      </c>
      <c r="BP116" s="421">
        <f t="shared" si="790"/>
        <v>546.92740792443703</v>
      </c>
      <c r="BQ116" s="421">
        <f t="shared" si="790"/>
        <v>546.92740792443703</v>
      </c>
      <c r="BR116" s="421">
        <f t="shared" si="790"/>
        <v>546.92740792443703</v>
      </c>
      <c r="BS116" s="421">
        <f t="shared" si="790"/>
        <v>546.92740792443703</v>
      </c>
      <c r="BT116" s="421">
        <f t="shared" si="790"/>
        <v>546.92740792443703</v>
      </c>
      <c r="BU116" s="421">
        <f t="shared" si="791"/>
        <v>546.92740792443703</v>
      </c>
      <c r="BV116" s="421">
        <f t="shared" si="791"/>
        <v>546.92740792443703</v>
      </c>
      <c r="BW116" s="421">
        <f t="shared" si="791"/>
        <v>546.92740792443703</v>
      </c>
      <c r="BX116" s="421">
        <f t="shared" si="791"/>
        <v>546.92740792443703</v>
      </c>
      <c r="BY116" s="421">
        <f t="shared" si="791"/>
        <v>546.92740792443703</v>
      </c>
      <c r="BZ116" s="421">
        <f t="shared" si="791"/>
        <v>546.92740792443703</v>
      </c>
      <c r="CA116" s="421">
        <f t="shared" si="791"/>
        <v>557.59470997441633</v>
      </c>
      <c r="CB116" s="421">
        <f t="shared" si="791"/>
        <v>557.59470997441633</v>
      </c>
      <c r="CC116" s="421">
        <f t="shared" si="791"/>
        <v>557.59470997441633</v>
      </c>
      <c r="CD116" s="421">
        <f t="shared" si="791"/>
        <v>557.59470997441633</v>
      </c>
      <c r="CE116" s="421">
        <f t="shared" si="792"/>
        <v>557.59470997441633</v>
      </c>
      <c r="CF116" s="421">
        <f t="shared" si="792"/>
        <v>557.59470997441633</v>
      </c>
      <c r="CG116" s="421">
        <f t="shared" si="792"/>
        <v>557.59470997441633</v>
      </c>
      <c r="CH116" s="421">
        <f t="shared" si="792"/>
        <v>557.59470997441633</v>
      </c>
      <c r="CI116" s="421">
        <f t="shared" si="792"/>
        <v>557.59470997441633</v>
      </c>
      <c r="CJ116" s="421">
        <f t="shared" si="792"/>
        <v>557.59470997441633</v>
      </c>
      <c r="CK116" s="421">
        <f t="shared" si="792"/>
        <v>557.59470997441633</v>
      </c>
      <c r="CL116" s="421">
        <f t="shared" si="792"/>
        <v>557.59470997441633</v>
      </c>
      <c r="CM116" s="421">
        <f t="shared" si="792"/>
        <v>551.45407611700807</v>
      </c>
      <c r="CN116" s="421">
        <f t="shared" si="792"/>
        <v>551.45407611700807</v>
      </c>
      <c r="CO116" s="421">
        <f t="shared" si="793"/>
        <v>551.45407611700807</v>
      </c>
      <c r="CP116" s="421">
        <f t="shared" si="793"/>
        <v>551.45407611700807</v>
      </c>
      <c r="CQ116" s="421">
        <f t="shared" si="793"/>
        <v>551.45407611700807</v>
      </c>
      <c r="CR116" s="421">
        <f t="shared" si="793"/>
        <v>551.45407611700807</v>
      </c>
      <c r="CS116" s="421">
        <f t="shared" si="793"/>
        <v>551.45407611700807</v>
      </c>
      <c r="CT116" s="421">
        <f t="shared" si="793"/>
        <v>551.45407611700807</v>
      </c>
      <c r="CU116" s="421">
        <f t="shared" si="793"/>
        <v>551.45407611700807</v>
      </c>
      <c r="CV116" s="421">
        <f t="shared" si="793"/>
        <v>551.45407611700807</v>
      </c>
      <c r="CW116" s="421">
        <f t="shared" si="793"/>
        <v>551.45407611700807</v>
      </c>
      <c r="CX116" s="421">
        <f t="shared" si="793"/>
        <v>551.45407611700807</v>
      </c>
      <c r="CY116" s="421">
        <f t="shared" si="794"/>
        <v>562.55478797878322</v>
      </c>
      <c r="CZ116" s="421">
        <f t="shared" si="794"/>
        <v>562.55478797878322</v>
      </c>
      <c r="DA116" s="421">
        <f t="shared" si="794"/>
        <v>562.55478797878322</v>
      </c>
      <c r="DB116" s="421">
        <f t="shared" si="794"/>
        <v>562.55478797878322</v>
      </c>
      <c r="DC116" s="421">
        <f t="shared" si="794"/>
        <v>562.55478797878322</v>
      </c>
      <c r="DD116" s="421">
        <f t="shared" si="794"/>
        <v>562.55478797878322</v>
      </c>
      <c r="DE116" s="421">
        <f t="shared" si="794"/>
        <v>562.55478797878322</v>
      </c>
      <c r="DF116" s="421">
        <f t="shared" si="794"/>
        <v>562.55478797878322</v>
      </c>
      <c r="DG116" s="421">
        <f t="shared" si="794"/>
        <v>562.55478797878322</v>
      </c>
      <c r="DH116" s="421">
        <f t="shared" si="794"/>
        <v>562.55478797878322</v>
      </c>
      <c r="DI116" s="421">
        <f t="shared" si="795"/>
        <v>562.55478797878322</v>
      </c>
      <c r="DJ116" s="421">
        <f t="shared" si="795"/>
        <v>562.55478797878322</v>
      </c>
      <c r="DK116" s="421">
        <f t="shared" si="795"/>
        <v>574.0465300960401</v>
      </c>
      <c r="DL116" s="421">
        <f t="shared" si="795"/>
        <v>574.0465300960401</v>
      </c>
      <c r="DM116" s="421">
        <f t="shared" si="795"/>
        <v>574.0465300960401</v>
      </c>
      <c r="DN116" s="421">
        <f t="shared" si="795"/>
        <v>574.0465300960401</v>
      </c>
      <c r="DO116" s="421">
        <f t="shared" si="795"/>
        <v>574.0465300960401</v>
      </c>
      <c r="DP116" s="421">
        <f t="shared" si="795"/>
        <v>574.0465300960401</v>
      </c>
      <c r="DQ116" s="421">
        <f t="shared" si="795"/>
        <v>574.0465300960401</v>
      </c>
      <c r="DR116" s="421">
        <f t="shared" si="795"/>
        <v>574.0465300960401</v>
      </c>
      <c r="DS116" s="421">
        <f t="shared" si="796"/>
        <v>574.0465300960401</v>
      </c>
      <c r="DT116" s="421">
        <f t="shared" si="796"/>
        <v>574.0465300960401</v>
      </c>
      <c r="DU116" s="421">
        <f t="shared" si="796"/>
        <v>574.0465300960401</v>
      </c>
      <c r="DV116" s="421">
        <f t="shared" si="796"/>
        <v>574.0465300960401</v>
      </c>
      <c r="DW116" s="421">
        <f t="shared" si="796"/>
        <v>585.94641890752678</v>
      </c>
      <c r="DX116" s="421">
        <f t="shared" si="796"/>
        <v>585.94641890752678</v>
      </c>
      <c r="DY116" s="421">
        <f t="shared" si="796"/>
        <v>585.94641890752678</v>
      </c>
      <c r="DZ116" s="421">
        <f t="shared" si="796"/>
        <v>585.94641890752678</v>
      </c>
      <c r="EA116" s="421">
        <f t="shared" si="796"/>
        <v>585.94641890752678</v>
      </c>
      <c r="EB116" s="421">
        <f t="shared" si="796"/>
        <v>585.94641890752678</v>
      </c>
      <c r="EC116" s="421">
        <f t="shared" si="797"/>
        <v>585.94641890752678</v>
      </c>
      <c r="ED116" s="421">
        <f t="shared" si="797"/>
        <v>585.94641890752678</v>
      </c>
      <c r="EE116" s="421">
        <f t="shared" si="797"/>
        <v>585.94641890752678</v>
      </c>
      <c r="EF116" s="421">
        <f t="shared" si="797"/>
        <v>585.94641890752678</v>
      </c>
      <c r="EG116" s="421">
        <f t="shared" si="797"/>
        <v>585.94641890752678</v>
      </c>
      <c r="EH116" s="421">
        <f t="shared" si="797"/>
        <v>585.94641890752678</v>
      </c>
      <c r="EI116" s="421">
        <f t="shared" si="797"/>
        <v>598.26468783644498</v>
      </c>
      <c r="EJ116" s="421">
        <f t="shared" si="797"/>
        <v>598.26468783644498</v>
      </c>
      <c r="EK116" s="421">
        <f t="shared" si="797"/>
        <v>598.26468783644498</v>
      </c>
      <c r="EL116" s="421">
        <f t="shared" si="797"/>
        <v>598.26468783644498</v>
      </c>
      <c r="EM116" s="421">
        <f t="shared" si="797"/>
        <v>598.26468783644498</v>
      </c>
      <c r="EN116" s="421">
        <f t="shared" si="797"/>
        <v>598.26468783644498</v>
      </c>
      <c r="EO116" s="209"/>
      <c r="EP116" s="468"/>
      <c r="EQ116" s="469"/>
      <c r="ER116" s="469"/>
      <c r="ES116" s="469"/>
      <c r="ET116" s="469"/>
      <c r="EU116" s="469"/>
      <c r="EV116" s="469"/>
      <c r="EW116" s="469"/>
      <c r="EX116" s="469"/>
      <c r="EY116" s="469"/>
      <c r="EZ116" s="469"/>
      <c r="FA116" s="469"/>
      <c r="FB116" s="469"/>
      <c r="FC116" s="469"/>
      <c r="FD116" s="469"/>
      <c r="FE116" s="469"/>
      <c r="FF116" s="469"/>
      <c r="FG116" s="469"/>
      <c r="FH116" s="469"/>
      <c r="FI116" s="469"/>
      <c r="FJ116" s="469"/>
      <c r="FK116" s="469"/>
      <c r="FL116" s="469"/>
      <c r="FM116" s="469"/>
      <c r="FN116" s="469"/>
      <c r="FO116" s="469"/>
      <c r="FP116" s="469"/>
      <c r="FQ116" s="469"/>
      <c r="FR116" s="469"/>
      <c r="FS116" s="469"/>
      <c r="FT116" s="469"/>
      <c r="FU116" s="469"/>
      <c r="FV116" s="469"/>
      <c r="FW116" s="469"/>
      <c r="FX116" s="469"/>
      <c r="FY116" s="469"/>
      <c r="FZ116" s="469"/>
      <c r="GA116" s="469"/>
      <c r="GB116" s="469"/>
      <c r="GC116" s="469"/>
      <c r="GD116" s="469"/>
      <c r="GE116" s="469"/>
      <c r="GF116" s="469"/>
      <c r="GG116" s="469"/>
      <c r="GH116" s="469"/>
      <c r="GI116" s="469"/>
      <c r="GJ116" s="469"/>
      <c r="GK116" s="469"/>
      <c r="GL116" s="469"/>
      <c r="GM116" s="469"/>
      <c r="GN116" s="469"/>
      <c r="GO116" s="469"/>
      <c r="GP116" s="469"/>
      <c r="GQ116" s="469"/>
      <c r="GR116" s="469"/>
      <c r="GS116" s="469"/>
      <c r="GT116" s="469"/>
      <c r="GU116" s="469"/>
      <c r="GV116" s="469"/>
      <c r="GW116" s="469"/>
      <c r="GX116" s="469"/>
      <c r="GY116" s="469"/>
      <c r="GZ116" s="469"/>
      <c r="HA116" s="469"/>
      <c r="HB116" s="469"/>
      <c r="HC116" s="469"/>
      <c r="HD116" s="469"/>
      <c r="HE116" s="469"/>
      <c r="HF116" s="469"/>
      <c r="HG116" s="469"/>
      <c r="HH116" s="469"/>
      <c r="HI116" s="469"/>
      <c r="HJ116" s="469"/>
      <c r="HK116" s="469"/>
      <c r="HL116" s="469"/>
      <c r="HM116" s="469"/>
      <c r="HN116" s="469"/>
      <c r="HO116" s="469"/>
      <c r="HP116" s="469"/>
      <c r="HQ116" s="469"/>
      <c r="HR116" s="469"/>
      <c r="HS116" s="469"/>
      <c r="HT116" s="469"/>
      <c r="HU116" s="469"/>
      <c r="HV116" s="469"/>
      <c r="HW116" s="469"/>
      <c r="HX116" s="469"/>
      <c r="HY116" s="469"/>
      <c r="HZ116" s="469"/>
      <c r="IA116" s="469"/>
      <c r="IB116" s="469"/>
      <c r="IC116" s="469"/>
      <c r="ID116" s="469"/>
      <c r="IE116" s="469"/>
      <c r="IF116" s="469"/>
      <c r="IG116" s="469"/>
      <c r="IH116" s="469"/>
      <c r="II116" s="469"/>
      <c r="IJ116" s="469"/>
      <c r="IK116" s="469"/>
      <c r="IL116" s="469"/>
      <c r="IM116" s="469"/>
      <c r="IN116" s="469"/>
      <c r="IO116" s="469"/>
      <c r="IP116" s="469"/>
      <c r="IQ116" s="469"/>
      <c r="IR116" s="469"/>
      <c r="IS116" s="469"/>
      <c r="IT116" s="469"/>
      <c r="IU116" s="469"/>
      <c r="IV116" s="469"/>
      <c r="IW116" s="469"/>
      <c r="IX116" s="469"/>
      <c r="IY116" s="469"/>
      <c r="IZ116" s="469"/>
      <c r="JA116" s="469"/>
      <c r="JB116" s="469"/>
      <c r="JC116" s="469"/>
      <c r="JD116" s="469"/>
      <c r="JE116" s="469"/>
      <c r="JF116" s="469"/>
      <c r="JG116" s="469"/>
      <c r="JH116" s="469"/>
      <c r="JI116" s="469"/>
      <c r="JJ116" s="469"/>
      <c r="JK116" s="469"/>
      <c r="JL116" s="469"/>
      <c r="JM116" s="469"/>
      <c r="JN116" s="469"/>
      <c r="JO116" s="469"/>
      <c r="JP116" s="469"/>
      <c r="JQ116" s="469"/>
      <c r="JR116" s="469"/>
      <c r="JS116" s="469"/>
      <c r="JT116" s="469"/>
      <c r="JU116" s="469"/>
      <c r="JV116" s="469"/>
      <c r="JW116" s="469"/>
      <c r="JX116" s="20"/>
      <c r="JZ116" s="470"/>
      <c r="KA116" s="470"/>
      <c r="KB116" s="470"/>
      <c r="KC116" s="470"/>
      <c r="KD116" s="470"/>
      <c r="KE116" s="470"/>
      <c r="KF116" s="470"/>
      <c r="KG116" s="470"/>
      <c r="KH116" s="470"/>
      <c r="KI116" s="470"/>
      <c r="KJ116" s="470"/>
      <c r="KK116" s="470"/>
      <c r="KL116" s="470"/>
      <c r="KM116" s="470"/>
      <c r="KN116" s="470"/>
      <c r="KO116" s="470"/>
      <c r="KP116" s="470"/>
      <c r="KQ116" s="470"/>
      <c r="KR116" s="470"/>
      <c r="KS116" s="470"/>
      <c r="KT116" s="470"/>
      <c r="KU116" s="470"/>
      <c r="KV116" s="470"/>
      <c r="KW116" s="470"/>
      <c r="KX116" s="470"/>
      <c r="KY116" s="470"/>
      <c r="KZ116" s="470"/>
      <c r="LA116" s="470"/>
      <c r="LB116" s="470"/>
      <c r="LC116" s="470"/>
      <c r="LD116" s="470"/>
      <c r="LE116" s="470"/>
      <c r="LF116" s="470"/>
      <c r="LG116" s="470"/>
      <c r="LH116" s="470"/>
      <c r="LI116" s="470"/>
      <c r="LJ116" s="470"/>
      <c r="LK116" s="470"/>
      <c r="LL116" s="470"/>
      <c r="LM116" s="470"/>
      <c r="LN116" s="470"/>
      <c r="LO116" s="470"/>
      <c r="LP116" s="470"/>
      <c r="LQ116" s="470"/>
      <c r="LR116" s="470"/>
      <c r="LS116" s="470"/>
      <c r="LT116" s="470"/>
      <c r="LU116" s="470"/>
      <c r="LV116" s="470"/>
      <c r="LW116" s="470"/>
      <c r="LX116" s="470"/>
      <c r="LY116" s="470"/>
      <c r="LZ116" s="470"/>
      <c r="MA116" s="470"/>
      <c r="MB116" s="470"/>
      <c r="MC116" s="470"/>
      <c r="MD116" s="470"/>
      <c r="ME116" s="470"/>
      <c r="MF116" s="470"/>
      <c r="MG116" s="470"/>
      <c r="MH116" s="470"/>
      <c r="MI116" s="470"/>
      <c r="MJ116" s="470"/>
      <c r="MK116" s="470"/>
      <c r="ML116" s="470"/>
      <c r="MM116" s="470"/>
      <c r="MN116" s="470"/>
      <c r="MO116" s="470"/>
      <c r="MP116" s="470"/>
      <c r="MQ116" s="470"/>
      <c r="MR116" s="470"/>
      <c r="MS116" s="470"/>
      <c r="MT116" s="470"/>
      <c r="MU116" s="470"/>
      <c r="MV116" s="470"/>
      <c r="MW116" s="470"/>
      <c r="MX116" s="470"/>
      <c r="MY116" s="470"/>
      <c r="MZ116" s="470"/>
      <c r="NA116" s="470"/>
      <c r="NB116" s="470"/>
      <c r="NC116" s="470"/>
      <c r="ND116" s="470"/>
      <c r="NE116" s="470"/>
      <c r="NF116" s="470"/>
      <c r="NG116" s="470"/>
      <c r="NH116" s="470"/>
      <c r="NI116" s="470"/>
      <c r="NJ116" s="470"/>
      <c r="NK116" s="470"/>
      <c r="NL116" s="470"/>
      <c r="NM116" s="470"/>
      <c r="NN116" s="470"/>
      <c r="NO116" s="470"/>
      <c r="NP116" s="470"/>
      <c r="NQ116" s="470"/>
      <c r="NR116" s="470"/>
      <c r="NS116" s="470"/>
      <c r="NT116" s="470"/>
      <c r="NU116" s="470"/>
      <c r="NV116" s="470"/>
      <c r="NW116" s="470"/>
      <c r="NX116" s="470"/>
      <c r="NY116" s="470"/>
      <c r="NZ116" s="470"/>
      <c r="OA116" s="470"/>
      <c r="OB116" s="470"/>
      <c r="OC116" s="470"/>
      <c r="OD116" s="470"/>
      <c r="OE116" s="470"/>
      <c r="OF116" s="470"/>
      <c r="OG116" s="470"/>
      <c r="OH116" s="470"/>
      <c r="OI116" s="470"/>
      <c r="OJ116" s="470"/>
      <c r="OK116" s="470"/>
      <c r="OL116" s="470"/>
      <c r="OM116" s="470"/>
      <c r="ON116" s="470"/>
      <c r="OO116" s="470"/>
      <c r="OP116" s="470"/>
      <c r="OQ116" s="470"/>
      <c r="OR116" s="470"/>
      <c r="OS116" s="470"/>
      <c r="OT116" s="470"/>
      <c r="OU116" s="470"/>
      <c r="OV116" s="470"/>
      <c r="OW116" s="470"/>
      <c r="OX116" s="470"/>
      <c r="OY116" s="470"/>
      <c r="OZ116" s="470"/>
      <c r="PA116" s="470"/>
      <c r="PB116" s="470"/>
      <c r="PC116" s="470"/>
      <c r="PD116" s="470"/>
      <c r="PE116" s="470"/>
      <c r="PF116" s="470"/>
      <c r="PG116" s="470"/>
      <c r="PH116" s="470"/>
    </row>
    <row r="117">
      <c r="B117" s="92" t="str">
        <f t="shared" si="780"/>
        <v>Storage King</v>
      </c>
      <c r="C117" s="473" t="s">
        <v>272</v>
      </c>
      <c r="D117" s="279" t="s">
        <v>271</v>
      </c>
      <c r="E117" s="46">
        <f t="shared" si="781"/>
        <v>34</v>
      </c>
      <c r="F117" s="54">
        <v>1</v>
      </c>
      <c r="G117" s="255">
        <f t="shared" si="782"/>
        <v>7.6616238709639522E-3</v>
      </c>
      <c r="H117" s="149">
        <f t="shared" si="783"/>
        <v>41.989256626985473</v>
      </c>
      <c r="I117" s="449">
        <f t="shared" si="784"/>
        <v>25193.553976191284</v>
      </c>
      <c r="K117" s="76"/>
      <c r="L117" s="76"/>
      <c r="M117" s="421">
        <f t="shared" si="785"/>
        <v>0</v>
      </c>
      <c r="N117" s="421">
        <f t="shared" si="785"/>
        <v>0</v>
      </c>
      <c r="O117" s="421">
        <f t="shared" si="785"/>
        <v>0</v>
      </c>
      <c r="P117" s="421">
        <f t="shared" si="785"/>
        <v>0</v>
      </c>
      <c r="Q117" s="421">
        <f t="shared" si="785"/>
        <v>0</v>
      </c>
      <c r="R117" s="421">
        <f t="shared" si="785"/>
        <v>0</v>
      </c>
      <c r="S117" s="421">
        <f t="shared" si="785"/>
        <v>0</v>
      </c>
      <c r="T117" s="421">
        <f t="shared" si="785"/>
        <v>0</v>
      </c>
      <c r="U117" s="421">
        <f t="shared" si="785"/>
        <v>0</v>
      </c>
      <c r="V117" s="421">
        <f t="shared" si="785"/>
        <v>0</v>
      </c>
      <c r="W117" s="421">
        <f t="shared" si="786"/>
        <v>0</v>
      </c>
      <c r="X117" s="421">
        <f t="shared" si="786"/>
        <v>0</v>
      </c>
      <c r="Y117" s="421">
        <f t="shared" si="786"/>
        <v>0</v>
      </c>
      <c r="Z117" s="421">
        <f t="shared" si="786"/>
        <v>0</v>
      </c>
      <c r="AA117" s="421">
        <f t="shared" si="786"/>
        <v>0</v>
      </c>
      <c r="AB117" s="421">
        <f t="shared" si="786"/>
        <v>0</v>
      </c>
      <c r="AC117" s="421">
        <f t="shared" si="786"/>
        <v>0</v>
      </c>
      <c r="AD117" s="421">
        <f t="shared" si="786"/>
        <v>0</v>
      </c>
      <c r="AE117" s="421">
        <f t="shared" si="786"/>
        <v>0</v>
      </c>
      <c r="AF117" s="421">
        <f t="shared" si="786"/>
        <v>0</v>
      </c>
      <c r="AG117" s="421">
        <f t="shared" si="787"/>
        <v>0</v>
      </c>
      <c r="AH117" s="421">
        <f t="shared" si="787"/>
        <v>0</v>
      </c>
      <c r="AI117" s="421">
        <f t="shared" si="787"/>
        <v>0</v>
      </c>
      <c r="AJ117" s="421">
        <f t="shared" si="787"/>
        <v>0</v>
      </c>
      <c r="AK117" s="421">
        <f t="shared" si="787"/>
        <v>0</v>
      </c>
      <c r="AL117" s="421">
        <f t="shared" si="787"/>
        <v>0</v>
      </c>
      <c r="AM117" s="421">
        <f t="shared" si="787"/>
        <v>0</v>
      </c>
      <c r="AN117" s="421">
        <f t="shared" si="787"/>
        <v>0</v>
      </c>
      <c r="AO117" s="421">
        <f t="shared" si="787"/>
        <v>0</v>
      </c>
      <c r="AP117" s="421">
        <f t="shared" si="787"/>
        <v>0</v>
      </c>
      <c r="AQ117" s="421">
        <f t="shared" si="788"/>
        <v>0</v>
      </c>
      <c r="AR117" s="421">
        <f t="shared" si="788"/>
        <v>0</v>
      </c>
      <c r="AS117" s="421">
        <f t="shared" si="788"/>
        <v>0</v>
      </c>
      <c r="AT117" s="421">
        <f t="shared" si="788"/>
        <v>2099.4628313492735</v>
      </c>
      <c r="AU117" s="421">
        <f t="shared" si="788"/>
        <v>2099.4628313492735</v>
      </c>
      <c r="AV117" s="421">
        <f t="shared" si="788"/>
        <v>2099.4628313492735</v>
      </c>
      <c r="AW117" s="421">
        <f t="shared" si="788"/>
        <v>2099.4628313492735</v>
      </c>
      <c r="AX117" s="421">
        <f t="shared" si="788"/>
        <v>2099.4628313492735</v>
      </c>
      <c r="AY117" s="421">
        <f t="shared" si="788"/>
        <v>2099.4628313492735</v>
      </c>
      <c r="AZ117" s="421">
        <f t="shared" si="788"/>
        <v>2099.4628313492735</v>
      </c>
      <c r="BA117" s="421">
        <f t="shared" si="789"/>
        <v>2099.4628313492735</v>
      </c>
      <c r="BB117" s="421">
        <f t="shared" si="789"/>
        <v>2099.4628313492735</v>
      </c>
      <c r="BC117" s="421">
        <f t="shared" si="789"/>
        <v>2145.6459221623013</v>
      </c>
      <c r="BD117" s="421">
        <f t="shared" si="789"/>
        <v>2145.6459221623013</v>
      </c>
      <c r="BE117" s="421">
        <f t="shared" si="789"/>
        <v>2145.6459221623013</v>
      </c>
      <c r="BF117" s="421">
        <f t="shared" si="789"/>
        <v>2145.6459221623013</v>
      </c>
      <c r="BG117" s="421">
        <f t="shared" si="789"/>
        <v>2145.6459221623013</v>
      </c>
      <c r="BH117" s="421">
        <f t="shared" si="789"/>
        <v>2145.6459221623013</v>
      </c>
      <c r="BI117" s="421">
        <f t="shared" si="789"/>
        <v>2145.6459221623013</v>
      </c>
      <c r="BJ117" s="421">
        <f t="shared" si="789"/>
        <v>2145.6459221623013</v>
      </c>
      <c r="BK117" s="421">
        <f t="shared" si="790"/>
        <v>2145.6459221623013</v>
      </c>
      <c r="BL117" s="421">
        <f t="shared" si="790"/>
        <v>2145.6459221623013</v>
      </c>
      <c r="BM117" s="421">
        <f t="shared" si="790"/>
        <v>2145.6459221623013</v>
      </c>
      <c r="BN117" s="421">
        <f t="shared" si="790"/>
        <v>2145.6459221623013</v>
      </c>
      <c r="BO117" s="421">
        <f t="shared" si="790"/>
        <v>2187.7096316977481</v>
      </c>
      <c r="BP117" s="421">
        <f t="shared" si="790"/>
        <v>2187.7096316977481</v>
      </c>
      <c r="BQ117" s="421">
        <f t="shared" si="790"/>
        <v>2187.7096316977481</v>
      </c>
      <c r="BR117" s="421">
        <f t="shared" si="790"/>
        <v>2187.7096316977481</v>
      </c>
      <c r="BS117" s="421">
        <f t="shared" si="790"/>
        <v>2187.7096316977481</v>
      </c>
      <c r="BT117" s="421">
        <f t="shared" si="790"/>
        <v>2187.7096316977481</v>
      </c>
      <c r="BU117" s="421">
        <f t="shared" si="791"/>
        <v>2187.7096316977481</v>
      </c>
      <c r="BV117" s="421">
        <f t="shared" si="791"/>
        <v>2187.7096316977481</v>
      </c>
      <c r="BW117" s="421">
        <f t="shared" si="791"/>
        <v>2187.7096316977481</v>
      </c>
      <c r="BX117" s="421">
        <f t="shared" si="791"/>
        <v>2187.7096316977481</v>
      </c>
      <c r="BY117" s="421">
        <f t="shared" si="791"/>
        <v>2187.7096316977481</v>
      </c>
      <c r="BZ117" s="421">
        <f t="shared" si="791"/>
        <v>2187.7096316977481</v>
      </c>
      <c r="CA117" s="421">
        <f t="shared" si="791"/>
        <v>2230.3788398976653</v>
      </c>
      <c r="CB117" s="421">
        <f t="shared" si="791"/>
        <v>2230.3788398976653</v>
      </c>
      <c r="CC117" s="421">
        <f t="shared" si="791"/>
        <v>2230.3788398976653</v>
      </c>
      <c r="CD117" s="421">
        <f t="shared" si="791"/>
        <v>2230.3788398976653</v>
      </c>
      <c r="CE117" s="421">
        <f t="shared" si="792"/>
        <v>2230.3788398976653</v>
      </c>
      <c r="CF117" s="421">
        <f t="shared" si="792"/>
        <v>2230.3788398976653</v>
      </c>
      <c r="CG117" s="421">
        <f t="shared" si="792"/>
        <v>2230.3788398976653</v>
      </c>
      <c r="CH117" s="421">
        <f t="shared" si="792"/>
        <v>2230.3788398976653</v>
      </c>
      <c r="CI117" s="421">
        <f t="shared" si="792"/>
        <v>2230.3788398976653</v>
      </c>
      <c r="CJ117" s="421">
        <f t="shared" si="792"/>
        <v>2230.3788398976653</v>
      </c>
      <c r="CK117" s="421">
        <f t="shared" si="792"/>
        <v>2230.3788398976653</v>
      </c>
      <c r="CL117" s="421">
        <f t="shared" si="792"/>
        <v>2230.3788398976653</v>
      </c>
      <c r="CM117" s="421">
        <f t="shared" si="792"/>
        <v>2205.8163044680323</v>
      </c>
      <c r="CN117" s="421">
        <f t="shared" si="792"/>
        <v>2205.8163044680323</v>
      </c>
      <c r="CO117" s="421">
        <f t="shared" si="793"/>
        <v>2205.8163044680323</v>
      </c>
      <c r="CP117" s="421">
        <f t="shared" si="793"/>
        <v>2205.8163044680323</v>
      </c>
      <c r="CQ117" s="421">
        <f t="shared" si="793"/>
        <v>2205.8163044680323</v>
      </c>
      <c r="CR117" s="421">
        <f t="shared" si="793"/>
        <v>2205.8163044680323</v>
      </c>
      <c r="CS117" s="421">
        <f t="shared" si="793"/>
        <v>2205.8163044680323</v>
      </c>
      <c r="CT117" s="421">
        <f t="shared" si="793"/>
        <v>2205.8163044680323</v>
      </c>
      <c r="CU117" s="421">
        <f t="shared" si="793"/>
        <v>2205.8163044680323</v>
      </c>
      <c r="CV117" s="421">
        <f t="shared" si="793"/>
        <v>2205.8163044680323</v>
      </c>
      <c r="CW117" s="421">
        <f t="shared" si="793"/>
        <v>2205.8163044680323</v>
      </c>
      <c r="CX117" s="421">
        <f t="shared" si="793"/>
        <v>2205.8163044680323</v>
      </c>
      <c r="CY117" s="421">
        <f t="shared" si="794"/>
        <v>2250.2191519151329</v>
      </c>
      <c r="CZ117" s="421">
        <f t="shared" si="794"/>
        <v>2250.2191519151329</v>
      </c>
      <c r="DA117" s="421">
        <f t="shared" si="794"/>
        <v>2250.2191519151329</v>
      </c>
      <c r="DB117" s="421">
        <f t="shared" si="794"/>
        <v>2250.2191519151329</v>
      </c>
      <c r="DC117" s="421">
        <f t="shared" si="794"/>
        <v>2250.2191519151329</v>
      </c>
      <c r="DD117" s="421">
        <f t="shared" si="794"/>
        <v>2250.2191519151329</v>
      </c>
      <c r="DE117" s="421">
        <f t="shared" si="794"/>
        <v>2250.2191519151329</v>
      </c>
      <c r="DF117" s="421">
        <f t="shared" si="794"/>
        <v>2250.2191519151329</v>
      </c>
      <c r="DG117" s="421">
        <f t="shared" si="794"/>
        <v>2250.2191519151329</v>
      </c>
      <c r="DH117" s="421">
        <f t="shared" si="794"/>
        <v>2250.2191519151329</v>
      </c>
      <c r="DI117" s="421">
        <f t="shared" si="795"/>
        <v>2250.2191519151329</v>
      </c>
      <c r="DJ117" s="421">
        <f t="shared" si="795"/>
        <v>2250.2191519151329</v>
      </c>
      <c r="DK117" s="421">
        <f t="shared" si="795"/>
        <v>2296.1861203841604</v>
      </c>
      <c r="DL117" s="421">
        <f t="shared" si="795"/>
        <v>2296.1861203841604</v>
      </c>
      <c r="DM117" s="421">
        <f t="shared" si="795"/>
        <v>2296.1861203841604</v>
      </c>
      <c r="DN117" s="421">
        <f t="shared" si="795"/>
        <v>2296.1861203841604</v>
      </c>
      <c r="DO117" s="421">
        <f t="shared" si="795"/>
        <v>2296.1861203841604</v>
      </c>
      <c r="DP117" s="421">
        <f t="shared" si="795"/>
        <v>2296.1861203841604</v>
      </c>
      <c r="DQ117" s="421">
        <f t="shared" si="795"/>
        <v>2296.1861203841604</v>
      </c>
      <c r="DR117" s="421">
        <f t="shared" si="795"/>
        <v>2296.1861203841604</v>
      </c>
      <c r="DS117" s="421">
        <f t="shared" si="796"/>
        <v>2296.1861203841604</v>
      </c>
      <c r="DT117" s="421">
        <f t="shared" si="796"/>
        <v>2296.1861203841604</v>
      </c>
      <c r="DU117" s="421">
        <f t="shared" si="796"/>
        <v>2296.1861203841604</v>
      </c>
      <c r="DV117" s="421">
        <f t="shared" si="796"/>
        <v>2296.1861203841604</v>
      </c>
      <c r="DW117" s="421">
        <f t="shared" si="796"/>
        <v>2343.7856756301071</v>
      </c>
      <c r="DX117" s="421">
        <f t="shared" si="796"/>
        <v>2343.7856756301071</v>
      </c>
      <c r="DY117" s="421">
        <f t="shared" si="796"/>
        <v>2343.7856756301071</v>
      </c>
      <c r="DZ117" s="421">
        <f t="shared" si="796"/>
        <v>2343.7856756301071</v>
      </c>
      <c r="EA117" s="421">
        <f t="shared" si="796"/>
        <v>2343.7856756301071</v>
      </c>
      <c r="EB117" s="421">
        <f t="shared" si="796"/>
        <v>2343.7856756301071</v>
      </c>
      <c r="EC117" s="421">
        <f t="shared" si="797"/>
        <v>2343.7856756301071</v>
      </c>
      <c r="ED117" s="421">
        <f t="shared" si="797"/>
        <v>2343.7856756301071</v>
      </c>
      <c r="EE117" s="421">
        <f t="shared" si="797"/>
        <v>2343.7856756301071</v>
      </c>
      <c r="EF117" s="421">
        <f t="shared" si="797"/>
        <v>2343.7856756301071</v>
      </c>
      <c r="EG117" s="421">
        <f t="shared" si="797"/>
        <v>2343.7856756301071</v>
      </c>
      <c r="EH117" s="421">
        <f t="shared" si="797"/>
        <v>2343.7856756301071</v>
      </c>
      <c r="EI117" s="421">
        <f t="shared" si="797"/>
        <v>2393.0587513457799</v>
      </c>
      <c r="EJ117" s="421">
        <f t="shared" si="797"/>
        <v>2393.0587513457799</v>
      </c>
      <c r="EK117" s="421">
        <f t="shared" si="797"/>
        <v>2393.0587513457799</v>
      </c>
      <c r="EL117" s="421">
        <f t="shared" si="797"/>
        <v>2393.0587513457799</v>
      </c>
      <c r="EM117" s="421">
        <f t="shared" si="797"/>
        <v>2393.0587513457799</v>
      </c>
      <c r="EN117" s="421">
        <f t="shared" si="797"/>
        <v>2393.0587513457799</v>
      </c>
      <c r="EO117" s="209"/>
      <c r="EP117" s="468"/>
      <c r="EQ117" s="469"/>
      <c r="ER117" s="469"/>
      <c r="ES117" s="469"/>
      <c r="ET117" s="469"/>
      <c r="EU117" s="469"/>
      <c r="EV117" s="469"/>
      <c r="EW117" s="469"/>
      <c r="EX117" s="469"/>
      <c r="EY117" s="469"/>
      <c r="EZ117" s="469"/>
      <c r="FA117" s="469"/>
      <c r="FB117" s="469"/>
      <c r="FC117" s="469"/>
      <c r="FD117" s="469"/>
      <c r="FE117" s="469"/>
      <c r="FF117" s="469"/>
      <c r="FG117" s="469"/>
      <c r="FH117" s="469"/>
      <c r="FI117" s="469"/>
      <c r="FJ117" s="469"/>
      <c r="FK117" s="469"/>
      <c r="FL117" s="469"/>
      <c r="FM117" s="469"/>
      <c r="FN117" s="469"/>
      <c r="FO117" s="469"/>
      <c r="FP117" s="469"/>
      <c r="FQ117" s="469"/>
      <c r="FR117" s="469"/>
      <c r="FS117" s="469"/>
      <c r="FT117" s="469"/>
      <c r="FU117" s="469"/>
      <c r="FV117" s="469"/>
      <c r="FW117" s="469"/>
      <c r="FX117" s="469"/>
      <c r="FY117" s="469"/>
      <c r="FZ117" s="469"/>
      <c r="GA117" s="469"/>
      <c r="GB117" s="469"/>
      <c r="GC117" s="469"/>
      <c r="GD117" s="469"/>
      <c r="GE117" s="469"/>
      <c r="GF117" s="469"/>
      <c r="GG117" s="469"/>
      <c r="GH117" s="469"/>
      <c r="GI117" s="469"/>
      <c r="GJ117" s="469"/>
      <c r="GK117" s="469"/>
      <c r="GL117" s="469"/>
      <c r="GM117" s="469"/>
      <c r="GN117" s="469"/>
      <c r="GO117" s="469"/>
      <c r="GP117" s="469"/>
      <c r="GQ117" s="469"/>
      <c r="GR117" s="469"/>
      <c r="GS117" s="469"/>
      <c r="GT117" s="469"/>
      <c r="GU117" s="469"/>
      <c r="GV117" s="469"/>
      <c r="GW117" s="469"/>
      <c r="GX117" s="469"/>
      <c r="GY117" s="469"/>
      <c r="GZ117" s="469"/>
      <c r="HA117" s="469"/>
      <c r="HB117" s="469"/>
      <c r="HC117" s="469"/>
      <c r="HD117" s="469"/>
      <c r="HE117" s="469"/>
      <c r="HF117" s="469"/>
      <c r="HG117" s="469"/>
      <c r="HH117" s="469"/>
      <c r="HI117" s="469"/>
      <c r="HJ117" s="469"/>
      <c r="HK117" s="469"/>
      <c r="HL117" s="469"/>
      <c r="HM117" s="469"/>
      <c r="HN117" s="469"/>
      <c r="HO117" s="469"/>
      <c r="HP117" s="469"/>
      <c r="HQ117" s="469"/>
      <c r="HR117" s="469"/>
      <c r="HS117" s="469"/>
      <c r="HT117" s="469"/>
      <c r="HU117" s="469"/>
      <c r="HV117" s="469"/>
      <c r="HW117" s="469"/>
      <c r="HX117" s="469"/>
      <c r="HY117" s="469"/>
      <c r="HZ117" s="469"/>
      <c r="IA117" s="469"/>
      <c r="IB117" s="469"/>
      <c r="IC117" s="469"/>
      <c r="ID117" s="469"/>
      <c r="IE117" s="469"/>
      <c r="IF117" s="469"/>
      <c r="IG117" s="469"/>
      <c r="IH117" s="469"/>
      <c r="II117" s="469"/>
      <c r="IJ117" s="469"/>
      <c r="IK117" s="469"/>
      <c r="IL117" s="469"/>
      <c r="IM117" s="469"/>
      <c r="IN117" s="469"/>
      <c r="IO117" s="469"/>
      <c r="IP117" s="469"/>
      <c r="IQ117" s="469"/>
      <c r="IR117" s="469"/>
      <c r="IS117" s="469"/>
      <c r="IT117" s="469"/>
      <c r="IU117" s="469"/>
      <c r="IV117" s="469"/>
      <c r="IW117" s="469"/>
      <c r="IX117" s="469"/>
      <c r="IY117" s="469"/>
      <c r="IZ117" s="469"/>
      <c r="JA117" s="469"/>
      <c r="JB117" s="469"/>
      <c r="JC117" s="469"/>
      <c r="JD117" s="469"/>
      <c r="JE117" s="469"/>
      <c r="JF117" s="469"/>
      <c r="JG117" s="469"/>
      <c r="JH117" s="469"/>
      <c r="JI117" s="469"/>
      <c r="JJ117" s="469"/>
      <c r="JK117" s="469"/>
      <c r="JL117" s="469"/>
      <c r="JM117" s="469"/>
      <c r="JN117" s="469"/>
      <c r="JO117" s="469"/>
      <c r="JP117" s="469"/>
      <c r="JQ117" s="469"/>
      <c r="JR117" s="469"/>
      <c r="JS117" s="469"/>
      <c r="JT117" s="469"/>
      <c r="JU117" s="469"/>
      <c r="JV117" s="469"/>
      <c r="JW117" s="469"/>
      <c r="JX117" s="20"/>
      <c r="JZ117" s="470"/>
      <c r="KA117" s="470"/>
      <c r="KB117" s="470"/>
      <c r="KC117" s="470"/>
      <c r="KD117" s="470"/>
      <c r="KE117" s="470"/>
      <c r="KF117" s="470"/>
      <c r="KG117" s="470"/>
      <c r="KH117" s="470"/>
      <c r="KI117" s="470"/>
      <c r="KJ117" s="470"/>
      <c r="KK117" s="470"/>
      <c r="KL117" s="470"/>
      <c r="KM117" s="470"/>
      <c r="KN117" s="470"/>
      <c r="KO117" s="470"/>
      <c r="KP117" s="470"/>
      <c r="KQ117" s="470"/>
      <c r="KR117" s="470"/>
      <c r="KS117" s="470"/>
      <c r="KT117" s="470"/>
      <c r="KU117" s="470"/>
      <c r="KV117" s="470"/>
      <c r="KW117" s="470"/>
      <c r="KX117" s="470"/>
      <c r="KY117" s="470"/>
      <c r="KZ117" s="470"/>
      <c r="LA117" s="470"/>
      <c r="LB117" s="470"/>
      <c r="LC117" s="470"/>
      <c r="LD117" s="470"/>
      <c r="LE117" s="470"/>
      <c r="LF117" s="470"/>
      <c r="LG117" s="470"/>
      <c r="LH117" s="470"/>
      <c r="LI117" s="470"/>
      <c r="LJ117" s="470"/>
      <c r="LK117" s="470"/>
      <c r="LL117" s="470"/>
      <c r="LM117" s="470"/>
      <c r="LN117" s="470"/>
      <c r="LO117" s="470"/>
      <c r="LP117" s="470"/>
      <c r="LQ117" s="470"/>
      <c r="LR117" s="470"/>
      <c r="LS117" s="470"/>
      <c r="LT117" s="470"/>
      <c r="LU117" s="470"/>
      <c r="LV117" s="470"/>
      <c r="LW117" s="470"/>
      <c r="LX117" s="470"/>
      <c r="LY117" s="470"/>
      <c r="LZ117" s="470"/>
      <c r="MA117" s="470"/>
      <c r="MB117" s="470"/>
      <c r="MC117" s="470"/>
      <c r="MD117" s="470"/>
      <c r="ME117" s="470"/>
      <c r="MF117" s="470"/>
      <c r="MG117" s="470"/>
      <c r="MH117" s="470"/>
      <c r="MI117" s="470"/>
      <c r="MJ117" s="470"/>
      <c r="MK117" s="470"/>
      <c r="ML117" s="470"/>
      <c r="MM117" s="470"/>
      <c r="MN117" s="470"/>
      <c r="MO117" s="470"/>
      <c r="MP117" s="470"/>
      <c r="MQ117" s="470"/>
      <c r="MR117" s="470"/>
      <c r="MS117" s="470"/>
      <c r="MT117" s="470"/>
      <c r="MU117" s="470"/>
      <c r="MV117" s="470"/>
      <c r="MW117" s="470"/>
      <c r="MX117" s="470"/>
      <c r="MY117" s="470"/>
      <c r="MZ117" s="470"/>
      <c r="NA117" s="470"/>
      <c r="NB117" s="470"/>
      <c r="NC117" s="470"/>
      <c r="ND117" s="470"/>
      <c r="NE117" s="470"/>
      <c r="NF117" s="470"/>
      <c r="NG117" s="470"/>
      <c r="NH117" s="470"/>
      <c r="NI117" s="470"/>
      <c r="NJ117" s="470"/>
      <c r="NK117" s="470"/>
      <c r="NL117" s="470"/>
      <c r="NM117" s="470"/>
      <c r="NN117" s="470"/>
      <c r="NO117" s="470"/>
      <c r="NP117" s="470"/>
      <c r="NQ117" s="470"/>
      <c r="NR117" s="470"/>
      <c r="NS117" s="470"/>
      <c r="NT117" s="470"/>
      <c r="NU117" s="470"/>
      <c r="NV117" s="470"/>
      <c r="NW117" s="470"/>
      <c r="NX117" s="470"/>
      <c r="NY117" s="470"/>
      <c r="NZ117" s="470"/>
      <c r="OA117" s="470"/>
      <c r="OB117" s="470"/>
      <c r="OC117" s="470"/>
      <c r="OD117" s="470"/>
      <c r="OE117" s="470"/>
      <c r="OF117" s="470"/>
      <c r="OG117" s="470"/>
      <c r="OH117" s="470"/>
      <c r="OI117" s="470"/>
      <c r="OJ117" s="470"/>
      <c r="OK117" s="470"/>
      <c r="OL117" s="470"/>
      <c r="OM117" s="470"/>
      <c r="ON117" s="470"/>
      <c r="OO117" s="470"/>
      <c r="OP117" s="470"/>
      <c r="OQ117" s="470"/>
      <c r="OR117" s="470"/>
      <c r="OS117" s="470"/>
      <c r="OT117" s="470"/>
      <c r="OU117" s="470"/>
      <c r="OV117" s="470"/>
      <c r="OW117" s="470"/>
      <c r="OX117" s="470"/>
      <c r="OY117" s="470"/>
      <c r="OZ117" s="470"/>
      <c r="PA117" s="470"/>
      <c r="PB117" s="470"/>
      <c r="PC117" s="470"/>
      <c r="PD117" s="470"/>
      <c r="PE117" s="470"/>
      <c r="PF117" s="470"/>
      <c r="PG117" s="470"/>
      <c r="PH117" s="470"/>
    </row>
    <row r="118">
      <c r="B118" s="92" t="str">
        <f t="shared" si="780"/>
        <v>7-Eleven / App Automation</v>
      </c>
      <c r="C118" s="473" t="s">
        <v>272</v>
      </c>
      <c r="D118" s="279" t="s">
        <v>273</v>
      </c>
      <c r="E118" s="46">
        <f t="shared" si="781"/>
        <v>40</v>
      </c>
      <c r="F118" s="54">
        <v>1</v>
      </c>
      <c r="G118" s="255">
        <f t="shared" si="782"/>
        <v>8.1723987956948819E-4</v>
      </c>
      <c r="H118" s="149">
        <f t="shared" si="783"/>
        <v>41.989256626985473</v>
      </c>
      <c r="I118" s="449">
        <f t="shared" si="784"/>
        <v>2687.3124241270702</v>
      </c>
      <c r="K118" s="76"/>
      <c r="L118" s="76"/>
      <c r="M118" s="421">
        <f t="shared" si="785"/>
        <v>0</v>
      </c>
      <c r="N118" s="421">
        <f t="shared" si="785"/>
        <v>0</v>
      </c>
      <c r="O118" s="421">
        <f t="shared" si="785"/>
        <v>0</v>
      </c>
      <c r="P118" s="421">
        <f t="shared" si="785"/>
        <v>0</v>
      </c>
      <c r="Q118" s="421">
        <f t="shared" si="785"/>
        <v>0</v>
      </c>
      <c r="R118" s="421">
        <f t="shared" si="785"/>
        <v>0</v>
      </c>
      <c r="S118" s="421">
        <f t="shared" si="785"/>
        <v>0</v>
      </c>
      <c r="T118" s="421">
        <f t="shared" si="785"/>
        <v>0</v>
      </c>
      <c r="U118" s="421">
        <f t="shared" si="785"/>
        <v>0</v>
      </c>
      <c r="V118" s="421">
        <f t="shared" si="785"/>
        <v>0</v>
      </c>
      <c r="W118" s="421">
        <f t="shared" si="786"/>
        <v>0</v>
      </c>
      <c r="X118" s="421">
        <f t="shared" si="786"/>
        <v>0</v>
      </c>
      <c r="Y118" s="421">
        <f t="shared" si="786"/>
        <v>0</v>
      </c>
      <c r="Z118" s="421">
        <f t="shared" si="786"/>
        <v>0</v>
      </c>
      <c r="AA118" s="421">
        <f t="shared" si="786"/>
        <v>0</v>
      </c>
      <c r="AB118" s="421">
        <f t="shared" si="786"/>
        <v>0</v>
      </c>
      <c r="AC118" s="421">
        <f t="shared" si="786"/>
        <v>0</v>
      </c>
      <c r="AD118" s="421">
        <f t="shared" si="786"/>
        <v>0</v>
      </c>
      <c r="AE118" s="421">
        <f t="shared" si="786"/>
        <v>0</v>
      </c>
      <c r="AF118" s="421">
        <f t="shared" si="786"/>
        <v>0</v>
      </c>
      <c r="AG118" s="421">
        <f t="shared" si="787"/>
        <v>0</v>
      </c>
      <c r="AH118" s="421">
        <f t="shared" si="787"/>
        <v>0</v>
      </c>
      <c r="AI118" s="421">
        <f t="shared" si="787"/>
        <v>0</v>
      </c>
      <c r="AJ118" s="421">
        <f t="shared" si="787"/>
        <v>0</v>
      </c>
      <c r="AK118" s="421">
        <f t="shared" si="787"/>
        <v>0</v>
      </c>
      <c r="AL118" s="421">
        <f t="shared" si="787"/>
        <v>0</v>
      </c>
      <c r="AM118" s="421">
        <f t="shared" si="787"/>
        <v>0</v>
      </c>
      <c r="AN118" s="421">
        <f t="shared" si="787"/>
        <v>0</v>
      </c>
      <c r="AO118" s="421">
        <f t="shared" si="787"/>
        <v>0</v>
      </c>
      <c r="AP118" s="421">
        <f t="shared" si="787"/>
        <v>0</v>
      </c>
      <c r="AQ118" s="421">
        <f t="shared" si="788"/>
        <v>0</v>
      </c>
      <c r="AR118" s="421">
        <f t="shared" si="788"/>
        <v>0</v>
      </c>
      <c r="AS118" s="421">
        <f t="shared" si="788"/>
        <v>0</v>
      </c>
      <c r="AT118" s="421">
        <f t="shared" si="788"/>
        <v>0</v>
      </c>
      <c r="AU118" s="421">
        <f t="shared" si="788"/>
        <v>0</v>
      </c>
      <c r="AV118" s="421">
        <f t="shared" si="788"/>
        <v>0</v>
      </c>
      <c r="AW118" s="421">
        <f t="shared" si="788"/>
        <v>0</v>
      </c>
      <c r="AX118" s="421">
        <f t="shared" si="788"/>
        <v>0</v>
      </c>
      <c r="AY118" s="421">
        <f t="shared" si="788"/>
        <v>0</v>
      </c>
      <c r="AZ118" s="421">
        <f t="shared" si="788"/>
        <v>223.94270201058916</v>
      </c>
      <c r="BA118" s="421">
        <f t="shared" si="789"/>
        <v>223.94270201058916</v>
      </c>
      <c r="BB118" s="421">
        <f t="shared" si="789"/>
        <v>223.94270201058916</v>
      </c>
      <c r="BC118" s="421">
        <f t="shared" si="789"/>
        <v>228.86889836397881</v>
      </c>
      <c r="BD118" s="421">
        <f t="shared" si="789"/>
        <v>228.86889836397881</v>
      </c>
      <c r="BE118" s="421">
        <f t="shared" si="789"/>
        <v>228.86889836397881</v>
      </c>
      <c r="BF118" s="421">
        <f t="shared" si="789"/>
        <v>228.86889836397881</v>
      </c>
      <c r="BG118" s="421">
        <f t="shared" si="789"/>
        <v>228.86889836397881</v>
      </c>
      <c r="BH118" s="421">
        <f t="shared" si="789"/>
        <v>228.86889836397881</v>
      </c>
      <c r="BI118" s="421">
        <f t="shared" si="789"/>
        <v>228.86889836397881</v>
      </c>
      <c r="BJ118" s="421">
        <f t="shared" si="789"/>
        <v>228.86889836397881</v>
      </c>
      <c r="BK118" s="421">
        <f t="shared" si="790"/>
        <v>228.86889836397881</v>
      </c>
      <c r="BL118" s="421">
        <f t="shared" si="790"/>
        <v>228.86889836397881</v>
      </c>
      <c r="BM118" s="421">
        <f t="shared" si="790"/>
        <v>228.86889836397881</v>
      </c>
      <c r="BN118" s="421">
        <f t="shared" si="790"/>
        <v>228.86889836397881</v>
      </c>
      <c r="BO118" s="421">
        <f t="shared" si="790"/>
        <v>233.35569404775978</v>
      </c>
      <c r="BP118" s="421">
        <f t="shared" si="790"/>
        <v>233.35569404775978</v>
      </c>
      <c r="BQ118" s="421">
        <f t="shared" si="790"/>
        <v>233.35569404775978</v>
      </c>
      <c r="BR118" s="421">
        <f t="shared" si="790"/>
        <v>233.35569404775978</v>
      </c>
      <c r="BS118" s="421">
        <f t="shared" si="790"/>
        <v>233.35569404775978</v>
      </c>
      <c r="BT118" s="421">
        <f t="shared" si="790"/>
        <v>233.35569404775978</v>
      </c>
      <c r="BU118" s="421">
        <f t="shared" si="791"/>
        <v>233.35569404775978</v>
      </c>
      <c r="BV118" s="421">
        <f t="shared" si="791"/>
        <v>233.35569404775978</v>
      </c>
      <c r="BW118" s="421">
        <f t="shared" si="791"/>
        <v>233.35569404775978</v>
      </c>
      <c r="BX118" s="421">
        <f t="shared" si="791"/>
        <v>233.35569404775978</v>
      </c>
      <c r="BY118" s="421">
        <f t="shared" si="791"/>
        <v>233.35569404775978</v>
      </c>
      <c r="BZ118" s="421">
        <f t="shared" si="791"/>
        <v>233.35569404775978</v>
      </c>
      <c r="CA118" s="421">
        <f t="shared" si="791"/>
        <v>237.90707625575095</v>
      </c>
      <c r="CB118" s="421">
        <f t="shared" si="791"/>
        <v>237.90707625575095</v>
      </c>
      <c r="CC118" s="421">
        <f t="shared" si="791"/>
        <v>237.90707625575095</v>
      </c>
      <c r="CD118" s="421">
        <f t="shared" si="791"/>
        <v>237.90707625575095</v>
      </c>
      <c r="CE118" s="421">
        <f t="shared" si="792"/>
        <v>237.90707625575095</v>
      </c>
      <c r="CF118" s="421">
        <f t="shared" si="792"/>
        <v>237.90707625575095</v>
      </c>
      <c r="CG118" s="421">
        <f t="shared" si="792"/>
        <v>237.90707625575095</v>
      </c>
      <c r="CH118" s="421">
        <f t="shared" si="792"/>
        <v>237.90707625575095</v>
      </c>
      <c r="CI118" s="421">
        <f t="shared" si="792"/>
        <v>237.90707625575095</v>
      </c>
      <c r="CJ118" s="421">
        <f t="shared" si="792"/>
        <v>237.90707625575095</v>
      </c>
      <c r="CK118" s="421">
        <f t="shared" si="792"/>
        <v>237.90707625575095</v>
      </c>
      <c r="CL118" s="421">
        <f t="shared" si="792"/>
        <v>237.90707625575095</v>
      </c>
      <c r="CM118" s="421">
        <f t="shared" si="792"/>
        <v>235.28707247659008</v>
      </c>
      <c r="CN118" s="421">
        <f t="shared" si="792"/>
        <v>235.28707247659008</v>
      </c>
      <c r="CO118" s="421">
        <f t="shared" si="793"/>
        <v>235.28707247659008</v>
      </c>
      <c r="CP118" s="421">
        <f t="shared" si="793"/>
        <v>235.28707247659008</v>
      </c>
      <c r="CQ118" s="421">
        <f t="shared" si="793"/>
        <v>235.28707247659008</v>
      </c>
      <c r="CR118" s="421">
        <f t="shared" si="793"/>
        <v>235.28707247659008</v>
      </c>
      <c r="CS118" s="421">
        <f t="shared" si="793"/>
        <v>235.28707247659008</v>
      </c>
      <c r="CT118" s="421">
        <f t="shared" si="793"/>
        <v>235.28707247659008</v>
      </c>
      <c r="CU118" s="421">
        <f t="shared" si="793"/>
        <v>235.28707247659008</v>
      </c>
      <c r="CV118" s="421">
        <f t="shared" si="793"/>
        <v>235.28707247659008</v>
      </c>
      <c r="CW118" s="421">
        <f t="shared" si="793"/>
        <v>235.28707247659008</v>
      </c>
      <c r="CX118" s="421">
        <f t="shared" si="793"/>
        <v>235.28707247659008</v>
      </c>
      <c r="CY118" s="421">
        <f t="shared" si="794"/>
        <v>240.02337620428082</v>
      </c>
      <c r="CZ118" s="421">
        <f t="shared" si="794"/>
        <v>240.02337620428082</v>
      </c>
      <c r="DA118" s="421">
        <f t="shared" si="794"/>
        <v>240.02337620428082</v>
      </c>
      <c r="DB118" s="421">
        <f t="shared" si="794"/>
        <v>240.02337620428082</v>
      </c>
      <c r="DC118" s="421">
        <f t="shared" si="794"/>
        <v>240.02337620428082</v>
      </c>
      <c r="DD118" s="421">
        <f t="shared" si="794"/>
        <v>240.02337620428082</v>
      </c>
      <c r="DE118" s="421">
        <f t="shared" si="794"/>
        <v>240.02337620428082</v>
      </c>
      <c r="DF118" s="421">
        <f t="shared" si="794"/>
        <v>240.02337620428082</v>
      </c>
      <c r="DG118" s="421">
        <f t="shared" si="794"/>
        <v>240.02337620428082</v>
      </c>
      <c r="DH118" s="421">
        <f t="shared" si="794"/>
        <v>240.02337620428082</v>
      </c>
      <c r="DI118" s="421">
        <f t="shared" si="795"/>
        <v>240.02337620428082</v>
      </c>
      <c r="DJ118" s="421">
        <f t="shared" si="795"/>
        <v>240.02337620428082</v>
      </c>
      <c r="DK118" s="421">
        <f t="shared" si="795"/>
        <v>244.92651950764375</v>
      </c>
      <c r="DL118" s="421">
        <f t="shared" si="795"/>
        <v>244.92651950764375</v>
      </c>
      <c r="DM118" s="421">
        <f t="shared" si="795"/>
        <v>244.92651950764375</v>
      </c>
      <c r="DN118" s="421">
        <f t="shared" si="795"/>
        <v>244.92651950764375</v>
      </c>
      <c r="DO118" s="421">
        <f t="shared" si="795"/>
        <v>244.92651950764375</v>
      </c>
      <c r="DP118" s="421">
        <f t="shared" si="795"/>
        <v>244.92651950764375</v>
      </c>
      <c r="DQ118" s="421">
        <f t="shared" si="795"/>
        <v>244.92651950764375</v>
      </c>
      <c r="DR118" s="421">
        <f t="shared" si="795"/>
        <v>244.92651950764375</v>
      </c>
      <c r="DS118" s="421">
        <f t="shared" si="796"/>
        <v>244.92651950764375</v>
      </c>
      <c r="DT118" s="421">
        <f t="shared" si="796"/>
        <v>244.92651950764375</v>
      </c>
      <c r="DU118" s="421">
        <f t="shared" si="796"/>
        <v>244.92651950764375</v>
      </c>
      <c r="DV118" s="421">
        <f t="shared" si="796"/>
        <v>244.92651950764375</v>
      </c>
      <c r="DW118" s="421">
        <f t="shared" si="796"/>
        <v>250.00380540054476</v>
      </c>
      <c r="DX118" s="421">
        <f t="shared" si="796"/>
        <v>250.00380540054476</v>
      </c>
      <c r="DY118" s="421">
        <f t="shared" si="796"/>
        <v>250.00380540054476</v>
      </c>
      <c r="DZ118" s="421">
        <f t="shared" si="796"/>
        <v>250.00380540054476</v>
      </c>
      <c r="EA118" s="421">
        <f t="shared" si="796"/>
        <v>250.00380540054476</v>
      </c>
      <c r="EB118" s="421">
        <f t="shared" si="796"/>
        <v>250.00380540054476</v>
      </c>
      <c r="EC118" s="421">
        <f t="shared" si="797"/>
        <v>250.00380540054476</v>
      </c>
      <c r="ED118" s="421">
        <f t="shared" si="797"/>
        <v>250.00380540054476</v>
      </c>
      <c r="EE118" s="421">
        <f t="shared" si="797"/>
        <v>250.00380540054476</v>
      </c>
      <c r="EF118" s="421">
        <f t="shared" si="797"/>
        <v>250.00380540054476</v>
      </c>
      <c r="EG118" s="421">
        <f t="shared" si="797"/>
        <v>250.00380540054476</v>
      </c>
      <c r="EH118" s="421">
        <f t="shared" si="797"/>
        <v>250.00380540054476</v>
      </c>
      <c r="EI118" s="421">
        <f t="shared" si="797"/>
        <v>255.25960014354985</v>
      </c>
      <c r="EJ118" s="421">
        <f t="shared" si="797"/>
        <v>255.25960014354985</v>
      </c>
      <c r="EK118" s="421">
        <f t="shared" si="797"/>
        <v>255.25960014354985</v>
      </c>
      <c r="EL118" s="421">
        <f t="shared" si="797"/>
        <v>255.25960014354985</v>
      </c>
      <c r="EM118" s="421">
        <f t="shared" si="797"/>
        <v>255.25960014354985</v>
      </c>
      <c r="EN118" s="421">
        <f t="shared" si="797"/>
        <v>255.25960014354985</v>
      </c>
      <c r="EO118" s="209"/>
      <c r="EP118" s="468"/>
      <c r="EQ118" s="469"/>
      <c r="ER118" s="469"/>
      <c r="ES118" s="469"/>
      <c r="ET118" s="469"/>
      <c r="EU118" s="469"/>
      <c r="EV118" s="469"/>
      <c r="EW118" s="469"/>
      <c r="EX118" s="469"/>
      <c r="EY118" s="469"/>
      <c r="EZ118" s="469"/>
      <c r="FA118" s="469"/>
      <c r="FB118" s="469"/>
      <c r="FC118" s="469"/>
      <c r="FD118" s="469"/>
      <c r="FE118" s="469"/>
      <c r="FF118" s="469"/>
      <c r="FG118" s="469"/>
      <c r="FH118" s="469"/>
      <c r="FI118" s="469"/>
      <c r="FJ118" s="469"/>
      <c r="FK118" s="469"/>
      <c r="FL118" s="469"/>
      <c r="FM118" s="469"/>
      <c r="FN118" s="469"/>
      <c r="FO118" s="469"/>
      <c r="FP118" s="469"/>
      <c r="FQ118" s="469"/>
      <c r="FR118" s="469"/>
      <c r="FS118" s="469"/>
      <c r="FT118" s="469"/>
      <c r="FU118" s="469"/>
      <c r="FV118" s="469"/>
      <c r="FW118" s="469"/>
      <c r="FX118" s="469"/>
      <c r="FY118" s="469"/>
      <c r="FZ118" s="469"/>
      <c r="GA118" s="469"/>
      <c r="GB118" s="469"/>
      <c r="GC118" s="469"/>
      <c r="GD118" s="469"/>
      <c r="GE118" s="469"/>
      <c r="GF118" s="469"/>
      <c r="GG118" s="469"/>
      <c r="GH118" s="469"/>
      <c r="GI118" s="469"/>
      <c r="GJ118" s="469"/>
      <c r="GK118" s="469"/>
      <c r="GL118" s="469"/>
      <c r="GM118" s="469"/>
      <c r="GN118" s="469"/>
      <c r="GO118" s="469"/>
      <c r="GP118" s="469"/>
      <c r="GQ118" s="469"/>
      <c r="GR118" s="469"/>
      <c r="GS118" s="469"/>
      <c r="GT118" s="469"/>
      <c r="GU118" s="469"/>
      <c r="GV118" s="469"/>
      <c r="GW118" s="469"/>
      <c r="GX118" s="469"/>
      <c r="GY118" s="469"/>
      <c r="GZ118" s="469"/>
      <c r="HA118" s="469"/>
      <c r="HB118" s="469"/>
      <c r="HC118" s="469"/>
      <c r="HD118" s="469"/>
      <c r="HE118" s="469"/>
      <c r="HF118" s="469"/>
      <c r="HG118" s="469"/>
      <c r="HH118" s="469"/>
      <c r="HI118" s="469"/>
      <c r="HJ118" s="469"/>
      <c r="HK118" s="469"/>
      <c r="HL118" s="469"/>
      <c r="HM118" s="469"/>
      <c r="HN118" s="469"/>
      <c r="HO118" s="469"/>
      <c r="HP118" s="469"/>
      <c r="HQ118" s="469"/>
      <c r="HR118" s="469"/>
      <c r="HS118" s="469"/>
      <c r="HT118" s="469"/>
      <c r="HU118" s="469"/>
      <c r="HV118" s="469"/>
      <c r="HW118" s="469"/>
      <c r="HX118" s="469"/>
      <c r="HY118" s="469"/>
      <c r="HZ118" s="469"/>
      <c r="IA118" s="469"/>
      <c r="IB118" s="469"/>
      <c r="IC118" s="469"/>
      <c r="ID118" s="469"/>
      <c r="IE118" s="469"/>
      <c r="IF118" s="469"/>
      <c r="IG118" s="469"/>
      <c r="IH118" s="469"/>
      <c r="II118" s="469"/>
      <c r="IJ118" s="469"/>
      <c r="IK118" s="469"/>
      <c r="IL118" s="469"/>
      <c r="IM118" s="469"/>
      <c r="IN118" s="469"/>
      <c r="IO118" s="469"/>
      <c r="IP118" s="469"/>
      <c r="IQ118" s="469"/>
      <c r="IR118" s="469"/>
      <c r="IS118" s="469"/>
      <c r="IT118" s="469"/>
      <c r="IU118" s="469"/>
      <c r="IV118" s="469"/>
      <c r="IW118" s="469"/>
      <c r="IX118" s="469"/>
      <c r="IY118" s="469"/>
      <c r="IZ118" s="469"/>
      <c r="JA118" s="469"/>
      <c r="JB118" s="469"/>
      <c r="JC118" s="469"/>
      <c r="JD118" s="469"/>
      <c r="JE118" s="469"/>
      <c r="JF118" s="469"/>
      <c r="JG118" s="469"/>
      <c r="JH118" s="469"/>
      <c r="JI118" s="469"/>
      <c r="JJ118" s="469"/>
      <c r="JK118" s="469"/>
      <c r="JL118" s="469"/>
      <c r="JM118" s="469"/>
      <c r="JN118" s="469"/>
      <c r="JO118" s="469"/>
      <c r="JP118" s="469"/>
      <c r="JQ118" s="469"/>
      <c r="JR118" s="469"/>
      <c r="JS118" s="469"/>
      <c r="JT118" s="469"/>
      <c r="JU118" s="469"/>
      <c r="JV118" s="469"/>
      <c r="JW118" s="469"/>
      <c r="JX118" s="20"/>
      <c r="JZ118" s="470"/>
      <c r="KA118" s="470"/>
      <c r="KB118" s="470"/>
      <c r="KC118" s="470"/>
      <c r="KD118" s="470"/>
      <c r="KE118" s="470"/>
      <c r="KF118" s="470"/>
      <c r="KG118" s="470"/>
      <c r="KH118" s="470"/>
      <c r="KI118" s="470"/>
      <c r="KJ118" s="470"/>
      <c r="KK118" s="470"/>
      <c r="KL118" s="470"/>
      <c r="KM118" s="470"/>
      <c r="KN118" s="470"/>
      <c r="KO118" s="470"/>
      <c r="KP118" s="470"/>
      <c r="KQ118" s="470"/>
      <c r="KR118" s="470"/>
      <c r="KS118" s="470"/>
      <c r="KT118" s="470"/>
      <c r="KU118" s="470"/>
      <c r="KV118" s="470"/>
      <c r="KW118" s="470"/>
      <c r="KX118" s="470"/>
      <c r="KY118" s="470"/>
      <c r="KZ118" s="470"/>
      <c r="LA118" s="470"/>
      <c r="LB118" s="470"/>
      <c r="LC118" s="470"/>
      <c r="LD118" s="470"/>
      <c r="LE118" s="470"/>
      <c r="LF118" s="470"/>
      <c r="LG118" s="470"/>
      <c r="LH118" s="470"/>
      <c r="LI118" s="470"/>
      <c r="LJ118" s="470"/>
      <c r="LK118" s="470"/>
      <c r="LL118" s="470"/>
      <c r="LM118" s="470"/>
      <c r="LN118" s="470"/>
      <c r="LO118" s="470"/>
      <c r="LP118" s="470"/>
      <c r="LQ118" s="470"/>
      <c r="LR118" s="470"/>
      <c r="LS118" s="470"/>
      <c r="LT118" s="470"/>
      <c r="LU118" s="470"/>
      <c r="LV118" s="470"/>
      <c r="LW118" s="470"/>
      <c r="LX118" s="470"/>
      <c r="LY118" s="470"/>
      <c r="LZ118" s="470"/>
      <c r="MA118" s="470"/>
      <c r="MB118" s="470"/>
      <c r="MC118" s="470"/>
      <c r="MD118" s="470"/>
      <c r="ME118" s="470"/>
      <c r="MF118" s="470"/>
      <c r="MG118" s="470"/>
      <c r="MH118" s="470"/>
      <c r="MI118" s="470"/>
      <c r="MJ118" s="470"/>
      <c r="MK118" s="470"/>
      <c r="ML118" s="470"/>
      <c r="MM118" s="470"/>
      <c r="MN118" s="470"/>
      <c r="MO118" s="470"/>
      <c r="MP118" s="470"/>
      <c r="MQ118" s="470"/>
      <c r="MR118" s="470"/>
      <c r="MS118" s="470"/>
      <c r="MT118" s="470"/>
      <c r="MU118" s="470"/>
      <c r="MV118" s="470"/>
      <c r="MW118" s="470"/>
      <c r="MX118" s="470"/>
      <c r="MY118" s="470"/>
      <c r="MZ118" s="470"/>
      <c r="NA118" s="470"/>
      <c r="NB118" s="470"/>
      <c r="NC118" s="470"/>
      <c r="ND118" s="470"/>
      <c r="NE118" s="470"/>
      <c r="NF118" s="470"/>
      <c r="NG118" s="470"/>
      <c r="NH118" s="470"/>
      <c r="NI118" s="470"/>
      <c r="NJ118" s="470"/>
      <c r="NK118" s="470"/>
      <c r="NL118" s="470"/>
      <c r="NM118" s="470"/>
      <c r="NN118" s="470"/>
      <c r="NO118" s="470"/>
      <c r="NP118" s="470"/>
      <c r="NQ118" s="470"/>
      <c r="NR118" s="470"/>
      <c r="NS118" s="470"/>
      <c r="NT118" s="470"/>
      <c r="NU118" s="470"/>
      <c r="NV118" s="470"/>
      <c r="NW118" s="470"/>
      <c r="NX118" s="470"/>
      <c r="NY118" s="470"/>
      <c r="NZ118" s="470"/>
      <c r="OA118" s="470"/>
      <c r="OB118" s="470"/>
      <c r="OC118" s="470"/>
      <c r="OD118" s="470"/>
      <c r="OE118" s="470"/>
      <c r="OF118" s="470"/>
      <c r="OG118" s="470"/>
      <c r="OH118" s="470"/>
      <c r="OI118" s="470"/>
      <c r="OJ118" s="470"/>
      <c r="OK118" s="470"/>
      <c r="OL118" s="470"/>
      <c r="OM118" s="470"/>
      <c r="ON118" s="470"/>
      <c r="OO118" s="470"/>
      <c r="OP118" s="470"/>
      <c r="OQ118" s="470"/>
      <c r="OR118" s="470"/>
      <c r="OS118" s="470"/>
      <c r="OT118" s="470"/>
      <c r="OU118" s="470"/>
      <c r="OV118" s="470"/>
      <c r="OW118" s="470"/>
      <c r="OX118" s="470"/>
      <c r="OY118" s="470"/>
      <c r="OZ118" s="470"/>
      <c r="PA118" s="470"/>
      <c r="PB118" s="470"/>
      <c r="PC118" s="470"/>
      <c r="PD118" s="470"/>
      <c r="PE118" s="470"/>
      <c r="PF118" s="470"/>
      <c r="PG118" s="470"/>
      <c r="PH118" s="470"/>
    </row>
    <row r="119">
      <c r="B119" s="92" t="str">
        <f t="shared" si="780"/>
        <v>App Automation</v>
      </c>
      <c r="C119" s="473" t="s">
        <v>272</v>
      </c>
      <c r="D119" s="279" t="s">
        <v>273</v>
      </c>
      <c r="E119" s="145">
        <f t="shared" si="781"/>
        <v>40</v>
      </c>
      <c r="F119" s="54">
        <v>1</v>
      </c>
      <c r="G119" s="256">
        <f t="shared" si="782"/>
        <v>6.129299096771162E-4</v>
      </c>
      <c r="H119" s="152">
        <f t="shared" si="783"/>
        <v>41.989256626985473</v>
      </c>
      <c r="I119" s="478">
        <f t="shared" si="784"/>
        <v>2015.4843180953028</v>
      </c>
      <c r="K119" s="203"/>
      <c r="L119" s="203"/>
      <c r="M119" s="426">
        <f t="shared" si="785"/>
        <v>0</v>
      </c>
      <c r="N119" s="426">
        <f t="shared" si="785"/>
        <v>0</v>
      </c>
      <c r="O119" s="426">
        <f t="shared" si="785"/>
        <v>0</v>
      </c>
      <c r="P119" s="426">
        <f t="shared" si="785"/>
        <v>0</v>
      </c>
      <c r="Q119" s="426">
        <f t="shared" si="785"/>
        <v>0</v>
      </c>
      <c r="R119" s="426">
        <f t="shared" si="785"/>
        <v>0</v>
      </c>
      <c r="S119" s="426">
        <f t="shared" si="785"/>
        <v>0</v>
      </c>
      <c r="T119" s="426">
        <f t="shared" si="785"/>
        <v>0</v>
      </c>
      <c r="U119" s="426">
        <f t="shared" si="785"/>
        <v>0</v>
      </c>
      <c r="V119" s="426">
        <f t="shared" si="785"/>
        <v>0</v>
      </c>
      <c r="W119" s="426">
        <f t="shared" si="786"/>
        <v>0</v>
      </c>
      <c r="X119" s="426">
        <f t="shared" si="786"/>
        <v>0</v>
      </c>
      <c r="Y119" s="426">
        <f t="shared" si="786"/>
        <v>0</v>
      </c>
      <c r="Z119" s="426">
        <f t="shared" si="786"/>
        <v>0</v>
      </c>
      <c r="AA119" s="426">
        <f t="shared" si="786"/>
        <v>0</v>
      </c>
      <c r="AB119" s="426">
        <f t="shared" si="786"/>
        <v>0</v>
      </c>
      <c r="AC119" s="426">
        <f t="shared" si="786"/>
        <v>0</v>
      </c>
      <c r="AD119" s="426">
        <f t="shared" si="786"/>
        <v>0</v>
      </c>
      <c r="AE119" s="426">
        <f t="shared" si="786"/>
        <v>0</v>
      </c>
      <c r="AF119" s="426">
        <f t="shared" si="786"/>
        <v>0</v>
      </c>
      <c r="AG119" s="426">
        <f t="shared" si="787"/>
        <v>0</v>
      </c>
      <c r="AH119" s="426">
        <f t="shared" si="787"/>
        <v>0</v>
      </c>
      <c r="AI119" s="426">
        <f t="shared" si="787"/>
        <v>0</v>
      </c>
      <c r="AJ119" s="426">
        <f t="shared" si="787"/>
        <v>0</v>
      </c>
      <c r="AK119" s="426">
        <f t="shared" si="787"/>
        <v>0</v>
      </c>
      <c r="AL119" s="426">
        <f t="shared" si="787"/>
        <v>0</v>
      </c>
      <c r="AM119" s="426">
        <f t="shared" si="787"/>
        <v>0</v>
      </c>
      <c r="AN119" s="426">
        <f t="shared" si="787"/>
        <v>0</v>
      </c>
      <c r="AO119" s="426">
        <f t="shared" si="787"/>
        <v>0</v>
      </c>
      <c r="AP119" s="426">
        <f t="shared" si="787"/>
        <v>0</v>
      </c>
      <c r="AQ119" s="426">
        <f t="shared" si="788"/>
        <v>0</v>
      </c>
      <c r="AR119" s="426">
        <f t="shared" si="788"/>
        <v>0</v>
      </c>
      <c r="AS119" s="426">
        <f t="shared" si="788"/>
        <v>0</v>
      </c>
      <c r="AT119" s="426">
        <f t="shared" si="788"/>
        <v>0</v>
      </c>
      <c r="AU119" s="426">
        <f t="shared" si="788"/>
        <v>0</v>
      </c>
      <c r="AV119" s="426">
        <f t="shared" si="788"/>
        <v>0</v>
      </c>
      <c r="AW119" s="426">
        <f t="shared" si="788"/>
        <v>0</v>
      </c>
      <c r="AX119" s="426">
        <f t="shared" si="788"/>
        <v>0</v>
      </c>
      <c r="AY119" s="426">
        <f t="shared" si="788"/>
        <v>0</v>
      </c>
      <c r="AZ119" s="426">
        <f t="shared" si="788"/>
        <v>167.95702650794189</v>
      </c>
      <c r="BA119" s="426">
        <f t="shared" si="789"/>
        <v>167.95702650794189</v>
      </c>
      <c r="BB119" s="426">
        <f t="shared" si="789"/>
        <v>167.95702650794189</v>
      </c>
      <c r="BC119" s="426">
        <f t="shared" si="789"/>
        <v>171.65167377298411</v>
      </c>
      <c r="BD119" s="426">
        <f t="shared" si="789"/>
        <v>171.65167377298411</v>
      </c>
      <c r="BE119" s="426">
        <f t="shared" si="789"/>
        <v>171.65167377298411</v>
      </c>
      <c r="BF119" s="426">
        <f t="shared" si="789"/>
        <v>171.65167377298411</v>
      </c>
      <c r="BG119" s="426">
        <f t="shared" si="789"/>
        <v>171.65167377298411</v>
      </c>
      <c r="BH119" s="426">
        <f t="shared" si="789"/>
        <v>171.65167377298411</v>
      </c>
      <c r="BI119" s="426">
        <f t="shared" si="789"/>
        <v>171.65167377298411</v>
      </c>
      <c r="BJ119" s="426">
        <f t="shared" si="789"/>
        <v>171.65167377298411</v>
      </c>
      <c r="BK119" s="426">
        <f t="shared" si="790"/>
        <v>171.65167377298411</v>
      </c>
      <c r="BL119" s="426">
        <f t="shared" si="790"/>
        <v>171.65167377298411</v>
      </c>
      <c r="BM119" s="426">
        <f t="shared" si="790"/>
        <v>171.65167377298411</v>
      </c>
      <c r="BN119" s="426">
        <f t="shared" si="790"/>
        <v>171.65167377298411</v>
      </c>
      <c r="BO119" s="426">
        <f t="shared" si="790"/>
        <v>175.01677053581986</v>
      </c>
      <c r="BP119" s="426">
        <f t="shared" si="790"/>
        <v>175.01677053581986</v>
      </c>
      <c r="BQ119" s="426">
        <f t="shared" si="790"/>
        <v>175.01677053581986</v>
      </c>
      <c r="BR119" s="426">
        <f t="shared" si="790"/>
        <v>175.01677053581986</v>
      </c>
      <c r="BS119" s="426">
        <f t="shared" si="790"/>
        <v>175.01677053581986</v>
      </c>
      <c r="BT119" s="426">
        <f t="shared" si="790"/>
        <v>175.01677053581986</v>
      </c>
      <c r="BU119" s="426">
        <f t="shared" si="791"/>
        <v>175.01677053581986</v>
      </c>
      <c r="BV119" s="426">
        <f t="shared" si="791"/>
        <v>175.01677053581986</v>
      </c>
      <c r="BW119" s="426">
        <f t="shared" si="791"/>
        <v>175.01677053581986</v>
      </c>
      <c r="BX119" s="426">
        <f t="shared" si="791"/>
        <v>175.01677053581986</v>
      </c>
      <c r="BY119" s="426">
        <f t="shared" si="791"/>
        <v>175.01677053581986</v>
      </c>
      <c r="BZ119" s="426">
        <f t="shared" si="791"/>
        <v>175.01677053581986</v>
      </c>
      <c r="CA119" s="426">
        <f t="shared" si="791"/>
        <v>178.43030719181323</v>
      </c>
      <c r="CB119" s="426">
        <f t="shared" si="791"/>
        <v>178.43030719181323</v>
      </c>
      <c r="CC119" s="426">
        <f t="shared" si="791"/>
        <v>178.43030719181323</v>
      </c>
      <c r="CD119" s="426">
        <f t="shared" si="791"/>
        <v>178.43030719181323</v>
      </c>
      <c r="CE119" s="426">
        <f t="shared" si="792"/>
        <v>178.43030719181323</v>
      </c>
      <c r="CF119" s="426">
        <f t="shared" si="792"/>
        <v>178.43030719181323</v>
      </c>
      <c r="CG119" s="426">
        <f t="shared" si="792"/>
        <v>178.43030719181323</v>
      </c>
      <c r="CH119" s="426">
        <f t="shared" si="792"/>
        <v>178.43030719181323</v>
      </c>
      <c r="CI119" s="426">
        <f t="shared" si="792"/>
        <v>178.43030719181323</v>
      </c>
      <c r="CJ119" s="426">
        <f t="shared" si="792"/>
        <v>178.43030719181323</v>
      </c>
      <c r="CK119" s="426">
        <f t="shared" si="792"/>
        <v>178.43030719181323</v>
      </c>
      <c r="CL119" s="426">
        <f t="shared" si="792"/>
        <v>178.43030719181323</v>
      </c>
      <c r="CM119" s="426">
        <f t="shared" si="792"/>
        <v>176.46530435744256</v>
      </c>
      <c r="CN119" s="426">
        <f t="shared" si="792"/>
        <v>176.46530435744256</v>
      </c>
      <c r="CO119" s="426">
        <f t="shared" si="793"/>
        <v>176.46530435744256</v>
      </c>
      <c r="CP119" s="426">
        <f t="shared" si="793"/>
        <v>176.46530435744256</v>
      </c>
      <c r="CQ119" s="426">
        <f t="shared" si="793"/>
        <v>176.46530435744256</v>
      </c>
      <c r="CR119" s="426">
        <f t="shared" si="793"/>
        <v>176.46530435744256</v>
      </c>
      <c r="CS119" s="426">
        <f t="shared" si="793"/>
        <v>176.46530435744256</v>
      </c>
      <c r="CT119" s="426">
        <f t="shared" si="793"/>
        <v>176.46530435744256</v>
      </c>
      <c r="CU119" s="426">
        <f t="shared" si="793"/>
        <v>176.46530435744256</v>
      </c>
      <c r="CV119" s="426">
        <f t="shared" si="793"/>
        <v>176.46530435744256</v>
      </c>
      <c r="CW119" s="426">
        <f t="shared" si="793"/>
        <v>176.46530435744256</v>
      </c>
      <c r="CX119" s="426">
        <f t="shared" si="793"/>
        <v>176.46530435744256</v>
      </c>
      <c r="CY119" s="426">
        <f t="shared" si="794"/>
        <v>180.01753215321062</v>
      </c>
      <c r="CZ119" s="426">
        <f t="shared" si="794"/>
        <v>180.01753215321062</v>
      </c>
      <c r="DA119" s="426">
        <f t="shared" si="794"/>
        <v>180.01753215321062</v>
      </c>
      <c r="DB119" s="426">
        <f t="shared" si="794"/>
        <v>180.01753215321062</v>
      </c>
      <c r="DC119" s="426">
        <f t="shared" si="794"/>
        <v>180.01753215321062</v>
      </c>
      <c r="DD119" s="426">
        <f t="shared" si="794"/>
        <v>180.01753215321062</v>
      </c>
      <c r="DE119" s="426">
        <f t="shared" si="794"/>
        <v>180.01753215321062</v>
      </c>
      <c r="DF119" s="426">
        <f t="shared" si="794"/>
        <v>180.01753215321062</v>
      </c>
      <c r="DG119" s="426">
        <f t="shared" si="794"/>
        <v>180.01753215321062</v>
      </c>
      <c r="DH119" s="426">
        <f t="shared" si="794"/>
        <v>180.01753215321062</v>
      </c>
      <c r="DI119" s="426">
        <f t="shared" si="795"/>
        <v>180.01753215321062</v>
      </c>
      <c r="DJ119" s="426">
        <f t="shared" si="795"/>
        <v>180.01753215321062</v>
      </c>
      <c r="DK119" s="426">
        <f t="shared" si="795"/>
        <v>183.69488963073283</v>
      </c>
      <c r="DL119" s="426">
        <f t="shared" si="795"/>
        <v>183.69488963073283</v>
      </c>
      <c r="DM119" s="426">
        <f t="shared" si="795"/>
        <v>183.69488963073283</v>
      </c>
      <c r="DN119" s="426">
        <f t="shared" si="795"/>
        <v>183.69488963073283</v>
      </c>
      <c r="DO119" s="426">
        <f t="shared" si="795"/>
        <v>183.69488963073283</v>
      </c>
      <c r="DP119" s="426">
        <f t="shared" si="795"/>
        <v>183.69488963073283</v>
      </c>
      <c r="DQ119" s="426">
        <f t="shared" si="795"/>
        <v>183.69488963073283</v>
      </c>
      <c r="DR119" s="426">
        <f t="shared" si="795"/>
        <v>183.69488963073283</v>
      </c>
      <c r="DS119" s="426">
        <f t="shared" si="796"/>
        <v>183.69488963073283</v>
      </c>
      <c r="DT119" s="426">
        <f t="shared" si="796"/>
        <v>183.69488963073283</v>
      </c>
      <c r="DU119" s="426">
        <f t="shared" si="796"/>
        <v>183.69488963073283</v>
      </c>
      <c r="DV119" s="426">
        <f t="shared" si="796"/>
        <v>183.69488963073283</v>
      </c>
      <c r="DW119" s="426">
        <f t="shared" si="796"/>
        <v>187.50285405040859</v>
      </c>
      <c r="DX119" s="426">
        <f t="shared" si="796"/>
        <v>187.50285405040859</v>
      </c>
      <c r="DY119" s="426">
        <f t="shared" si="796"/>
        <v>187.50285405040859</v>
      </c>
      <c r="DZ119" s="426">
        <f t="shared" si="796"/>
        <v>187.50285405040859</v>
      </c>
      <c r="EA119" s="426">
        <f t="shared" si="796"/>
        <v>187.50285405040859</v>
      </c>
      <c r="EB119" s="426">
        <f t="shared" si="796"/>
        <v>187.50285405040859</v>
      </c>
      <c r="EC119" s="426">
        <f t="shared" si="797"/>
        <v>187.50285405040859</v>
      </c>
      <c r="ED119" s="426">
        <f t="shared" si="797"/>
        <v>187.50285405040859</v>
      </c>
      <c r="EE119" s="426">
        <f t="shared" si="797"/>
        <v>187.50285405040859</v>
      </c>
      <c r="EF119" s="426">
        <f t="shared" si="797"/>
        <v>187.50285405040859</v>
      </c>
      <c r="EG119" s="426">
        <f t="shared" si="797"/>
        <v>187.50285405040859</v>
      </c>
      <c r="EH119" s="426">
        <f t="shared" si="797"/>
        <v>187.50285405040859</v>
      </c>
      <c r="EI119" s="426">
        <f t="shared" si="797"/>
        <v>191.44470010766238</v>
      </c>
      <c r="EJ119" s="426">
        <f t="shared" si="797"/>
        <v>191.44470010766238</v>
      </c>
      <c r="EK119" s="426">
        <f t="shared" si="797"/>
        <v>191.44470010766238</v>
      </c>
      <c r="EL119" s="426">
        <f t="shared" si="797"/>
        <v>191.44470010766238</v>
      </c>
      <c r="EM119" s="426">
        <f t="shared" si="797"/>
        <v>191.44470010766238</v>
      </c>
      <c r="EN119" s="426">
        <f t="shared" si="797"/>
        <v>191.44470010766238</v>
      </c>
      <c r="EO119" s="209"/>
      <c r="EP119" s="468"/>
      <c r="EQ119" s="469"/>
      <c r="ER119" s="469"/>
      <c r="ES119" s="469"/>
      <c r="ET119" s="469"/>
      <c r="EU119" s="469"/>
      <c r="EV119" s="469"/>
      <c r="EW119" s="469"/>
      <c r="EX119" s="469"/>
      <c r="EY119" s="469"/>
      <c r="EZ119" s="469"/>
      <c r="FA119" s="469"/>
      <c r="FB119" s="469"/>
      <c r="FC119" s="469"/>
      <c r="FD119" s="469"/>
      <c r="FE119" s="469"/>
      <c r="FF119" s="469"/>
      <c r="FG119" s="469"/>
      <c r="FH119" s="469"/>
      <c r="FI119" s="469"/>
      <c r="FJ119" s="469"/>
      <c r="FK119" s="469"/>
      <c r="FL119" s="469"/>
      <c r="FM119" s="469"/>
      <c r="FN119" s="469"/>
      <c r="FO119" s="469"/>
      <c r="FP119" s="469"/>
      <c r="FQ119" s="469"/>
      <c r="FR119" s="469"/>
      <c r="FS119" s="469"/>
      <c r="FT119" s="469"/>
      <c r="FU119" s="469"/>
      <c r="FV119" s="469"/>
      <c r="FW119" s="469"/>
      <c r="FX119" s="469"/>
      <c r="FY119" s="469"/>
      <c r="FZ119" s="469"/>
      <c r="GA119" s="469"/>
      <c r="GB119" s="469"/>
      <c r="GC119" s="469"/>
      <c r="GD119" s="469"/>
      <c r="GE119" s="469"/>
      <c r="GF119" s="469"/>
      <c r="GG119" s="469"/>
      <c r="GH119" s="469"/>
      <c r="GI119" s="469"/>
      <c r="GJ119" s="469"/>
      <c r="GK119" s="469"/>
      <c r="GL119" s="469"/>
      <c r="GM119" s="469"/>
      <c r="GN119" s="469"/>
      <c r="GO119" s="469"/>
      <c r="GP119" s="469"/>
      <c r="GQ119" s="469"/>
      <c r="GR119" s="469"/>
      <c r="GS119" s="469"/>
      <c r="GT119" s="469"/>
      <c r="GU119" s="469"/>
      <c r="GV119" s="469"/>
      <c r="GW119" s="469"/>
      <c r="GX119" s="469"/>
      <c r="GY119" s="469"/>
      <c r="GZ119" s="469"/>
      <c r="HA119" s="469"/>
      <c r="HB119" s="469"/>
      <c r="HC119" s="469"/>
      <c r="HD119" s="469"/>
      <c r="HE119" s="469"/>
      <c r="HF119" s="469"/>
      <c r="HG119" s="469"/>
      <c r="HH119" s="469"/>
      <c r="HI119" s="469"/>
      <c r="HJ119" s="469"/>
      <c r="HK119" s="469"/>
      <c r="HL119" s="469"/>
      <c r="HM119" s="469"/>
      <c r="HN119" s="469"/>
      <c r="HO119" s="469"/>
      <c r="HP119" s="469"/>
      <c r="HQ119" s="469"/>
      <c r="HR119" s="469"/>
      <c r="HS119" s="469"/>
      <c r="HT119" s="469"/>
      <c r="HU119" s="469"/>
      <c r="HV119" s="469"/>
      <c r="HW119" s="469"/>
      <c r="HX119" s="469"/>
      <c r="HY119" s="469"/>
      <c r="HZ119" s="469"/>
      <c r="IA119" s="469"/>
      <c r="IB119" s="469"/>
      <c r="IC119" s="469"/>
      <c r="ID119" s="469"/>
      <c r="IE119" s="469"/>
      <c r="IF119" s="469"/>
      <c r="IG119" s="469"/>
      <c r="IH119" s="469"/>
      <c r="II119" s="469"/>
      <c r="IJ119" s="469"/>
      <c r="IK119" s="469"/>
      <c r="IL119" s="469"/>
      <c r="IM119" s="469"/>
      <c r="IN119" s="469"/>
      <c r="IO119" s="469"/>
      <c r="IP119" s="469"/>
      <c r="IQ119" s="469"/>
      <c r="IR119" s="469"/>
      <c r="IS119" s="469"/>
      <c r="IT119" s="469"/>
      <c r="IU119" s="469"/>
      <c r="IV119" s="469"/>
      <c r="IW119" s="469"/>
      <c r="IX119" s="469"/>
      <c r="IY119" s="469"/>
      <c r="IZ119" s="469"/>
      <c r="JA119" s="469"/>
      <c r="JB119" s="469"/>
      <c r="JC119" s="469"/>
      <c r="JD119" s="469"/>
      <c r="JE119" s="469"/>
      <c r="JF119" s="469"/>
      <c r="JG119" s="469"/>
      <c r="JH119" s="469"/>
      <c r="JI119" s="469"/>
      <c r="JJ119" s="469"/>
      <c r="JK119" s="469"/>
      <c r="JL119" s="469"/>
      <c r="JM119" s="469"/>
      <c r="JN119" s="469"/>
      <c r="JO119" s="469"/>
      <c r="JP119" s="469"/>
      <c r="JQ119" s="469"/>
      <c r="JR119" s="469"/>
      <c r="JS119" s="469"/>
      <c r="JT119" s="469"/>
      <c r="JU119" s="469"/>
      <c r="JV119" s="469"/>
      <c r="JW119" s="469"/>
      <c r="JX119" s="20"/>
      <c r="JZ119" s="470"/>
      <c r="KA119" s="470"/>
      <c r="KB119" s="470"/>
      <c r="KC119" s="470"/>
      <c r="KD119" s="470"/>
      <c r="KE119" s="470"/>
      <c r="KF119" s="470"/>
      <c r="KG119" s="470"/>
      <c r="KH119" s="470"/>
      <c r="KI119" s="470"/>
      <c r="KJ119" s="470"/>
      <c r="KK119" s="470"/>
      <c r="KL119" s="470"/>
      <c r="KM119" s="470"/>
      <c r="KN119" s="470"/>
      <c r="KO119" s="470"/>
      <c r="KP119" s="470"/>
      <c r="KQ119" s="470"/>
      <c r="KR119" s="470"/>
      <c r="KS119" s="470"/>
      <c r="KT119" s="470"/>
      <c r="KU119" s="470"/>
      <c r="KV119" s="470"/>
      <c r="KW119" s="470"/>
      <c r="KX119" s="470"/>
      <c r="KY119" s="470"/>
      <c r="KZ119" s="470"/>
      <c r="LA119" s="470"/>
      <c r="LB119" s="470"/>
      <c r="LC119" s="470"/>
      <c r="LD119" s="470"/>
      <c r="LE119" s="470"/>
      <c r="LF119" s="470"/>
      <c r="LG119" s="470"/>
      <c r="LH119" s="470"/>
      <c r="LI119" s="470"/>
      <c r="LJ119" s="470"/>
      <c r="LK119" s="470"/>
      <c r="LL119" s="470"/>
      <c r="LM119" s="470"/>
      <c r="LN119" s="470"/>
      <c r="LO119" s="470"/>
      <c r="LP119" s="470"/>
      <c r="LQ119" s="470"/>
      <c r="LR119" s="470"/>
      <c r="LS119" s="470"/>
      <c r="LT119" s="470"/>
      <c r="LU119" s="470"/>
      <c r="LV119" s="470"/>
      <c r="LW119" s="470"/>
      <c r="LX119" s="470"/>
      <c r="LY119" s="470"/>
      <c r="LZ119" s="470"/>
      <c r="MA119" s="470"/>
      <c r="MB119" s="470"/>
      <c r="MC119" s="470"/>
      <c r="MD119" s="470"/>
      <c r="ME119" s="470"/>
      <c r="MF119" s="470"/>
      <c r="MG119" s="470"/>
      <c r="MH119" s="470"/>
      <c r="MI119" s="470"/>
      <c r="MJ119" s="470"/>
      <c r="MK119" s="470"/>
      <c r="ML119" s="470"/>
      <c r="MM119" s="470"/>
      <c r="MN119" s="470"/>
      <c r="MO119" s="470"/>
      <c r="MP119" s="470"/>
      <c r="MQ119" s="470"/>
      <c r="MR119" s="470"/>
      <c r="MS119" s="470"/>
      <c r="MT119" s="470"/>
      <c r="MU119" s="470"/>
      <c r="MV119" s="470"/>
      <c r="MW119" s="470"/>
      <c r="MX119" s="470"/>
      <c r="MY119" s="470"/>
      <c r="MZ119" s="470"/>
      <c r="NA119" s="470"/>
      <c r="NB119" s="470"/>
      <c r="NC119" s="470"/>
      <c r="ND119" s="470"/>
      <c r="NE119" s="470"/>
      <c r="NF119" s="470"/>
      <c r="NG119" s="470"/>
      <c r="NH119" s="470"/>
      <c r="NI119" s="470"/>
      <c r="NJ119" s="470"/>
      <c r="NK119" s="470"/>
      <c r="NL119" s="470"/>
      <c r="NM119" s="470"/>
      <c r="NN119" s="470"/>
      <c r="NO119" s="470"/>
      <c r="NP119" s="470"/>
      <c r="NQ119" s="470"/>
      <c r="NR119" s="470"/>
      <c r="NS119" s="470"/>
      <c r="NT119" s="470"/>
      <c r="NU119" s="470"/>
      <c r="NV119" s="470"/>
      <c r="NW119" s="470"/>
      <c r="NX119" s="470"/>
      <c r="NY119" s="470"/>
      <c r="NZ119" s="470"/>
      <c r="OA119" s="470"/>
      <c r="OB119" s="470"/>
      <c r="OC119" s="470"/>
      <c r="OD119" s="470"/>
      <c r="OE119" s="470"/>
      <c r="OF119" s="470"/>
      <c r="OG119" s="470"/>
      <c r="OH119" s="470"/>
      <c r="OI119" s="470"/>
      <c r="OJ119" s="470"/>
      <c r="OK119" s="470"/>
      <c r="OL119" s="470"/>
      <c r="OM119" s="470"/>
      <c r="ON119" s="470"/>
      <c r="OO119" s="470"/>
      <c r="OP119" s="470"/>
      <c r="OQ119" s="470"/>
      <c r="OR119" s="470"/>
      <c r="OS119" s="470"/>
      <c r="OT119" s="470"/>
      <c r="OU119" s="470"/>
      <c r="OV119" s="470"/>
      <c r="OW119" s="470"/>
      <c r="OX119" s="470"/>
      <c r="OY119" s="470"/>
      <c r="OZ119" s="470"/>
      <c r="PA119" s="470"/>
      <c r="PB119" s="470"/>
      <c r="PC119" s="470"/>
      <c r="PD119" s="470"/>
      <c r="PE119" s="470"/>
      <c r="PF119" s="470"/>
      <c r="PG119" s="470"/>
      <c r="PH119" s="470"/>
    </row>
    <row r="120">
      <c r="B120" s="431" t="s">
        <v>274</v>
      </c>
      <c r="C120" s="47"/>
      <c r="D120" s="258"/>
      <c r="E120" s="47" t="n">
        <f>MIN(E108:E119)</f>
        <v>22</v>
      </c>
      <c r="F120" s="135"/>
      <c r="G120" s="58" t="n">
        <f>SUM(G108:G119)</f>
        <v>0.9999999999999999</v>
      </c>
      <c r="H120" s="149" t="n">
        <f>I120/E105</f>
        <v>41.989256626985465</v>
      </c>
      <c r="I120" s="449" t="n">
        <f>SUM(I108:I119)</f>
        <v>3288278.620890004</v>
      </c>
      <c r="K120" s="76"/>
      <c r="L120" s="76"/>
      <c r="M120" s="421" t="n">
        <f t="shared" ref="M120:AR120" si="798">SUM(M108:M119)</f>
        <v>0</v>
      </c>
      <c r="N120" s="421">
        <f t="shared" si="798"/>
        <v>0</v>
      </c>
      <c r="O120" s="421">
        <f t="shared" si="798"/>
        <v>0</v>
      </c>
      <c r="P120" s="421">
        <f t="shared" si="798"/>
        <v>0</v>
      </c>
      <c r="Q120" s="421">
        <f t="shared" si="798"/>
        <v>0</v>
      </c>
      <c r="R120" s="421">
        <f t="shared" si="798"/>
        <v>0</v>
      </c>
      <c r="S120" s="421">
        <f t="shared" si="798"/>
        <v>0</v>
      </c>
      <c r="T120" s="421">
        <f t="shared" si="798"/>
        <v>0</v>
      </c>
      <c r="U120" s="421">
        <f t="shared" si="798"/>
        <v>0</v>
      </c>
      <c r="V120" s="421">
        <f t="shared" si="798"/>
        <v>0</v>
      </c>
      <c r="W120" s="421">
        <f t="shared" si="798"/>
        <v>0</v>
      </c>
      <c r="X120" s="421">
        <f t="shared" si="798"/>
        <v>0</v>
      </c>
      <c r="Y120" s="421">
        <f t="shared" si="798"/>
        <v>0</v>
      </c>
      <c r="Z120" s="421">
        <f t="shared" si="798"/>
        <v>0</v>
      </c>
      <c r="AA120" s="421">
        <f t="shared" si="798"/>
        <v>0</v>
      </c>
      <c r="AB120" s="421">
        <f t="shared" si="798"/>
        <v>0</v>
      </c>
      <c r="AC120" s="421">
        <f t="shared" si="798"/>
        <v>0</v>
      </c>
      <c r="AD120" s="421">
        <f t="shared" si="798"/>
        <v>0</v>
      </c>
      <c r="AE120" s="421">
        <f t="shared" si="798"/>
        <v>0</v>
      </c>
      <c r="AF120" s="421">
        <f t="shared" si="798"/>
        <v>0</v>
      </c>
      <c r="AG120" s="421">
        <f t="shared" si="798"/>
        <v>0</v>
      </c>
      <c r="AH120" s="421">
        <f t="shared" si="798"/>
        <v>72095.633544928642</v>
      </c>
      <c r="AI120" s="421">
        <f t="shared" si="798"/>
        <v>72095.633544928642</v>
      </c>
      <c r="AJ120" s="421">
        <f t="shared" si="798"/>
        <v>72095.633544928642</v>
      </c>
      <c r="AK120" s="421">
        <f t="shared" si="798"/>
        <v>160957.69349565465</v>
      </c>
      <c r="AL120" s="421">
        <f t="shared" si="798"/>
        <v>160957.69349565465</v>
      </c>
      <c r="AM120" s="421">
        <f t="shared" si="798"/>
        <v>160957.69349565465</v>
      </c>
      <c r="AN120" s="421">
        <f t="shared" si="798"/>
        <v>174873.82741246646</v>
      </c>
      <c r="AO120" s="421">
        <f t="shared" si="798"/>
        <v>174873.82741246646</v>
      </c>
      <c r="AP120" s="421">
        <f t="shared" si="798"/>
        <v>182478.31109144099</v>
      </c>
      <c r="AQ120" s="421">
        <f t="shared" si="798"/>
        <v>264008.78070196434</v>
      </c>
      <c r="AR120" s="421">
        <f t="shared" si="798"/>
        <v>264008.78070196434</v>
      </c>
      <c r="AS120" s="421" t="n">
        <f t="shared" ref="AS120:BX120" si="799">SUM(AS108:AS119)</f>
        <v>264008.78070196434</v>
      </c>
      <c r="AT120" s="421">
        <f t="shared" si="799"/>
        <v>273631.31867898186</v>
      </c>
      <c r="AU120" s="421">
        <f t="shared" si="799"/>
        <v>273631.31867898186</v>
      </c>
      <c r="AV120" s="421">
        <f t="shared" si="799"/>
        <v>273631.31867898186</v>
      </c>
      <c r="AW120" s="421">
        <f t="shared" si="799"/>
        <v>273631.31867898186</v>
      </c>
      <c r="AX120" s="421">
        <f t="shared" si="799"/>
        <v>273631.31867898186</v>
      </c>
      <c r="AY120" s="421">
        <f t="shared" si="799"/>
        <v>273631.31867898186</v>
      </c>
      <c r="AZ120" s="421">
        <f t="shared" si="799"/>
        <v>274023.21840750036</v>
      </c>
      <c r="BA120" s="421">
        <f t="shared" si="799"/>
        <v>274023.21840750036</v>
      </c>
      <c r="BB120" s="421">
        <f t="shared" si="799"/>
        <v>274023.21840750036</v>
      </c>
      <c r="BC120" s="421">
        <f t="shared" si="799"/>
        <v>280051.06466970767</v>
      </c>
      <c r="BD120" s="421">
        <f t="shared" si="799"/>
        <v>280051.06466970767</v>
      </c>
      <c r="BE120" s="421">
        <f t="shared" si="799"/>
        <v>280051.06466970767</v>
      </c>
      <c r="BF120" s="421">
        <f t="shared" si="799"/>
        <v>280051.06466970767</v>
      </c>
      <c r="BG120" s="421">
        <f t="shared" si="799"/>
        <v>280051.06466970767</v>
      </c>
      <c r="BH120" s="421">
        <f t="shared" si="799"/>
        <v>280051.06466970767</v>
      </c>
      <c r="BI120" s="421">
        <f t="shared" si="799"/>
        <v>280051.06466970767</v>
      </c>
      <c r="BJ120" s="421">
        <f t="shared" si="799"/>
        <v>280051.06466970767</v>
      </c>
      <c r="BK120" s="421">
        <f t="shared" si="799"/>
        <v>280051.06466970767</v>
      </c>
      <c r="BL120" s="421">
        <f t="shared" si="799"/>
        <v>280051.06466970767</v>
      </c>
      <c r="BM120" s="421">
        <f t="shared" si="799"/>
        <v>280051.06466970767</v>
      </c>
      <c r="BN120" s="421">
        <f t="shared" si="799"/>
        <v>280051.06466970767</v>
      </c>
      <c r="BO120" s="421">
        <f t="shared" si="799"/>
        <v>285541.24667862349</v>
      </c>
      <c r="BP120" s="421">
        <f t="shared" si="799"/>
        <v>285541.24667862349</v>
      </c>
      <c r="BQ120" s="421">
        <f t="shared" si="799"/>
        <v>285541.24667862349</v>
      </c>
      <c r="BR120" s="421">
        <f t="shared" si="799"/>
        <v>285541.24667862349</v>
      </c>
      <c r="BS120" s="421">
        <f t="shared" si="799"/>
        <v>285541.24667862349</v>
      </c>
      <c r="BT120" s="421">
        <f t="shared" si="799"/>
        <v>285541.24667862349</v>
      </c>
      <c r="BU120" s="421">
        <f t="shared" si="799"/>
        <v>285541.24667862349</v>
      </c>
      <c r="BV120" s="421">
        <f t="shared" si="799"/>
        <v>285541.24667862349</v>
      </c>
      <c r="BW120" s="421">
        <f t="shared" si="799"/>
        <v>285541.24667862349</v>
      </c>
      <c r="BX120" s="421">
        <f t="shared" si="799"/>
        <v>285541.24667862349</v>
      </c>
      <c r="BY120" s="421" t="n">
        <f t="shared" ref="BY120:DD120" si="800">SUM(BY108:BY119)</f>
        <v>285541.2466786235</v>
      </c>
      <c r="BZ120" s="421">
        <f t="shared" si="800"/>
        <v>285541.24667862349</v>
      </c>
      <c r="CA120" s="421">
        <f t="shared" si="800"/>
        <v>291110.4587567086</v>
      </c>
      <c r="CB120" s="421">
        <f t="shared" si="800"/>
        <v>291110.4587567086</v>
      </c>
      <c r="CC120" s="421">
        <f t="shared" si="800"/>
        <v>291110.4587567086</v>
      </c>
      <c r="CD120" s="421">
        <f t="shared" si="800"/>
        <v>291110.4587567086</v>
      </c>
      <c r="CE120" s="421">
        <f t="shared" si="800"/>
        <v>291110.4587567086</v>
      </c>
      <c r="CF120" s="421">
        <f t="shared" si="800"/>
        <v>291110.4587567086</v>
      </c>
      <c r="CG120" s="421">
        <f t="shared" si="800"/>
        <v>291110.4587567086</v>
      </c>
      <c r="CH120" s="421">
        <f t="shared" si="800"/>
        <v>291110.4587567086</v>
      </c>
      <c r="CI120" s="421">
        <f t="shared" si="800"/>
        <v>291110.4587567086</v>
      </c>
      <c r="CJ120" s="421">
        <f t="shared" si="800"/>
        <v>291110.4587567086</v>
      </c>
      <c r="CK120" s="421">
        <f t="shared" si="800"/>
        <v>291110.4587567086</v>
      </c>
      <c r="CL120" s="421">
        <f t="shared" si="800"/>
        <v>291110.4587567086</v>
      </c>
      <c r="CM120" s="421">
        <f t="shared" si="800"/>
        <v>287904.54107616039</v>
      </c>
      <c r="CN120" s="421">
        <f t="shared" si="800"/>
        <v>287904.54107616039</v>
      </c>
      <c r="CO120" s="421">
        <f t="shared" si="800"/>
        <v>287904.54107616039</v>
      </c>
      <c r="CP120" s="421">
        <f t="shared" si="800"/>
        <v>287904.54107616039</v>
      </c>
      <c r="CQ120" s="421">
        <f t="shared" si="800"/>
        <v>287904.54107616039</v>
      </c>
      <c r="CR120" s="421">
        <f t="shared" si="800"/>
        <v>287904.54107616039</v>
      </c>
      <c r="CS120" s="421">
        <f t="shared" si="800"/>
        <v>287904.54107616039</v>
      </c>
      <c r="CT120" s="421">
        <f t="shared" si="800"/>
        <v>287904.54107616039</v>
      </c>
      <c r="CU120" s="421">
        <f t="shared" si="800"/>
        <v>287904.54107616039</v>
      </c>
      <c r="CV120" s="421">
        <f t="shared" si="800"/>
        <v>287904.54107616039</v>
      </c>
      <c r="CW120" s="421">
        <f t="shared" si="800"/>
        <v>287904.54107616039</v>
      </c>
      <c r="CX120" s="421">
        <f t="shared" si="800"/>
        <v>287904.54107616039</v>
      </c>
      <c r="CY120" s="421">
        <f t="shared" si="800"/>
        <v>293700.02884675935</v>
      </c>
      <c r="CZ120" s="421">
        <f t="shared" si="800"/>
        <v>293700.02884675935</v>
      </c>
      <c r="DA120" s="421">
        <f t="shared" si="800"/>
        <v>293700.02884675935</v>
      </c>
      <c r="DB120" s="421">
        <f t="shared" si="800"/>
        <v>293700.02884675935</v>
      </c>
      <c r="DC120" s="421">
        <f t="shared" si="800"/>
        <v>293700.02884675935</v>
      </c>
      <c r="DD120" s="421">
        <f t="shared" si="800"/>
        <v>293700.02884675935</v>
      </c>
      <c r="DE120" s="421" t="n">
        <f t="shared" ref="DE120:EJ120" si="801">SUM(DE108:DE119)</f>
        <v>293700.02884675935</v>
      </c>
      <c r="DF120" s="421">
        <f t="shared" si="801"/>
        <v>293700.02884675935</v>
      </c>
      <c r="DG120" s="421">
        <f t="shared" si="801"/>
        <v>293700.02884675935</v>
      </c>
      <c r="DH120" s="421">
        <f t="shared" si="801"/>
        <v>293700.02884675935</v>
      </c>
      <c r="DI120" s="421">
        <f t="shared" si="801"/>
        <v>293700.02884675935</v>
      </c>
      <c r="DJ120" s="421">
        <f t="shared" si="801"/>
        <v>293700.02884675935</v>
      </c>
      <c r="DK120" s="421">
        <f t="shared" si="801"/>
        <v>299699.66668375011</v>
      </c>
      <c r="DL120" s="421">
        <f t="shared" si="801"/>
        <v>299699.66668375011</v>
      </c>
      <c r="DM120" s="421">
        <f t="shared" si="801"/>
        <v>299699.66668375011</v>
      </c>
      <c r="DN120" s="421">
        <f t="shared" si="801"/>
        <v>299699.66668375011</v>
      </c>
      <c r="DO120" s="421">
        <f t="shared" si="801"/>
        <v>299699.66668375011</v>
      </c>
      <c r="DP120" s="421">
        <f t="shared" si="801"/>
        <v>299699.66668375011</v>
      </c>
      <c r="DQ120" s="421">
        <f t="shared" si="801"/>
        <v>299699.66668375011</v>
      </c>
      <c r="DR120" s="421">
        <f t="shared" si="801"/>
        <v>299699.66668375011</v>
      </c>
      <c r="DS120" s="421">
        <f t="shared" si="801"/>
        <v>299699.66668375011</v>
      </c>
      <c r="DT120" s="421">
        <f t="shared" si="801"/>
        <v>299699.66668375011</v>
      </c>
      <c r="DU120" s="421">
        <f t="shared" si="801"/>
        <v>299699.66668375011</v>
      </c>
      <c r="DV120" s="421">
        <f t="shared" si="801"/>
        <v>299699.66668375011</v>
      </c>
      <c r="DW120" s="421">
        <f t="shared" si="801"/>
        <v>305912.39078083623</v>
      </c>
      <c r="DX120" s="421">
        <f t="shared" si="801"/>
        <v>305912.39078083623</v>
      </c>
      <c r="DY120" s="421">
        <f t="shared" si="801"/>
        <v>305912.39078083623</v>
      </c>
      <c r="DZ120" s="421">
        <f t="shared" si="801"/>
        <v>305912.39078083623</v>
      </c>
      <c r="EA120" s="421">
        <f t="shared" si="801"/>
        <v>305912.39078083623</v>
      </c>
      <c r="EB120" s="421">
        <f t="shared" si="801"/>
        <v>305912.39078083623</v>
      </c>
      <c r="EC120" s="421">
        <f t="shared" si="801"/>
        <v>305912.39078083623</v>
      </c>
      <c r="ED120" s="421">
        <f t="shared" si="801"/>
        <v>305912.39078083623</v>
      </c>
      <c r="EE120" s="421">
        <f t="shared" si="801"/>
        <v>305912.39078083623</v>
      </c>
      <c r="EF120" s="421">
        <f t="shared" si="801"/>
        <v>305912.39078083623</v>
      </c>
      <c r="EG120" s="421">
        <f t="shared" si="801"/>
        <v>305912.39078083623</v>
      </c>
      <c r="EH120" s="421">
        <f t="shared" si="801"/>
        <v>305912.39078083623</v>
      </c>
      <c r="EI120" s="421">
        <f t="shared" si="801"/>
        <v>312343.54382952704</v>
      </c>
      <c r="EJ120" s="421">
        <f t="shared" si="801"/>
        <v>312343.54382952704</v>
      </c>
      <c r="EK120" s="421" t="n">
        <f t="shared" ref="EK120:EN120" si="802">SUM(EK108:EK119)</f>
        <v>312343.54382952704</v>
      </c>
      <c r="EL120" s="421">
        <f t="shared" si="802"/>
        <v>312343.54382952704</v>
      </c>
      <c r="EM120" s="421">
        <f t="shared" si="802"/>
        <v>312343.54382952704</v>
      </c>
      <c r="EN120" s="421">
        <f t="shared" si="802"/>
        <v>312343.54382952704</v>
      </c>
      <c r="EO120" s="209"/>
      <c r="EP120" s="468"/>
      <c r="EQ120" s="469"/>
      <c r="ER120" s="469"/>
      <c r="ES120" s="469"/>
      <c r="ET120" s="469"/>
      <c r="EU120" s="469"/>
      <c r="EV120" s="469"/>
      <c r="EW120" s="469"/>
      <c r="EX120" s="469"/>
      <c r="EY120" s="469"/>
      <c r="EZ120" s="469"/>
      <c r="FA120" s="469"/>
      <c r="FB120" s="469"/>
      <c r="FC120" s="469"/>
      <c r="FD120" s="469"/>
      <c r="FE120" s="469"/>
      <c r="FF120" s="469"/>
      <c r="FG120" s="469"/>
      <c r="FH120" s="469"/>
      <c r="FI120" s="469"/>
      <c r="FJ120" s="469"/>
      <c r="FK120" s="469"/>
      <c r="FL120" s="469"/>
      <c r="FM120" s="469"/>
      <c r="FN120" s="469"/>
      <c r="FO120" s="469"/>
      <c r="FP120" s="469"/>
      <c r="FQ120" s="469"/>
      <c r="FR120" s="469"/>
      <c r="FS120" s="469"/>
      <c r="FT120" s="469"/>
      <c r="FU120" s="469"/>
      <c r="FV120" s="469"/>
      <c r="FW120" s="469"/>
      <c r="FX120" s="469"/>
      <c r="FY120" s="469"/>
      <c r="FZ120" s="469"/>
      <c r="GA120" s="469"/>
      <c r="GB120" s="469"/>
      <c r="GC120" s="469"/>
      <c r="GD120" s="469"/>
      <c r="GE120" s="469"/>
      <c r="GF120" s="469"/>
      <c r="GG120" s="469"/>
      <c r="GH120" s="469"/>
      <c r="GI120" s="469"/>
      <c r="GJ120" s="469"/>
      <c r="GK120" s="469"/>
      <c r="GL120" s="469"/>
      <c r="GM120" s="469"/>
      <c r="GN120" s="469"/>
      <c r="GO120" s="469"/>
      <c r="GP120" s="469"/>
      <c r="GQ120" s="469"/>
      <c r="GR120" s="469"/>
      <c r="GS120" s="469"/>
      <c r="GT120" s="469"/>
      <c r="GU120" s="469"/>
      <c r="GV120" s="469"/>
      <c r="GW120" s="469"/>
      <c r="GX120" s="469"/>
      <c r="GY120" s="469"/>
      <c r="GZ120" s="469"/>
      <c r="HA120" s="469"/>
      <c r="HB120" s="469"/>
      <c r="HC120" s="469"/>
      <c r="HD120" s="469"/>
      <c r="HE120" s="469"/>
      <c r="HF120" s="469"/>
      <c r="HG120" s="469"/>
      <c r="HH120" s="469"/>
      <c r="HI120" s="469"/>
      <c r="HJ120" s="469"/>
      <c r="HK120" s="469"/>
      <c r="HL120" s="469"/>
      <c r="HM120" s="469"/>
      <c r="HN120" s="469"/>
      <c r="HO120" s="469"/>
      <c r="HP120" s="469"/>
      <c r="HQ120" s="469"/>
      <c r="HR120" s="469"/>
      <c r="HS120" s="469"/>
      <c r="HT120" s="469"/>
      <c r="HU120" s="469"/>
      <c r="HV120" s="469"/>
      <c r="HW120" s="469"/>
      <c r="HX120" s="469"/>
      <c r="HY120" s="469"/>
      <c r="HZ120" s="469"/>
      <c r="IA120" s="469"/>
      <c r="IB120" s="469"/>
      <c r="IC120" s="469"/>
      <c r="ID120" s="469"/>
      <c r="IE120" s="469"/>
      <c r="IF120" s="469"/>
      <c r="IG120" s="469"/>
      <c r="IH120" s="469"/>
      <c r="II120" s="469"/>
      <c r="IJ120" s="469"/>
      <c r="IK120" s="469"/>
      <c r="IL120" s="469"/>
      <c r="IM120" s="469"/>
      <c r="IN120" s="469"/>
      <c r="IO120" s="469"/>
      <c r="IP120" s="469"/>
      <c r="IQ120" s="469"/>
      <c r="IR120" s="469"/>
      <c r="IS120" s="469"/>
      <c r="IT120" s="469"/>
      <c r="IU120" s="469"/>
      <c r="IV120" s="469"/>
      <c r="IW120" s="469"/>
      <c r="IX120" s="469"/>
      <c r="IY120" s="469"/>
      <c r="IZ120" s="469"/>
      <c r="JA120" s="469"/>
      <c r="JB120" s="469"/>
      <c r="JC120" s="469"/>
      <c r="JD120" s="469"/>
      <c r="JE120" s="469"/>
      <c r="JF120" s="469"/>
      <c r="JG120" s="469"/>
      <c r="JH120" s="469"/>
      <c r="JI120" s="469"/>
      <c r="JJ120" s="469"/>
      <c r="JK120" s="469"/>
      <c r="JL120" s="469"/>
      <c r="JM120" s="469"/>
      <c r="JN120" s="469"/>
      <c r="JO120" s="469"/>
      <c r="JP120" s="469"/>
      <c r="JQ120" s="469"/>
      <c r="JR120" s="469"/>
      <c r="JS120" s="469"/>
      <c r="JT120" s="469"/>
      <c r="JU120" s="469"/>
      <c r="JV120" s="469"/>
      <c r="JW120" s="469"/>
      <c r="JX120" s="20"/>
      <c r="JZ120" s="470"/>
      <c r="KA120" s="470"/>
      <c r="KB120" s="470"/>
      <c r="KC120" s="470"/>
      <c r="KD120" s="470"/>
      <c r="KE120" s="470"/>
      <c r="KF120" s="470"/>
      <c r="KG120" s="470"/>
      <c r="KH120" s="470"/>
      <c r="KI120" s="470"/>
      <c r="KJ120" s="470"/>
      <c r="KK120" s="470"/>
      <c r="KL120" s="470"/>
      <c r="KM120" s="470"/>
      <c r="KN120" s="470"/>
      <c r="KO120" s="470"/>
      <c r="KP120" s="470"/>
      <c r="KQ120" s="470"/>
      <c r="KR120" s="470"/>
      <c r="KS120" s="470"/>
      <c r="KT120" s="470"/>
      <c r="KU120" s="470"/>
      <c r="KV120" s="470"/>
      <c r="KW120" s="470"/>
      <c r="KX120" s="470"/>
      <c r="KY120" s="470"/>
      <c r="KZ120" s="470"/>
      <c r="LA120" s="470"/>
      <c r="LB120" s="470"/>
      <c r="LC120" s="470"/>
      <c r="LD120" s="470"/>
      <c r="LE120" s="470"/>
      <c r="LF120" s="470"/>
      <c r="LG120" s="470"/>
      <c r="LH120" s="470"/>
      <c r="LI120" s="470"/>
      <c r="LJ120" s="470"/>
      <c r="LK120" s="470"/>
      <c r="LL120" s="470"/>
      <c r="LM120" s="470"/>
      <c r="LN120" s="470"/>
      <c r="LO120" s="470"/>
      <c r="LP120" s="470"/>
      <c r="LQ120" s="470"/>
      <c r="LR120" s="470"/>
      <c r="LS120" s="470"/>
      <c r="LT120" s="470"/>
      <c r="LU120" s="470"/>
      <c r="LV120" s="470"/>
      <c r="LW120" s="470"/>
      <c r="LX120" s="470"/>
      <c r="LY120" s="470"/>
      <c r="LZ120" s="470"/>
      <c r="MA120" s="470"/>
      <c r="MB120" s="470"/>
      <c r="MC120" s="470"/>
      <c r="MD120" s="470"/>
      <c r="ME120" s="470"/>
      <c r="MF120" s="470"/>
      <c r="MG120" s="470"/>
      <c r="MH120" s="470"/>
      <c r="MI120" s="470"/>
      <c r="MJ120" s="470"/>
      <c r="MK120" s="470"/>
      <c r="ML120" s="470"/>
      <c r="MM120" s="470"/>
      <c r="MN120" s="470"/>
      <c r="MO120" s="470"/>
      <c r="MP120" s="470"/>
      <c r="MQ120" s="470"/>
      <c r="MR120" s="470"/>
      <c r="MS120" s="470"/>
      <c r="MT120" s="470"/>
      <c r="MU120" s="470"/>
      <c r="MV120" s="470"/>
      <c r="MW120" s="470"/>
      <c r="MX120" s="470"/>
      <c r="MY120" s="470"/>
      <c r="MZ120" s="470"/>
      <c r="NA120" s="470"/>
      <c r="NB120" s="470"/>
      <c r="NC120" s="470"/>
      <c r="ND120" s="470"/>
      <c r="NE120" s="470"/>
      <c r="NF120" s="470"/>
      <c r="NG120" s="470"/>
      <c r="NH120" s="470"/>
      <c r="NI120" s="470"/>
      <c r="NJ120" s="470"/>
      <c r="NK120" s="470"/>
      <c r="NL120" s="470"/>
      <c r="NM120" s="470"/>
      <c r="NN120" s="470"/>
      <c r="NO120" s="470"/>
      <c r="NP120" s="470"/>
      <c r="NQ120" s="470"/>
      <c r="NR120" s="470"/>
      <c r="NS120" s="470"/>
      <c r="NT120" s="470"/>
      <c r="NU120" s="470"/>
      <c r="NV120" s="470"/>
      <c r="NW120" s="470"/>
      <c r="NX120" s="470"/>
      <c r="NY120" s="470"/>
      <c r="NZ120" s="470"/>
      <c r="OA120" s="470"/>
      <c r="OB120" s="470"/>
      <c r="OC120" s="470"/>
      <c r="OD120" s="470"/>
      <c r="OE120" s="470"/>
      <c r="OF120" s="470"/>
      <c r="OG120" s="470"/>
      <c r="OH120" s="470"/>
      <c r="OI120" s="470"/>
      <c r="OJ120" s="470"/>
      <c r="OK120" s="470"/>
      <c r="OL120" s="470"/>
      <c r="OM120" s="470"/>
      <c r="ON120" s="470"/>
      <c r="OO120" s="470"/>
      <c r="OP120" s="470"/>
      <c r="OQ120" s="470"/>
      <c r="OR120" s="470"/>
      <c r="OS120" s="470"/>
      <c r="OT120" s="470"/>
      <c r="OU120" s="470"/>
      <c r="OV120" s="470"/>
      <c r="OW120" s="470"/>
      <c r="OX120" s="470"/>
      <c r="OY120" s="470"/>
      <c r="OZ120" s="470"/>
      <c r="PA120" s="470"/>
      <c r="PB120" s="470"/>
      <c r="PC120" s="470"/>
      <c r="PD120" s="470"/>
      <c r="PE120" s="470"/>
      <c r="PF120" s="470"/>
      <c r="PG120" s="470"/>
      <c r="PH120" s="470"/>
    </row>
    <row r="121">
      <c r="B121" s="479"/>
      <c r="C121" s="42"/>
      <c r="D121" s="42"/>
      <c r="E121" s="47"/>
      <c r="F121" s="135"/>
      <c r="G121" s="39"/>
      <c r="H121" s="39"/>
      <c r="I121" s="151"/>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c r="CW121" s="76"/>
      <c r="CX121" s="76"/>
      <c r="CY121" s="76"/>
      <c r="CZ121" s="76"/>
      <c r="DA121" s="76"/>
      <c r="DB121" s="76"/>
      <c r="DC121" s="76"/>
      <c r="DD121" s="76"/>
      <c r="DE121" s="76"/>
      <c r="DF121" s="76"/>
      <c r="DG121" s="76"/>
      <c r="DH121" s="76"/>
      <c r="DI121" s="76"/>
      <c r="DJ121" s="76"/>
      <c r="DK121" s="76"/>
      <c r="DL121" s="76"/>
      <c r="DM121" s="76"/>
      <c r="DN121" s="76"/>
      <c r="DO121" s="76"/>
      <c r="DP121" s="76"/>
      <c r="DQ121" s="76"/>
      <c r="DR121" s="76"/>
      <c r="DS121" s="76"/>
      <c r="DT121" s="76"/>
      <c r="DU121" s="76"/>
      <c r="DV121" s="76"/>
      <c r="DW121" s="76"/>
      <c r="DX121" s="76"/>
      <c r="DY121" s="76"/>
      <c r="DZ121" s="76"/>
      <c r="EA121" s="76"/>
      <c r="EB121" s="76"/>
      <c r="EC121" s="76"/>
      <c r="ED121" s="76"/>
      <c r="EE121" s="76"/>
      <c r="EF121" s="76"/>
      <c r="EG121" s="76"/>
      <c r="EH121" s="76"/>
      <c r="EI121" s="76"/>
      <c r="EJ121" s="76"/>
      <c r="EK121" s="76"/>
      <c r="EL121" s="76"/>
      <c r="EM121" s="76"/>
      <c r="EN121" s="76"/>
      <c r="EO121" s="209"/>
      <c r="EP121" s="468"/>
      <c r="EQ121" s="469"/>
      <c r="ER121" s="469"/>
      <c r="ES121" s="469"/>
      <c r="ET121" s="469"/>
      <c r="EU121" s="469"/>
      <c r="EV121" s="469"/>
      <c r="EW121" s="469"/>
      <c r="EX121" s="469"/>
      <c r="EY121" s="469"/>
      <c r="EZ121" s="469"/>
      <c r="FA121" s="469"/>
      <c r="FB121" s="469"/>
      <c r="FC121" s="469"/>
      <c r="FD121" s="469"/>
      <c r="FE121" s="469"/>
      <c r="FF121" s="469"/>
      <c r="FG121" s="469"/>
      <c r="FH121" s="469"/>
      <c r="FI121" s="469"/>
      <c r="FJ121" s="469"/>
      <c r="FK121" s="469"/>
      <c r="FL121" s="469"/>
      <c r="FM121" s="469"/>
      <c r="FN121" s="469"/>
      <c r="FO121" s="469"/>
      <c r="FP121" s="469"/>
      <c r="FQ121" s="469"/>
      <c r="FR121" s="469"/>
      <c r="FS121" s="469"/>
      <c r="FT121" s="469"/>
      <c r="FU121" s="469"/>
      <c r="FV121" s="469"/>
      <c r="FW121" s="469"/>
      <c r="FX121" s="469"/>
      <c r="FY121" s="469"/>
      <c r="FZ121" s="469"/>
      <c r="GA121" s="469"/>
      <c r="GB121" s="469"/>
      <c r="GC121" s="469"/>
      <c r="GD121" s="469"/>
      <c r="GE121" s="469"/>
      <c r="GF121" s="469"/>
      <c r="GG121" s="469"/>
      <c r="GH121" s="469"/>
      <c r="GI121" s="469"/>
      <c r="GJ121" s="469"/>
      <c r="GK121" s="469"/>
      <c r="GL121" s="469"/>
      <c r="GM121" s="469"/>
      <c r="GN121" s="469"/>
      <c r="GO121" s="469"/>
      <c r="GP121" s="469"/>
      <c r="GQ121" s="469"/>
      <c r="GR121" s="469"/>
      <c r="GS121" s="469"/>
      <c r="GT121" s="469"/>
      <c r="GU121" s="469"/>
      <c r="GV121" s="469"/>
      <c r="GW121" s="469"/>
      <c r="GX121" s="469"/>
      <c r="GY121" s="469"/>
      <c r="GZ121" s="469"/>
      <c r="HA121" s="469"/>
      <c r="HB121" s="469"/>
      <c r="HC121" s="469"/>
      <c r="HD121" s="469"/>
      <c r="HE121" s="469"/>
      <c r="HF121" s="469"/>
      <c r="HG121" s="469"/>
      <c r="HH121" s="469"/>
      <c r="HI121" s="469"/>
      <c r="HJ121" s="469"/>
      <c r="HK121" s="469"/>
      <c r="HL121" s="469"/>
      <c r="HM121" s="469"/>
      <c r="HN121" s="469"/>
      <c r="HO121" s="469"/>
      <c r="HP121" s="469"/>
      <c r="HQ121" s="469"/>
      <c r="HR121" s="469"/>
      <c r="HS121" s="469"/>
      <c r="HT121" s="469"/>
      <c r="HU121" s="469"/>
      <c r="HV121" s="469"/>
      <c r="HW121" s="469"/>
      <c r="HX121" s="469"/>
      <c r="HY121" s="469"/>
      <c r="HZ121" s="469"/>
      <c r="IA121" s="469"/>
      <c r="IB121" s="469"/>
      <c r="IC121" s="469"/>
      <c r="ID121" s="469"/>
      <c r="IE121" s="469"/>
      <c r="IF121" s="469"/>
      <c r="IG121" s="469"/>
      <c r="IH121" s="469"/>
      <c r="II121" s="469"/>
      <c r="IJ121" s="469"/>
      <c r="IK121" s="469"/>
      <c r="IL121" s="469"/>
      <c r="IM121" s="469"/>
      <c r="IN121" s="469"/>
      <c r="IO121" s="469"/>
      <c r="IP121" s="469"/>
      <c r="IQ121" s="469"/>
      <c r="IR121" s="469"/>
      <c r="IS121" s="469"/>
      <c r="IT121" s="469"/>
      <c r="IU121" s="469"/>
      <c r="IV121" s="469"/>
      <c r="IW121" s="469"/>
      <c r="IX121" s="469"/>
      <c r="IY121" s="469"/>
      <c r="IZ121" s="469"/>
      <c r="JA121" s="469"/>
      <c r="JB121" s="469"/>
      <c r="JC121" s="469"/>
      <c r="JD121" s="469"/>
      <c r="JE121" s="469"/>
      <c r="JF121" s="469"/>
      <c r="JG121" s="469"/>
      <c r="JH121" s="469"/>
      <c r="JI121" s="469"/>
      <c r="JJ121" s="469"/>
      <c r="JK121" s="469"/>
      <c r="JL121" s="469"/>
      <c r="JM121" s="469"/>
      <c r="JN121" s="469"/>
      <c r="JO121" s="469"/>
      <c r="JP121" s="469"/>
      <c r="JQ121" s="469"/>
      <c r="JR121" s="469"/>
      <c r="JS121" s="469"/>
      <c r="JT121" s="469"/>
      <c r="JU121" s="469"/>
      <c r="JV121" s="469"/>
      <c r="JW121" s="469"/>
      <c r="JX121" s="20"/>
      <c r="JZ121" s="470"/>
      <c r="KA121" s="470"/>
      <c r="KB121" s="470"/>
      <c r="KC121" s="470"/>
      <c r="KD121" s="470"/>
      <c r="KE121" s="470"/>
      <c r="KF121" s="470"/>
      <c r="KG121" s="470"/>
      <c r="KH121" s="470"/>
      <c r="KI121" s="470"/>
      <c r="KJ121" s="470"/>
      <c r="KK121" s="470"/>
      <c r="KL121" s="470"/>
      <c r="KM121" s="470"/>
      <c r="KN121" s="470"/>
      <c r="KO121" s="470"/>
      <c r="KP121" s="470"/>
      <c r="KQ121" s="470"/>
      <c r="KR121" s="470"/>
      <c r="KS121" s="470"/>
      <c r="KT121" s="470"/>
      <c r="KU121" s="470"/>
      <c r="KV121" s="470"/>
      <c r="KW121" s="470"/>
      <c r="KX121" s="470"/>
      <c r="KY121" s="470"/>
      <c r="KZ121" s="470"/>
      <c r="LA121" s="470"/>
      <c r="LB121" s="470"/>
      <c r="LC121" s="470"/>
      <c r="LD121" s="470"/>
      <c r="LE121" s="470"/>
      <c r="LF121" s="470"/>
      <c r="LG121" s="470"/>
      <c r="LH121" s="470"/>
      <c r="LI121" s="470"/>
      <c r="LJ121" s="470"/>
      <c r="LK121" s="470"/>
      <c r="LL121" s="470"/>
      <c r="LM121" s="470"/>
      <c r="LN121" s="470"/>
      <c r="LO121" s="470"/>
      <c r="LP121" s="470"/>
      <c r="LQ121" s="470"/>
      <c r="LR121" s="470"/>
      <c r="LS121" s="470"/>
      <c r="LT121" s="470"/>
      <c r="LU121" s="470"/>
      <c r="LV121" s="470"/>
      <c r="LW121" s="470"/>
      <c r="LX121" s="470"/>
      <c r="LY121" s="470"/>
      <c r="LZ121" s="470"/>
      <c r="MA121" s="470"/>
      <c r="MB121" s="470"/>
      <c r="MC121" s="470"/>
      <c r="MD121" s="470"/>
      <c r="ME121" s="470"/>
      <c r="MF121" s="470"/>
      <c r="MG121" s="470"/>
      <c r="MH121" s="470"/>
      <c r="MI121" s="470"/>
      <c r="MJ121" s="470"/>
      <c r="MK121" s="470"/>
      <c r="ML121" s="470"/>
      <c r="MM121" s="470"/>
      <c r="MN121" s="470"/>
      <c r="MO121" s="470"/>
      <c r="MP121" s="470"/>
      <c r="MQ121" s="470"/>
      <c r="MR121" s="470"/>
      <c r="MS121" s="470"/>
      <c r="MT121" s="470"/>
      <c r="MU121" s="470"/>
      <c r="MV121" s="470"/>
      <c r="MW121" s="470"/>
      <c r="MX121" s="470"/>
      <c r="MY121" s="470"/>
      <c r="MZ121" s="470"/>
      <c r="NA121" s="470"/>
      <c r="NB121" s="470"/>
      <c r="NC121" s="470"/>
      <c r="ND121" s="470"/>
      <c r="NE121" s="470"/>
      <c r="NF121" s="470"/>
      <c r="NG121" s="470"/>
      <c r="NH121" s="470"/>
      <c r="NI121" s="470"/>
      <c r="NJ121" s="470"/>
      <c r="NK121" s="470"/>
      <c r="NL121" s="470"/>
      <c r="NM121" s="470"/>
      <c r="NN121" s="470"/>
      <c r="NO121" s="470"/>
      <c r="NP121" s="470"/>
      <c r="NQ121" s="470"/>
      <c r="NR121" s="470"/>
      <c r="NS121" s="470"/>
      <c r="NT121" s="470"/>
      <c r="NU121" s="470"/>
      <c r="NV121" s="470"/>
      <c r="NW121" s="470"/>
      <c r="NX121" s="470"/>
      <c r="NY121" s="470"/>
      <c r="NZ121" s="470"/>
      <c r="OA121" s="470"/>
      <c r="OB121" s="470"/>
      <c r="OC121" s="470"/>
      <c r="OD121" s="470"/>
      <c r="OE121" s="470"/>
      <c r="OF121" s="470"/>
      <c r="OG121" s="470"/>
      <c r="OH121" s="470"/>
      <c r="OI121" s="470"/>
      <c r="OJ121" s="470"/>
      <c r="OK121" s="470"/>
      <c r="OL121" s="470"/>
      <c r="OM121" s="470"/>
      <c r="ON121" s="470"/>
      <c r="OO121" s="470"/>
      <c r="OP121" s="470"/>
      <c r="OQ121" s="470"/>
      <c r="OR121" s="470"/>
      <c r="OS121" s="470"/>
      <c r="OT121" s="470"/>
      <c r="OU121" s="470"/>
      <c r="OV121" s="470"/>
      <c r="OW121" s="470"/>
      <c r="OX121" s="470"/>
      <c r="OY121" s="470"/>
      <c r="OZ121" s="470"/>
      <c r="PA121" s="470"/>
      <c r="PB121" s="470"/>
      <c r="PC121" s="470"/>
      <c r="PD121" s="470"/>
      <c r="PE121" s="470"/>
      <c r="PF121" s="470"/>
      <c r="PG121" s="470"/>
      <c r="PH121" s="470"/>
    </row>
    <row r="122">
      <c r="B122" s="431" t="s">
        <v>275</v>
      </c>
      <c r="C122" s="471"/>
      <c r="D122" s="472" t="s">
        <v>127</v>
      </c>
      <c r="E122" s="416" t="s">
        <v>276</v>
      </c>
      <c r="F122" s="416" t="s">
        <v>277</v>
      </c>
      <c r="G122" s="416" t="s">
        <v>278</v>
      </c>
      <c r="H122" s="152" t="str">
        <f>"/"&amp;Unit_Type&amp;"/YR"</f>
        <v>/M2/YR</v>
      </c>
      <c r="I122" s="150" t="s">
        <v>267</v>
      </c>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6"/>
      <c r="DA122" s="76"/>
      <c r="DB122" s="76"/>
      <c r="DC122" s="76"/>
      <c r="DD122" s="76"/>
      <c r="DE122" s="76"/>
      <c r="DF122" s="76"/>
      <c r="DG122" s="76"/>
      <c r="DH122" s="76"/>
      <c r="DI122" s="76"/>
      <c r="DJ122" s="76"/>
      <c r="DK122" s="76"/>
      <c r="DL122" s="76"/>
      <c r="DM122" s="76"/>
      <c r="DN122" s="76"/>
      <c r="DO122" s="76"/>
      <c r="DP122" s="76"/>
      <c r="DQ122" s="76"/>
      <c r="DR122" s="76"/>
      <c r="DS122" s="76"/>
      <c r="DT122" s="76"/>
      <c r="DU122" s="76"/>
      <c r="DV122" s="76"/>
      <c r="DW122" s="76"/>
      <c r="DX122" s="76"/>
      <c r="DY122" s="76"/>
      <c r="DZ122" s="76"/>
      <c r="EA122" s="76"/>
      <c r="EB122" s="76"/>
      <c r="EC122" s="76"/>
      <c r="ED122" s="76"/>
      <c r="EE122" s="76"/>
      <c r="EF122" s="76"/>
      <c r="EG122" s="76"/>
      <c r="EH122" s="76"/>
      <c r="EI122" s="76"/>
      <c r="EJ122" s="76"/>
      <c r="EK122" s="76"/>
      <c r="EL122" s="76"/>
      <c r="EM122" s="76"/>
      <c r="EN122" s="76"/>
      <c r="EO122" s="209"/>
      <c r="EP122" s="468"/>
      <c r="EQ122" s="469"/>
      <c r="ER122" s="469"/>
      <c r="ES122" s="469"/>
      <c r="ET122" s="469"/>
      <c r="EU122" s="469"/>
      <c r="EV122" s="469"/>
      <c r="EW122" s="469"/>
      <c r="EX122" s="469"/>
      <c r="EY122" s="469"/>
      <c r="EZ122" s="469"/>
      <c r="FA122" s="469"/>
      <c r="FB122" s="469"/>
      <c r="FC122" s="469"/>
      <c r="FD122" s="469"/>
      <c r="FE122" s="469"/>
      <c r="FF122" s="469"/>
      <c r="FG122" s="469"/>
      <c r="FH122" s="469"/>
      <c r="FI122" s="469"/>
      <c r="FJ122" s="469"/>
      <c r="FK122" s="469"/>
      <c r="FL122" s="469"/>
      <c r="FM122" s="469"/>
      <c r="FN122" s="469"/>
      <c r="FO122" s="469"/>
      <c r="FP122" s="469"/>
      <c r="FQ122" s="469"/>
      <c r="FR122" s="469"/>
      <c r="FS122" s="469"/>
      <c r="FT122" s="469"/>
      <c r="FU122" s="469"/>
      <c r="FV122" s="469"/>
      <c r="FW122" s="469"/>
      <c r="FX122" s="469"/>
      <c r="FY122" s="469"/>
      <c r="FZ122" s="469"/>
      <c r="GA122" s="469"/>
      <c r="GB122" s="469"/>
      <c r="GC122" s="469"/>
      <c r="GD122" s="469"/>
      <c r="GE122" s="469"/>
      <c r="GF122" s="469"/>
      <c r="GG122" s="469"/>
      <c r="GH122" s="469"/>
      <c r="GI122" s="469"/>
      <c r="GJ122" s="469"/>
      <c r="GK122" s="469"/>
      <c r="GL122" s="469"/>
      <c r="GM122" s="469"/>
      <c r="GN122" s="469"/>
      <c r="GO122" s="469"/>
      <c r="GP122" s="469"/>
      <c r="GQ122" s="469"/>
      <c r="GR122" s="469"/>
      <c r="GS122" s="469"/>
      <c r="GT122" s="469"/>
      <c r="GU122" s="469"/>
      <c r="GV122" s="469"/>
      <c r="GW122" s="469"/>
      <c r="GX122" s="469"/>
      <c r="GY122" s="469"/>
      <c r="GZ122" s="469"/>
      <c r="HA122" s="469"/>
      <c r="HB122" s="469"/>
      <c r="HC122" s="469"/>
      <c r="HD122" s="469"/>
      <c r="HE122" s="469"/>
      <c r="HF122" s="469"/>
      <c r="HG122" s="469"/>
      <c r="HH122" s="469"/>
      <c r="HI122" s="469"/>
      <c r="HJ122" s="469"/>
      <c r="HK122" s="469"/>
      <c r="HL122" s="469"/>
      <c r="HM122" s="469"/>
      <c r="HN122" s="469"/>
      <c r="HO122" s="469"/>
      <c r="HP122" s="469"/>
      <c r="HQ122" s="469"/>
      <c r="HR122" s="469"/>
      <c r="HS122" s="469"/>
      <c r="HT122" s="469"/>
      <c r="HU122" s="469"/>
      <c r="HV122" s="469"/>
      <c r="HW122" s="469"/>
      <c r="HX122" s="469"/>
      <c r="HY122" s="469"/>
      <c r="HZ122" s="469"/>
      <c r="IA122" s="469"/>
      <c r="IB122" s="469"/>
      <c r="IC122" s="469"/>
      <c r="ID122" s="469"/>
      <c r="IE122" s="469"/>
      <c r="IF122" s="469"/>
      <c r="IG122" s="469"/>
      <c r="IH122" s="469"/>
      <c r="II122" s="469"/>
      <c r="IJ122" s="469"/>
      <c r="IK122" s="469"/>
      <c r="IL122" s="469"/>
      <c r="IM122" s="469"/>
      <c r="IN122" s="469"/>
      <c r="IO122" s="469"/>
      <c r="IP122" s="469"/>
      <c r="IQ122" s="469"/>
      <c r="IR122" s="469"/>
      <c r="IS122" s="469"/>
      <c r="IT122" s="469"/>
      <c r="IU122" s="469"/>
      <c r="IV122" s="469"/>
      <c r="IW122" s="469"/>
      <c r="IX122" s="469"/>
      <c r="IY122" s="469"/>
      <c r="IZ122" s="469"/>
      <c r="JA122" s="469"/>
      <c r="JB122" s="469"/>
      <c r="JC122" s="469"/>
      <c r="JD122" s="469"/>
      <c r="JE122" s="469"/>
      <c r="JF122" s="469"/>
      <c r="JG122" s="469"/>
      <c r="JH122" s="469"/>
      <c r="JI122" s="469"/>
      <c r="JJ122" s="469"/>
      <c r="JK122" s="469"/>
      <c r="JL122" s="469"/>
      <c r="JM122" s="469"/>
      <c r="JN122" s="469"/>
      <c r="JO122" s="469"/>
      <c r="JP122" s="469"/>
      <c r="JQ122" s="469"/>
      <c r="JR122" s="469"/>
      <c r="JS122" s="469"/>
      <c r="JT122" s="469"/>
      <c r="JU122" s="469"/>
      <c r="JV122" s="469"/>
      <c r="JW122" s="469"/>
      <c r="JX122" s="20"/>
      <c r="JZ122" s="470"/>
      <c r="KA122" s="470"/>
      <c r="KB122" s="470"/>
      <c r="KC122" s="470"/>
      <c r="KD122" s="470"/>
      <c r="KE122" s="470"/>
      <c r="KF122" s="470"/>
      <c r="KG122" s="470"/>
      <c r="KH122" s="470"/>
      <c r="KI122" s="470"/>
      <c r="KJ122" s="470"/>
      <c r="KK122" s="470"/>
      <c r="KL122" s="470"/>
      <c r="KM122" s="470"/>
      <c r="KN122" s="470"/>
      <c r="KO122" s="470"/>
      <c r="KP122" s="470"/>
      <c r="KQ122" s="470"/>
      <c r="KR122" s="470"/>
      <c r="KS122" s="470"/>
      <c r="KT122" s="470"/>
      <c r="KU122" s="470"/>
      <c r="KV122" s="470"/>
      <c r="KW122" s="470"/>
      <c r="KX122" s="470"/>
      <c r="KY122" s="470"/>
      <c r="KZ122" s="470"/>
      <c r="LA122" s="470"/>
      <c r="LB122" s="470"/>
      <c r="LC122" s="470"/>
      <c r="LD122" s="470"/>
      <c r="LE122" s="470"/>
      <c r="LF122" s="470"/>
      <c r="LG122" s="470"/>
      <c r="LH122" s="470"/>
      <c r="LI122" s="470"/>
      <c r="LJ122" s="470"/>
      <c r="LK122" s="470"/>
      <c r="LL122" s="470"/>
      <c r="LM122" s="470"/>
      <c r="LN122" s="470"/>
      <c r="LO122" s="470"/>
      <c r="LP122" s="470"/>
      <c r="LQ122" s="470"/>
      <c r="LR122" s="470"/>
      <c r="LS122" s="470"/>
      <c r="LT122" s="470"/>
      <c r="LU122" s="470"/>
      <c r="LV122" s="470"/>
      <c r="LW122" s="470"/>
      <c r="LX122" s="470"/>
      <c r="LY122" s="470"/>
      <c r="LZ122" s="470"/>
      <c r="MA122" s="470"/>
      <c r="MB122" s="470"/>
      <c r="MC122" s="470"/>
      <c r="MD122" s="470"/>
      <c r="ME122" s="470"/>
      <c r="MF122" s="470"/>
      <c r="MG122" s="470"/>
      <c r="MH122" s="470"/>
      <c r="MI122" s="470"/>
      <c r="MJ122" s="470"/>
      <c r="MK122" s="470"/>
      <c r="ML122" s="470"/>
      <c r="MM122" s="470"/>
      <c r="MN122" s="470"/>
      <c r="MO122" s="470"/>
      <c r="MP122" s="470"/>
      <c r="MQ122" s="470"/>
      <c r="MR122" s="470"/>
      <c r="MS122" s="470"/>
      <c r="MT122" s="470"/>
      <c r="MU122" s="470"/>
      <c r="MV122" s="470"/>
      <c r="MW122" s="470"/>
      <c r="MX122" s="470"/>
      <c r="MY122" s="470"/>
      <c r="MZ122" s="470"/>
      <c r="NA122" s="470"/>
      <c r="NB122" s="470"/>
      <c r="NC122" s="470"/>
      <c r="ND122" s="470"/>
      <c r="NE122" s="470"/>
      <c r="NF122" s="470"/>
      <c r="NG122" s="470"/>
      <c r="NH122" s="470"/>
      <c r="NI122" s="470"/>
      <c r="NJ122" s="470"/>
      <c r="NK122" s="470"/>
      <c r="NL122" s="470"/>
      <c r="NM122" s="470"/>
      <c r="NN122" s="470"/>
      <c r="NO122" s="470"/>
      <c r="NP122" s="470"/>
      <c r="NQ122" s="470"/>
      <c r="NR122" s="470"/>
      <c r="NS122" s="470"/>
      <c r="NT122" s="470"/>
      <c r="NU122" s="470"/>
      <c r="NV122" s="470"/>
      <c r="NW122" s="470"/>
      <c r="NX122" s="470"/>
      <c r="NY122" s="470"/>
      <c r="NZ122" s="470"/>
      <c r="OA122" s="470"/>
      <c r="OB122" s="470"/>
      <c r="OC122" s="470"/>
      <c r="OD122" s="470"/>
      <c r="OE122" s="470"/>
      <c r="OF122" s="470"/>
      <c r="OG122" s="470"/>
      <c r="OH122" s="470"/>
      <c r="OI122" s="470"/>
      <c r="OJ122" s="470"/>
      <c r="OK122" s="470"/>
      <c r="OL122" s="470"/>
      <c r="OM122" s="470"/>
      <c r="ON122" s="470"/>
      <c r="OO122" s="470"/>
      <c r="OP122" s="470"/>
      <c r="OQ122" s="470"/>
      <c r="OR122" s="470"/>
      <c r="OS122" s="470"/>
      <c r="OT122" s="470"/>
      <c r="OU122" s="470"/>
      <c r="OV122" s="470"/>
      <c r="OW122" s="470"/>
      <c r="OX122" s="470"/>
      <c r="OY122" s="470"/>
      <c r="OZ122" s="470"/>
      <c r="PA122" s="470"/>
      <c r="PB122" s="470"/>
      <c r="PC122" s="470"/>
      <c r="PD122" s="470"/>
      <c r="PE122" s="470"/>
      <c r="PF122" s="470"/>
      <c r="PG122" s="470"/>
      <c r="PH122" s="470"/>
    </row>
    <row r="123">
      <c r="B123" s="423" t="s">
        <v>279</v>
      </c>
      <c r="C123" s="418" t="n">
        <f>Timing_Operation_Begin_Month</f>
        <v>37</v>
      </c>
      <c r="D123" s="46"/>
      <c r="E123" s="480">
        <v>0</v>
      </c>
      <c r="F123" s="44" t="n">
        <f>$F$134</f>
        <v>0.02</v>
      </c>
      <c r="G123" s="40" t="n">
        <f>+I123/$I$105</f>
        <v>0.003071253071253071</v>
      </c>
      <c r="H123" s="301" t="n">
        <f>I123/Units</f>
        <v>0.6384686559136626</v>
      </c>
      <c r="I123" s="481">
        <v>50000</v>
      </c>
      <c r="L123" s="76" t="n">
        <f>(M$86&gt;=$D123)*(($I123/12*M$89*(1+$F123)^(ROUNDUP(M$91/12,0)-1))*(1-$E123)+($I123/12*(1+$F123)^(ROUNDUP(M$91/12,0)-1))*$E123)</f>
        <v>0</v>
      </c>
      <c r="M123" s="421"/>
      <c r="N123" s="421" t="n">
        <f>(N$86&gt;=$D123)*(($I123/12*N$89*(1+$F123)^(ROUNDUP(N$91/12,0)-1))*(1-$E123)+($I123/12*(1+$F123)^(ROUNDUP(N$91/12,0)-1))*$E123)</f>
        <v>0</v>
      </c>
      <c r="O123" s="421" t="n">
        <f>MAX(0,IFERROR(INDEX(PROJECTS!$N$11:$AI$11,1,MATCH(YEAR(O$24),PROJECTS!$N$7:$AI$7,0))*1000000/12-SUM(O103,O118,O121:O122),0))</f>
        <v>0</v>
      </c>
      <c r="P123" s="421" t="n">
        <f>MAX(0,IFERROR(INDEX(PROJECTS!$N$11:$AI$11,1,MATCH(YEAR(P$24),PROJECTS!$N$7:$AI$7,0))*1000000/12-SUM(P103,P118,P121:P122),0))</f>
        <v>0</v>
      </c>
      <c r="Q123" s="421" t="n">
        <f>MAX(0,IFERROR(INDEX(PROJECTS!$N$11:$AI$11,1,MATCH(YEAR(Q$24),PROJECTS!$N$7:$AI$7,0))*1000000/12-SUM(Q103,Q118,Q121:Q122),0))</f>
        <v>0</v>
      </c>
      <c r="R123" s="421" t="n">
        <f>MAX(0,IFERROR(INDEX(PROJECTS!$N$11:$AI$11,1,MATCH(YEAR(R$24),PROJECTS!$N$7:$AI$7,0))*1000000/12-SUM(R103,R118,R121:R122),0))</f>
        <v>0</v>
      </c>
      <c r="S123" s="421" t="n">
        <f>MAX(0,IFERROR(INDEX(PROJECTS!$N$11:$AI$11,1,MATCH(YEAR(S$24),PROJECTS!$N$7:$AI$7,0))*1000000/12-SUM(S103,S118,S121:S122),0))</f>
        <v>700145.9419782542</v>
      </c>
      <c r="T123" s="421" t="n">
        <f>MAX(0,IFERROR(INDEX(PROJECTS!$N$11:$AI$11,1,MATCH(YEAR(T$24),PROJECTS!$N$7:$AI$7,0))*1000000/12-SUM(T103,T118,T121:T122),0))</f>
        <v>700145.9419782542</v>
      </c>
      <c r="U123" s="421" t="n">
        <f>MAX(0,IFERROR(INDEX(PROJECTS!$N$11:$AI$11,1,MATCH(YEAR(U$24),PROJECTS!$N$7:$AI$7,0))*1000000/12-SUM(U103,U118,U121:U122),0))</f>
        <v>700145.9419782542</v>
      </c>
      <c r="V123" s="421" t="n">
        <f>MAX(0,IFERROR(INDEX(PROJECTS!$N$11:$AI$11,1,MATCH(YEAR(V$24),PROJECTS!$N$7:$AI$7,0))*1000000/12-SUM(V103,V118,V121:V122),0))</f>
        <v>700145.9419782542</v>
      </c>
      <c r="W123" s="421" t="n">
        <f>MAX(0,IFERROR(INDEX(PROJECTS!$N$11:$AI$11,1,MATCH(YEAR(W$24),PROJECTS!$N$7:$AI$7,0))*1000000/12-SUM(W103,W118,W121:W122),0))</f>
        <v>700145.9419782542</v>
      </c>
      <c r="X123" s="421" t="n">
        <f>MAX(0,IFERROR(INDEX(PROJECTS!$N$11:$AI$11,1,MATCH(YEAR(X$24),PROJECTS!$N$7:$AI$7,0))*1000000/12-SUM(X103,X118,X121:X122),0))</f>
        <v>700145.9419782542</v>
      </c>
      <c r="Y123" s="421" t="n">
        <f>MAX(0,IFERROR(INDEX(PROJECTS!$N$11:$AI$11,1,MATCH(YEAR(Y$24),PROJECTS!$N$7:$AI$7,0))*1000000/12-SUM(Y103,Y118,Y121:Y122),0))</f>
        <v>700145.9419782542</v>
      </c>
      <c r="Z123" s="421" t="n">
        <f>MAX(0,IFERROR(INDEX(PROJECTS!$N$11:$AI$11,1,MATCH(YEAR(Z$24),PROJECTS!$N$7:$AI$7,0))*1000000/12-SUM(Z103,Z118,Z121:Z122),0))</f>
        <v>700145.9419782542</v>
      </c>
      <c r="AA123" s="421" t="n">
        <f>MAX(0,IFERROR(INDEX(PROJECTS!$N$11:$AI$11,1,MATCH(YEAR(AA$24),PROJECTS!$N$7:$AI$7,0))*1000000/12-SUM(AA103,AA118,AA121:AA122),0))</f>
        <v>700145.9419782542</v>
      </c>
      <c r="AB123" s="421" t="n">
        <f>MAX(0,IFERROR(INDEX(PROJECTS!$N$11:$AI$11,1,MATCH(YEAR(AB$24),PROJECTS!$N$7:$AI$7,0))*1000000/12-SUM(AB103,AB118,AB121:AB122),0))</f>
        <v>700145.9419782542</v>
      </c>
      <c r="AC123" s="421" t="n">
        <f>MAX(0,IFERROR(INDEX(PROJECTS!$N$11:$AI$11,1,MATCH(YEAR(AC$24),PROJECTS!$N$7:$AI$7,0))*1000000/12-SUM(AC103,AC118,AC121:AC122),0))</f>
        <v>700145.9419782542</v>
      </c>
      <c r="AD123" s="421" t="n">
        <f>(AD$86&gt;=$D123)*(($I123/12*AD$89*(1+$F123)^(ROUNDUP(AD$91/12,0)-1))*(1-$E123)+($I123/12*(1+$F123)^(ROUNDUP(AD$91/12,0)-1))*$E123)</f>
        <v>0</v>
      </c>
      <c r="AE123" s="421" t="n">
        <f>MAX(0,IFERROR(INDEX(PROJECTS!$N$11:$AI$11,1,MATCH(YEAR(AE$24),PROJECTS!$N$7:$AI$7,0))*1000000/12-SUM(AE103,AE118,AE121:AE122),0))</f>
        <v>3756155.729140019</v>
      </c>
      <c r="AF123" s="421" t="n">
        <f>MAX(0,IFERROR(INDEX(PROJECTS!$N$11:$AI$11,1,MATCH(YEAR(AF$24),PROJECTS!$N$7:$AI$7,0))*1000000/12-SUM(AF103,AF118,AF121:AF122),0))</f>
        <v>3756155.729140019</v>
      </c>
      <c r="AG123" s="421" t="n">
        <f>MAX(0,IFERROR(INDEX(PROJECTS!$N$11:$AI$11,1,MATCH(YEAR(AG$24),PROJECTS!$N$7:$AI$7,0))*1000000/12-SUM(AG103,AG118,AG121:AG122),0))</f>
        <v>3756155.729140019</v>
      </c>
      <c r="AH123" s="421" t="n">
        <f>MAX(0,IFERROR(INDEX(PROJECTS!$N$11:$AI$11,1,MATCH(YEAR(AH$24),PROJECTS!$N$7:$AI$7,0))*1000000/12-SUM(AH103,AH118,AH121:AH122),0))</f>
        <v>3756155.729140019</v>
      </c>
      <c r="AI123" s="421" t="n">
        <f>MAX(0,IFERROR(INDEX(PROJECTS!$N$11:$AI$11,1,MATCH(YEAR(AI$24),PROJECTS!$N$7:$AI$7,0))*1000000/12-SUM(AI103,AI118,AI121:AI122),0))</f>
        <v>3756155.729140019</v>
      </c>
      <c r="AJ123" s="421" t="n">
        <f>MAX(0,IFERROR(INDEX(PROJECTS!$N$11:$AI$11,1,MATCH(YEAR(AJ$24),PROJECTS!$N$7:$AI$7,0))*1000000/12-SUM(AJ103,AJ118,AJ121:AJ122),0))</f>
        <v>3756155.729140019</v>
      </c>
      <c r="AK123" s="421" t="n">
        <f>MAX(0,IFERROR(INDEX(PROJECTS!$N$11:$AI$11,1,MATCH(YEAR(AK$24),PROJECTS!$N$7:$AI$7,0))*1000000/12-SUM(AK103,AK118,AK121:AK122),0))</f>
        <v>3756155.729140019</v>
      </c>
      <c r="AL123" s="421" t="n">
        <f>MAX(0,IFERROR(INDEX(PROJECTS!$N$11:$AI$11,1,MATCH(YEAR(AL$24),PROJECTS!$N$7:$AI$7,0))*1000000/12-SUM(AL103,AL118,AL121:AL122),0))</f>
        <v>3756155.729140019</v>
      </c>
      <c r="AM123" s="421" t="n">
        <f>MAX(0,IFERROR(INDEX(PROJECTS!$N$11:$AI$11,1,MATCH(YEAR(AM$24),PROJECTS!$N$7:$AI$7,0))*1000000/12-SUM(AM103,AM118,AM121:AM122),0))</f>
        <v>3756155.729140019</v>
      </c>
      <c r="AN123" s="421" t="n">
        <f>MAX(0,IFERROR(INDEX(PROJECTS!$N$11:$AI$11,1,MATCH(YEAR(AN$24),PROJECTS!$N$7:$AI$7,0))*1000000/12-SUM(AN103,AN118,AN121:AN122),0))</f>
        <v>3756155.729140019</v>
      </c>
      <c r="AO123" s="421" t="n">
        <f>MAX(0,IFERROR(INDEX(PROJECTS!$N$11:$AI$11,1,MATCH(YEAR(AO$24),PROJECTS!$N$7:$AI$7,0))*1000000/12-SUM(AO103,AO118,AO121:AO122),0))</f>
        <v>3756155.729140019</v>
      </c>
      <c r="AP123" s="421" t="n">
        <f>MAX(0,IFERROR(INDEX(PROJECTS!$N$11:$AI$11,1,MATCH(YEAR(AP$24),PROJECTS!$N$7:$AI$7,0))*1000000/12-SUM(AP103,AP118,AP121:AP122),0))</f>
        <v>3756155.729140019</v>
      </c>
      <c r="AQ123" s="421" t="n">
        <f>MAX(0,IFERROR(INDEX(PROJECTS!$N$11:$AI$11,1,MATCH(YEAR(AQ$24),PROJECTS!$N$7:$AI$7,0))*1000000/12-SUM(AQ103,AQ118,AQ121:AQ122),0))</f>
        <v>4069183.364023819</v>
      </c>
      <c r="AR123" s="421" t="n">
        <f>MAX(0,IFERROR(INDEX(PROJECTS!$N$11:$AI$11,1,MATCH(YEAR(AR$24),PROJECTS!$N$7:$AI$7,0))*1000000/12-SUM(AR103,AR118,AR121:AR122),0))</f>
        <v>4069183.364023819</v>
      </c>
      <c r="AS123" s="421" t="n">
        <f>MAX(0,IFERROR(INDEX(PROJECTS!$N$11:$AI$11,1,MATCH(YEAR(AS$24),PROJECTS!$N$7:$AI$7,0))*1000000/12-SUM(AS103,AS118,AS121:AS122),0))</f>
        <v>4069183.364023819</v>
      </c>
      <c r="AT123" s="421" t="n">
        <f>(AT$86&gt;=$D123)*(($I123/12*AT$89*(1+$F123)^(ROUNDUP(AT$91/12,0)-1))*(1-$E123)+($I123/12*(1+$F123)^(ROUNDUP(AT$91/12,0)-1))*$E123)</f>
        <v>4079.125123409941</v>
      </c>
      <c r="AU123" s="421" t="n">
        <f>MAX(0,IFERROR(INDEX(PROJECTS!$N$11:$AI$11,1,MATCH(YEAR(AU$24),PROJECTS!$N$7:$AI$7,0))*1000000/12-SUM(AU103,AU118,AU121:AU122),0))</f>
        <v>4069183.364023819</v>
      </c>
      <c r="AV123" s="421" t="n">
        <f>MAX(0,IFERROR(INDEX(PROJECTS!$N$11:$AI$11,1,MATCH(YEAR(AV$24),PROJECTS!$N$7:$AI$7,0))*1000000/12-SUM(AV103,AV118,AV121:AV122),0))</f>
        <v>4069183.364023819</v>
      </c>
      <c r="AW123" s="421" t="n">
        <f>MAX(0,IFERROR(INDEX(PROJECTS!$N$11:$AI$11,1,MATCH(YEAR(AW$24),PROJECTS!$N$7:$AI$7,0))*1000000/12-SUM(AW103,AW118,AW121:AW122),0))</f>
        <v>4069183.364023819</v>
      </c>
      <c r="AX123" s="421" t="n">
        <f>MAX(0,IFERROR(INDEX(PROJECTS!$N$11:$AI$11,1,MATCH(YEAR(AX$24),PROJECTS!$N$7:$AI$7,0))*1000000/12-SUM(AX103,AX118,AX121:AX122),0))</f>
        <v>4069183.364023819</v>
      </c>
      <c r="AY123" s="421" t="n">
        <f>MAX(0,IFERROR(INDEX(PROJECTS!$N$11:$AI$11,1,MATCH(YEAR(AY$24),PROJECTS!$N$7:$AI$7,0))*1000000/12-SUM(AY103,AY118,AY121:AY122),0))</f>
        <v>4069183.364023819</v>
      </c>
      <c r="AZ123" s="421" t="n">
        <f>MAX(0,IFERROR(INDEX(PROJECTS!$N$11:$AI$11,1,MATCH(YEAR(AZ$24),PROJECTS!$N$7:$AI$7,0))*1000000/12-SUM(AZ103,AZ118,AZ121:AZ122),0))</f>
        <v>4068959.4213218084</v>
      </c>
      <c r="BA123" s="421" t="n">
        <f>MAX(0,IFERROR(INDEX(PROJECTS!$N$11:$AI$11,1,MATCH(YEAR(BA$24),PROJECTS!$N$7:$AI$7,0))*1000000/12-SUM(BA103,BA118,BA121:BA122),0))</f>
        <v>4068959.4213218084</v>
      </c>
      <c r="BB123" s="421" t="n">
        <f>MAX(0,IFERROR(INDEX(PROJECTS!$N$11:$AI$11,1,MATCH(YEAR(BB$24),PROJECTS!$N$7:$AI$7,0))*1000000/12-SUM(BB103,BB118,BB121:BB122),0))</f>
        <v>4068959.4213218084</v>
      </c>
      <c r="BC123" s="421" t="n">
        <f>MAX(0,IFERROR(INDEX(PROJECTS!$N$11:$AI$11,1,MATCH(YEAR(BC$24),PROJECTS!$N$7:$AI$7,0))*1000000/12-SUM(BC103,BC118,BC121:BC122),0))</f>
        <v>4227538.5311885215</v>
      </c>
      <c r="BD123" s="421" t="n">
        <f>MAX(0,IFERROR(INDEX(PROJECTS!$N$11:$AI$11,1,MATCH(YEAR(BD$24),PROJECTS!$N$7:$AI$7,0))*1000000/12-SUM(BD103,BD118,BD121:BD122),0))</f>
        <v>4227538.5311885215</v>
      </c>
      <c r="BE123" s="421" t="n">
        <f>MAX(0,IFERROR(INDEX(PROJECTS!$N$11:$AI$11,1,MATCH(YEAR(BE$24),PROJECTS!$N$7:$AI$7,0))*1000000/12-SUM(BE103,BE118,BE121:BE122),0))</f>
        <v>4227538.5311885215</v>
      </c>
      <c r="BF123" s="421" t="n">
        <f>MAX(0,IFERROR(INDEX(PROJECTS!$N$11:$AI$11,1,MATCH(YEAR(BF$24),PROJECTS!$N$7:$AI$7,0))*1000000/12-SUM(BF103,BF118,BF121:BF122),0))</f>
        <v>4227538.5311885215</v>
      </c>
      <c r="BG123" s="421" t="n">
        <f>MAX(0,IFERROR(INDEX(PROJECTS!$N$11:$AI$11,1,MATCH(YEAR(BG$24),PROJECTS!$N$7:$AI$7,0))*1000000/12-SUM(BG103,BG118,BG121:BG122),0))</f>
        <v>4227538.5311885215</v>
      </c>
      <c r="BH123" s="421" t="n">
        <f>MAX(0,IFERROR(INDEX(PROJECTS!$N$11:$AI$11,1,MATCH(YEAR(BH$24),PROJECTS!$N$7:$AI$7,0))*1000000/12-SUM(BH103,BH118,BH121:BH122),0))</f>
        <v>4227538.5311885215</v>
      </c>
      <c r="BI123" s="421" t="n">
        <f>MAX(0,IFERROR(INDEX(PROJECTS!$N$11:$AI$11,1,MATCH(YEAR(BI$24),PROJECTS!$N$7:$AI$7,0))*1000000/12-SUM(BI103,BI118,BI121:BI122),0))</f>
        <v>4227538.5311885215</v>
      </c>
      <c r="BJ123" s="421" t="n">
        <f>(BJ$86&gt;=$D123)*(($I123/12*BJ$89*(1+$F123)^(ROUNDUP(BJ$91/12,0)-1))*(1-$E123)+($I123/12*(1+$F123)^(ROUNDUP(BJ$91/12,0)-1))*$E123)</f>
        <v>4250</v>
      </c>
      <c r="BK123" s="421" t="n">
        <f>MAX(0,IFERROR(INDEX(PROJECTS!$N$11:$AI$11,1,MATCH(YEAR(BK$24),PROJECTS!$N$7:$AI$7,0))*1000000/12-SUM(BK103,BK118,BK121:BK122),0))</f>
        <v>4227538.5311885215</v>
      </c>
      <c r="BL123" s="421" t="n">
        <f>MAX(0,IFERROR(INDEX(PROJECTS!$N$11:$AI$11,1,MATCH(YEAR(BL$24),PROJECTS!$N$7:$AI$7,0))*1000000/12-SUM(BL103,BL118,BL121:BL122),0))</f>
        <v>4227538.5311885215</v>
      </c>
      <c r="BM123" s="421" t="n">
        <f>MAX(0,IFERROR(INDEX(PROJECTS!$N$11:$AI$11,1,MATCH(YEAR(BM$24),PROJECTS!$N$7:$AI$7,0))*1000000/12-SUM(BM103,BM118,BM121:BM122),0))</f>
        <v>4227538.5311885215</v>
      </c>
      <c r="BN123" s="421" t="n">
        <f>MAX(0,IFERROR(INDEX(PROJECTS!$N$11:$AI$11,1,MATCH(YEAR(BN$24),PROJECTS!$N$7:$AI$7,0))*1000000/12-SUM(BN103,BN118,BN121:BN122),0))</f>
        <v>4227538.5311885215</v>
      </c>
      <c r="BO123" s="421" t="n">
        <f>MAX(0,IFERROR(INDEX(PROJECTS!$N$11:$AI$11,1,MATCH(YEAR(BO$24),PROJECTS!$N$7:$AI$7,0))*1000000/12-SUM(BO103,BO118,BO121:BO122),0))</f>
        <v>4370347.040361862</v>
      </c>
      <c r="BP123" s="421" t="n">
        <f>MAX(0,IFERROR(INDEX(PROJECTS!$N$11:$AI$11,1,MATCH(YEAR(BP$24),PROJECTS!$N$7:$AI$7,0))*1000000/12-SUM(BP103,BP118,BP121:BP122),0))</f>
        <v>4370347.040361862</v>
      </c>
      <c r="BQ123" s="421" t="n">
        <f>MAX(0,IFERROR(INDEX(PROJECTS!$N$11:$AI$11,1,MATCH(YEAR(BQ$24),PROJECTS!$N$7:$AI$7,0))*1000000/12-SUM(BQ103,BQ118,BQ121:BQ122),0))</f>
        <v>4370347.040361862</v>
      </c>
      <c r="BR123" s="421" t="n">
        <f>MAX(0,IFERROR(INDEX(PROJECTS!$N$11:$AI$11,1,MATCH(YEAR(BR$24),PROJECTS!$N$7:$AI$7,0))*1000000/12-SUM(BR103,BR118,BR121:BR122),0))</f>
        <v>4370347.040361862</v>
      </c>
      <c r="BS123" s="421" t="n">
        <f>MAX(0,IFERROR(INDEX(PROJECTS!$N$11:$AI$11,1,MATCH(YEAR(BS$24),PROJECTS!$N$7:$AI$7,0))*1000000/12-SUM(BS103,BS118,BS121:BS122),0))</f>
        <v>4370347.040361862</v>
      </c>
      <c r="BT123" s="421" t="n">
        <f>MAX(0,IFERROR(INDEX(PROJECTS!$N$11:$AI$11,1,MATCH(YEAR(BT$24),PROJECTS!$N$7:$AI$7,0))*1000000/12-SUM(BT103,BT118,BT121:BT122),0))</f>
        <v>4370347.040361862</v>
      </c>
      <c r="BU123" s="421" t="n">
        <f>MAX(0,IFERROR(INDEX(PROJECTS!$N$11:$AI$11,1,MATCH(YEAR(BU$24),PROJECTS!$N$7:$AI$7,0))*1000000/12-SUM(BU103,BU118,BU121:BU122),0))</f>
        <v>4370347.040361862</v>
      </c>
      <c r="BV123" s="421" t="n">
        <f>MAX(0,IFERROR(INDEX(PROJECTS!$N$11:$AI$11,1,MATCH(YEAR(BV$24),PROJECTS!$N$7:$AI$7,0))*1000000/12-SUM(BV103,BV118,BV121:BV122),0))</f>
        <v>4370347.040361862</v>
      </c>
      <c r="BW123" s="421" t="n">
        <f>MAX(0,IFERROR(INDEX(PROJECTS!$N$11:$AI$11,1,MATCH(YEAR(BW$24),PROJECTS!$N$7:$AI$7,0))*1000000/12-SUM(BW103,BW118,BW121:BW122),0))</f>
        <v>4370347.040361862</v>
      </c>
      <c r="BX123" s="421" t="n">
        <f>MAX(0,IFERROR(INDEX(PROJECTS!$N$11:$AI$11,1,MATCH(YEAR(BX$24),PROJECTS!$N$7:$AI$7,0))*1000000/12-SUM(BX103,BX118,BX121:BX122),0))</f>
        <v>4370347.040361862</v>
      </c>
      <c r="BY123" s="421" t="n">
        <f>MAX(0,IFERROR(INDEX(PROJECTS!$N$11:$AI$11,1,MATCH(YEAR(BY$24),PROJECTS!$N$7:$AI$7,0))*1000000/12-SUM(BY103,BY118,BY121:BY122),0))</f>
        <v>4370347.040361862</v>
      </c>
      <c r="BZ123" s="421" t="n">
        <f>(BZ$86&gt;=$D123)*(($I123/12*BZ$89*(1+$F123)^(ROUNDUP(BZ$91/12,0)-1))*(1-$E123)+($I123/12*(1+$F123)^(ROUNDUP(BZ$91/12,0)-1))*$E123)</f>
        <v>4335</v>
      </c>
      <c r="CA123" s="421" t="n">
        <f>MAX(0,IFERROR(INDEX(PROJECTS!$N$11:$AI$11,1,MATCH(YEAR(CA$24),PROJECTS!$N$7:$AI$7,0))*1000000/12-SUM(CA103,CA118,CA121:CA122),0))</f>
        <v>4514992.006510656</v>
      </c>
      <c r="CB123" s="421" t="n">
        <f>MAX(0,IFERROR(INDEX(PROJECTS!$N$11:$AI$11,1,MATCH(YEAR(CB$24),PROJECTS!$N$7:$AI$7,0))*1000000/12-SUM(CB103,CB118,CB121:CB122),0))</f>
        <v>4514992.006510656</v>
      </c>
      <c r="CC123" s="421" t="n">
        <f>MAX(0,IFERROR(INDEX(PROJECTS!$N$11:$AI$11,1,MATCH(YEAR(CC$24),PROJECTS!$N$7:$AI$7,0))*1000000/12-SUM(CC103,CC118,CC121:CC122),0))</f>
        <v>4514992.006510656</v>
      </c>
      <c r="CD123" s="421" t="n">
        <f>MAX(0,IFERROR(INDEX(PROJECTS!$N$11:$AI$11,1,MATCH(YEAR(CD$24),PROJECTS!$N$7:$AI$7,0))*1000000/12-SUM(CD103,CD118,CD121:CD122),0))</f>
        <v>4514992.006510656</v>
      </c>
      <c r="CE123" s="421" t="n">
        <f>MAX(0,IFERROR(INDEX(PROJECTS!$N$11:$AI$11,1,MATCH(YEAR(CE$24),PROJECTS!$N$7:$AI$7,0))*1000000/12-SUM(CE103,CE118,CE121:CE122),0))</f>
        <v>4514992.006510656</v>
      </c>
      <c r="CF123" s="421" t="n">
        <f>MAX(0,IFERROR(INDEX(PROJECTS!$N$11:$AI$11,1,MATCH(YEAR(CF$24),PROJECTS!$N$7:$AI$7,0))*1000000/12-SUM(CF103,CF118,CF121:CF122),0))</f>
        <v>4514992.006510656</v>
      </c>
      <c r="CG123" s="421" t="n">
        <f>MAX(0,IFERROR(INDEX(PROJECTS!$N$11:$AI$11,1,MATCH(YEAR(CG$24),PROJECTS!$N$7:$AI$7,0))*1000000/12-SUM(CG103,CG118,CG121:CG122),0))</f>
        <v>4514992.006510656</v>
      </c>
      <c r="CH123" s="421" t="n">
        <f>MAX(0,IFERROR(INDEX(PROJECTS!$N$11:$AI$11,1,MATCH(YEAR(CH$24),PROJECTS!$N$7:$AI$7,0))*1000000/12-SUM(CH103,CH118,CH121:CH122),0))</f>
        <v>4514992.006510656</v>
      </c>
      <c r="CI123" s="421" t="n">
        <f>MAX(0,IFERROR(INDEX(PROJECTS!$N$11:$AI$11,1,MATCH(YEAR(CI$24),PROJECTS!$N$7:$AI$7,0))*1000000/12-SUM(CI103,CI118,CI121:CI122),0))</f>
        <v>4514992.006510656</v>
      </c>
      <c r="CJ123" s="421" t="n">
        <f>MAX(0,IFERROR(INDEX(PROJECTS!$N$11:$AI$11,1,MATCH(YEAR(CJ$24),PROJECTS!$N$7:$AI$7,0))*1000000/12-SUM(CJ103,CJ118,CJ121:CJ122),0))</f>
        <v>4514992.006510656</v>
      </c>
      <c r="CK123" s="421" t="n">
        <f>MAX(0,IFERROR(INDEX(PROJECTS!$N$11:$AI$11,1,MATCH(YEAR(CK$24),PROJECTS!$N$7:$AI$7,0))*1000000/12-SUM(CK103,CK118,CK121:CK122),0))</f>
        <v>4514992.006510656</v>
      </c>
      <c r="CL123" s="421" t="n">
        <f>MAX(0,IFERROR(INDEX(PROJECTS!$N$11:$AI$11,1,MATCH(YEAR(CL$24),PROJECTS!$N$7:$AI$7,0))*1000000/12-SUM(CL103,CL118,CL121:CL122),0))</f>
        <v>4514992.006510656</v>
      </c>
      <c r="CM123" s="421" t="n">
        <f>MAX(0,IFERROR(INDEX(PROJECTS!$N$11:$AI$11,1,MATCH(YEAR(CM$24),PROJECTS!$N$7:$AI$7,0))*1000000/12-SUM(CM103,CM118,CM121:CM122),0))</f>
        <v>4408492.026114915</v>
      </c>
      <c r="CN123" s="421" t="n">
        <f>MAX(0,IFERROR(INDEX(PROJECTS!$N$11:$AI$11,1,MATCH(YEAR(CN$24),PROJECTS!$N$7:$AI$7,0))*1000000/12-SUM(CN103,CN118,CN121:CN122),0))</f>
        <v>4408492.026114915</v>
      </c>
      <c r="CO123" s="421" t="n">
        <f>MAX(0,IFERROR(INDEX(PROJECTS!$N$11:$AI$11,1,MATCH(YEAR(CO$24),PROJECTS!$N$7:$AI$7,0))*1000000/12-SUM(CO103,CO118,CO121:CO122),0))</f>
        <v>4408492.026114915</v>
      </c>
      <c r="CP123" s="421" t="n">
        <f>(CP$86&gt;=$D123)*(($I123/12*CP$89*(1+$F123)^(ROUNDUP(CP$91/12,0)-1))*(1-$E123)+($I123/12*(1+$F123)^(ROUNDUP(CP$91/12,0)-1))*$E123)</f>
        <v>4421.7</v>
      </c>
      <c r="CQ123" s="421" t="n">
        <f>MAX(0,IFERROR(INDEX(PROJECTS!$N$11:$AI$11,1,MATCH(YEAR(CQ$24),PROJECTS!$N$7:$AI$7,0))*1000000/12-SUM(CQ103,CQ118,CQ121:CQ122),0))</f>
        <v>4408492.026114915</v>
      </c>
      <c r="CR123" s="421" t="n">
        <f>MAX(0,IFERROR(INDEX(PROJECTS!$N$11:$AI$11,1,MATCH(YEAR(CR$24),PROJECTS!$N$7:$AI$7,0))*1000000/12-SUM(CR103,CR118,CR121:CR122),0))</f>
        <v>4408492.026114915</v>
      </c>
      <c r="CS123" s="421" t="n">
        <f>MAX(0,IFERROR(INDEX(PROJECTS!$N$11:$AI$11,1,MATCH(YEAR(CS$24),PROJECTS!$N$7:$AI$7,0))*1000000/12-SUM(CS103,CS118,CS121:CS122),0))</f>
        <v>4408492.026114915</v>
      </c>
      <c r="CT123" s="421" t="n">
        <f>MAX(0,IFERROR(INDEX(PROJECTS!$N$11:$AI$11,1,MATCH(YEAR(CT$24),PROJECTS!$N$7:$AI$7,0))*1000000/12-SUM(CT103,CT118,CT121:CT122),0))</f>
        <v>4408492.026114915</v>
      </c>
      <c r="CU123" s="421" t="n">
        <f>MAX(0,IFERROR(INDEX(PROJECTS!$N$11:$AI$11,1,MATCH(YEAR(CU$24),PROJECTS!$N$7:$AI$7,0))*1000000/12-SUM(CU103,CU118,CU121:CU122),0))</f>
        <v>4408492.026114915</v>
      </c>
      <c r="CV123" s="421" t="n">
        <f>MAX(0,IFERROR(INDEX(PROJECTS!$N$11:$AI$11,1,MATCH(YEAR(CV$24),PROJECTS!$N$7:$AI$7,0))*1000000/12-SUM(CV103,CV118,CV121:CV122),0))</f>
        <v>4408492.026114915</v>
      </c>
      <c r="CW123" s="421" t="n">
        <f>MAX(0,IFERROR(INDEX(PROJECTS!$N$11:$AI$11,1,MATCH(YEAR(CW$24),PROJECTS!$N$7:$AI$7,0))*1000000/12-SUM(CW103,CW118,CW121:CW122),0))</f>
        <v>4408492.026114915</v>
      </c>
      <c r="CX123" s="421" t="n">
        <f>MAX(0,IFERROR(INDEX(PROJECTS!$N$11:$AI$11,1,MATCH(YEAR(CX$24),PROJECTS!$N$7:$AI$7,0))*1000000/12-SUM(CX103,CX118,CX121:CX122),0))</f>
        <v>4408492.026114915</v>
      </c>
      <c r="CY123" s="421" t="n">
        <f>MAX(0,IFERROR(INDEX(PROJECTS!$N$11:$AI$11,1,MATCH(YEAR(CY$24),PROJECTS!$N$7:$AI$7,0))*1000000/12-SUM(CY103,CY118,CY121:CY122),0))</f>
        <v>4558720.5537300715</v>
      </c>
      <c r="CZ123" s="421" t="n">
        <f>MAX(0,IFERROR(INDEX(PROJECTS!$N$11:$AI$11,1,MATCH(YEAR(CZ$24),PROJECTS!$N$7:$AI$7,0))*1000000/12-SUM(CZ103,CZ118,CZ121:CZ122),0))</f>
        <v>4558720.5537300715</v>
      </c>
      <c r="DA123" s="421" t="n">
        <f>MAX(0,IFERROR(INDEX(PROJECTS!$N$11:$AI$11,1,MATCH(YEAR(DA$24),PROJECTS!$N$7:$AI$7,0))*1000000/12-SUM(DA103,DA118,DA121:DA122),0))</f>
        <v>4558720.5537300715</v>
      </c>
      <c r="DB123" s="421" t="n">
        <f>MAX(0,IFERROR(INDEX(PROJECTS!$N$11:$AI$11,1,MATCH(YEAR(DB$24),PROJECTS!$N$7:$AI$7,0))*1000000/12-SUM(DB103,DB118,DB121:DB122),0))</f>
        <v>4558720.5537300715</v>
      </c>
      <c r="DC123" s="421" t="n">
        <f>MAX(0,IFERROR(INDEX(PROJECTS!$N$11:$AI$11,1,MATCH(YEAR(DC$24),PROJECTS!$N$7:$AI$7,0))*1000000/12-SUM(DC103,DC118,DC121:DC122),0))</f>
        <v>4558720.5537300715</v>
      </c>
      <c r="DD123" s="421" t="n">
        <f>MAX(0,IFERROR(INDEX(PROJECTS!$N$11:$AI$11,1,MATCH(YEAR(DD$24),PROJECTS!$N$7:$AI$7,0))*1000000/12-SUM(DD103,DD118,DD121:DD122),0))</f>
        <v>4558720.5537300715</v>
      </c>
      <c r="DE123" s="421" t="n">
        <f>MAX(0,IFERROR(INDEX(PROJECTS!$N$11:$AI$11,1,MATCH(YEAR(DE$24),PROJECTS!$N$7:$AI$7,0))*1000000/12-SUM(DE103,DE118,DE121:DE122),0))</f>
        <v>4558720.5537300715</v>
      </c>
      <c r="DF123" s="421" t="n">
        <f>(DF$86&gt;=$D123)*(($I123/12*DF$89*(1+$F123)^(ROUNDUP(DF$91/12,0)-1))*(1-$E123)+($I123/12*(1+$F123)^(ROUNDUP(DF$91/12,0)-1))*$E123)</f>
        <v>4600.33668</v>
      </c>
      <c r="DG123" s="421" t="n">
        <f>MAX(0,IFERROR(INDEX(PROJECTS!$N$11:$AI$11,1,MATCH(YEAR(DG$24),PROJECTS!$N$7:$AI$7,0))*1000000/12-SUM(DG103,DG118,DG121:DG122),0))</f>
        <v>4558720.5537300715</v>
      </c>
      <c r="DH123" s="421" t="n">
        <f>MAX(0,IFERROR(INDEX(PROJECTS!$N$11:$AI$11,1,MATCH(YEAR(DH$24),PROJECTS!$N$7:$AI$7,0))*1000000/12-SUM(DH103,DH118,DH121:DH122),0))</f>
        <v>4558720.5537300715</v>
      </c>
      <c r="DI123" s="421" t="n">
        <f>MAX(0,IFERROR(INDEX(PROJECTS!$N$11:$AI$11,1,MATCH(YEAR(DI$24),PROJECTS!$N$7:$AI$7,0))*1000000/12-SUM(DI103,DI118,DI121:DI122),0))</f>
        <v>4558720.5537300715</v>
      </c>
      <c r="DJ123" s="421" t="n">
        <f>MAX(0,IFERROR(INDEX(PROJECTS!$N$11:$AI$11,1,MATCH(YEAR(DJ$24),PROJECTS!$N$7:$AI$7,0))*1000000/12-SUM(DJ103,DJ118,DJ121:DJ122),0))</f>
        <v>4558720.5537300715</v>
      </c>
      <c r="DK123" s="421" t="n">
        <f>MAX(0,IFERROR(INDEX(PROJECTS!$N$11:$AI$11,1,MATCH(YEAR(DK$24),PROJECTS!$N$7:$AI$7,0))*1000000/12-SUM(DK103,DK118,DK121:DK122),0))</f>
        <v>4714321.210516757</v>
      </c>
      <c r="DL123" s="421" t="n">
        <f>MAX(0,IFERROR(INDEX(PROJECTS!$N$11:$AI$11,1,MATCH(YEAR(DL$24),PROJECTS!$N$7:$AI$7,0))*1000000/12-SUM(DL103,DL118,DL121:DL122),0))</f>
        <v>4714321.210516757</v>
      </c>
      <c r="DM123" s="421" t="n">
        <f>MAX(0,IFERROR(INDEX(PROJECTS!$N$11:$AI$11,1,MATCH(YEAR(DM$24),PROJECTS!$N$7:$AI$7,0))*1000000/12-SUM(DM103,DM118,DM121:DM122),0))</f>
        <v>4714321.210516757</v>
      </c>
      <c r="DN123" s="421" t="n">
        <f>MAX(0,IFERROR(INDEX(PROJECTS!$N$11:$AI$11,1,MATCH(YEAR(DN$24),PROJECTS!$N$7:$AI$7,0))*1000000/12-SUM(DN103,DN118,DN121:DN122),0))</f>
        <v>4714321.210516757</v>
      </c>
      <c r="DO123" s="421" t="n">
        <f>MAX(0,IFERROR(INDEX(PROJECTS!$N$11:$AI$11,1,MATCH(YEAR(DO$24),PROJECTS!$N$7:$AI$7,0))*1000000/12-SUM(DO103,DO118,DO121:DO122),0))</f>
        <v>4714321.210516757</v>
      </c>
      <c r="DP123" s="421" t="n">
        <f>MAX(0,IFERROR(INDEX(PROJECTS!$N$11:$AI$11,1,MATCH(YEAR(DP$24),PROJECTS!$N$7:$AI$7,0))*1000000/12-SUM(DP103,DP118,DP121:DP122),0))</f>
        <v>4714321.210516757</v>
      </c>
      <c r="DQ123" s="421" t="n">
        <f>MAX(0,IFERROR(INDEX(PROJECTS!$N$11:$AI$11,1,MATCH(YEAR(DQ$24),PROJECTS!$N$7:$AI$7,0))*1000000/12-SUM(DQ103,DQ118,DQ121:DQ122),0))</f>
        <v>4714321.210516757</v>
      </c>
      <c r="DR123" s="421" t="n">
        <f>MAX(0,IFERROR(INDEX(PROJECTS!$N$11:$AI$11,1,MATCH(YEAR(DR$24),PROJECTS!$N$7:$AI$7,0))*1000000/12-SUM(DR103,DR118,DR121:DR122),0))</f>
        <v>4714321.210516757</v>
      </c>
      <c r="DS123" s="421" t="n">
        <f>MAX(0,IFERROR(INDEX(PROJECTS!$N$11:$AI$11,1,MATCH(YEAR(DS$24),PROJECTS!$N$7:$AI$7,0))*1000000/12-SUM(DS103,DS118,DS121:DS122),0))</f>
        <v>4714321.210516757</v>
      </c>
      <c r="DT123" s="421" t="n">
        <f>MAX(0,IFERROR(INDEX(PROJECTS!$N$11:$AI$11,1,MATCH(YEAR(DT$24),PROJECTS!$N$7:$AI$7,0))*1000000/12-SUM(DT103,DT118,DT121:DT122),0))</f>
        <v>4714321.210516757</v>
      </c>
      <c r="DU123" s="421" t="n">
        <f>MAX(0,IFERROR(INDEX(PROJECTS!$N$11:$AI$11,1,MATCH(YEAR(DU$24),PROJECTS!$N$7:$AI$7,0))*1000000/12-SUM(DU103,DU118,DU121:DU122),0))</f>
        <v>4714321.210516757</v>
      </c>
      <c r="DV123" s="421" t="n">
        <f>(DV$86&gt;=$D123)*(($I123/12*DV$89*(1+$F123)^(ROUNDUP(DV$91/12,0)-1))*(1-$E123)+($I123/12*(1+$F123)^(ROUNDUP(DV$91/12,0)-1))*$E123)</f>
        <v>4692.3434136000005</v>
      </c>
      <c r="DW123" s="421" t="n">
        <f>MAX(0,IFERROR(INDEX(PROJECTS!$N$11:$AI$11,1,MATCH(YEAR(DW$24),PROJECTS!$N$7:$AI$7,0))*1000000/12-SUM(DW103,DW118,DW121:DW122),0))</f>
        <v>4875535.492101194</v>
      </c>
      <c r="DX123" s="421" t="n">
        <f>MAX(0,IFERROR(INDEX(PROJECTS!$N$11:$AI$11,1,MATCH(YEAR(DX$24),PROJECTS!$N$7:$AI$7,0))*1000000/12-SUM(DX103,DX118,DX121:DX122),0))</f>
        <v>4875535.492101194</v>
      </c>
      <c r="DY123" s="421" t="n">
        <f>MAX(0,IFERROR(INDEX(PROJECTS!$N$11:$AI$11,1,MATCH(YEAR(DY$24),PROJECTS!$N$7:$AI$7,0))*1000000/12-SUM(DY103,DY118,DY121:DY122),0))</f>
        <v>4875535.492101194</v>
      </c>
      <c r="DZ123" s="421" t="n">
        <f>MAX(0,IFERROR(INDEX(PROJECTS!$N$11:$AI$11,1,MATCH(YEAR(DZ$24),PROJECTS!$N$7:$AI$7,0))*1000000/12-SUM(DZ103,DZ118,DZ121:DZ122),0))</f>
        <v>4875535.492101194</v>
      </c>
      <c r="EA123" s="421" t="n">
        <f>MAX(0,IFERROR(INDEX(PROJECTS!$N$11:$AI$11,1,MATCH(YEAR(EA$24),PROJECTS!$N$7:$AI$7,0))*1000000/12-SUM(EA103,EA118,EA121:EA122),0))</f>
        <v>4875535.492101194</v>
      </c>
      <c r="EB123" s="421" t="n">
        <f>MAX(0,IFERROR(INDEX(PROJECTS!$N$11:$AI$11,1,MATCH(YEAR(EB$24),PROJECTS!$N$7:$AI$7,0))*1000000/12-SUM(EB103,EB118,EB121:EB122),0))</f>
        <v>4875535.492101194</v>
      </c>
      <c r="EC123" s="421" t="n">
        <f>MAX(0,IFERROR(INDEX(PROJECTS!$N$11:$AI$11,1,MATCH(YEAR(EC$24),PROJECTS!$N$7:$AI$7,0))*1000000/12-SUM(EC103,EC118,EC121:EC122),0))</f>
        <v>4875535.492101194</v>
      </c>
      <c r="ED123" s="421" t="n">
        <f>MAX(0,IFERROR(INDEX(PROJECTS!$N$11:$AI$11,1,MATCH(YEAR(ED$24),PROJECTS!$N$7:$AI$7,0))*1000000/12-SUM(ED103,ED118,ED121:ED122),0))</f>
        <v>4875535.492101194</v>
      </c>
      <c r="EE123" s="421" t="n">
        <f>MAX(0,IFERROR(INDEX(PROJECTS!$N$11:$AI$11,1,MATCH(YEAR(EE$24),PROJECTS!$N$7:$AI$7,0))*1000000/12-SUM(EE103,EE118,EE121:EE122),0))</f>
        <v>4875535.492101194</v>
      </c>
      <c r="EF123" s="421" t="n">
        <f>MAX(0,IFERROR(INDEX(PROJECTS!$N$11:$AI$11,1,MATCH(YEAR(EF$24),PROJECTS!$N$7:$AI$7,0))*1000000/12-SUM(EF103,EF118,EF121:EF122),0))</f>
        <v>4875535.492101194</v>
      </c>
      <c r="EG123" s="421" t="n">
        <f>MAX(0,IFERROR(INDEX(PROJECTS!$N$11:$AI$11,1,MATCH(YEAR(EG$24),PROJECTS!$N$7:$AI$7,0))*1000000/12-SUM(EG103,EG118,EG121:EG122),0))</f>
        <v>4875535.492101194</v>
      </c>
      <c r="EH123" s="421" t="n">
        <f>MAX(0,IFERROR(INDEX(PROJECTS!$N$11:$AI$11,1,MATCH(YEAR(EH$24),PROJECTS!$N$7:$AI$7,0))*1000000/12-SUM(EH103,EH118,EH121:EH122),0))</f>
        <v>4875535.492101194</v>
      </c>
      <c r="EI123" s="421" t="n">
        <f>MAX(0,IFERROR(INDEX(PROJECTS!$N$11:$AI$11,1,MATCH(YEAR(EI$24),PROJECTS!$N$7:$AI$7,0))*1000000/12-SUM(EI103,EI118,EI121:EI122),0))</f>
        <v>5042501.811048386</v>
      </c>
      <c r="EJ123" s="421" t="n">
        <f>MAX(0,IFERROR(INDEX(PROJECTS!$N$11:$AI$11,1,MATCH(YEAR(EJ$24),PROJECTS!$N$7:$AI$7,0))*1000000/12-SUM(EJ103,EJ118,EJ121:EJ122),0))</f>
        <v>5042501.811048386</v>
      </c>
      <c r="EK123" s="421" t="n">
        <f>MAX(0,IFERROR(INDEX(PROJECTS!$N$11:$AI$11,1,MATCH(YEAR(EK$24),PROJECTS!$N$7:$AI$7,0))*1000000/12-SUM(EK103,EK118,EK121:EK122),0))</f>
        <v>5042501.811048386</v>
      </c>
      <c r="EL123" s="421" t="n">
        <f>(EL$86&gt;=$D123)*(($I123/12*EL$89*(1+$F123)^(ROUNDUP(EL$91/12,0)-1))*(1-$E123)+($I123/12*(1+$F123)^(ROUNDUP(EL$91/12,0)-1))*$E123)</f>
        <v>4786.190281872</v>
      </c>
      <c r="EM123" s="421" t="n">
        <f>MAX(0,IFERROR(INDEX(PROJECTS!$N$11:$AI$11,1,MATCH(YEAR(EM$24),PROJECTS!$N$7:$AI$7,0))*1000000/12-SUM(EM103,EM118,EM121:EM122),0))</f>
        <v>5042501.811048386</v>
      </c>
      <c r="EN123" s="421" t="n">
        <f>MAX(0,IFERROR(INDEX(PROJECTS!$N$11:$AI$11,1,MATCH(YEAR(EN$24),PROJECTS!$N$7:$AI$7,0))*1000000/12-SUM(EN103,EN118,EN121:EN122),0))</f>
        <v>5042501.811048386</v>
      </c>
      <c r="EP123" s="220"/>
      <c r="EQ123" s="210"/>
      <c r="ER123" s="18"/>
      <c r="ES123" s="18"/>
      <c r="ET123" s="18"/>
      <c r="EU123" s="18"/>
      <c r="EV123" s="204"/>
      <c r="EW123" s="204"/>
      <c r="EX123" s="204"/>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c r="GC123" s="204"/>
      <c r="GD123" s="204"/>
      <c r="GE123" s="204"/>
      <c r="GF123" s="204"/>
      <c r="GG123" s="204"/>
      <c r="GH123" s="204"/>
      <c r="GI123" s="204"/>
      <c r="GJ123" s="204"/>
      <c r="GK123" s="204"/>
      <c r="GL123" s="204"/>
      <c r="GM123" s="204"/>
      <c r="GN123" s="204"/>
      <c r="GO123" s="204"/>
      <c r="GP123" s="204"/>
      <c r="GQ123" s="204"/>
      <c r="GR123" s="204"/>
      <c r="GS123" s="204"/>
      <c r="GT123" s="204"/>
      <c r="GU123" s="204"/>
      <c r="GV123" s="204"/>
      <c r="GW123" s="204"/>
      <c r="GX123" s="204"/>
      <c r="GY123" s="204"/>
      <c r="GZ123" s="204"/>
      <c r="HA123" s="204"/>
      <c r="HB123" s="204"/>
      <c r="HC123" s="204"/>
      <c r="HD123" s="204"/>
      <c r="HE123" s="204"/>
      <c r="HF123" s="204"/>
      <c r="HG123" s="204"/>
      <c r="HH123" s="204"/>
      <c r="HI123" s="204"/>
      <c r="HJ123" s="204"/>
      <c r="HK123" s="204"/>
      <c r="HL123" s="204"/>
      <c r="HM123" s="204"/>
      <c r="HN123" s="204"/>
      <c r="HO123" s="204"/>
      <c r="HP123" s="204"/>
      <c r="HQ123" s="204"/>
      <c r="HR123" s="204"/>
      <c r="HS123" s="204"/>
      <c r="HT123" s="204"/>
      <c r="HU123" s="204"/>
      <c r="HV123" s="204"/>
      <c r="HW123" s="204"/>
      <c r="HX123" s="204"/>
      <c r="HY123" s="204"/>
      <c r="HZ123" s="204"/>
      <c r="IA123" s="204"/>
      <c r="IB123" s="204"/>
      <c r="IC123" s="204"/>
      <c r="ID123" s="204"/>
      <c r="IE123" s="204"/>
      <c r="IF123" s="204"/>
      <c r="IG123" s="204"/>
      <c r="IH123" s="204"/>
      <c r="II123" s="204"/>
      <c r="IJ123" s="204"/>
      <c r="IK123" s="204"/>
      <c r="IL123" s="204"/>
      <c r="IM123" s="204"/>
      <c r="IN123" s="204"/>
      <c r="IO123" s="204"/>
      <c r="IP123" s="204"/>
      <c r="IQ123" s="204"/>
      <c r="IR123" s="204"/>
      <c r="IS123" s="204"/>
      <c r="IT123" s="204"/>
      <c r="IU123" s="204"/>
      <c r="IV123" s="204"/>
      <c r="IW123" s="204"/>
      <c r="IX123" s="204"/>
      <c r="IY123" s="204"/>
      <c r="IZ123" s="204"/>
      <c r="JA123" s="204"/>
      <c r="JB123" s="204"/>
      <c r="JC123" s="204"/>
      <c r="JD123" s="204"/>
      <c r="JE123" s="204"/>
      <c r="JF123" s="204"/>
      <c r="JG123" s="204"/>
      <c r="JH123" s="204"/>
      <c r="JI123" s="204"/>
      <c r="JJ123" s="204"/>
      <c r="JK123" s="204"/>
      <c r="JL123" s="204"/>
      <c r="JM123" s="204"/>
      <c r="JN123" s="204"/>
      <c r="JO123" s="204"/>
      <c r="JP123" s="204"/>
      <c r="JQ123" s="204"/>
      <c r="JR123" s="204"/>
      <c r="JS123" s="204"/>
      <c r="JT123" s="204"/>
      <c r="JU123" s="204"/>
      <c r="JV123" s="204"/>
      <c r="JW123" s="204"/>
      <c r="JX123" s="204"/>
      <c r="JZ123" s="263"/>
      <c r="KA123" s="263"/>
      <c r="KB123" s="263"/>
      <c r="KC123" s="263"/>
      <c r="KD123" s="263"/>
      <c r="KE123" s="263"/>
      <c r="KF123" s="263"/>
      <c r="KG123" s="263"/>
      <c r="KH123" s="263"/>
      <c r="KI123" s="263"/>
      <c r="KJ123" s="263"/>
      <c r="KK123" s="263"/>
      <c r="KL123" s="263"/>
      <c r="KM123" s="263"/>
      <c r="KN123" s="263"/>
      <c r="KO123" s="263"/>
      <c r="KP123" s="263"/>
      <c r="KQ123" s="263"/>
      <c r="KR123" s="263"/>
      <c r="KS123" s="263"/>
      <c r="KT123" s="263"/>
      <c r="KU123" s="263"/>
      <c r="KV123" s="263"/>
      <c r="KW123" s="263"/>
      <c r="KX123" s="263"/>
      <c r="KY123" s="263"/>
      <c r="KZ123" s="263"/>
      <c r="LA123" s="263"/>
      <c r="LB123" s="263"/>
      <c r="LC123" s="263"/>
      <c r="LD123" s="263"/>
      <c r="LE123" s="263"/>
      <c r="LF123" s="263"/>
      <c r="LG123" s="263"/>
      <c r="LH123" s="263"/>
      <c r="LI123" s="263"/>
      <c r="LJ123" s="263"/>
      <c r="LK123" s="263"/>
      <c r="LL123" s="263"/>
      <c r="LM123" s="263"/>
      <c r="LN123" s="263"/>
      <c r="LO123" s="263"/>
      <c r="LP123" s="263"/>
      <c r="LQ123" s="263"/>
      <c r="LR123" s="263"/>
      <c r="LS123" s="263"/>
      <c r="LT123" s="263"/>
      <c r="LU123" s="263"/>
      <c r="LV123" s="263"/>
      <c r="LW123" s="263"/>
      <c r="LX123" s="263"/>
      <c r="LY123" s="263"/>
      <c r="LZ123" s="263"/>
      <c r="MA123" s="263"/>
      <c r="MB123" s="263"/>
      <c r="MC123" s="263"/>
      <c r="MD123" s="263"/>
      <c r="ME123" s="263"/>
      <c r="MF123" s="263"/>
      <c r="MG123" s="263"/>
      <c r="MH123" s="263"/>
      <c r="MI123" s="263"/>
      <c r="MJ123" s="263"/>
      <c r="MK123" s="263"/>
      <c r="ML123" s="263"/>
      <c r="MM123" s="263"/>
      <c r="MN123" s="263"/>
      <c r="MO123" s="263"/>
      <c r="MP123" s="263"/>
      <c r="MQ123" s="263"/>
      <c r="MR123" s="263"/>
      <c r="MS123" s="263"/>
      <c r="MT123" s="263"/>
      <c r="MU123" s="263"/>
      <c r="MV123" s="263"/>
      <c r="MW123" s="263"/>
      <c r="MX123" s="263"/>
      <c r="MY123" s="263"/>
      <c r="MZ123" s="263"/>
      <c r="NA123" s="263"/>
      <c r="NB123" s="263"/>
      <c r="NC123" s="263"/>
      <c r="ND123" s="263"/>
      <c r="NE123" s="263"/>
      <c r="NF123" s="263"/>
      <c r="NG123" s="263"/>
      <c r="NH123" s="263"/>
      <c r="NI123" s="263"/>
      <c r="NJ123" s="263"/>
      <c r="NK123" s="263"/>
      <c r="NL123" s="263"/>
      <c r="NM123" s="263"/>
      <c r="NN123" s="263"/>
      <c r="NO123" s="263"/>
      <c r="NP123" s="263"/>
      <c r="NQ123" s="263"/>
      <c r="NR123" s="263"/>
      <c r="NS123" s="263"/>
      <c r="NT123" s="263"/>
      <c r="NU123" s="263"/>
      <c r="NV123" s="263"/>
      <c r="NW123" s="263"/>
      <c r="NX123" s="263"/>
      <c r="NY123" s="263"/>
      <c r="NZ123" s="263"/>
      <c r="OA123" s="263"/>
      <c r="OB123" s="263"/>
      <c r="OC123" s="263"/>
      <c r="OD123" s="263"/>
      <c r="OE123" s="263"/>
      <c r="OF123" s="263"/>
      <c r="OG123" s="263"/>
      <c r="OH123" s="263"/>
      <c r="OI123" s="263"/>
      <c r="OJ123" s="263"/>
      <c r="OK123" s="263"/>
      <c r="OL123" s="263"/>
      <c r="OM123" s="263"/>
      <c r="ON123" s="263"/>
      <c r="OO123" s="263"/>
      <c r="OP123" s="263"/>
      <c r="OQ123" s="263"/>
      <c r="OR123" s="263"/>
      <c r="OS123" s="263"/>
      <c r="OT123" s="263"/>
      <c r="OU123" s="263"/>
      <c r="OV123" s="263"/>
      <c r="OW123" s="263"/>
      <c r="OX123" s="263"/>
      <c r="OY123" s="263"/>
      <c r="OZ123" s="263"/>
      <c r="PA123" s="263"/>
      <c r="PB123" s="263"/>
      <c r="PC123" s="263"/>
      <c r="PD123" s="263"/>
      <c r="PE123" s="263"/>
      <c r="PF123" s="263"/>
      <c r="PG123" s="263"/>
      <c r="PH123" s="263"/>
    </row>
    <row r="124">
      <c r="B124" s="423" t="s">
        <v>280</v>
      </c>
      <c r="C124" s="418" t="n">
        <f>Timing_Operation_Begin_Month</f>
        <v>37</v>
      </c>
      <c r="D124" s="46"/>
      <c r="E124" s="480">
        <v>1</v>
      </c>
      <c r="F124" s="44" t="n">
        <f>$F$134</f>
        <v>0.02</v>
      </c>
      <c r="G124" s="40" t="n">
        <f>+I124/$I$105</f>
        <v>0.0015356265356265355</v>
      </c>
      <c r="H124" s="301" t="n">
        <f>I124/Units</f>
        <v>0.3192343279568313</v>
      </c>
      <c r="I124" s="481">
        <v>25000</v>
      </c>
      <c r="L124" s="76" t="n">
        <f>(M$86&gt;=$D124)*(($I124/12*M$89*(1+$F124)^(ROUNDUP(M$91/12,0)-1))*(1-$E124)+($I124/12*(1+$F124)^(ROUNDUP(M$91/12,0)-1))*$E124)</f>
        <v>2042.483660130719</v>
      </c>
      <c r="M124" s="421"/>
      <c r="N124" s="421" t="n">
        <f>MAX(0,IFERROR(INDEX(PROJECTS!$N$11:$AI$11,1,MATCH(YEAR(N$24),PROJECTS!$N$7:$AI$7,0))*1000000/12-SUM(N104,N119,N122:N123),0))</f>
        <v>0</v>
      </c>
      <c r="O124" s="421" t="n">
        <f>MAX(0,IFERROR(INDEX(PROJECTS!$N$11:$AI$11,1,MATCH(YEAR(O$24),PROJECTS!$N$7:$AI$7,0))*1000000/12-SUM(O104,O119,O122:O123),0))</f>
        <v>0</v>
      </c>
      <c r="P124" s="421" t="n">
        <f>MAX(0,IFERROR(INDEX(PROJECTS!$N$11:$AI$11,1,MATCH(YEAR(P$24),PROJECTS!$N$7:$AI$7,0))*1000000/12-SUM(P104,P119,P122:P123),0))</f>
        <v>0</v>
      </c>
      <c r="Q124" s="421" t="n">
        <f>MAX(0,IFERROR(INDEX(PROJECTS!$N$11:$AI$11,1,MATCH(YEAR(Q$24),PROJECTS!$N$7:$AI$7,0))*1000000/12-SUM(Q104,Q119,Q122:Q123),0))</f>
        <v>0</v>
      </c>
      <c r="R124" s="421" t="n">
        <f>MAX(0,IFERROR(INDEX(PROJECTS!$N$11:$AI$11,1,MATCH(YEAR(R$24),PROJECTS!$N$7:$AI$7,0))*1000000/12-SUM(R104,R119,R122:R123),0))</f>
        <v>0</v>
      </c>
      <c r="S124" s="421" t="n">
        <f>MAX(0,IFERROR(INDEX(PROJECTS!$N$11:$AI$11,1,MATCH(YEAR(S$24),PROJECTS!$N$7:$AI$7,0))*1000000/12-SUM(S104,S119,S122:S123),0))</f>
        <v>0</v>
      </c>
      <c r="T124" s="421" t="n">
        <f>MAX(0,IFERROR(INDEX(PROJECTS!$N$11:$AI$11,1,MATCH(YEAR(T$24),PROJECTS!$N$7:$AI$7,0))*1000000/12-SUM(T104,T119,T122:T123),0))</f>
        <v>0</v>
      </c>
      <c r="U124" s="421" t="n">
        <f>MAX(0,IFERROR(INDEX(PROJECTS!$N$11:$AI$11,1,MATCH(YEAR(U$24),PROJECTS!$N$7:$AI$7,0))*1000000/12-SUM(U104,U119,U122:U123),0))</f>
        <v>0</v>
      </c>
      <c r="V124" s="421" t="n">
        <f>MAX(0,IFERROR(INDEX(PROJECTS!$N$11:$AI$11,1,MATCH(YEAR(V$24),PROJECTS!$N$7:$AI$7,0))*1000000/12-SUM(V104,V119,V122:V123),0))</f>
        <v>0</v>
      </c>
      <c r="W124" s="421" t="n">
        <f>MAX(0,IFERROR(INDEX(PROJECTS!$N$11:$AI$11,1,MATCH(YEAR(W$24),PROJECTS!$N$7:$AI$7,0))*1000000/12-SUM(W104,W119,W122:W123),0))</f>
        <v>0</v>
      </c>
      <c r="X124" s="421" t="n">
        <f>MAX(0,IFERROR(INDEX(PROJECTS!$N$11:$AI$11,1,MATCH(YEAR(X$24),PROJECTS!$N$7:$AI$7,0))*1000000/12-SUM(X104,X119,X122:X123),0))</f>
        <v>0</v>
      </c>
      <c r="Y124" s="421" t="n">
        <f>MAX(0,IFERROR(INDEX(PROJECTS!$N$11:$AI$11,1,MATCH(YEAR(Y$24),PROJECTS!$N$7:$AI$7,0))*1000000/12-SUM(Y104,Y119,Y122:Y123),0))</f>
        <v>0</v>
      </c>
      <c r="Z124" s="421" t="n">
        <f>MAX(0,IFERROR(INDEX(PROJECTS!$N$11:$AI$11,1,MATCH(YEAR(Z$24),PROJECTS!$N$7:$AI$7,0))*1000000/12-SUM(Z104,Z119,Z122:Z123),0))</f>
        <v>0</v>
      </c>
      <c r="AA124" s="421" t="n">
        <f>MAX(0,IFERROR(INDEX(PROJECTS!$N$11:$AI$11,1,MATCH(YEAR(AA$24),PROJECTS!$N$7:$AI$7,0))*1000000/12-SUM(AA104,AA119,AA122:AA123),0))</f>
        <v>0</v>
      </c>
      <c r="AB124" s="421" t="n">
        <f>MAX(0,IFERROR(INDEX(PROJECTS!$N$11:$AI$11,1,MATCH(YEAR(AB$24),PROJECTS!$N$7:$AI$7,0))*1000000/12-SUM(AB104,AB119,AB122:AB123),0))</f>
        <v>0</v>
      </c>
      <c r="AC124" s="421" t="n">
        <f>MAX(0,IFERROR(INDEX(PROJECTS!$N$11:$AI$11,1,MATCH(YEAR(AC$24),PROJECTS!$N$7:$AI$7,0))*1000000/12-SUM(AC104,AC119,AC122:AC123),0))</f>
        <v>0</v>
      </c>
      <c r="AD124" s="421" t="n">
        <f>MAX(0,IFERROR(INDEX(PROJECTS!$N$11:$AI$11,1,MATCH(YEAR(AD$24),PROJECTS!$N$7:$AI$7,0))*1000000/12-SUM(AD104,AD119,AD122:AD123),0))</f>
        <v>700145.9419782542</v>
      </c>
      <c r="AE124" s="421" t="n">
        <f>MAX(0,IFERROR(INDEX(PROJECTS!$N$11:$AI$11,1,MATCH(YEAR(AE$24),PROJECTS!$N$7:$AI$7,0))*1000000/12-SUM(AE104,AE119,AE122:AE123),0))</f>
        <v>0</v>
      </c>
      <c r="AF124" s="421" t="n">
        <f>MAX(0,IFERROR(INDEX(PROJECTS!$N$11:$AI$11,1,MATCH(YEAR(AF$24),PROJECTS!$N$7:$AI$7,0))*1000000/12-SUM(AF104,AF119,AF122:AF123),0))</f>
        <v>0</v>
      </c>
      <c r="AG124" s="421" t="n">
        <f>MAX(0,IFERROR(INDEX(PROJECTS!$N$11:$AI$11,1,MATCH(YEAR(AG$24),PROJECTS!$N$7:$AI$7,0))*1000000/12-SUM(AG104,AG119,AG122:AG123),0))</f>
        <v>0</v>
      </c>
      <c r="AH124" s="421" t="n">
        <f>MAX(0,IFERROR(INDEX(PROJECTS!$N$11:$AI$11,1,MATCH(YEAR(AH$24),PROJECTS!$N$7:$AI$7,0))*1000000/12-SUM(AH104,AH119,AH122:AH123),0))</f>
        <v>0</v>
      </c>
      <c r="AI124" s="421" t="n">
        <f>MAX(0,IFERROR(INDEX(PROJECTS!$N$11:$AI$11,1,MATCH(YEAR(AI$24),PROJECTS!$N$7:$AI$7,0))*1000000/12-SUM(AI104,AI119,AI122:AI123),0))</f>
        <v>0</v>
      </c>
      <c r="AJ124" s="421" t="n">
        <f>MAX(0,IFERROR(INDEX(PROJECTS!$N$11:$AI$11,1,MATCH(YEAR(AJ$24),PROJECTS!$N$7:$AI$7,0))*1000000/12-SUM(AJ104,AJ119,AJ122:AJ123),0))</f>
        <v>0</v>
      </c>
      <c r="AK124" s="421" t="n">
        <f>MAX(0,IFERROR(INDEX(PROJECTS!$N$11:$AI$11,1,MATCH(YEAR(AK$24),PROJECTS!$N$7:$AI$7,0))*1000000/12-SUM(AK104,AK119,AK122:AK123),0))</f>
        <v>0</v>
      </c>
      <c r="AL124" s="421" t="n">
        <f>MAX(0,IFERROR(INDEX(PROJECTS!$N$11:$AI$11,1,MATCH(YEAR(AL$24),PROJECTS!$N$7:$AI$7,0))*1000000/12-SUM(AL104,AL119,AL122:AL123),0))</f>
        <v>0</v>
      </c>
      <c r="AM124" s="421" t="n">
        <f>MAX(0,IFERROR(INDEX(PROJECTS!$N$11:$AI$11,1,MATCH(YEAR(AM$24),PROJECTS!$N$7:$AI$7,0))*1000000/12-SUM(AM104,AM119,AM122:AM123),0))</f>
        <v>0</v>
      </c>
      <c r="AN124" s="421" t="n">
        <f>MAX(0,IFERROR(INDEX(PROJECTS!$N$11:$AI$11,1,MATCH(YEAR(AN$24),PROJECTS!$N$7:$AI$7,0))*1000000/12-SUM(AN104,AN119,AN122:AN123),0))</f>
        <v>0</v>
      </c>
      <c r="AO124" s="421" t="n">
        <f>MAX(0,IFERROR(INDEX(PROJECTS!$N$11:$AI$11,1,MATCH(YEAR(AO$24),PROJECTS!$N$7:$AI$7,0))*1000000/12-SUM(AO104,AO119,AO122:AO123),0))</f>
        <v>0</v>
      </c>
      <c r="AP124" s="421" t="n">
        <f>MAX(0,IFERROR(INDEX(PROJECTS!$N$11:$AI$11,1,MATCH(YEAR(AP$24),PROJECTS!$N$7:$AI$7,0))*1000000/12-SUM(AP104,AP119,AP122:AP123),0))</f>
        <v>0</v>
      </c>
      <c r="AQ124" s="421" t="n">
        <f>MAX(0,IFERROR(INDEX(PROJECTS!$N$11:$AI$11,1,MATCH(YEAR(AQ$24),PROJECTS!$N$7:$AI$7,0))*1000000/12-SUM(AQ104,AQ119,AQ122:AQ123),0))</f>
        <v>0</v>
      </c>
      <c r="AR124" s="421" t="n">
        <f>MAX(0,IFERROR(INDEX(PROJECTS!$N$11:$AI$11,1,MATCH(YEAR(AR$24),PROJECTS!$N$7:$AI$7,0))*1000000/12-SUM(AR104,AR119,AR122:AR123),0))</f>
        <v>0</v>
      </c>
      <c r="AS124" s="421" t="n">
        <f>MAX(0,IFERROR(INDEX(PROJECTS!$N$11:$AI$11,1,MATCH(YEAR(AS$24),PROJECTS!$N$7:$AI$7,0))*1000000/12-SUM(AS104,AS119,AS122:AS123),0))</f>
        <v>0</v>
      </c>
      <c r="AT124" s="421" t="n">
        <f>MAX(0,IFERROR(INDEX(PROJECTS!$N$11:$AI$11,1,MATCH(YEAR(AT$24),PROJECTS!$N$7:$AI$7,0))*1000000/12-SUM(AT104,AT119,AT122:AT123),0))</f>
        <v>4065104.238900409</v>
      </c>
      <c r="AU124" s="421" t="n">
        <f>MAX(0,IFERROR(INDEX(PROJECTS!$N$11:$AI$11,1,MATCH(YEAR(AU$24),PROJECTS!$N$7:$AI$7,0))*1000000/12-SUM(AU104,AU119,AU122:AU123),0))</f>
        <v>0</v>
      </c>
      <c r="AV124" s="421" t="n">
        <f>MAX(0,IFERROR(INDEX(PROJECTS!$N$11:$AI$11,1,MATCH(YEAR(AV$24),PROJECTS!$N$7:$AI$7,0))*1000000/12-SUM(AV104,AV119,AV122:AV123),0))</f>
        <v>0</v>
      </c>
      <c r="AW124" s="421" t="n">
        <f>MAX(0,IFERROR(INDEX(PROJECTS!$N$11:$AI$11,1,MATCH(YEAR(AW$24),PROJECTS!$N$7:$AI$7,0))*1000000/12-SUM(AW104,AW119,AW122:AW123),0))</f>
        <v>0</v>
      </c>
      <c r="AX124" s="421" t="n">
        <f>MAX(0,IFERROR(INDEX(PROJECTS!$N$11:$AI$11,1,MATCH(YEAR(AX$24),PROJECTS!$N$7:$AI$7,0))*1000000/12-SUM(AX104,AX119,AX122:AX123),0))</f>
        <v>0</v>
      </c>
      <c r="AY124" s="421" t="n">
        <f>MAX(0,IFERROR(INDEX(PROJECTS!$N$11:$AI$11,1,MATCH(YEAR(AY$24),PROJECTS!$N$7:$AI$7,0))*1000000/12-SUM(AY104,AY119,AY122:AY123),0))</f>
        <v>0</v>
      </c>
      <c r="AZ124" s="421" t="n">
        <f>MAX(0,IFERROR(INDEX(PROJECTS!$N$11:$AI$11,1,MATCH(YEAR(AZ$24),PROJECTS!$N$7:$AI$7,0))*1000000/12-SUM(AZ104,AZ119,AZ122:AZ123),0))</f>
        <v>55.98567550256848</v>
      </c>
      <c r="BA124" s="421" t="n">
        <f>MAX(0,IFERROR(INDEX(PROJECTS!$N$11:$AI$11,1,MATCH(YEAR(BA$24),PROJECTS!$N$7:$AI$7,0))*1000000/12-SUM(BA104,BA119,BA122:BA123),0))</f>
        <v>55.98567550256848</v>
      </c>
      <c r="BB124" s="421" t="n">
        <f>MAX(0,IFERROR(INDEX(PROJECTS!$N$11:$AI$11,1,MATCH(YEAR(BB$24),PROJECTS!$N$7:$AI$7,0))*1000000/12-SUM(BB104,BB119,BB122:BB123),0))</f>
        <v>55.98567550256848</v>
      </c>
      <c r="BC124" s="421" t="n">
        <f>MAX(0,IFERROR(INDEX(PROJECTS!$N$11:$AI$11,1,MATCH(YEAR(BC$24),PROJECTS!$N$7:$AI$7,0))*1000000/12-SUM(BC104,BC119,BC122:BC123),0))</f>
        <v>57.21722459048033</v>
      </c>
      <c r="BD124" s="421" t="n">
        <f>MAX(0,IFERROR(INDEX(PROJECTS!$N$11:$AI$11,1,MATCH(YEAR(BD$24),PROJECTS!$N$7:$AI$7,0))*1000000/12-SUM(BD104,BD119,BD122:BD123),0))</f>
        <v>57.21722459048033</v>
      </c>
      <c r="BE124" s="421" t="n">
        <f>MAX(0,IFERROR(INDEX(PROJECTS!$N$11:$AI$11,1,MATCH(YEAR(BE$24),PROJECTS!$N$7:$AI$7,0))*1000000/12-SUM(BE104,BE119,BE122:BE123),0))</f>
        <v>57.21722459048033</v>
      </c>
      <c r="BF124" s="421" t="n">
        <f>MAX(0,IFERROR(INDEX(PROJECTS!$N$11:$AI$11,1,MATCH(YEAR(BF$24),PROJECTS!$N$7:$AI$7,0))*1000000/12-SUM(BF104,BF119,BF122:BF123),0))</f>
        <v>57.21722459048033</v>
      </c>
      <c r="BG124" s="421" t="n">
        <f>MAX(0,IFERROR(INDEX(PROJECTS!$N$11:$AI$11,1,MATCH(YEAR(BG$24),PROJECTS!$N$7:$AI$7,0))*1000000/12-SUM(BG104,BG119,BG122:BG123),0))</f>
        <v>57.21722459048033</v>
      </c>
      <c r="BH124" s="421" t="n">
        <f>MAX(0,IFERROR(INDEX(PROJECTS!$N$11:$AI$11,1,MATCH(YEAR(BH$24),PROJECTS!$N$7:$AI$7,0))*1000000/12-SUM(BH104,BH119,BH122:BH123),0))</f>
        <v>57.21722459048033</v>
      </c>
      <c r="BI124" s="421" t="n">
        <f>MAX(0,IFERROR(INDEX(PROJECTS!$N$11:$AI$11,1,MATCH(YEAR(BI$24),PROJECTS!$N$7:$AI$7,0))*1000000/12-SUM(BI104,BI119,BI122:BI123),0))</f>
        <v>57.21722459048033</v>
      </c>
      <c r="BJ124" s="421" t="n">
        <f>MAX(0,IFERROR(INDEX(PROJECTS!$N$11:$AI$11,1,MATCH(YEAR(BJ$24),PROJECTS!$N$7:$AI$7,0))*1000000/12-SUM(BJ104,BJ119,BJ122:BJ123),0))</f>
        <v>4223345.748413112</v>
      </c>
      <c r="BK124" s="421" t="n">
        <f>MAX(0,IFERROR(INDEX(PROJECTS!$N$11:$AI$11,1,MATCH(YEAR(BK$24),PROJECTS!$N$7:$AI$7,0))*1000000/12-SUM(BK104,BK119,BK122:BK123),0))</f>
        <v>57.21722459048033</v>
      </c>
      <c r="BL124" s="421" t="n">
        <f>MAX(0,IFERROR(INDEX(PROJECTS!$N$11:$AI$11,1,MATCH(YEAR(BL$24),PROJECTS!$N$7:$AI$7,0))*1000000/12-SUM(BL104,BL119,BL122:BL123),0))</f>
        <v>57.21722459048033</v>
      </c>
      <c r="BM124" s="421" t="n">
        <f>MAX(0,IFERROR(INDEX(PROJECTS!$N$11:$AI$11,1,MATCH(YEAR(BM$24),PROJECTS!$N$7:$AI$7,0))*1000000/12-SUM(BM104,BM119,BM122:BM123),0))</f>
        <v>57.21722459048033</v>
      </c>
      <c r="BN124" s="421" t="n">
        <f>MAX(0,IFERROR(INDEX(PROJECTS!$N$11:$AI$11,1,MATCH(YEAR(BN$24),PROJECTS!$N$7:$AI$7,0))*1000000/12-SUM(BN104,BN119,BN122:BN123),0))</f>
        <v>57.21722459048033</v>
      </c>
      <c r="BO124" s="421" t="n">
        <f>MAX(0,IFERROR(INDEX(PROJECTS!$N$11:$AI$11,1,MATCH(YEAR(BO$24),PROJECTS!$N$7:$AI$7,0))*1000000/12-SUM(BO104,BO119,BO122:BO123),0))</f>
        <v>58.33892351202667</v>
      </c>
      <c r="BP124" s="421" t="n">
        <f>MAX(0,IFERROR(INDEX(PROJECTS!$N$11:$AI$11,1,MATCH(YEAR(BP$24),PROJECTS!$N$7:$AI$7,0))*1000000/12-SUM(BP104,BP119,BP122:BP123),0))</f>
        <v>58.33892351202667</v>
      </c>
      <c r="BQ124" s="421" t="n">
        <f>MAX(0,IFERROR(INDEX(PROJECTS!$N$11:$AI$11,1,MATCH(YEAR(BQ$24),PROJECTS!$N$7:$AI$7,0))*1000000/12-SUM(BQ104,BQ119,BQ122:BQ123),0))</f>
        <v>58.33892351202667</v>
      </c>
      <c r="BR124" s="421" t="n">
        <f>MAX(0,IFERROR(INDEX(PROJECTS!$N$11:$AI$11,1,MATCH(YEAR(BR$24),PROJECTS!$N$7:$AI$7,0))*1000000/12-SUM(BR104,BR119,BR122:BR123),0))</f>
        <v>58.33892351202667</v>
      </c>
      <c r="BS124" s="421" t="n">
        <f>MAX(0,IFERROR(INDEX(PROJECTS!$N$11:$AI$11,1,MATCH(YEAR(BS$24),PROJECTS!$N$7:$AI$7,0))*1000000/12-SUM(BS104,BS119,BS122:BS123),0))</f>
        <v>58.33892351202667</v>
      </c>
      <c r="BT124" s="421" t="n">
        <f>MAX(0,IFERROR(INDEX(PROJECTS!$N$11:$AI$11,1,MATCH(YEAR(BT$24),PROJECTS!$N$7:$AI$7,0))*1000000/12-SUM(BT104,BT119,BT122:BT123),0))</f>
        <v>58.33892351202667</v>
      </c>
      <c r="BU124" s="421" t="n">
        <f>MAX(0,IFERROR(INDEX(PROJECTS!$N$11:$AI$11,1,MATCH(YEAR(BU$24),PROJECTS!$N$7:$AI$7,0))*1000000/12-SUM(BU104,BU119,BU122:BU123),0))</f>
        <v>58.33892351202667</v>
      </c>
      <c r="BV124" s="421" t="n">
        <f>MAX(0,IFERROR(INDEX(PROJECTS!$N$11:$AI$11,1,MATCH(YEAR(BV$24),PROJECTS!$N$7:$AI$7,0))*1000000/12-SUM(BV104,BV119,BV122:BV123),0))</f>
        <v>58.33892351202667</v>
      </c>
      <c r="BW124" s="421" t="n">
        <f>MAX(0,IFERROR(INDEX(PROJECTS!$N$11:$AI$11,1,MATCH(YEAR(BW$24),PROJECTS!$N$7:$AI$7,0))*1000000/12-SUM(BW104,BW119,BW122:BW123),0))</f>
        <v>58.33892351202667</v>
      </c>
      <c r="BX124" s="421" t="n">
        <f>MAX(0,IFERROR(INDEX(PROJECTS!$N$11:$AI$11,1,MATCH(YEAR(BX$24),PROJECTS!$N$7:$AI$7,0))*1000000/12-SUM(BX104,BX119,BX122:BX123),0))</f>
        <v>58.33892351202667</v>
      </c>
      <c r="BY124" s="421" t="n">
        <f>MAX(0,IFERROR(INDEX(PROJECTS!$N$11:$AI$11,1,MATCH(YEAR(BY$24),PROJECTS!$N$7:$AI$7,0))*1000000/12-SUM(BY104,BY119,BY122:BY123),0))</f>
        <v>58.33892351202667</v>
      </c>
      <c r="BZ124" s="421" t="n">
        <f>MAX(0,IFERROR(INDEX(PROJECTS!$N$11:$AI$11,1,MATCH(YEAR(BZ$24),PROJECTS!$N$7:$AI$7,0))*1000000/12-SUM(BZ104,BZ119,BZ122:BZ123),0))</f>
        <v>4366070.379285374</v>
      </c>
      <c r="CA124" s="421" t="n">
        <f>MAX(0,IFERROR(INDEX(PROJECTS!$N$11:$AI$11,1,MATCH(YEAR(CA$24),PROJECTS!$N$7:$AI$7,0))*1000000/12-SUM(CA104,CA119,CA122:CA123),0))</f>
        <v>59.47676906362176</v>
      </c>
      <c r="CB124" s="421" t="n">
        <f>MAX(0,IFERROR(INDEX(PROJECTS!$N$11:$AI$11,1,MATCH(YEAR(CB$24),PROJECTS!$N$7:$AI$7,0))*1000000/12-SUM(CB104,CB119,CB122:CB123),0))</f>
        <v>59.47676906362176</v>
      </c>
      <c r="CC124" s="421" t="n">
        <f>MAX(0,IFERROR(INDEX(PROJECTS!$N$11:$AI$11,1,MATCH(YEAR(CC$24),PROJECTS!$N$7:$AI$7,0))*1000000/12-SUM(CC104,CC119,CC122:CC123),0))</f>
        <v>59.47676906362176</v>
      </c>
      <c r="CD124" s="421" t="n">
        <f>MAX(0,IFERROR(INDEX(PROJECTS!$N$11:$AI$11,1,MATCH(YEAR(CD$24),PROJECTS!$N$7:$AI$7,0))*1000000/12-SUM(CD104,CD119,CD122:CD123),0))</f>
        <v>59.47676906362176</v>
      </c>
      <c r="CE124" s="421" t="n">
        <f>MAX(0,IFERROR(INDEX(PROJECTS!$N$11:$AI$11,1,MATCH(YEAR(CE$24),PROJECTS!$N$7:$AI$7,0))*1000000/12-SUM(CE104,CE119,CE122:CE123),0))</f>
        <v>59.47676906362176</v>
      </c>
      <c r="CF124" s="421" t="n">
        <f>MAX(0,IFERROR(INDEX(PROJECTS!$N$11:$AI$11,1,MATCH(YEAR(CF$24),PROJECTS!$N$7:$AI$7,0))*1000000/12-SUM(CF104,CF119,CF122:CF123),0))</f>
        <v>59.47676906362176</v>
      </c>
      <c r="CG124" s="421" t="n">
        <f>MAX(0,IFERROR(INDEX(PROJECTS!$N$11:$AI$11,1,MATCH(YEAR(CG$24),PROJECTS!$N$7:$AI$7,0))*1000000/12-SUM(CG104,CG119,CG122:CG123),0))</f>
        <v>59.47676906362176</v>
      </c>
      <c r="CH124" s="421" t="n">
        <f>MAX(0,IFERROR(INDEX(PROJECTS!$N$11:$AI$11,1,MATCH(YEAR(CH$24),PROJECTS!$N$7:$AI$7,0))*1000000/12-SUM(CH104,CH119,CH122:CH123),0))</f>
        <v>59.47676906362176</v>
      </c>
      <c r="CI124" s="421" t="n">
        <f>MAX(0,IFERROR(INDEX(PROJECTS!$N$11:$AI$11,1,MATCH(YEAR(CI$24),PROJECTS!$N$7:$AI$7,0))*1000000/12-SUM(CI104,CI119,CI122:CI123),0))</f>
        <v>59.47676906362176</v>
      </c>
      <c r="CJ124" s="421" t="n">
        <f>MAX(0,IFERROR(INDEX(PROJECTS!$N$11:$AI$11,1,MATCH(YEAR(CJ$24),PROJECTS!$N$7:$AI$7,0))*1000000/12-SUM(CJ104,CJ119,CJ122:CJ123),0))</f>
        <v>59.47676906362176</v>
      </c>
      <c r="CK124" s="421" t="n">
        <f>MAX(0,IFERROR(INDEX(PROJECTS!$N$11:$AI$11,1,MATCH(YEAR(CK$24),PROJECTS!$N$7:$AI$7,0))*1000000/12-SUM(CK104,CK119,CK122:CK123),0))</f>
        <v>59.47676906362176</v>
      </c>
      <c r="CL124" s="421" t="n">
        <f>MAX(0,IFERROR(INDEX(PROJECTS!$N$11:$AI$11,1,MATCH(YEAR(CL$24),PROJECTS!$N$7:$AI$7,0))*1000000/12-SUM(CL104,CL119,CL122:CL123),0))</f>
        <v>59.47676906362176</v>
      </c>
      <c r="CM124" s="421" t="n">
        <f>MAX(0,IFERROR(INDEX(PROJECTS!$N$11:$AI$11,1,MATCH(YEAR(CM$24),PROJECTS!$N$7:$AI$7,0))*1000000/12-SUM(CM104,CM119,CM122:CM123),0))</f>
        <v>58.82176811993122</v>
      </c>
      <c r="CN124" s="421" t="n">
        <f>MAX(0,IFERROR(INDEX(PROJECTS!$N$11:$AI$11,1,MATCH(YEAR(CN$24),PROJECTS!$N$7:$AI$7,0))*1000000/12-SUM(CN104,CN119,CN122:CN123),0))</f>
        <v>58.82176811993122</v>
      </c>
      <c r="CO124" s="421" t="n">
        <f>MAX(0,IFERROR(INDEX(PROJECTS!$N$11:$AI$11,1,MATCH(YEAR(CO$24),PROJECTS!$N$7:$AI$7,0))*1000000/12-SUM(CO104,CO119,CO122:CO123),0))</f>
        <v>58.82176811993122</v>
      </c>
      <c r="CP124" s="421" t="n">
        <f>MAX(0,IFERROR(INDEX(PROJECTS!$N$11:$AI$11,1,MATCH(YEAR(CP$24),PROJECTS!$N$7:$AI$7,0))*1000000/12-SUM(CP104,CP119,CP122:CP123),0))</f>
        <v>4404129.147883034</v>
      </c>
      <c r="CQ124" s="421" t="n">
        <f>MAX(0,IFERROR(INDEX(PROJECTS!$N$11:$AI$11,1,MATCH(YEAR(CQ$24),PROJECTS!$N$7:$AI$7,0))*1000000/12-SUM(CQ104,CQ119,CQ122:CQ123),0))</f>
        <v>58.82176811993122</v>
      </c>
      <c r="CR124" s="421" t="n">
        <f>MAX(0,IFERROR(INDEX(PROJECTS!$N$11:$AI$11,1,MATCH(YEAR(CR$24),PROJECTS!$N$7:$AI$7,0))*1000000/12-SUM(CR104,CR119,CR122:CR123),0))</f>
        <v>58.82176811993122</v>
      </c>
      <c r="CS124" s="421" t="n">
        <f>MAX(0,IFERROR(INDEX(PROJECTS!$N$11:$AI$11,1,MATCH(YEAR(CS$24),PROJECTS!$N$7:$AI$7,0))*1000000/12-SUM(CS104,CS119,CS122:CS123),0))</f>
        <v>58.82176811993122</v>
      </c>
      <c r="CT124" s="421" t="n">
        <f>MAX(0,IFERROR(INDEX(PROJECTS!$N$11:$AI$11,1,MATCH(YEAR(CT$24),PROJECTS!$N$7:$AI$7,0))*1000000/12-SUM(CT104,CT119,CT122:CT123),0))</f>
        <v>58.82176811993122</v>
      </c>
      <c r="CU124" s="421" t="n">
        <f>MAX(0,IFERROR(INDEX(PROJECTS!$N$11:$AI$11,1,MATCH(YEAR(CU$24),PROJECTS!$N$7:$AI$7,0))*1000000/12-SUM(CU104,CU119,CU122:CU123),0))</f>
        <v>58.82176811993122</v>
      </c>
      <c r="CV124" s="421" t="n">
        <f>MAX(0,IFERROR(INDEX(PROJECTS!$N$11:$AI$11,1,MATCH(YEAR(CV$24),PROJECTS!$N$7:$AI$7,0))*1000000/12-SUM(CV104,CV119,CV122:CV123),0))</f>
        <v>58.82176811993122</v>
      </c>
      <c r="CW124" s="421" t="n">
        <f>MAX(0,IFERROR(INDEX(PROJECTS!$N$11:$AI$11,1,MATCH(YEAR(CW$24),PROJECTS!$N$7:$AI$7,0))*1000000/12-SUM(CW104,CW119,CW122:CW123),0))</f>
        <v>58.82176811993122</v>
      </c>
      <c r="CX124" s="421" t="n">
        <f>MAX(0,IFERROR(INDEX(PROJECTS!$N$11:$AI$11,1,MATCH(YEAR(CX$24),PROJECTS!$N$7:$AI$7,0))*1000000/12-SUM(CX104,CX119,CX122:CX123),0))</f>
        <v>58.82176811993122</v>
      </c>
      <c r="CY124" s="421" t="n">
        <f>MAX(0,IFERROR(INDEX(PROJECTS!$N$11:$AI$11,1,MATCH(YEAR(CY$24),PROJECTS!$N$7:$AI$7,0))*1000000/12-SUM(CY104,CY119,CY122:CY123),0))</f>
        <v>60.00584405101836</v>
      </c>
      <c r="CZ124" s="421" t="n">
        <f>MAX(0,IFERROR(INDEX(PROJECTS!$N$11:$AI$11,1,MATCH(YEAR(CZ$24),PROJECTS!$N$7:$AI$7,0))*1000000/12-SUM(CZ104,CZ119,CZ122:CZ123),0))</f>
        <v>60.00584405101836</v>
      </c>
      <c r="DA124" s="421" t="n">
        <f>MAX(0,IFERROR(INDEX(PROJECTS!$N$11:$AI$11,1,MATCH(YEAR(DA$24),PROJECTS!$N$7:$AI$7,0))*1000000/12-SUM(DA104,DA119,DA122:DA123),0))</f>
        <v>60.00584405101836</v>
      </c>
      <c r="DB124" s="421" t="n">
        <f>MAX(0,IFERROR(INDEX(PROJECTS!$N$11:$AI$11,1,MATCH(YEAR(DB$24),PROJECTS!$N$7:$AI$7,0))*1000000/12-SUM(DB104,DB119,DB122:DB123),0))</f>
        <v>60.00584405101836</v>
      </c>
      <c r="DC124" s="421" t="n">
        <f>MAX(0,IFERROR(INDEX(PROJECTS!$N$11:$AI$11,1,MATCH(YEAR(DC$24),PROJECTS!$N$7:$AI$7,0))*1000000/12-SUM(DC104,DC119,DC122:DC123),0))</f>
        <v>60.00584405101836</v>
      </c>
      <c r="DD124" s="421" t="n">
        <f>MAX(0,IFERROR(INDEX(PROJECTS!$N$11:$AI$11,1,MATCH(YEAR(DD$24),PROJECTS!$N$7:$AI$7,0))*1000000/12-SUM(DD104,DD119,DD122:DD123),0))</f>
        <v>60.00584405101836</v>
      </c>
      <c r="DE124" s="421" t="n">
        <f>MAX(0,IFERROR(INDEX(PROJECTS!$N$11:$AI$11,1,MATCH(YEAR(DE$24),PROJECTS!$N$7:$AI$7,0))*1000000/12-SUM(DE104,DE119,DE122:DE123),0))</f>
        <v>60.00584405101836</v>
      </c>
      <c r="DF124" s="421" t="n">
        <f>MAX(0,IFERROR(INDEX(PROJECTS!$N$11:$AI$11,1,MATCH(YEAR(DF$24),PROJECTS!$N$7:$AI$7,0))*1000000/12-SUM(DF104,DF119,DF122:DF123),0))</f>
        <v>4554180.222894123</v>
      </c>
      <c r="DG124" s="421" t="n">
        <f>MAX(0,IFERROR(INDEX(PROJECTS!$N$11:$AI$11,1,MATCH(YEAR(DG$24),PROJECTS!$N$7:$AI$7,0))*1000000/12-SUM(DG104,DG119,DG122:DG123),0))</f>
        <v>60.00584405101836</v>
      </c>
      <c r="DH124" s="421" t="n">
        <f>MAX(0,IFERROR(INDEX(PROJECTS!$N$11:$AI$11,1,MATCH(YEAR(DH$24),PROJECTS!$N$7:$AI$7,0))*1000000/12-SUM(DH104,DH119,DH122:DH123),0))</f>
        <v>60.00584405101836</v>
      </c>
      <c r="DI124" s="421" t="n">
        <f>MAX(0,IFERROR(INDEX(PROJECTS!$N$11:$AI$11,1,MATCH(YEAR(DI$24),PROJECTS!$N$7:$AI$7,0))*1000000/12-SUM(DI104,DI119,DI122:DI123),0))</f>
        <v>60.00584405101836</v>
      </c>
      <c r="DJ124" s="421" t="n">
        <f>MAX(0,IFERROR(INDEX(PROJECTS!$N$11:$AI$11,1,MATCH(YEAR(DJ$24),PROJECTS!$N$7:$AI$7,0))*1000000/12-SUM(DJ104,DJ119,DJ122:DJ123),0))</f>
        <v>60.00584405101836</v>
      </c>
      <c r="DK124" s="421" t="n">
        <f>MAX(0,IFERROR(INDEX(PROJECTS!$N$11:$AI$11,1,MATCH(YEAR(DK$24),PROJECTS!$N$7:$AI$7,0))*1000000/12-SUM(DK104,DK119,DK122:DK123),0))</f>
        <v>61.2316298764199</v>
      </c>
      <c r="DL124" s="421" t="n">
        <f>MAX(0,IFERROR(INDEX(PROJECTS!$N$11:$AI$11,1,MATCH(YEAR(DL$24),PROJECTS!$N$7:$AI$7,0))*1000000/12-SUM(DL104,DL119,DL122:DL123),0))</f>
        <v>61.2316298764199</v>
      </c>
      <c r="DM124" s="421" t="n">
        <f>MAX(0,IFERROR(INDEX(PROJECTS!$N$11:$AI$11,1,MATCH(YEAR(DM$24),PROJECTS!$N$7:$AI$7,0))*1000000/12-SUM(DM104,DM119,DM122:DM123),0))</f>
        <v>61.2316298764199</v>
      </c>
      <c r="DN124" s="421" t="n">
        <f>MAX(0,IFERROR(INDEX(PROJECTS!$N$11:$AI$11,1,MATCH(YEAR(DN$24),PROJECTS!$N$7:$AI$7,0))*1000000/12-SUM(DN104,DN119,DN122:DN123),0))</f>
        <v>61.2316298764199</v>
      </c>
      <c r="DO124" s="421" t="n">
        <f>MAX(0,IFERROR(INDEX(PROJECTS!$N$11:$AI$11,1,MATCH(YEAR(DO$24),PROJECTS!$N$7:$AI$7,0))*1000000/12-SUM(DO104,DO119,DO122:DO123),0))</f>
        <v>61.2316298764199</v>
      </c>
      <c r="DP124" s="421" t="n">
        <f>MAX(0,IFERROR(INDEX(PROJECTS!$N$11:$AI$11,1,MATCH(YEAR(DP$24),PROJECTS!$N$7:$AI$7,0))*1000000/12-SUM(DP104,DP119,DP122:DP123),0))</f>
        <v>61.2316298764199</v>
      </c>
      <c r="DQ124" s="421" t="n">
        <f>MAX(0,IFERROR(INDEX(PROJECTS!$N$11:$AI$11,1,MATCH(YEAR(DQ$24),PROJECTS!$N$7:$AI$7,0))*1000000/12-SUM(DQ104,DQ119,DQ122:DQ123),0))</f>
        <v>61.2316298764199</v>
      </c>
      <c r="DR124" s="421" t="n">
        <f>MAX(0,IFERROR(INDEX(PROJECTS!$N$11:$AI$11,1,MATCH(YEAR(DR$24),PROJECTS!$N$7:$AI$7,0))*1000000/12-SUM(DR104,DR119,DR122:DR123),0))</f>
        <v>61.2316298764199</v>
      </c>
      <c r="DS124" s="421" t="n">
        <f>MAX(0,IFERROR(INDEX(PROJECTS!$N$11:$AI$11,1,MATCH(YEAR(DS$24),PROJECTS!$N$7:$AI$7,0))*1000000/12-SUM(DS104,DS119,DS122:DS123),0))</f>
        <v>61.2316298764199</v>
      </c>
      <c r="DT124" s="421" t="n">
        <f>MAX(0,IFERROR(INDEX(PROJECTS!$N$11:$AI$11,1,MATCH(YEAR(DT$24),PROJECTS!$N$7:$AI$7,0))*1000000/12-SUM(DT104,DT119,DT122:DT123),0))</f>
        <v>61.2316298764199</v>
      </c>
      <c r="DU124" s="421" t="n">
        <f>MAX(0,IFERROR(INDEX(PROJECTS!$N$11:$AI$11,1,MATCH(YEAR(DU$24),PROJECTS!$N$7:$AI$7,0))*1000000/12-SUM(DU104,DU119,DU122:DU123),0))</f>
        <v>61.2316298764199</v>
      </c>
      <c r="DV124" s="421" t="n">
        <f>MAX(0,IFERROR(INDEX(PROJECTS!$N$11:$AI$11,1,MATCH(YEAR(DV$24),PROJECTS!$N$7:$AI$7,0))*1000000/12-SUM(DV104,DV119,DV122:DV123),0))</f>
        <v>4709690.098733034</v>
      </c>
      <c r="DW124" s="421" t="n">
        <f>MAX(0,IFERROR(INDEX(PROJECTS!$N$11:$AI$11,1,MATCH(YEAR(DW$24),PROJECTS!$N$7:$AI$7,0))*1000000/12-SUM(DW104,DW119,DW122:DW123),0))</f>
        <v>62.50095135066658</v>
      </c>
      <c r="DX124" s="421" t="n">
        <f>MAX(0,IFERROR(INDEX(PROJECTS!$N$11:$AI$11,1,MATCH(YEAR(DX$24),PROJECTS!$N$7:$AI$7,0))*1000000/12-SUM(DX104,DX119,DX122:DX123),0))</f>
        <v>62.50095135066658</v>
      </c>
      <c r="DY124" s="421" t="n">
        <f>MAX(0,IFERROR(INDEX(PROJECTS!$N$11:$AI$11,1,MATCH(YEAR(DY$24),PROJECTS!$N$7:$AI$7,0))*1000000/12-SUM(DY104,DY119,DY122:DY123),0))</f>
        <v>62.50095135066658</v>
      </c>
      <c r="DZ124" s="421" t="n">
        <f>MAX(0,IFERROR(INDEX(PROJECTS!$N$11:$AI$11,1,MATCH(YEAR(DZ$24),PROJECTS!$N$7:$AI$7,0))*1000000/12-SUM(DZ104,DZ119,DZ122:DZ123),0))</f>
        <v>62.50095135066658</v>
      </c>
      <c r="EA124" s="421" t="n">
        <f>MAX(0,IFERROR(INDEX(PROJECTS!$N$11:$AI$11,1,MATCH(YEAR(EA$24),PROJECTS!$N$7:$AI$7,0))*1000000/12-SUM(EA104,EA119,EA122:EA123),0))</f>
        <v>62.50095135066658</v>
      </c>
      <c r="EB124" s="421" t="n">
        <f>MAX(0,IFERROR(INDEX(PROJECTS!$N$11:$AI$11,1,MATCH(YEAR(EB$24),PROJECTS!$N$7:$AI$7,0))*1000000/12-SUM(EB104,EB119,EB122:EB123),0))</f>
        <v>62.50095135066658</v>
      </c>
      <c r="EC124" s="421" t="n">
        <f>MAX(0,IFERROR(INDEX(PROJECTS!$N$11:$AI$11,1,MATCH(YEAR(EC$24),PROJECTS!$N$7:$AI$7,0))*1000000/12-SUM(EC104,EC119,EC122:EC123),0))</f>
        <v>62.50095135066658</v>
      </c>
      <c r="ED124" s="421" t="n">
        <f>MAX(0,IFERROR(INDEX(PROJECTS!$N$11:$AI$11,1,MATCH(YEAR(ED$24),PROJECTS!$N$7:$AI$7,0))*1000000/12-SUM(ED104,ED119,ED122:ED123),0))</f>
        <v>62.50095135066658</v>
      </c>
      <c r="EE124" s="421" t="n">
        <f>MAX(0,IFERROR(INDEX(PROJECTS!$N$11:$AI$11,1,MATCH(YEAR(EE$24),PROJECTS!$N$7:$AI$7,0))*1000000/12-SUM(EE104,EE119,EE122:EE123),0))</f>
        <v>62.50095135066658</v>
      </c>
      <c r="EF124" s="421" t="n">
        <f>MAX(0,IFERROR(INDEX(PROJECTS!$N$11:$AI$11,1,MATCH(YEAR(EF$24),PROJECTS!$N$7:$AI$7,0))*1000000/12-SUM(EF104,EF119,EF122:EF123),0))</f>
        <v>62.50095135066658</v>
      </c>
      <c r="EG124" s="421" t="n">
        <f>MAX(0,IFERROR(INDEX(PROJECTS!$N$11:$AI$11,1,MATCH(YEAR(EG$24),PROJECTS!$N$7:$AI$7,0))*1000000/12-SUM(EG104,EG119,EG122:EG123),0))</f>
        <v>62.50095135066658</v>
      </c>
      <c r="EH124" s="421" t="n">
        <f>MAX(0,IFERROR(INDEX(PROJECTS!$N$11:$AI$11,1,MATCH(YEAR(EH$24),PROJECTS!$N$7:$AI$7,0))*1000000/12-SUM(EH104,EH119,EH122:EH123),0))</f>
        <v>62.50095135066658</v>
      </c>
      <c r="EI124" s="421" t="n">
        <f>MAX(0,IFERROR(INDEX(PROJECTS!$N$11:$AI$11,1,MATCH(YEAR(EI$24),PROJECTS!$N$7:$AI$7,0))*1000000/12-SUM(EI104,EI119,EI122:EI123),0))</f>
        <v>63.81490003596991</v>
      </c>
      <c r="EJ124" s="421" t="n">
        <f>MAX(0,IFERROR(INDEX(PROJECTS!$N$11:$AI$11,1,MATCH(YEAR(EJ$24),PROJECTS!$N$7:$AI$7,0))*1000000/12-SUM(EJ104,EJ119,EJ122:EJ123),0))</f>
        <v>63.81490003596991</v>
      </c>
      <c r="EK124" s="421" t="n">
        <f>MAX(0,IFERROR(INDEX(PROJECTS!$N$11:$AI$11,1,MATCH(YEAR(EK$24),PROJECTS!$N$7:$AI$7,0))*1000000/12-SUM(EK104,EK119,EK122:EK123),0))</f>
        <v>63.81490003596991</v>
      </c>
      <c r="EL124" s="421" t="n">
        <f>MAX(0,IFERROR(INDEX(PROJECTS!$N$11:$AI$11,1,MATCH(YEAR(EL$24),PROJECTS!$N$7:$AI$7,0))*1000000/12-SUM(EL104,EL119,EL122:EL123),0))</f>
        <v>5037779.43566655</v>
      </c>
      <c r="EM124" s="421" t="n">
        <f>MAX(0,IFERROR(INDEX(PROJECTS!$N$11:$AI$11,1,MATCH(YEAR(EM$24),PROJECTS!$N$7:$AI$7,0))*1000000/12-SUM(EM104,EM119,EM122:EM123),0))</f>
        <v>63.81490003596991</v>
      </c>
      <c r="EN124" s="421" t="n">
        <f>MAX(0,IFERROR(INDEX(PROJECTS!$N$11:$AI$11,1,MATCH(YEAR(EN$24),PROJECTS!$N$7:$AI$7,0))*1000000/12-SUM(EN104,EN119,EN122:EN123),0))</f>
        <v>63.81490003596991</v>
      </c>
      <c r="EP124" s="220"/>
      <c r="EQ124" s="210"/>
      <c r="ER124" s="18"/>
      <c r="ES124" s="18"/>
      <c r="ET124" s="18"/>
      <c r="EU124" s="18"/>
      <c r="EV124" s="204"/>
      <c r="EW124" s="204"/>
      <c r="EX124" s="204"/>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c r="GC124" s="204"/>
      <c r="GD124" s="204"/>
      <c r="GE124" s="204"/>
      <c r="GF124" s="204"/>
      <c r="GG124" s="204"/>
      <c r="GH124" s="204"/>
      <c r="GI124" s="204"/>
      <c r="GJ124" s="204"/>
      <c r="GK124" s="204"/>
      <c r="GL124" s="204"/>
      <c r="GM124" s="204"/>
      <c r="GN124" s="204"/>
      <c r="GO124" s="204"/>
      <c r="GP124" s="204"/>
      <c r="GQ124" s="204"/>
      <c r="GR124" s="204"/>
      <c r="GS124" s="204"/>
      <c r="GT124" s="204"/>
      <c r="GU124" s="204"/>
      <c r="GV124" s="204"/>
      <c r="GW124" s="204"/>
      <c r="GX124" s="204"/>
      <c r="GY124" s="204"/>
      <c r="GZ124" s="204"/>
      <c r="HA124" s="204"/>
      <c r="HB124" s="204"/>
      <c r="HC124" s="204"/>
      <c r="HD124" s="204"/>
      <c r="HE124" s="204"/>
      <c r="HF124" s="204"/>
      <c r="HG124" s="204"/>
      <c r="HH124" s="204"/>
      <c r="HI124" s="204"/>
      <c r="HJ124" s="204"/>
      <c r="HK124" s="204"/>
      <c r="HL124" s="204"/>
      <c r="HM124" s="204"/>
      <c r="HN124" s="204"/>
      <c r="HO124" s="204"/>
      <c r="HP124" s="204"/>
      <c r="HQ124" s="204"/>
      <c r="HR124" s="204"/>
      <c r="HS124" s="204"/>
      <c r="HT124" s="204"/>
      <c r="HU124" s="204"/>
      <c r="HV124" s="204"/>
      <c r="HW124" s="204"/>
      <c r="HX124" s="204"/>
      <c r="HY124" s="204"/>
      <c r="HZ124" s="204"/>
      <c r="IA124" s="204"/>
      <c r="IB124" s="204"/>
      <c r="IC124" s="204"/>
      <c r="ID124" s="204"/>
      <c r="IE124" s="204"/>
      <c r="IF124" s="204"/>
      <c r="IG124" s="204"/>
      <c r="IH124" s="204"/>
      <c r="II124" s="204"/>
      <c r="IJ124" s="204"/>
      <c r="IK124" s="204"/>
      <c r="IL124" s="204"/>
      <c r="IM124" s="204"/>
      <c r="IN124" s="204"/>
      <c r="IO124" s="204"/>
      <c r="IP124" s="204"/>
      <c r="IQ124" s="204"/>
      <c r="IR124" s="204"/>
      <c r="IS124" s="204"/>
      <c r="IT124" s="204"/>
      <c r="IU124" s="204"/>
      <c r="IV124" s="204"/>
      <c r="IW124" s="204"/>
      <c r="IX124" s="204"/>
      <c r="IY124" s="204"/>
      <c r="IZ124" s="204"/>
      <c r="JA124" s="204"/>
      <c r="JB124" s="204"/>
      <c r="JC124" s="204"/>
      <c r="JD124" s="204"/>
      <c r="JE124" s="204"/>
      <c r="JF124" s="204"/>
      <c r="JG124" s="204"/>
      <c r="JH124" s="204"/>
      <c r="JI124" s="204"/>
      <c r="JJ124" s="204"/>
      <c r="JK124" s="204"/>
      <c r="JL124" s="204"/>
      <c r="JM124" s="204"/>
      <c r="JN124" s="204"/>
      <c r="JO124" s="204"/>
      <c r="JP124" s="204"/>
      <c r="JQ124" s="204"/>
      <c r="JR124" s="204"/>
      <c r="JS124" s="204"/>
      <c r="JT124" s="204"/>
      <c r="JU124" s="204"/>
      <c r="JV124" s="204"/>
      <c r="JW124" s="204"/>
      <c r="JX124" s="204"/>
      <c r="JZ124" s="263"/>
      <c r="KA124" s="263"/>
      <c r="KB124" s="263"/>
      <c r="KC124" s="263"/>
      <c r="KD124" s="263"/>
      <c r="KE124" s="263"/>
      <c r="KF124" s="263"/>
      <c r="KG124" s="263"/>
      <c r="KH124" s="263"/>
      <c r="KI124" s="263"/>
      <c r="KJ124" s="263"/>
      <c r="KK124" s="263"/>
      <c r="KL124" s="263"/>
      <c r="KM124" s="263"/>
      <c r="KN124" s="263"/>
      <c r="KO124" s="263"/>
      <c r="KP124" s="263"/>
      <c r="KQ124" s="263"/>
      <c r="KR124" s="263"/>
      <c r="KS124" s="263"/>
      <c r="KT124" s="263"/>
      <c r="KU124" s="263"/>
      <c r="KV124" s="263"/>
      <c r="KW124" s="263"/>
      <c r="KX124" s="263"/>
      <c r="KY124" s="263"/>
      <c r="KZ124" s="263"/>
      <c r="LA124" s="263"/>
      <c r="LB124" s="263"/>
      <c r="LC124" s="263"/>
      <c r="LD124" s="263"/>
      <c r="LE124" s="263"/>
      <c r="LF124" s="263"/>
      <c r="LG124" s="263"/>
      <c r="LH124" s="263"/>
      <c r="LI124" s="263"/>
      <c r="LJ124" s="263"/>
      <c r="LK124" s="263"/>
      <c r="LL124" s="263"/>
      <c r="LM124" s="263"/>
      <c r="LN124" s="263"/>
      <c r="LO124" s="263"/>
      <c r="LP124" s="263"/>
      <c r="LQ124" s="263"/>
      <c r="LR124" s="263"/>
      <c r="LS124" s="263"/>
      <c r="LT124" s="263"/>
      <c r="LU124" s="263"/>
      <c r="LV124" s="263"/>
      <c r="LW124" s="263"/>
      <c r="LX124" s="263"/>
      <c r="LY124" s="263"/>
      <c r="LZ124" s="263"/>
      <c r="MA124" s="263"/>
      <c r="MB124" s="263"/>
      <c r="MC124" s="263"/>
      <c r="MD124" s="263"/>
      <c r="ME124" s="263"/>
      <c r="MF124" s="263"/>
      <c r="MG124" s="263"/>
      <c r="MH124" s="263"/>
      <c r="MI124" s="263"/>
      <c r="MJ124" s="263"/>
      <c r="MK124" s="263"/>
      <c r="ML124" s="263"/>
      <c r="MM124" s="263"/>
      <c r="MN124" s="263"/>
      <c r="MO124" s="263"/>
      <c r="MP124" s="263"/>
      <c r="MQ124" s="263"/>
      <c r="MR124" s="263"/>
      <c r="MS124" s="263"/>
      <c r="MT124" s="263"/>
      <c r="MU124" s="263"/>
      <c r="MV124" s="263"/>
      <c r="MW124" s="263"/>
      <c r="MX124" s="263"/>
      <c r="MY124" s="263"/>
      <c r="MZ124" s="263"/>
      <c r="NA124" s="263"/>
      <c r="NB124" s="263"/>
      <c r="NC124" s="263"/>
      <c r="ND124" s="263"/>
      <c r="NE124" s="263"/>
      <c r="NF124" s="263"/>
      <c r="NG124" s="263"/>
      <c r="NH124" s="263"/>
      <c r="NI124" s="263"/>
      <c r="NJ124" s="263"/>
      <c r="NK124" s="263"/>
      <c r="NL124" s="263"/>
      <c r="NM124" s="263"/>
      <c r="NN124" s="263"/>
      <c r="NO124" s="263"/>
      <c r="NP124" s="263"/>
      <c r="NQ124" s="263"/>
      <c r="NR124" s="263"/>
      <c r="NS124" s="263"/>
      <c r="NT124" s="263"/>
      <c r="NU124" s="263"/>
      <c r="NV124" s="263"/>
      <c r="NW124" s="263"/>
      <c r="NX124" s="263"/>
      <c r="NY124" s="263"/>
      <c r="NZ124" s="263"/>
      <c r="OA124" s="263"/>
      <c r="OB124" s="263"/>
      <c r="OC124" s="263"/>
      <c r="OD124" s="263"/>
      <c r="OE124" s="263"/>
      <c r="OF124" s="263"/>
      <c r="OG124" s="263"/>
      <c r="OH124" s="263"/>
      <c r="OI124" s="263"/>
      <c r="OJ124" s="263"/>
      <c r="OK124" s="263"/>
      <c r="OL124" s="263"/>
      <c r="OM124" s="263"/>
      <c r="ON124" s="263"/>
      <c r="OO124" s="263"/>
      <c r="OP124" s="263"/>
      <c r="OQ124" s="263"/>
      <c r="OR124" s="263"/>
      <c r="OS124" s="263"/>
      <c r="OT124" s="263"/>
      <c r="OU124" s="263"/>
      <c r="OV124" s="263"/>
      <c r="OW124" s="263"/>
      <c r="OX124" s="263"/>
      <c r="OY124" s="263"/>
      <c r="OZ124" s="263"/>
      <c r="PA124" s="263"/>
      <c r="PB124" s="263"/>
      <c r="PC124" s="263"/>
      <c r="PD124" s="263"/>
      <c r="PE124" s="263"/>
      <c r="PF124" s="263"/>
      <c r="PG124" s="263"/>
      <c r="PH124" s="263"/>
    </row>
    <row r="125">
      <c r="B125" s="423" t="s">
        <v>281</v>
      </c>
      <c r="C125" s="418">
        <v>7</v>
      </c>
      <c r="D125" s="46"/>
      <c r="E125" s="480">
        <v>1</v>
      </c>
      <c r="F125" s="146">
        <v>0</v>
      </c>
      <c r="G125" s="40" t="n">
        <f>I125/$I$105</f>
        <v>1.7928084611422497</v>
      </c>
      <c r="H125" s="301" t="n">
        <f>I125/Units</f>
        <v>372.69869396634124</v>
      </c>
      <c r="I125" s="482" t="n">
        <f>PROJECTS!$N$27*1000000-SUM($I$105,$I$120,$I$123:$I$124)</f>
        <v>29186921.747395825</v>
      </c>
      <c r="L125" s="76" t="n">
        <f>MAX(0,IFERROR(INDEX(PROJECTS!$N$11:$AI$11,1,MATCH(YEAR(L$24),PROJECTS!$N$7:$AI$7,0))*1000000/12-SUM(L105,L120,L123:L124),0))</f>
        <v>0</v>
      </c>
      <c r="M125" s="426" t="n">
        <f>MAX(0,IFERROR(INDEX(PROJECTS!$N$11:$AI$11,1,MATCH(YEAR(M$24),PROJECTS!$N$7:$AI$7,0))*1000000/12-SUM(M105,M120,M123:M124),0))</f>
        <v>0</v>
      </c>
      <c r="N125" s="426" t="n">
        <f>MAX(0,IFERROR(INDEX(PROJECTS!$N$11:$AI$11,1,MATCH(YEAR(N$24),PROJECTS!$N$7:$AI$7,0))*1000000/12-SUM(N105,N120,N123:N124),0))</f>
        <v>0</v>
      </c>
      <c r="O125" s="426" t="n">
        <f>MAX(0,IFERROR(INDEX(PROJECTS!$N$11:$AI$11,1,MATCH(YEAR(O$24),PROJECTS!$N$7:$AI$7,0))*1000000/12-SUM(O105,O120,O123:O124),0))</f>
        <v>0</v>
      </c>
      <c r="P125" s="426" t="n">
        <f>MAX(0,IFERROR(INDEX(PROJECTS!$N$11:$AI$11,1,MATCH(YEAR(P$24),PROJECTS!$N$7:$AI$7,0))*1000000/12-SUM(P105,P120,P123:P124),0))</f>
        <v>0</v>
      </c>
      <c r="Q125" s="426" t="n">
        <f>MAX(0,IFERROR(INDEX(PROJECTS!$N$11:$AI$11,1,MATCH(YEAR(Q$24),PROJECTS!$N$7:$AI$7,0))*1000000/12-SUM(Q105,Q120,Q123:Q124),0))</f>
        <v>0</v>
      </c>
      <c r="R125" s="426" t="n">
        <f>MAX(0,IFERROR(INDEX(PROJECTS!$N$11:$AI$11,1,MATCH(YEAR(R$24),PROJECTS!$N$7:$AI$7,0))*1000000/12-SUM(R105,R120,R123:R124),0))</f>
        <v>0</v>
      </c>
      <c r="S125" s="426" t="n">
        <f>MAX(0,IFERROR(INDEX(PROJECTS!$N$11:$AI$11,1,MATCH(YEAR(S$24),PROJECTS!$N$7:$AI$7,0))*1000000/12-SUM(S105,S120,S123:S124),0))</f>
        <v>0</v>
      </c>
      <c r="T125" s="426" t="n">
        <f>MAX(0,IFERROR(INDEX(PROJECTS!$N$11:$AI$11,1,MATCH(YEAR(T$24),PROJECTS!$N$7:$AI$7,0))*1000000/12-SUM(T105,T120,T123:T124),0))</f>
        <v>0</v>
      </c>
      <c r="U125" s="426" t="n">
        <f>MAX(0,IFERROR(INDEX(PROJECTS!$N$11:$AI$11,1,MATCH(YEAR(U$24),PROJECTS!$N$7:$AI$7,0))*1000000/12-SUM(U105,U120,U123:U124),0))</f>
        <v>0</v>
      </c>
      <c r="V125" s="426" t="n">
        <f>MAX(0,IFERROR(INDEX(PROJECTS!$N$11:$AI$11,1,MATCH(YEAR(V$24),PROJECTS!$N$7:$AI$7,0))*1000000/12-SUM(V105,V120,V123:V124),0))</f>
        <v>0</v>
      </c>
      <c r="W125" s="426" t="n">
        <f>MAX(0,IFERROR(INDEX(PROJECTS!$N$11:$AI$11,1,MATCH(YEAR(W$24),PROJECTS!$N$7:$AI$7,0))*1000000/12-SUM(W105,W120,W123:W124),0))</f>
        <v>0</v>
      </c>
      <c r="X125" s="426" t="n">
        <f>MAX(0,IFERROR(INDEX(PROJECTS!$N$11:$AI$11,1,MATCH(YEAR(X$24),PROJECTS!$N$7:$AI$7,0))*1000000/12-SUM(X105,X120,X123:X124),0))</f>
        <v>0</v>
      </c>
      <c r="Y125" s="426" t="n">
        <f>MAX(0,IFERROR(INDEX(PROJECTS!$N$11:$AI$11,1,MATCH(YEAR(Y$24),PROJECTS!$N$7:$AI$7,0))*1000000/12-SUM(Y105,Y120,Y123:Y124),0))</f>
        <v>0</v>
      </c>
      <c r="Z125" s="426" t="n">
        <f>MAX(0,IFERROR(INDEX(PROJECTS!$N$11:$AI$11,1,MATCH(YEAR(Z$24),PROJECTS!$N$7:$AI$7,0))*1000000/12-SUM(Z105,Z120,Z123:Z124),0))</f>
        <v>0</v>
      </c>
      <c r="AA125" s="426" t="n">
        <f>MAX(0,IFERROR(INDEX(PROJECTS!$N$11:$AI$11,1,MATCH(YEAR(AA$24),PROJECTS!$N$7:$AI$7,0))*1000000/12-SUM(AA105,AA120,AA123:AA124),0))</f>
        <v>0</v>
      </c>
      <c r="AB125" s="426" t="n">
        <f>MAX(0,IFERROR(INDEX(PROJECTS!$N$11:$AI$11,1,MATCH(YEAR(AB$24),PROJECTS!$N$7:$AI$7,0))*1000000/12-SUM(AB105,AB120,AB123:AB124),0))</f>
        <v>0</v>
      </c>
      <c r="AC125" s="426" t="n">
        <f>MAX(0,IFERROR(INDEX(PROJECTS!$N$11:$AI$11,1,MATCH(YEAR(AC$24),PROJECTS!$N$7:$AI$7,0))*1000000/12-SUM(AC105,AC120,AC123:AC124),0))</f>
        <v>0</v>
      </c>
      <c r="AD125" s="426" t="n">
        <f>MAX(0,IFERROR(INDEX(PROJECTS!$N$11:$AI$11,1,MATCH(YEAR(AD$24),PROJECTS!$N$7:$AI$7,0))*1000000/12-SUM(AD105,AD120,AD123:AD124),0))</f>
        <v>0</v>
      </c>
      <c r="AE125" s="426" t="n">
        <f>MAX(0,IFERROR(INDEX(PROJECTS!$N$11:$AI$11,1,MATCH(YEAR(AE$24),PROJECTS!$N$7:$AI$7,0))*1000000/12-SUM(AE105,AE120,AE123:AE124),0))</f>
        <v>0</v>
      </c>
      <c r="AF125" s="426" t="n">
        <f>MAX(0,IFERROR(INDEX(PROJECTS!$N$11:$AI$11,1,MATCH(YEAR(AF$24),PROJECTS!$N$7:$AI$7,0))*1000000/12-SUM(AF105,AF120,AF123:AF124),0))</f>
        <v>0</v>
      </c>
      <c r="AG125" s="426" t="n">
        <f>MAX(0,IFERROR(INDEX(PROJECTS!$N$11:$AI$11,1,MATCH(YEAR(AG$24),PROJECTS!$N$7:$AI$7,0))*1000000/12-SUM(AG105,AG120,AG123:AG124),0))</f>
        <v>0</v>
      </c>
      <c r="AH125" s="426" t="n">
        <f>MAX(0,IFERROR(INDEX(PROJECTS!$N$11:$AI$11,1,MATCH(YEAR(AH$24),PROJECTS!$N$7:$AI$7,0))*1000000/12-SUM(AH105,AH120,AH123:AH124),0))</f>
        <v>0</v>
      </c>
      <c r="AI125" s="426" t="n">
        <f>MAX(0,IFERROR(INDEX(PROJECTS!$N$11:$AI$11,1,MATCH(YEAR(AI$24),PROJECTS!$N$7:$AI$7,0))*1000000/12-SUM(AI105,AI120,AI123:AI124),0))</f>
        <v>0</v>
      </c>
      <c r="AJ125" s="426" t="n">
        <f>MAX(0,IFERROR(INDEX(PROJECTS!$N$11:$AI$11,1,MATCH(YEAR(AJ$24),PROJECTS!$N$7:$AI$7,0))*1000000/12-SUM(AJ105,AJ120,AJ123:AJ124),0))</f>
        <v>0</v>
      </c>
      <c r="AK125" s="426" t="n">
        <f>MAX(0,IFERROR(INDEX(PROJECTS!$N$11:$AI$11,1,MATCH(YEAR(AK$24),PROJECTS!$N$7:$AI$7,0))*1000000/12-SUM(AK105,AK120,AK123:AK124),0))</f>
        <v>0</v>
      </c>
      <c r="AL125" s="426" t="n">
        <f>MAX(0,IFERROR(INDEX(PROJECTS!$N$11:$AI$11,1,MATCH(YEAR(AL$24),PROJECTS!$N$7:$AI$7,0))*1000000/12-SUM(AL105,AL120,AL123:AL124),0))</f>
        <v>0</v>
      </c>
      <c r="AM125" s="426" t="n">
        <f>MAX(0,IFERROR(INDEX(PROJECTS!$N$11:$AI$11,1,MATCH(YEAR(AM$24),PROJECTS!$N$7:$AI$7,0))*1000000/12-SUM(AM105,AM120,AM123:AM124),0))</f>
        <v>0</v>
      </c>
      <c r="AN125" s="426" t="n">
        <f>MAX(0,IFERROR(INDEX(PROJECTS!$N$11:$AI$11,1,MATCH(YEAR(AN$24),PROJECTS!$N$7:$AI$7,0))*1000000/12-SUM(AN105,AN120,AN123:AN124),0))</f>
        <v>0</v>
      </c>
      <c r="AO125" s="426" t="n">
        <f>MAX(0,IFERROR(INDEX(PROJECTS!$N$11:$AI$11,1,MATCH(YEAR(AO$24),PROJECTS!$N$7:$AI$7,0))*1000000/12-SUM(AO105,AO120,AO123:AO124),0))</f>
        <v>0</v>
      </c>
      <c r="AP125" s="426" t="n">
        <f>MAX(0,IFERROR(INDEX(PROJECTS!$N$11:$AI$11,1,MATCH(YEAR(AP$24),PROJECTS!$N$7:$AI$7,0))*1000000/12-SUM(AP105,AP120,AP123:AP124),0))</f>
        <v>0</v>
      </c>
      <c r="AQ125" s="426" t="n">
        <f>MAX(0,IFERROR(INDEX(PROJECTS!$N$11:$AI$11,1,MATCH(YEAR(AQ$24),PROJECTS!$N$7:$AI$7,0))*1000000/12-SUM(AQ105,AQ120,AQ123:AQ124),0))</f>
        <v>0</v>
      </c>
      <c r="AR125" s="426" t="n">
        <f>MAX(0,IFERROR(INDEX(PROJECTS!$N$11:$AI$11,1,MATCH(YEAR(AR$24),PROJECTS!$N$7:$AI$7,0))*1000000/12-SUM(AR105,AR120,AR123:AR124),0))</f>
        <v>0</v>
      </c>
      <c r="AS125" s="426" t="n">
        <f>MAX(0,IFERROR(INDEX(PROJECTS!$N$11:$AI$11,1,MATCH(YEAR(AS$24),PROJECTS!$N$7:$AI$7,0))*1000000/12-SUM(AS105,AS120,AS123:AS124),0))</f>
        <v>0</v>
      </c>
      <c r="AT125" s="426" t="n">
        <f>MAX(0,IFERROR(INDEX(PROJECTS!$N$11:$AI$11,1,MATCH(YEAR(AT$24),PROJECTS!$N$7:$AI$7,0))*1000000/12-SUM(AT105,AT120,AT123:AT124),0))</f>
        <v>0</v>
      </c>
      <c r="AU125" s="426" t="n">
        <f>MAX(0,IFERROR(INDEX(PROJECTS!$N$11:$AI$11,1,MATCH(YEAR(AU$24),PROJECTS!$N$7:$AI$7,0))*1000000/12-SUM(AU105,AU120,AU123:AU124),0))</f>
        <v>0</v>
      </c>
      <c r="AV125" s="426" t="n">
        <f>MAX(0,IFERROR(INDEX(PROJECTS!$N$11:$AI$11,1,MATCH(YEAR(AV$24),PROJECTS!$N$7:$AI$7,0))*1000000/12-SUM(AV105,AV120,AV123:AV124),0))</f>
        <v>0</v>
      </c>
      <c r="AW125" s="426" t="n">
        <f>MAX(0,IFERROR(INDEX(PROJECTS!$N$11:$AI$11,1,MATCH(YEAR(AW$24),PROJECTS!$N$7:$AI$7,0))*1000000/12-SUM(AW105,AW120,AW123:AW124),0))</f>
        <v>0</v>
      </c>
      <c r="AX125" s="426" t="n">
        <f>MAX(0,IFERROR(INDEX(PROJECTS!$N$11:$AI$11,1,MATCH(YEAR(AX$24),PROJECTS!$N$7:$AI$7,0))*1000000/12-SUM(AX105,AX120,AX123:AX124),0))</f>
        <v>0</v>
      </c>
      <c r="AY125" s="426" t="n">
        <f>MAX(0,IFERROR(INDEX(PROJECTS!$N$11:$AI$11,1,MATCH(YEAR(AY$24),PROJECTS!$N$7:$AI$7,0))*1000000/12-SUM(AY105,AY120,AY123:AY124),0))</f>
        <v>0</v>
      </c>
      <c r="AZ125" s="426" t="n">
        <f>MAX(0,IFERROR(INDEX(PROJECTS!$N$11:$AI$11,1,MATCH(YEAR(AZ$24),PROJECTS!$N$7:$AI$7,0))*1000000/12-SUM(AZ105,AZ120,AZ123:AZ124),0))</f>
        <v>0</v>
      </c>
      <c r="BA125" s="426" t="n">
        <f>MAX(0,IFERROR(INDEX(PROJECTS!$N$11:$AI$11,1,MATCH(YEAR(BA$24),PROJECTS!$N$7:$AI$7,0))*1000000/12-SUM(BA105,BA120,BA123:BA124),0))</f>
        <v>0</v>
      </c>
      <c r="BB125" s="426" t="n">
        <f>MAX(0,IFERROR(INDEX(PROJECTS!$N$11:$AI$11,1,MATCH(YEAR(BB$24),PROJECTS!$N$7:$AI$7,0))*1000000/12-SUM(BB105,BB120,BB123:BB124),0))</f>
        <v>0</v>
      </c>
      <c r="BC125" s="426" t="n">
        <f>MAX(0,IFERROR(INDEX(PROJECTS!$N$11:$AI$11,1,MATCH(YEAR(BC$24),PROJECTS!$N$7:$AI$7,0))*1000000/12-SUM(BC105,BC120,BC123:BC124),0))</f>
        <v>0</v>
      </c>
      <c r="BD125" s="426" t="n">
        <f>MAX(0,IFERROR(INDEX(PROJECTS!$N$11:$AI$11,1,MATCH(YEAR(BD$24),PROJECTS!$N$7:$AI$7,0))*1000000/12-SUM(BD105,BD120,BD123:BD124),0))</f>
        <v>0</v>
      </c>
      <c r="BE125" s="426" t="n">
        <f>MAX(0,IFERROR(INDEX(PROJECTS!$N$11:$AI$11,1,MATCH(YEAR(BE$24),PROJECTS!$N$7:$AI$7,0))*1000000/12-SUM(BE105,BE120,BE123:BE124),0))</f>
        <v>0</v>
      </c>
      <c r="BF125" s="426" t="n">
        <f>MAX(0,IFERROR(INDEX(PROJECTS!$N$11:$AI$11,1,MATCH(YEAR(BF$24),PROJECTS!$N$7:$AI$7,0))*1000000/12-SUM(BF105,BF120,BF123:BF124),0))</f>
        <v>0</v>
      </c>
      <c r="BG125" s="426" t="n">
        <f>MAX(0,IFERROR(INDEX(PROJECTS!$N$11:$AI$11,1,MATCH(YEAR(BG$24),PROJECTS!$N$7:$AI$7,0))*1000000/12-SUM(BG105,BG120,BG123:BG124),0))</f>
        <v>0</v>
      </c>
      <c r="BH125" s="426" t="n">
        <f>MAX(0,IFERROR(INDEX(PROJECTS!$N$11:$AI$11,1,MATCH(YEAR(BH$24),PROJECTS!$N$7:$AI$7,0))*1000000/12-SUM(BH105,BH120,BH123:BH124),0))</f>
        <v>0</v>
      </c>
      <c r="BI125" s="426" t="n">
        <f>MAX(0,IFERROR(INDEX(PROJECTS!$N$11:$AI$11,1,MATCH(YEAR(BI$24),PROJECTS!$N$7:$AI$7,0))*1000000/12-SUM(BI105,BI120,BI123:BI124),0))</f>
        <v>0</v>
      </c>
      <c r="BJ125" s="426" t="n">
        <f>MAX(0,IFERROR(INDEX(PROJECTS!$N$11:$AI$11,1,MATCH(YEAR(BJ$24),PROJECTS!$N$7:$AI$7,0))*1000000/12-SUM(BJ105,BJ120,BJ123:BJ124),0))</f>
        <v>0</v>
      </c>
      <c r="BK125" s="426" t="n">
        <f>MAX(0,IFERROR(INDEX(PROJECTS!$N$11:$AI$11,1,MATCH(YEAR(BK$24),PROJECTS!$N$7:$AI$7,0))*1000000/12-SUM(BK105,BK120,BK123:BK124),0))</f>
        <v>0</v>
      </c>
      <c r="BL125" s="426" t="n">
        <f>MAX(0,IFERROR(INDEX(PROJECTS!$N$11:$AI$11,1,MATCH(YEAR(BL$24),PROJECTS!$N$7:$AI$7,0))*1000000/12-SUM(BL105,BL120,BL123:BL124),0))</f>
        <v>0</v>
      </c>
      <c r="BM125" s="426" t="n">
        <f>MAX(0,IFERROR(INDEX(PROJECTS!$N$11:$AI$11,1,MATCH(YEAR(BM$24),PROJECTS!$N$7:$AI$7,0))*1000000/12-SUM(BM105,BM120,BM123:BM124),0))</f>
        <v>0</v>
      </c>
      <c r="BN125" s="426" t="n">
        <f>MAX(0,IFERROR(INDEX(PROJECTS!$N$11:$AI$11,1,MATCH(YEAR(BN$24),PROJECTS!$N$7:$AI$7,0))*1000000/12-SUM(BN105,BN120,BN123:BN124),0))</f>
        <v>0</v>
      </c>
      <c r="BO125" s="426" t="n">
        <f>MAX(0,IFERROR(INDEX(PROJECTS!$N$11:$AI$11,1,MATCH(YEAR(BO$24),PROJECTS!$N$7:$AI$7,0))*1000000/12-SUM(BO105,BO120,BO123:BO124),0))</f>
        <v>0</v>
      </c>
      <c r="BP125" s="426" t="n">
        <f>MAX(0,IFERROR(INDEX(PROJECTS!$N$11:$AI$11,1,MATCH(YEAR(BP$24),PROJECTS!$N$7:$AI$7,0))*1000000/12-SUM(BP105,BP120,BP123:BP124),0))</f>
        <v>0</v>
      </c>
      <c r="BQ125" s="426" t="n">
        <f>MAX(0,IFERROR(INDEX(PROJECTS!$N$11:$AI$11,1,MATCH(YEAR(BQ$24),PROJECTS!$N$7:$AI$7,0))*1000000/12-SUM(BQ105,BQ120,BQ123:BQ124),0))</f>
        <v>0</v>
      </c>
      <c r="BR125" s="426" t="n">
        <f>MAX(0,IFERROR(INDEX(PROJECTS!$N$11:$AI$11,1,MATCH(YEAR(BR$24),PROJECTS!$N$7:$AI$7,0))*1000000/12-SUM(BR105,BR120,BR123:BR124),0))</f>
        <v>0</v>
      </c>
      <c r="BS125" s="426" t="n">
        <f>MAX(0,IFERROR(INDEX(PROJECTS!$N$11:$AI$11,1,MATCH(YEAR(BS$24),PROJECTS!$N$7:$AI$7,0))*1000000/12-SUM(BS105,BS120,BS123:BS124),0))</f>
        <v>0</v>
      </c>
      <c r="BT125" s="426" t="n">
        <f>MAX(0,IFERROR(INDEX(PROJECTS!$N$11:$AI$11,1,MATCH(YEAR(BT$24),PROJECTS!$N$7:$AI$7,0))*1000000/12-SUM(BT105,BT120,BT123:BT124),0))</f>
        <v>0</v>
      </c>
      <c r="BU125" s="426" t="n">
        <f>MAX(0,IFERROR(INDEX(PROJECTS!$N$11:$AI$11,1,MATCH(YEAR(BU$24),PROJECTS!$N$7:$AI$7,0))*1000000/12-SUM(BU105,BU120,BU123:BU124),0))</f>
        <v>0</v>
      </c>
      <c r="BV125" s="426" t="n">
        <f>MAX(0,IFERROR(INDEX(PROJECTS!$N$11:$AI$11,1,MATCH(YEAR(BV$24),PROJECTS!$N$7:$AI$7,0))*1000000/12-SUM(BV105,BV120,BV123:BV124),0))</f>
        <v>0</v>
      </c>
      <c r="BW125" s="426" t="n">
        <f>MAX(0,IFERROR(INDEX(PROJECTS!$N$11:$AI$11,1,MATCH(YEAR(BW$24),PROJECTS!$N$7:$AI$7,0))*1000000/12-SUM(BW105,BW120,BW123:BW124),0))</f>
        <v>0</v>
      </c>
      <c r="BX125" s="426" t="n">
        <f>MAX(0,IFERROR(INDEX(PROJECTS!$N$11:$AI$11,1,MATCH(YEAR(BX$24),PROJECTS!$N$7:$AI$7,0))*1000000/12-SUM(BX105,BX120,BX123:BX124),0))</f>
        <v>0</v>
      </c>
      <c r="BY125" s="426" t="n">
        <f>MAX(0,IFERROR(INDEX(PROJECTS!$N$11:$AI$11,1,MATCH(YEAR(BY$24),PROJECTS!$N$7:$AI$7,0))*1000000/12-SUM(BY105,BY120,BY123:BY124),0))</f>
        <v>0</v>
      </c>
      <c r="BZ125" s="426" t="n">
        <f>MAX(0,IFERROR(INDEX(PROJECTS!$N$11:$AI$11,1,MATCH(YEAR(BZ$24),PROJECTS!$N$7:$AI$7,0))*1000000/12-SUM(BZ105,BZ120,BZ123:BZ124),0))</f>
        <v>0</v>
      </c>
      <c r="CA125" s="426" t="n">
        <f>MAX(0,IFERROR(INDEX(PROJECTS!$N$11:$AI$11,1,MATCH(YEAR(CA$24),PROJECTS!$N$7:$AI$7,0))*1000000/12-SUM(CA105,CA120,CA123:CA124),0))</f>
        <v>0</v>
      </c>
      <c r="CB125" s="426" t="n">
        <f>MAX(0,IFERROR(INDEX(PROJECTS!$N$11:$AI$11,1,MATCH(YEAR(CB$24),PROJECTS!$N$7:$AI$7,0))*1000000/12-SUM(CB105,CB120,CB123:CB124),0))</f>
        <v>0</v>
      </c>
      <c r="CC125" s="426" t="n">
        <f>MAX(0,IFERROR(INDEX(PROJECTS!$N$11:$AI$11,1,MATCH(YEAR(CC$24),PROJECTS!$N$7:$AI$7,0))*1000000/12-SUM(CC105,CC120,CC123:CC124),0))</f>
        <v>0</v>
      </c>
      <c r="CD125" s="426" t="n">
        <f>MAX(0,IFERROR(INDEX(PROJECTS!$N$11:$AI$11,1,MATCH(YEAR(CD$24),PROJECTS!$N$7:$AI$7,0))*1000000/12-SUM(CD105,CD120,CD123:CD124),0))</f>
        <v>0</v>
      </c>
      <c r="CE125" s="426" t="n">
        <f>MAX(0,IFERROR(INDEX(PROJECTS!$N$11:$AI$11,1,MATCH(YEAR(CE$24),PROJECTS!$N$7:$AI$7,0))*1000000/12-SUM(CE105,CE120,CE123:CE124),0))</f>
        <v>0</v>
      </c>
      <c r="CF125" s="426" t="n">
        <f>MAX(0,IFERROR(INDEX(PROJECTS!$N$11:$AI$11,1,MATCH(YEAR(CF$24),PROJECTS!$N$7:$AI$7,0))*1000000/12-SUM(CF105,CF120,CF123:CF124),0))</f>
        <v>0</v>
      </c>
      <c r="CG125" s="426" t="n">
        <f>MAX(0,IFERROR(INDEX(PROJECTS!$N$11:$AI$11,1,MATCH(YEAR(CG$24),PROJECTS!$N$7:$AI$7,0))*1000000/12-SUM(CG105,CG120,CG123:CG124),0))</f>
        <v>0</v>
      </c>
      <c r="CH125" s="426" t="n">
        <f>MAX(0,IFERROR(INDEX(PROJECTS!$N$11:$AI$11,1,MATCH(YEAR(CH$24),PROJECTS!$N$7:$AI$7,0))*1000000/12-SUM(CH105,CH120,CH123:CH124),0))</f>
        <v>0</v>
      </c>
      <c r="CI125" s="426" t="n">
        <f>MAX(0,IFERROR(INDEX(PROJECTS!$N$11:$AI$11,1,MATCH(YEAR(CI$24),PROJECTS!$N$7:$AI$7,0))*1000000/12-SUM(CI105,CI120,CI123:CI124),0))</f>
        <v>0</v>
      </c>
      <c r="CJ125" s="426" t="n">
        <f>MAX(0,IFERROR(INDEX(PROJECTS!$N$11:$AI$11,1,MATCH(YEAR(CJ$24),PROJECTS!$N$7:$AI$7,0))*1000000/12-SUM(CJ105,CJ120,CJ123:CJ124),0))</f>
        <v>0</v>
      </c>
      <c r="CK125" s="426" t="n">
        <f>MAX(0,IFERROR(INDEX(PROJECTS!$N$11:$AI$11,1,MATCH(YEAR(CK$24),PROJECTS!$N$7:$AI$7,0))*1000000/12-SUM(CK105,CK120,CK123:CK124),0))</f>
        <v>0</v>
      </c>
      <c r="CL125" s="426" t="n">
        <f>MAX(0,IFERROR(INDEX(PROJECTS!$N$11:$AI$11,1,MATCH(YEAR(CL$24),PROJECTS!$N$7:$AI$7,0))*1000000/12-SUM(CL105,CL120,CL123:CL124),0))</f>
        <v>0</v>
      </c>
      <c r="CM125" s="426" t="n">
        <f>MAX(0,IFERROR(INDEX(PROJECTS!$N$11:$AI$11,1,MATCH(YEAR(CM$24),PROJECTS!$N$7:$AI$7,0))*1000000/12-SUM(CM105,CM120,CM123:CM124),0))</f>
        <v>0</v>
      </c>
      <c r="CN125" s="426" t="n">
        <f>MAX(0,IFERROR(INDEX(PROJECTS!$N$11:$AI$11,1,MATCH(YEAR(CN$24),PROJECTS!$N$7:$AI$7,0))*1000000/12-SUM(CN105,CN120,CN123:CN124),0))</f>
        <v>0</v>
      </c>
      <c r="CO125" s="426" t="n">
        <f>MAX(0,IFERROR(INDEX(PROJECTS!$N$11:$AI$11,1,MATCH(YEAR(CO$24),PROJECTS!$N$7:$AI$7,0))*1000000/12-SUM(CO105,CO120,CO123:CO124),0))</f>
        <v>0</v>
      </c>
      <c r="CP125" s="426" t="n">
        <f>MAX(0,IFERROR(INDEX(PROJECTS!$N$11:$AI$11,1,MATCH(YEAR(CP$24),PROJECTS!$N$7:$AI$7,0))*1000000/12-SUM(CP105,CP120,CP123:CP124),0))</f>
        <v>0</v>
      </c>
      <c r="CQ125" s="426" t="n">
        <f>MAX(0,IFERROR(INDEX(PROJECTS!$N$11:$AI$11,1,MATCH(YEAR(CQ$24),PROJECTS!$N$7:$AI$7,0))*1000000/12-SUM(CQ105,CQ120,CQ123:CQ124),0))</f>
        <v>0</v>
      </c>
      <c r="CR125" s="426" t="n">
        <f>MAX(0,IFERROR(INDEX(PROJECTS!$N$11:$AI$11,1,MATCH(YEAR(CR$24),PROJECTS!$N$7:$AI$7,0))*1000000/12-SUM(CR105,CR120,CR123:CR124),0))</f>
        <v>0</v>
      </c>
      <c r="CS125" s="426" t="n">
        <f>MAX(0,IFERROR(INDEX(PROJECTS!$N$11:$AI$11,1,MATCH(YEAR(CS$24),PROJECTS!$N$7:$AI$7,0))*1000000/12-SUM(CS105,CS120,CS123:CS124),0))</f>
        <v>0</v>
      </c>
      <c r="CT125" s="426" t="n">
        <f>MAX(0,IFERROR(INDEX(PROJECTS!$N$11:$AI$11,1,MATCH(YEAR(CT$24),PROJECTS!$N$7:$AI$7,0))*1000000/12-SUM(CT105,CT120,CT123:CT124),0))</f>
        <v>0</v>
      </c>
      <c r="CU125" s="426" t="n">
        <f>MAX(0,IFERROR(INDEX(PROJECTS!$N$11:$AI$11,1,MATCH(YEAR(CU$24),PROJECTS!$N$7:$AI$7,0))*1000000/12-SUM(CU105,CU120,CU123:CU124),0))</f>
        <v>0</v>
      </c>
      <c r="CV125" s="426" t="n">
        <f>MAX(0,IFERROR(INDEX(PROJECTS!$N$11:$AI$11,1,MATCH(YEAR(CV$24),PROJECTS!$N$7:$AI$7,0))*1000000/12-SUM(CV105,CV120,CV123:CV124),0))</f>
        <v>0</v>
      </c>
      <c r="CW125" s="426" t="n">
        <f>MAX(0,IFERROR(INDEX(PROJECTS!$N$11:$AI$11,1,MATCH(YEAR(CW$24),PROJECTS!$N$7:$AI$7,0))*1000000/12-SUM(CW105,CW120,CW123:CW124),0))</f>
        <v>0</v>
      </c>
      <c r="CX125" s="426" t="n">
        <f>MAX(0,IFERROR(INDEX(PROJECTS!$N$11:$AI$11,1,MATCH(YEAR(CX$24),PROJECTS!$N$7:$AI$7,0))*1000000/12-SUM(CX105,CX120,CX123:CX124),0))</f>
        <v>0</v>
      </c>
      <c r="CY125" s="426" t="n">
        <f>MAX(0,IFERROR(INDEX(PROJECTS!$N$11:$AI$11,1,MATCH(YEAR(CY$24),PROJECTS!$N$7:$AI$7,0))*1000000/12-SUM(CY105,CY120,CY123:CY124),0))</f>
        <v>0</v>
      </c>
      <c r="CZ125" s="426" t="n">
        <f>MAX(0,IFERROR(INDEX(PROJECTS!$N$11:$AI$11,1,MATCH(YEAR(CZ$24),PROJECTS!$N$7:$AI$7,0))*1000000/12-SUM(CZ105,CZ120,CZ123:CZ124),0))</f>
        <v>0</v>
      </c>
      <c r="DA125" s="426" t="n">
        <f>MAX(0,IFERROR(INDEX(PROJECTS!$N$11:$AI$11,1,MATCH(YEAR(DA$24),PROJECTS!$N$7:$AI$7,0))*1000000/12-SUM(DA105,DA120,DA123:DA124),0))</f>
        <v>0</v>
      </c>
      <c r="DB125" s="426" t="n">
        <f>MAX(0,IFERROR(INDEX(PROJECTS!$N$11:$AI$11,1,MATCH(YEAR(DB$24),PROJECTS!$N$7:$AI$7,0))*1000000/12-SUM(DB105,DB120,DB123:DB124),0))</f>
        <v>0</v>
      </c>
      <c r="DC125" s="426" t="n">
        <f>MAX(0,IFERROR(INDEX(PROJECTS!$N$11:$AI$11,1,MATCH(YEAR(DC$24),PROJECTS!$N$7:$AI$7,0))*1000000/12-SUM(DC105,DC120,DC123:DC124),0))</f>
        <v>0</v>
      </c>
      <c r="DD125" s="426" t="n">
        <f>MAX(0,IFERROR(INDEX(PROJECTS!$N$11:$AI$11,1,MATCH(YEAR(DD$24),PROJECTS!$N$7:$AI$7,0))*1000000/12-SUM(DD105,DD120,DD123:DD124),0))</f>
        <v>0</v>
      </c>
      <c r="DE125" s="426" t="n">
        <f>MAX(0,IFERROR(INDEX(PROJECTS!$N$11:$AI$11,1,MATCH(YEAR(DE$24),PROJECTS!$N$7:$AI$7,0))*1000000/12-SUM(DE105,DE120,DE123:DE124),0))</f>
        <v>0</v>
      </c>
      <c r="DF125" s="426" t="n">
        <f>MAX(0,IFERROR(INDEX(PROJECTS!$N$11:$AI$11,1,MATCH(YEAR(DF$24),PROJECTS!$N$7:$AI$7,0))*1000000/12-SUM(DF105,DF120,DF123:DF124),0))</f>
        <v>0</v>
      </c>
      <c r="DG125" s="426" t="n">
        <f>MAX(0,IFERROR(INDEX(PROJECTS!$N$11:$AI$11,1,MATCH(YEAR(DG$24),PROJECTS!$N$7:$AI$7,0))*1000000/12-SUM(DG105,DG120,DG123:DG124),0))</f>
        <v>0</v>
      </c>
      <c r="DH125" s="426" t="n">
        <f>MAX(0,IFERROR(INDEX(PROJECTS!$N$11:$AI$11,1,MATCH(YEAR(DH$24),PROJECTS!$N$7:$AI$7,0))*1000000/12-SUM(DH105,DH120,DH123:DH124),0))</f>
        <v>0</v>
      </c>
      <c r="DI125" s="426" t="n">
        <f>MAX(0,IFERROR(INDEX(PROJECTS!$N$11:$AI$11,1,MATCH(YEAR(DI$24),PROJECTS!$N$7:$AI$7,0))*1000000/12-SUM(DI105,DI120,DI123:DI124),0))</f>
        <v>0</v>
      </c>
      <c r="DJ125" s="426" t="n">
        <f>MAX(0,IFERROR(INDEX(PROJECTS!$N$11:$AI$11,1,MATCH(YEAR(DJ$24),PROJECTS!$N$7:$AI$7,0))*1000000/12-SUM(DJ105,DJ120,DJ123:DJ124),0))</f>
        <v>0</v>
      </c>
      <c r="DK125" s="426" t="n">
        <f>MAX(0,IFERROR(INDEX(PROJECTS!$N$11:$AI$11,1,MATCH(YEAR(DK$24),PROJECTS!$N$7:$AI$7,0))*1000000/12-SUM(DK105,DK120,DK123:DK124),0))</f>
        <v>0</v>
      </c>
      <c r="DL125" s="426" t="n">
        <f>MAX(0,IFERROR(INDEX(PROJECTS!$N$11:$AI$11,1,MATCH(YEAR(DL$24),PROJECTS!$N$7:$AI$7,0))*1000000/12-SUM(DL105,DL120,DL123:DL124),0))</f>
        <v>0</v>
      </c>
      <c r="DM125" s="426" t="n">
        <f>MAX(0,IFERROR(INDEX(PROJECTS!$N$11:$AI$11,1,MATCH(YEAR(DM$24),PROJECTS!$N$7:$AI$7,0))*1000000/12-SUM(DM105,DM120,DM123:DM124),0))</f>
        <v>0</v>
      </c>
      <c r="DN125" s="426" t="n">
        <f>MAX(0,IFERROR(INDEX(PROJECTS!$N$11:$AI$11,1,MATCH(YEAR(DN$24),PROJECTS!$N$7:$AI$7,0))*1000000/12-SUM(DN105,DN120,DN123:DN124),0))</f>
        <v>0</v>
      </c>
      <c r="DO125" s="426" t="n">
        <f>MAX(0,IFERROR(INDEX(PROJECTS!$N$11:$AI$11,1,MATCH(YEAR(DO$24),PROJECTS!$N$7:$AI$7,0))*1000000/12-SUM(DO105,DO120,DO123:DO124),0))</f>
        <v>0</v>
      </c>
      <c r="DP125" s="426" t="n">
        <f>MAX(0,IFERROR(INDEX(PROJECTS!$N$11:$AI$11,1,MATCH(YEAR(DP$24),PROJECTS!$N$7:$AI$7,0))*1000000/12-SUM(DP105,DP120,DP123:DP124),0))</f>
        <v>0</v>
      </c>
      <c r="DQ125" s="426" t="n">
        <f>MAX(0,IFERROR(INDEX(PROJECTS!$N$11:$AI$11,1,MATCH(YEAR(DQ$24),PROJECTS!$N$7:$AI$7,0))*1000000/12-SUM(DQ105,DQ120,DQ123:DQ124),0))</f>
        <v>0</v>
      </c>
      <c r="DR125" s="426" t="n">
        <f>MAX(0,IFERROR(INDEX(PROJECTS!$N$11:$AI$11,1,MATCH(YEAR(DR$24),PROJECTS!$N$7:$AI$7,0))*1000000/12-SUM(DR105,DR120,DR123:DR124),0))</f>
        <v>0</v>
      </c>
      <c r="DS125" s="426" t="n">
        <f>MAX(0,IFERROR(INDEX(PROJECTS!$N$11:$AI$11,1,MATCH(YEAR(DS$24),PROJECTS!$N$7:$AI$7,0))*1000000/12-SUM(DS105,DS120,DS123:DS124),0))</f>
        <v>0</v>
      </c>
      <c r="DT125" s="426" t="n">
        <f>MAX(0,IFERROR(INDEX(PROJECTS!$N$11:$AI$11,1,MATCH(YEAR(DT$24),PROJECTS!$N$7:$AI$7,0))*1000000/12-SUM(DT105,DT120,DT123:DT124),0))</f>
        <v>0</v>
      </c>
      <c r="DU125" s="426" t="n">
        <f>MAX(0,IFERROR(INDEX(PROJECTS!$N$11:$AI$11,1,MATCH(YEAR(DU$24),PROJECTS!$N$7:$AI$7,0))*1000000/12-SUM(DU105,DU120,DU123:DU124),0))</f>
        <v>0</v>
      </c>
      <c r="DV125" s="426" t="n">
        <f>MAX(0,IFERROR(INDEX(PROJECTS!$N$11:$AI$11,1,MATCH(YEAR(DV$24),PROJECTS!$N$7:$AI$7,0))*1000000/12-SUM(DV105,DV120,DV123:DV124),0))</f>
        <v>0</v>
      </c>
      <c r="DW125" s="426" t="n">
        <f>MAX(0,IFERROR(INDEX(PROJECTS!$N$11:$AI$11,1,MATCH(YEAR(DW$24),PROJECTS!$N$7:$AI$7,0))*1000000/12-SUM(DW105,DW120,DW123:DW124),0))</f>
        <v>0</v>
      </c>
      <c r="DX125" s="426" t="n">
        <f>MAX(0,IFERROR(INDEX(PROJECTS!$N$11:$AI$11,1,MATCH(YEAR(DX$24),PROJECTS!$N$7:$AI$7,0))*1000000/12-SUM(DX105,DX120,DX123:DX124),0))</f>
        <v>0</v>
      </c>
      <c r="DY125" s="426" t="n">
        <f>MAX(0,IFERROR(INDEX(PROJECTS!$N$11:$AI$11,1,MATCH(YEAR(DY$24),PROJECTS!$N$7:$AI$7,0))*1000000/12-SUM(DY105,DY120,DY123:DY124),0))</f>
        <v>0</v>
      </c>
      <c r="DZ125" s="426" t="n">
        <f>MAX(0,IFERROR(INDEX(PROJECTS!$N$11:$AI$11,1,MATCH(YEAR(DZ$24),PROJECTS!$N$7:$AI$7,0))*1000000/12-SUM(DZ105,DZ120,DZ123:DZ124),0))</f>
        <v>0</v>
      </c>
      <c r="EA125" s="426" t="n">
        <f>MAX(0,IFERROR(INDEX(PROJECTS!$N$11:$AI$11,1,MATCH(YEAR(EA$24),PROJECTS!$N$7:$AI$7,0))*1000000/12-SUM(EA105,EA120,EA123:EA124),0))</f>
        <v>0</v>
      </c>
      <c r="EB125" s="426" t="n">
        <f>MAX(0,IFERROR(INDEX(PROJECTS!$N$11:$AI$11,1,MATCH(YEAR(EB$24),PROJECTS!$N$7:$AI$7,0))*1000000/12-SUM(EB105,EB120,EB123:EB124),0))</f>
        <v>0</v>
      </c>
      <c r="EC125" s="426" t="n">
        <f>MAX(0,IFERROR(INDEX(PROJECTS!$N$11:$AI$11,1,MATCH(YEAR(EC$24),PROJECTS!$N$7:$AI$7,0))*1000000/12-SUM(EC105,EC120,EC123:EC124),0))</f>
        <v>0</v>
      </c>
      <c r="ED125" s="426" t="n">
        <f>MAX(0,IFERROR(INDEX(PROJECTS!$N$11:$AI$11,1,MATCH(YEAR(ED$24),PROJECTS!$N$7:$AI$7,0))*1000000/12-SUM(ED105,ED120,ED123:ED124),0))</f>
        <v>0</v>
      </c>
      <c r="EE125" s="426" t="n">
        <f>MAX(0,IFERROR(INDEX(PROJECTS!$N$11:$AI$11,1,MATCH(YEAR(EE$24),PROJECTS!$N$7:$AI$7,0))*1000000/12-SUM(EE105,EE120,EE123:EE124),0))</f>
        <v>0</v>
      </c>
      <c r="EF125" s="426" t="n">
        <f>MAX(0,IFERROR(INDEX(PROJECTS!$N$11:$AI$11,1,MATCH(YEAR(EF$24),PROJECTS!$N$7:$AI$7,0))*1000000/12-SUM(EF105,EF120,EF123:EF124),0))</f>
        <v>0</v>
      </c>
      <c r="EG125" s="426" t="n">
        <f>MAX(0,IFERROR(INDEX(PROJECTS!$N$11:$AI$11,1,MATCH(YEAR(EG$24),PROJECTS!$N$7:$AI$7,0))*1000000/12-SUM(EG105,EG120,EG123:EG124),0))</f>
        <v>0</v>
      </c>
      <c r="EH125" s="426" t="n">
        <f>MAX(0,IFERROR(INDEX(PROJECTS!$N$11:$AI$11,1,MATCH(YEAR(EH$24),PROJECTS!$N$7:$AI$7,0))*1000000/12-SUM(EH105,EH120,EH123:EH124),0))</f>
        <v>0</v>
      </c>
      <c r="EI125" s="426" t="n">
        <f>MAX(0,IFERROR(INDEX(PROJECTS!$N$11:$AI$11,1,MATCH(YEAR(EI$24),PROJECTS!$N$7:$AI$7,0))*1000000/12-SUM(EI105,EI120,EI123:EI124),0))</f>
        <v>0</v>
      </c>
      <c r="EJ125" s="426" t="n">
        <f>MAX(0,IFERROR(INDEX(PROJECTS!$N$11:$AI$11,1,MATCH(YEAR(EJ$24),PROJECTS!$N$7:$AI$7,0))*1000000/12-SUM(EJ105,EJ120,EJ123:EJ124),0))</f>
        <v>0</v>
      </c>
      <c r="EK125" s="426" t="n">
        <f>MAX(0,IFERROR(INDEX(PROJECTS!$N$11:$AI$11,1,MATCH(YEAR(EK$24),PROJECTS!$N$7:$AI$7,0))*1000000/12-SUM(EK105,EK120,EK123:EK124),0))</f>
        <v>0</v>
      </c>
      <c r="EL125" s="426" t="n">
        <f>MAX(0,IFERROR(INDEX(PROJECTS!$N$11:$AI$11,1,MATCH(YEAR(EL$24),PROJECTS!$N$7:$AI$7,0))*1000000/12-SUM(EL105,EL120,EL123:EL124),0))</f>
        <v>0</v>
      </c>
      <c r="EM125" s="426" t="n">
        <f>MAX(0,IFERROR(INDEX(PROJECTS!$N$11:$AI$11,1,MATCH(YEAR(EM$24),PROJECTS!$N$7:$AI$7,0))*1000000/12-SUM(EM105,EM120,EM123:EM124),0))</f>
        <v>0</v>
      </c>
      <c r="EN125" s="426" t="n">
        <f>MAX(0,IFERROR(INDEX(PROJECTS!$N$11:$AI$11,1,MATCH(YEAR(EN$24),PROJECTS!$N$7:$AI$7,0))*1000000/12-SUM(EN105,EN120,EN123:EN124),0))</f>
        <v>0</v>
      </c>
      <c r="EP125" s="220"/>
      <c r="EQ125" s="210"/>
      <c r="ER125" s="18"/>
      <c r="ES125" s="18"/>
      <c r="ET125" s="18"/>
      <c r="EU125" s="18"/>
      <c r="EV125" s="204"/>
      <c r="EW125" s="204"/>
      <c r="EX125" s="204"/>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c r="GC125" s="204"/>
      <c r="GD125" s="204"/>
      <c r="GE125" s="204"/>
      <c r="GF125" s="204"/>
      <c r="GG125" s="204"/>
      <c r="GH125" s="204"/>
      <c r="GI125" s="204"/>
      <c r="GJ125" s="204"/>
      <c r="GK125" s="204"/>
      <c r="GL125" s="204"/>
      <c r="GM125" s="204"/>
      <c r="GN125" s="204"/>
      <c r="GO125" s="204"/>
      <c r="GP125" s="204"/>
      <c r="GQ125" s="204"/>
      <c r="GR125" s="204"/>
      <c r="GS125" s="204"/>
      <c r="GT125" s="204"/>
      <c r="GU125" s="204"/>
      <c r="GV125" s="204"/>
      <c r="GW125" s="204"/>
      <c r="GX125" s="204"/>
      <c r="GY125" s="204"/>
      <c r="GZ125" s="204"/>
      <c r="HA125" s="204"/>
      <c r="HB125" s="204"/>
      <c r="HC125" s="204"/>
      <c r="HD125" s="204"/>
      <c r="HE125" s="204"/>
      <c r="HF125" s="204"/>
      <c r="HG125" s="204"/>
      <c r="HH125" s="204"/>
      <c r="HI125" s="204"/>
      <c r="HJ125" s="204"/>
      <c r="HK125" s="204"/>
      <c r="HL125" s="204"/>
      <c r="HM125" s="204"/>
      <c r="HN125" s="204"/>
      <c r="HO125" s="204"/>
      <c r="HP125" s="204"/>
      <c r="HQ125" s="204"/>
      <c r="HR125" s="204"/>
      <c r="HS125" s="204"/>
      <c r="HT125" s="204"/>
      <c r="HU125" s="204"/>
      <c r="HV125" s="204"/>
      <c r="HW125" s="204"/>
      <c r="HX125" s="204"/>
      <c r="HY125" s="204"/>
      <c r="HZ125" s="204"/>
      <c r="IA125" s="204"/>
      <c r="IB125" s="204"/>
      <c r="IC125" s="204"/>
      <c r="ID125" s="204"/>
      <c r="IE125" s="204"/>
      <c r="IF125" s="204"/>
      <c r="IG125" s="204"/>
      <c r="IH125" s="204"/>
      <c r="II125" s="204"/>
      <c r="IJ125" s="204"/>
      <c r="IK125" s="204"/>
      <c r="IL125" s="204"/>
      <c r="IM125" s="204"/>
      <c r="IN125" s="204"/>
      <c r="IO125" s="204"/>
      <c r="IP125" s="204"/>
      <c r="IQ125" s="204"/>
      <c r="IR125" s="204"/>
      <c r="IS125" s="204"/>
      <c r="IT125" s="204"/>
      <c r="IU125" s="204"/>
      <c r="IV125" s="204"/>
      <c r="IW125" s="204"/>
      <c r="IX125" s="204"/>
      <c r="IY125" s="204"/>
      <c r="IZ125" s="204"/>
      <c r="JA125" s="204"/>
      <c r="JB125" s="204"/>
      <c r="JC125" s="204"/>
      <c r="JD125" s="204"/>
      <c r="JE125" s="204"/>
      <c r="JF125" s="204"/>
      <c r="JG125" s="204"/>
      <c r="JH125" s="204"/>
      <c r="JI125" s="204"/>
      <c r="JJ125" s="204"/>
      <c r="JK125" s="204"/>
      <c r="JL125" s="204"/>
      <c r="JM125" s="204"/>
      <c r="JN125" s="204"/>
      <c r="JO125" s="204"/>
      <c r="JP125" s="204"/>
      <c r="JQ125" s="204"/>
      <c r="JR125" s="204"/>
      <c r="JS125" s="204"/>
      <c r="JT125" s="204"/>
      <c r="JU125" s="204"/>
      <c r="JV125" s="204"/>
      <c r="JW125" s="204"/>
      <c r="JX125" s="204"/>
      <c r="JZ125" s="263"/>
      <c r="KA125" s="263"/>
      <c r="KB125" s="263"/>
      <c r="KC125" s="263"/>
      <c r="KD125" s="263"/>
      <c r="KE125" s="263"/>
      <c r="KF125" s="263"/>
      <c r="KG125" s="263"/>
      <c r="KH125" s="263"/>
      <c r="KI125" s="263"/>
      <c r="KJ125" s="263"/>
      <c r="KK125" s="263"/>
      <c r="KL125" s="263"/>
      <c r="KM125" s="263"/>
      <c r="KN125" s="263"/>
      <c r="KO125" s="263"/>
      <c r="KP125" s="263"/>
      <c r="KQ125" s="263"/>
      <c r="KR125" s="263"/>
      <c r="KS125" s="263"/>
      <c r="KT125" s="263"/>
      <c r="KU125" s="263"/>
      <c r="KV125" s="263"/>
      <c r="KW125" s="263"/>
      <c r="KX125" s="263"/>
      <c r="KY125" s="263"/>
      <c r="KZ125" s="263"/>
      <c r="LA125" s="263"/>
      <c r="LB125" s="263"/>
      <c r="LC125" s="263"/>
      <c r="LD125" s="263"/>
      <c r="LE125" s="263"/>
      <c r="LF125" s="263"/>
      <c r="LG125" s="263"/>
      <c r="LH125" s="263"/>
      <c r="LI125" s="263"/>
      <c r="LJ125" s="263"/>
      <c r="LK125" s="263"/>
      <c r="LL125" s="263"/>
      <c r="LM125" s="263"/>
      <c r="LN125" s="263"/>
      <c r="LO125" s="263"/>
      <c r="LP125" s="263"/>
      <c r="LQ125" s="263"/>
      <c r="LR125" s="263"/>
      <c r="LS125" s="263"/>
      <c r="LT125" s="263"/>
      <c r="LU125" s="263"/>
      <c r="LV125" s="263"/>
      <c r="LW125" s="263"/>
      <c r="LX125" s="263"/>
      <c r="LY125" s="263"/>
      <c r="LZ125" s="263"/>
      <c r="MA125" s="263"/>
      <c r="MB125" s="263"/>
      <c r="MC125" s="263"/>
      <c r="MD125" s="263"/>
      <c r="ME125" s="263"/>
      <c r="MF125" s="263"/>
      <c r="MG125" s="263"/>
      <c r="MH125" s="263"/>
      <c r="MI125" s="263"/>
      <c r="MJ125" s="263"/>
      <c r="MK125" s="263"/>
      <c r="ML125" s="263"/>
      <c r="MM125" s="263"/>
      <c r="MN125" s="263"/>
      <c r="MO125" s="263"/>
      <c r="MP125" s="263"/>
      <c r="MQ125" s="263"/>
      <c r="MR125" s="263"/>
      <c r="MS125" s="263"/>
      <c r="MT125" s="263"/>
      <c r="MU125" s="263"/>
      <c r="MV125" s="263"/>
      <c r="MW125" s="263"/>
      <c r="MX125" s="263"/>
      <c r="MY125" s="263"/>
      <c r="MZ125" s="263"/>
      <c r="NA125" s="263"/>
      <c r="NB125" s="263"/>
      <c r="NC125" s="263"/>
      <c r="ND125" s="263"/>
      <c r="NE125" s="263"/>
      <c r="NF125" s="263"/>
      <c r="NG125" s="263"/>
      <c r="NH125" s="263"/>
      <c r="NI125" s="263"/>
      <c r="NJ125" s="263"/>
      <c r="NK125" s="263"/>
      <c r="NL125" s="263"/>
      <c r="NM125" s="263"/>
      <c r="NN125" s="263"/>
      <c r="NO125" s="263"/>
      <c r="NP125" s="263"/>
      <c r="NQ125" s="263"/>
      <c r="NR125" s="263"/>
      <c r="NS125" s="263"/>
      <c r="NT125" s="263"/>
      <c r="NU125" s="263"/>
      <c r="NV125" s="263"/>
      <c r="NW125" s="263"/>
      <c r="NX125" s="263"/>
      <c r="NY125" s="263"/>
      <c r="NZ125" s="263"/>
      <c r="OA125" s="263"/>
      <c r="OB125" s="263"/>
      <c r="OC125" s="263"/>
      <c r="OD125" s="263"/>
      <c r="OE125" s="263"/>
      <c r="OF125" s="263"/>
      <c r="OG125" s="263"/>
      <c r="OH125" s="263"/>
      <c r="OI125" s="263"/>
      <c r="OJ125" s="263"/>
      <c r="OK125" s="263"/>
      <c r="OL125" s="263"/>
      <c r="OM125" s="263"/>
      <c r="ON125" s="263"/>
      <c r="OO125" s="263"/>
      <c r="OP125" s="263"/>
      <c r="OQ125" s="263"/>
      <c r="OR125" s="263"/>
      <c r="OS125" s="263"/>
      <c r="OT125" s="263"/>
      <c r="OU125" s="263"/>
      <c r="OV125" s="263"/>
      <c r="OW125" s="263"/>
      <c r="OX125" s="263"/>
      <c r="OY125" s="263"/>
      <c r="OZ125" s="263"/>
      <c r="PA125" s="263"/>
      <c r="PB125" s="263"/>
      <c r="PC125" s="263"/>
      <c r="PD125" s="263"/>
      <c r="PE125" s="263"/>
      <c r="PF125" s="263"/>
      <c r="PG125" s="263"/>
      <c r="PH125" s="263"/>
    </row>
    <row r="126">
      <c r="B126" s="431" t="s">
        <v>282</v>
      </c>
      <c r="C126" s="42" t="n">
        <f>IF(I126=0,0,SUMPRODUCT(F123:F125,I123:I125)/I126)</f>
        <v>0.00005126115820241687</v>
      </c>
      <c r="D126" s="42"/>
      <c r="E126" s="47"/>
      <c r="F126" s="148"/>
      <c r="G126" s="40" t="n">
        <f>+I126/$I$105</f>
        <v>1.7974153407491293</v>
      </c>
      <c r="H126" s="39" t="n">
        <f>SUM(I123:I125)</f>
        <v>29261921.747395825</v>
      </c>
      <c r="I126" s="449" t="n">
        <f>SUM(I123:I125)</f>
        <v>29261921.747395825</v>
      </c>
      <c r="K126" s="76"/>
      <c r="L126" s="76" t="n">
        <f>SUM(L123:L125)</f>
        <v>2042.483660130719</v>
      </c>
      <c r="M126" s="76" t="n">
        <f t="shared" ref="M126:BX126" si="803">SUM(M123:M125)</f>
        <v>0</v>
      </c>
      <c r="N126" s="76">
        <f t="shared" si="803"/>
        <v>0</v>
      </c>
      <c r="O126" s="76">
        <f t="shared" si="803"/>
        <v>0</v>
      </c>
      <c r="P126" s="76">
        <f t="shared" si="803"/>
        <v>0</v>
      </c>
      <c r="Q126" s="76">
        <f t="shared" si="803"/>
        <v>0</v>
      </c>
      <c r="R126" s="76">
        <f t="shared" si="803"/>
        <v>0</v>
      </c>
      <c r="S126" s="76">
        <f t="shared" si="803"/>
        <v>700145.94197825424</v>
      </c>
      <c r="T126" s="76">
        <f t="shared" si="803"/>
        <v>700145.94197825424</v>
      </c>
      <c r="U126" s="76">
        <f t="shared" si="803"/>
        <v>700145.94197825424</v>
      </c>
      <c r="V126" s="76">
        <f t="shared" si="803"/>
        <v>700145.94197825424</v>
      </c>
      <c r="W126" s="76">
        <f t="shared" si="803"/>
        <v>700145.94197825424</v>
      </c>
      <c r="X126" s="76">
        <f t="shared" si="803"/>
        <v>700145.94197825424</v>
      </c>
      <c r="Y126" s="76">
        <f t="shared" si="803"/>
        <v>700145.94197825424</v>
      </c>
      <c r="Z126" s="76">
        <f t="shared" si="803"/>
        <v>700145.94197825424</v>
      </c>
      <c r="AA126" s="76">
        <f t="shared" si="803"/>
        <v>700145.94197825424</v>
      </c>
      <c r="AB126" s="76">
        <f t="shared" si="803"/>
        <v>700145.94197825424</v>
      </c>
      <c r="AC126" s="76">
        <f t="shared" si="803"/>
        <v>700145.94197825424</v>
      </c>
      <c r="AD126" s="76">
        <f t="shared" si="803"/>
        <v>700145.94197825424</v>
      </c>
      <c r="AE126" s="76">
        <f t="shared" si="803"/>
        <v>3756155.729140019</v>
      </c>
      <c r="AF126" s="76">
        <f t="shared" si="803"/>
        <v>3756155.729140019</v>
      </c>
      <c r="AG126" s="76">
        <f t="shared" si="803"/>
        <v>3756155.729140019</v>
      </c>
      <c r="AH126" s="76">
        <f t="shared" si="803"/>
        <v>3756155.729140019</v>
      </c>
      <c r="AI126" s="76">
        <f t="shared" si="803"/>
        <v>3756155.729140019</v>
      </c>
      <c r="AJ126" s="76">
        <f t="shared" si="803"/>
        <v>3756155.729140019</v>
      </c>
      <c r="AK126" s="76">
        <f t="shared" si="803"/>
        <v>3756155.729140019</v>
      </c>
      <c r="AL126" s="76">
        <f t="shared" si="803"/>
        <v>3756155.729140019</v>
      </c>
      <c r="AM126" s="76">
        <f t="shared" si="803"/>
        <v>3756155.729140019</v>
      </c>
      <c r="AN126" s="76">
        <f t="shared" si="803"/>
        <v>3756155.729140019</v>
      </c>
      <c r="AO126" s="76">
        <f t="shared" si="803"/>
        <v>3756155.729140019</v>
      </c>
      <c r="AP126" s="76">
        <f t="shared" si="803"/>
        <v>3756155.729140019</v>
      </c>
      <c r="AQ126" s="76">
        <f t="shared" si="803"/>
        <v>4069183.3640238191</v>
      </c>
      <c r="AR126" s="76">
        <f t="shared" si="803"/>
        <v>4069183.3640238191</v>
      </c>
      <c r="AS126" s="76">
        <f t="shared" si="803"/>
        <v>4069183.3640238191</v>
      </c>
      <c r="AT126" s="76">
        <f t="shared" si="803"/>
        <v>4069183.3640238191</v>
      </c>
      <c r="AU126" s="76">
        <f t="shared" si="803"/>
        <v>4069183.3640238191</v>
      </c>
      <c r="AV126" s="76">
        <f t="shared" si="803"/>
        <v>4069183.3640238191</v>
      </c>
      <c r="AW126" s="76">
        <f t="shared" si="803"/>
        <v>4069183.3640238191</v>
      </c>
      <c r="AX126" s="76">
        <f t="shared" si="803"/>
        <v>4069183.3640238191</v>
      </c>
      <c r="AY126" s="76">
        <f t="shared" si="803"/>
        <v>4069183.3640238191</v>
      </c>
      <c r="AZ126" s="76">
        <f t="shared" si="803"/>
        <v>4069015.4069973109</v>
      </c>
      <c r="BA126" s="76">
        <f t="shared" si="803"/>
        <v>4069015.4069973109</v>
      </c>
      <c r="BB126" s="76">
        <f t="shared" si="803"/>
        <v>4069015.4069973109</v>
      </c>
      <c r="BC126" s="76">
        <f t="shared" si="803"/>
        <v>4227595.748413112</v>
      </c>
      <c r="BD126" s="76">
        <f t="shared" si="803"/>
        <v>4227595.748413112</v>
      </c>
      <c r="BE126" s="76">
        <f t="shared" si="803"/>
        <v>4227595.748413112</v>
      </c>
      <c r="BF126" s="76">
        <f t="shared" si="803"/>
        <v>4227595.748413112</v>
      </c>
      <c r="BG126" s="76">
        <f t="shared" si="803"/>
        <v>4227595.748413112</v>
      </c>
      <c r="BH126" s="76">
        <f t="shared" si="803"/>
        <v>4227595.748413112</v>
      </c>
      <c r="BI126" s="76">
        <f t="shared" si="803"/>
        <v>4227595.748413112</v>
      </c>
      <c r="BJ126" s="76">
        <f t="shared" si="803"/>
        <v>4227595.748413112</v>
      </c>
      <c r="BK126" s="76">
        <f t="shared" si="803"/>
        <v>4227595.748413112</v>
      </c>
      <c r="BL126" s="76">
        <f t="shared" si="803"/>
        <v>4227595.748413112</v>
      </c>
      <c r="BM126" s="76">
        <f t="shared" si="803"/>
        <v>4227595.748413112</v>
      </c>
      <c r="BN126" s="76">
        <f t="shared" si="803"/>
        <v>4227595.748413112</v>
      </c>
      <c r="BO126" s="76">
        <f t="shared" si="803"/>
        <v>4370405.3792853737</v>
      </c>
      <c r="BP126" s="76">
        <f t="shared" si="803"/>
        <v>4370405.3792853737</v>
      </c>
      <c r="BQ126" s="76">
        <f t="shared" si="803"/>
        <v>4370405.3792853737</v>
      </c>
      <c r="BR126" s="76">
        <f t="shared" si="803"/>
        <v>4370405.3792853737</v>
      </c>
      <c r="BS126" s="76">
        <f t="shared" si="803"/>
        <v>4370405.3792853737</v>
      </c>
      <c r="BT126" s="76">
        <f t="shared" si="803"/>
        <v>4370405.3792853737</v>
      </c>
      <c r="BU126" s="76">
        <f t="shared" si="803"/>
        <v>4370405.3792853737</v>
      </c>
      <c r="BV126" s="76">
        <f t="shared" si="803"/>
        <v>4370405.3792853737</v>
      </c>
      <c r="BW126" s="76">
        <f t="shared" si="803"/>
        <v>4370405.3792853737</v>
      </c>
      <c r="BX126" s="76">
        <f t="shared" si="803"/>
        <v>4370405.3792853737</v>
      </c>
      <c r="BY126" s="76" t="n">
        <f t="shared" ref="BY126:EJ126" si="804">SUM(BY123:BY125)</f>
        <v>4370405.379285374</v>
      </c>
      <c r="BZ126" s="76">
        <f t="shared" si="804"/>
        <v>4370405.3792853737</v>
      </c>
      <c r="CA126" s="76">
        <f t="shared" si="804"/>
        <v>4515051.4832797199</v>
      </c>
      <c r="CB126" s="76">
        <f t="shared" si="804"/>
        <v>4515051.4832797199</v>
      </c>
      <c r="CC126" s="76">
        <f t="shared" si="804"/>
        <v>4515051.4832797199</v>
      </c>
      <c r="CD126" s="76">
        <f t="shared" si="804"/>
        <v>4515051.4832797199</v>
      </c>
      <c r="CE126" s="76">
        <f t="shared" si="804"/>
        <v>4515051.4832797199</v>
      </c>
      <c r="CF126" s="76">
        <f t="shared" si="804"/>
        <v>4515051.4832797199</v>
      </c>
      <c r="CG126" s="76">
        <f t="shared" si="804"/>
        <v>4515051.4832797199</v>
      </c>
      <c r="CH126" s="76">
        <f t="shared" si="804"/>
        <v>4515051.4832797199</v>
      </c>
      <c r="CI126" s="76">
        <f t="shared" si="804"/>
        <v>4515051.4832797199</v>
      </c>
      <c r="CJ126" s="76">
        <f t="shared" si="804"/>
        <v>4515051.4832797199</v>
      </c>
      <c r="CK126" s="76">
        <f t="shared" si="804"/>
        <v>4515051.4832797199</v>
      </c>
      <c r="CL126" s="76">
        <f t="shared" si="804"/>
        <v>4515051.4832797199</v>
      </c>
      <c r="CM126" s="76">
        <f t="shared" si="804"/>
        <v>4408550.8478830345</v>
      </c>
      <c r="CN126" s="76">
        <f t="shared" si="804"/>
        <v>4408550.8478830345</v>
      </c>
      <c r="CO126" s="76">
        <f t="shared" si="804"/>
        <v>4408550.8478830345</v>
      </c>
      <c r="CP126" s="76">
        <f t="shared" si="804"/>
        <v>4408550.8478830345</v>
      </c>
      <c r="CQ126" s="76">
        <f t="shared" si="804"/>
        <v>4408550.8478830345</v>
      </c>
      <c r="CR126" s="76">
        <f t="shared" si="804"/>
        <v>4408550.8478830345</v>
      </c>
      <c r="CS126" s="76">
        <f t="shared" si="804"/>
        <v>4408550.8478830345</v>
      </c>
      <c r="CT126" s="76">
        <f t="shared" si="804"/>
        <v>4408550.8478830345</v>
      </c>
      <c r="CU126" s="76">
        <f t="shared" si="804"/>
        <v>4408550.8478830345</v>
      </c>
      <c r="CV126" s="76">
        <f t="shared" si="804"/>
        <v>4408550.8478830345</v>
      </c>
      <c r="CW126" s="76">
        <f t="shared" si="804"/>
        <v>4408550.8478830345</v>
      </c>
      <c r="CX126" s="76">
        <f t="shared" si="804"/>
        <v>4408550.8478830345</v>
      </c>
      <c r="CY126" s="76">
        <f t="shared" si="804"/>
        <v>4558780.5595741225</v>
      </c>
      <c r="CZ126" s="76">
        <f t="shared" si="804"/>
        <v>4558780.5595741225</v>
      </c>
      <c r="DA126" s="76">
        <f t="shared" si="804"/>
        <v>4558780.5595741225</v>
      </c>
      <c r="DB126" s="76">
        <f t="shared" si="804"/>
        <v>4558780.5595741225</v>
      </c>
      <c r="DC126" s="76">
        <f t="shared" si="804"/>
        <v>4558780.5595741225</v>
      </c>
      <c r="DD126" s="76">
        <f t="shared" si="804"/>
        <v>4558780.5595741225</v>
      </c>
      <c r="DE126" s="76">
        <f t="shared" si="804"/>
        <v>4558780.5595741225</v>
      </c>
      <c r="DF126" s="76">
        <f t="shared" si="804"/>
        <v>4558780.5595741225</v>
      </c>
      <c r="DG126" s="76">
        <f t="shared" si="804"/>
        <v>4558780.5595741225</v>
      </c>
      <c r="DH126" s="76">
        <f t="shared" si="804"/>
        <v>4558780.5595741225</v>
      </c>
      <c r="DI126" s="76">
        <f t="shared" si="804"/>
        <v>4558780.5595741225</v>
      </c>
      <c r="DJ126" s="76">
        <f t="shared" si="804"/>
        <v>4558780.5595741225</v>
      </c>
      <c r="DK126" s="76">
        <f t="shared" si="804"/>
        <v>4714382.4421466338</v>
      </c>
      <c r="DL126" s="76">
        <f t="shared" si="804"/>
        <v>4714382.4421466338</v>
      </c>
      <c r="DM126" s="76">
        <f t="shared" si="804"/>
        <v>4714382.4421466338</v>
      </c>
      <c r="DN126" s="76">
        <f t="shared" si="804"/>
        <v>4714382.4421466338</v>
      </c>
      <c r="DO126" s="76">
        <f t="shared" si="804"/>
        <v>4714382.4421466338</v>
      </c>
      <c r="DP126" s="76">
        <f t="shared" si="804"/>
        <v>4714382.4421466338</v>
      </c>
      <c r="DQ126" s="76">
        <f t="shared" si="804"/>
        <v>4714382.4421466338</v>
      </c>
      <c r="DR126" s="76">
        <f t="shared" si="804"/>
        <v>4714382.4421466338</v>
      </c>
      <c r="DS126" s="76">
        <f t="shared" si="804"/>
        <v>4714382.4421466338</v>
      </c>
      <c r="DT126" s="76">
        <f t="shared" si="804"/>
        <v>4714382.4421466338</v>
      </c>
      <c r="DU126" s="76">
        <f t="shared" si="804"/>
        <v>4714382.4421466338</v>
      </c>
      <c r="DV126" s="76">
        <f t="shared" si="804"/>
        <v>4714382.4421466338</v>
      </c>
      <c r="DW126" s="76">
        <f t="shared" si="804"/>
        <v>4875597.993052545</v>
      </c>
      <c r="DX126" s="76">
        <f t="shared" si="804"/>
        <v>4875597.993052545</v>
      </c>
      <c r="DY126" s="76">
        <f t="shared" si="804"/>
        <v>4875597.993052545</v>
      </c>
      <c r="DZ126" s="76">
        <f t="shared" si="804"/>
        <v>4875597.993052545</v>
      </c>
      <c r="EA126" s="76">
        <f t="shared" si="804"/>
        <v>4875597.993052545</v>
      </c>
      <c r="EB126" s="76">
        <f t="shared" si="804"/>
        <v>4875597.993052545</v>
      </c>
      <c r="EC126" s="76">
        <f t="shared" si="804"/>
        <v>4875597.993052545</v>
      </c>
      <c r="ED126" s="76">
        <f t="shared" si="804"/>
        <v>4875597.993052545</v>
      </c>
      <c r="EE126" s="76">
        <f t="shared" si="804"/>
        <v>4875597.993052545</v>
      </c>
      <c r="EF126" s="76">
        <f t="shared" si="804"/>
        <v>4875597.993052545</v>
      </c>
      <c r="EG126" s="76">
        <f t="shared" si="804"/>
        <v>4875597.993052545</v>
      </c>
      <c r="EH126" s="76">
        <f t="shared" si="804"/>
        <v>4875597.993052545</v>
      </c>
      <c r="EI126" s="76">
        <f t="shared" si="804"/>
        <v>5042565.6259484217</v>
      </c>
      <c r="EJ126" s="76">
        <f t="shared" si="804"/>
        <v>5042565.6259484217</v>
      </c>
      <c r="EK126" s="76" t="n">
        <f t="shared" ref="EK126:EN126" si="805">SUM(EK123:EK125)</f>
        <v>5042565.625948422</v>
      </c>
      <c r="EL126" s="76">
        <f t="shared" si="805"/>
        <v>5042565.6259484217</v>
      </c>
      <c r="EM126" s="76">
        <f t="shared" si="805"/>
        <v>5042565.6259484217</v>
      </c>
      <c r="EN126" s="76">
        <f t="shared" si="805"/>
        <v>5042565.6259484217</v>
      </c>
      <c r="EO126" s="209"/>
      <c r="EP126" s="468"/>
      <c r="EQ126" s="469"/>
      <c r="ER126" s="469"/>
      <c r="ES126" s="469"/>
      <c r="ET126" s="469"/>
      <c r="EU126" s="469"/>
      <c r="EV126" s="469"/>
      <c r="EW126" s="469"/>
      <c r="EX126" s="469"/>
      <c r="EY126" s="469"/>
      <c r="EZ126" s="469"/>
      <c r="FA126" s="469"/>
      <c r="FB126" s="469"/>
      <c r="FC126" s="469"/>
      <c r="FD126" s="469"/>
      <c r="FE126" s="469"/>
      <c r="FF126" s="469"/>
      <c r="FG126" s="469"/>
      <c r="FH126" s="469"/>
      <c r="FI126" s="469"/>
      <c r="FJ126" s="469"/>
      <c r="FK126" s="469"/>
      <c r="FL126" s="469"/>
      <c r="FM126" s="469"/>
      <c r="FN126" s="469"/>
      <c r="FO126" s="469"/>
      <c r="FP126" s="469"/>
      <c r="FQ126" s="469"/>
      <c r="FR126" s="469"/>
      <c r="FS126" s="469"/>
      <c r="FT126" s="469"/>
      <c r="FU126" s="469"/>
      <c r="FV126" s="469"/>
      <c r="FW126" s="469"/>
      <c r="FX126" s="469"/>
      <c r="FY126" s="469"/>
      <c r="FZ126" s="469"/>
      <c r="GA126" s="469"/>
      <c r="GB126" s="469"/>
      <c r="GC126" s="469"/>
      <c r="GD126" s="469"/>
      <c r="GE126" s="469"/>
      <c r="GF126" s="469"/>
      <c r="GG126" s="469"/>
      <c r="GH126" s="469"/>
      <c r="GI126" s="469"/>
      <c r="GJ126" s="469"/>
      <c r="GK126" s="469"/>
      <c r="GL126" s="469"/>
      <c r="GM126" s="469"/>
      <c r="GN126" s="469"/>
      <c r="GO126" s="469"/>
      <c r="GP126" s="469"/>
      <c r="GQ126" s="469"/>
      <c r="GR126" s="469"/>
      <c r="GS126" s="469"/>
      <c r="GT126" s="469"/>
      <c r="GU126" s="469"/>
      <c r="GV126" s="469"/>
      <c r="GW126" s="469"/>
      <c r="GX126" s="469"/>
      <c r="GY126" s="469"/>
      <c r="GZ126" s="469"/>
      <c r="HA126" s="469"/>
      <c r="HB126" s="469"/>
      <c r="HC126" s="469"/>
      <c r="HD126" s="469"/>
      <c r="HE126" s="469"/>
      <c r="HF126" s="469"/>
      <c r="HG126" s="469"/>
      <c r="HH126" s="469"/>
      <c r="HI126" s="469"/>
      <c r="HJ126" s="469"/>
      <c r="HK126" s="469"/>
      <c r="HL126" s="469"/>
      <c r="HM126" s="469"/>
      <c r="HN126" s="469"/>
      <c r="HO126" s="469"/>
      <c r="HP126" s="469"/>
      <c r="HQ126" s="469"/>
      <c r="HR126" s="469"/>
      <c r="HS126" s="469"/>
      <c r="HT126" s="469"/>
      <c r="HU126" s="469"/>
      <c r="HV126" s="469"/>
      <c r="HW126" s="469"/>
      <c r="HX126" s="469"/>
      <c r="HY126" s="469"/>
      <c r="HZ126" s="469"/>
      <c r="IA126" s="469"/>
      <c r="IB126" s="469"/>
      <c r="IC126" s="469"/>
      <c r="ID126" s="469"/>
      <c r="IE126" s="469"/>
      <c r="IF126" s="469"/>
      <c r="IG126" s="469"/>
      <c r="IH126" s="469"/>
      <c r="II126" s="469"/>
      <c r="IJ126" s="469"/>
      <c r="IK126" s="469"/>
      <c r="IL126" s="469"/>
      <c r="IM126" s="469"/>
      <c r="IN126" s="469"/>
      <c r="IO126" s="469"/>
      <c r="IP126" s="469"/>
      <c r="IQ126" s="469"/>
      <c r="IR126" s="469"/>
      <c r="IS126" s="469"/>
      <c r="IT126" s="469"/>
      <c r="IU126" s="469"/>
      <c r="IV126" s="469"/>
      <c r="IW126" s="469"/>
      <c r="IX126" s="469"/>
      <c r="IY126" s="469"/>
      <c r="IZ126" s="469"/>
      <c r="JA126" s="469"/>
      <c r="JB126" s="469"/>
      <c r="JC126" s="469"/>
      <c r="JD126" s="469"/>
      <c r="JE126" s="469"/>
      <c r="JF126" s="469"/>
      <c r="JG126" s="469"/>
      <c r="JH126" s="469"/>
      <c r="JI126" s="469"/>
      <c r="JJ126" s="469"/>
      <c r="JK126" s="469"/>
      <c r="JL126" s="469"/>
      <c r="JM126" s="469"/>
      <c r="JN126" s="469"/>
      <c r="JO126" s="469"/>
      <c r="JP126" s="469"/>
      <c r="JQ126" s="469"/>
      <c r="JR126" s="469"/>
      <c r="JS126" s="469"/>
      <c r="JT126" s="469"/>
      <c r="JU126" s="469"/>
      <c r="JV126" s="469"/>
      <c r="JW126" s="469"/>
      <c r="JX126" s="20"/>
      <c r="JZ126" s="470"/>
      <c r="KA126" s="470"/>
      <c r="KB126" s="470"/>
      <c r="KC126" s="470"/>
      <c r="KD126" s="470"/>
      <c r="KE126" s="470"/>
      <c r="KF126" s="470"/>
      <c r="KG126" s="470"/>
      <c r="KH126" s="470"/>
      <c r="KI126" s="470"/>
      <c r="KJ126" s="470"/>
      <c r="KK126" s="470"/>
      <c r="KL126" s="470"/>
      <c r="KM126" s="470"/>
      <c r="KN126" s="470"/>
      <c r="KO126" s="470"/>
      <c r="KP126" s="470"/>
      <c r="KQ126" s="470"/>
      <c r="KR126" s="470"/>
      <c r="KS126" s="470"/>
      <c r="KT126" s="470"/>
      <c r="KU126" s="470"/>
      <c r="KV126" s="470"/>
      <c r="KW126" s="470"/>
      <c r="KX126" s="470"/>
      <c r="KY126" s="470"/>
      <c r="KZ126" s="470"/>
      <c r="LA126" s="470"/>
      <c r="LB126" s="470"/>
      <c r="LC126" s="470"/>
      <c r="LD126" s="470"/>
      <c r="LE126" s="470"/>
      <c r="LF126" s="470"/>
      <c r="LG126" s="470"/>
      <c r="LH126" s="470"/>
      <c r="LI126" s="470"/>
      <c r="LJ126" s="470"/>
      <c r="LK126" s="470"/>
      <c r="LL126" s="470"/>
      <c r="LM126" s="470"/>
      <c r="LN126" s="470"/>
      <c r="LO126" s="470"/>
      <c r="LP126" s="470"/>
      <c r="LQ126" s="470"/>
      <c r="LR126" s="470"/>
      <c r="LS126" s="470"/>
      <c r="LT126" s="470"/>
      <c r="LU126" s="470"/>
      <c r="LV126" s="470"/>
      <c r="LW126" s="470"/>
      <c r="LX126" s="470"/>
      <c r="LY126" s="470"/>
      <c r="LZ126" s="470"/>
      <c r="MA126" s="470"/>
      <c r="MB126" s="470"/>
      <c r="MC126" s="470"/>
      <c r="MD126" s="470"/>
      <c r="ME126" s="470"/>
      <c r="MF126" s="470"/>
      <c r="MG126" s="470"/>
      <c r="MH126" s="470"/>
      <c r="MI126" s="470"/>
      <c r="MJ126" s="470"/>
      <c r="MK126" s="470"/>
      <c r="ML126" s="470"/>
      <c r="MM126" s="470"/>
      <c r="MN126" s="470"/>
      <c r="MO126" s="470"/>
      <c r="MP126" s="470"/>
      <c r="MQ126" s="470"/>
      <c r="MR126" s="470"/>
      <c r="MS126" s="470"/>
      <c r="MT126" s="470"/>
      <c r="MU126" s="470"/>
      <c r="MV126" s="470"/>
      <c r="MW126" s="470"/>
      <c r="MX126" s="470"/>
      <c r="MY126" s="470"/>
      <c r="MZ126" s="470"/>
      <c r="NA126" s="470"/>
      <c r="NB126" s="470"/>
      <c r="NC126" s="470"/>
      <c r="ND126" s="470"/>
      <c r="NE126" s="470"/>
      <c r="NF126" s="470"/>
      <c r="NG126" s="470"/>
      <c r="NH126" s="470"/>
      <c r="NI126" s="470"/>
      <c r="NJ126" s="470"/>
      <c r="NK126" s="470"/>
      <c r="NL126" s="470"/>
      <c r="NM126" s="470"/>
      <c r="NN126" s="470"/>
      <c r="NO126" s="470"/>
      <c r="NP126" s="470"/>
      <c r="NQ126" s="470"/>
      <c r="NR126" s="470"/>
      <c r="NS126" s="470"/>
      <c r="NT126" s="470"/>
      <c r="NU126" s="470"/>
      <c r="NV126" s="470"/>
      <c r="NW126" s="470"/>
      <c r="NX126" s="470"/>
      <c r="NY126" s="470"/>
      <c r="NZ126" s="470"/>
      <c r="OA126" s="470"/>
      <c r="OB126" s="470"/>
      <c r="OC126" s="470"/>
      <c r="OD126" s="470"/>
      <c r="OE126" s="470"/>
      <c r="OF126" s="470"/>
      <c r="OG126" s="470"/>
      <c r="OH126" s="470"/>
      <c r="OI126" s="470"/>
      <c r="OJ126" s="470"/>
      <c r="OK126" s="470"/>
      <c r="OL126" s="470"/>
      <c r="OM126" s="470"/>
      <c r="ON126" s="470"/>
      <c r="OO126" s="470"/>
      <c r="OP126" s="470"/>
      <c r="OQ126" s="470"/>
      <c r="OR126" s="470"/>
      <c r="OS126" s="470"/>
      <c r="OT126" s="470"/>
      <c r="OU126" s="470"/>
      <c r="OV126" s="470"/>
      <c r="OW126" s="470"/>
      <c r="OX126" s="470"/>
      <c r="OY126" s="470"/>
      <c r="OZ126" s="470"/>
      <c r="PA126" s="470"/>
      <c r="PB126" s="470"/>
      <c r="PC126" s="470"/>
      <c r="PD126" s="470"/>
      <c r="PE126" s="470"/>
      <c r="PF126" s="470"/>
      <c r="PG126" s="470"/>
      <c r="PH126" s="470"/>
    </row>
    <row r="127">
      <c r="B127" s="479"/>
      <c r="C127" s="42"/>
      <c r="D127" s="42"/>
      <c r="E127" s="47"/>
      <c r="F127" s="135"/>
      <c r="G127" s="39"/>
      <c r="H127" s="39"/>
      <c r="I127" s="151"/>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6"/>
      <c r="DA127" s="76"/>
      <c r="DB127" s="76"/>
      <c r="DC127" s="76"/>
      <c r="DD127" s="76"/>
      <c r="DE127" s="76"/>
      <c r="DF127" s="76"/>
      <c r="DG127" s="76"/>
      <c r="DH127" s="76"/>
      <c r="DI127" s="76"/>
      <c r="DJ127" s="76"/>
      <c r="DK127" s="76"/>
      <c r="DL127" s="76"/>
      <c r="DM127" s="76"/>
      <c r="DN127" s="76"/>
      <c r="DO127" s="76"/>
      <c r="DP127" s="76"/>
      <c r="DQ127" s="76"/>
      <c r="DR127" s="76"/>
      <c r="DS127" s="76"/>
      <c r="DT127" s="76"/>
      <c r="DU127" s="76"/>
      <c r="DV127" s="76"/>
      <c r="DW127" s="76"/>
      <c r="DX127" s="76"/>
      <c r="DY127" s="76"/>
      <c r="DZ127" s="76"/>
      <c r="EA127" s="76"/>
      <c r="EB127" s="76"/>
      <c r="EC127" s="76"/>
      <c r="ED127" s="76"/>
      <c r="EE127" s="76"/>
      <c r="EF127" s="76"/>
      <c r="EG127" s="76"/>
      <c r="EH127" s="76"/>
      <c r="EI127" s="76"/>
      <c r="EJ127" s="76"/>
      <c r="EK127" s="76"/>
      <c r="EL127" s="76"/>
      <c r="EM127" s="76"/>
      <c r="EN127" s="76"/>
      <c r="EO127" s="209"/>
      <c r="EP127" s="468"/>
      <c r="EQ127" s="469"/>
      <c r="ER127" s="469"/>
      <c r="ES127" s="469"/>
      <c r="ET127" s="469"/>
      <c r="EU127" s="469"/>
      <c r="EV127" s="469"/>
      <c r="EW127" s="469"/>
      <c r="EX127" s="469"/>
      <c r="EY127" s="469"/>
      <c r="EZ127" s="469"/>
      <c r="FA127" s="469"/>
      <c r="FB127" s="469"/>
      <c r="FC127" s="469"/>
      <c r="FD127" s="469"/>
      <c r="FE127" s="469"/>
      <c r="FF127" s="469"/>
      <c r="FG127" s="469"/>
      <c r="FH127" s="469"/>
      <c r="FI127" s="469"/>
      <c r="FJ127" s="469"/>
      <c r="FK127" s="469"/>
      <c r="FL127" s="469"/>
      <c r="FM127" s="469"/>
      <c r="FN127" s="469"/>
      <c r="FO127" s="469"/>
      <c r="FP127" s="469"/>
      <c r="FQ127" s="469"/>
      <c r="FR127" s="469"/>
      <c r="FS127" s="469"/>
      <c r="FT127" s="469"/>
      <c r="FU127" s="469"/>
      <c r="FV127" s="469"/>
      <c r="FW127" s="469"/>
      <c r="FX127" s="469"/>
      <c r="FY127" s="469"/>
      <c r="FZ127" s="469"/>
      <c r="GA127" s="469"/>
      <c r="GB127" s="469"/>
      <c r="GC127" s="469"/>
      <c r="GD127" s="469"/>
      <c r="GE127" s="469"/>
      <c r="GF127" s="469"/>
      <c r="GG127" s="469"/>
      <c r="GH127" s="469"/>
      <c r="GI127" s="469"/>
      <c r="GJ127" s="469"/>
      <c r="GK127" s="469"/>
      <c r="GL127" s="469"/>
      <c r="GM127" s="469"/>
      <c r="GN127" s="469"/>
      <c r="GO127" s="469"/>
      <c r="GP127" s="469"/>
      <c r="GQ127" s="469"/>
      <c r="GR127" s="469"/>
      <c r="GS127" s="469"/>
      <c r="GT127" s="469"/>
      <c r="GU127" s="469"/>
      <c r="GV127" s="469"/>
      <c r="GW127" s="469"/>
      <c r="GX127" s="469"/>
      <c r="GY127" s="469"/>
      <c r="GZ127" s="469"/>
      <c r="HA127" s="469"/>
      <c r="HB127" s="469"/>
      <c r="HC127" s="469"/>
      <c r="HD127" s="469"/>
      <c r="HE127" s="469"/>
      <c r="HF127" s="469"/>
      <c r="HG127" s="469"/>
      <c r="HH127" s="469"/>
      <c r="HI127" s="469"/>
      <c r="HJ127" s="469"/>
      <c r="HK127" s="469"/>
      <c r="HL127" s="469"/>
      <c r="HM127" s="469"/>
      <c r="HN127" s="469"/>
      <c r="HO127" s="469"/>
      <c r="HP127" s="469"/>
      <c r="HQ127" s="469"/>
      <c r="HR127" s="469"/>
      <c r="HS127" s="469"/>
      <c r="HT127" s="469"/>
      <c r="HU127" s="469"/>
      <c r="HV127" s="469"/>
      <c r="HW127" s="469"/>
      <c r="HX127" s="469"/>
      <c r="HY127" s="469"/>
      <c r="HZ127" s="469"/>
      <c r="IA127" s="469"/>
      <c r="IB127" s="469"/>
      <c r="IC127" s="469"/>
      <c r="ID127" s="469"/>
      <c r="IE127" s="469"/>
      <c r="IF127" s="469"/>
      <c r="IG127" s="469"/>
      <c r="IH127" s="469"/>
      <c r="II127" s="469"/>
      <c r="IJ127" s="469"/>
      <c r="IK127" s="469"/>
      <c r="IL127" s="469"/>
      <c r="IM127" s="469"/>
      <c r="IN127" s="469"/>
      <c r="IO127" s="469"/>
      <c r="IP127" s="469"/>
      <c r="IQ127" s="469"/>
      <c r="IR127" s="469"/>
      <c r="IS127" s="469"/>
      <c r="IT127" s="469"/>
      <c r="IU127" s="469"/>
      <c r="IV127" s="469"/>
      <c r="IW127" s="469"/>
      <c r="IX127" s="469"/>
      <c r="IY127" s="469"/>
      <c r="IZ127" s="469"/>
      <c r="JA127" s="469"/>
      <c r="JB127" s="469"/>
      <c r="JC127" s="469"/>
      <c r="JD127" s="469"/>
      <c r="JE127" s="469"/>
      <c r="JF127" s="469"/>
      <c r="JG127" s="469"/>
      <c r="JH127" s="469"/>
      <c r="JI127" s="469"/>
      <c r="JJ127" s="469"/>
      <c r="JK127" s="469"/>
      <c r="JL127" s="469"/>
      <c r="JM127" s="469"/>
      <c r="JN127" s="469"/>
      <c r="JO127" s="469"/>
      <c r="JP127" s="469"/>
      <c r="JQ127" s="469"/>
      <c r="JR127" s="469"/>
      <c r="JS127" s="469"/>
      <c r="JT127" s="469"/>
      <c r="JU127" s="469"/>
      <c r="JV127" s="469"/>
      <c r="JW127" s="469"/>
      <c r="JX127" s="20"/>
      <c r="JZ127" s="470"/>
      <c r="KA127" s="470"/>
      <c r="KB127" s="470"/>
      <c r="KC127" s="470"/>
      <c r="KD127" s="470"/>
      <c r="KE127" s="470"/>
      <c r="KF127" s="470"/>
      <c r="KG127" s="470"/>
      <c r="KH127" s="470"/>
      <c r="KI127" s="470"/>
      <c r="KJ127" s="470"/>
      <c r="KK127" s="470"/>
      <c r="KL127" s="470"/>
      <c r="KM127" s="470"/>
      <c r="KN127" s="470"/>
      <c r="KO127" s="470"/>
      <c r="KP127" s="470"/>
      <c r="KQ127" s="470"/>
      <c r="KR127" s="470"/>
      <c r="KS127" s="470"/>
      <c r="KT127" s="470"/>
      <c r="KU127" s="470"/>
      <c r="KV127" s="470"/>
      <c r="KW127" s="470"/>
      <c r="KX127" s="470"/>
      <c r="KY127" s="470"/>
      <c r="KZ127" s="470"/>
      <c r="LA127" s="470"/>
      <c r="LB127" s="470"/>
      <c r="LC127" s="470"/>
      <c r="LD127" s="470"/>
      <c r="LE127" s="470"/>
      <c r="LF127" s="470"/>
      <c r="LG127" s="470"/>
      <c r="LH127" s="470"/>
      <c r="LI127" s="470"/>
      <c r="LJ127" s="470"/>
      <c r="LK127" s="470"/>
      <c r="LL127" s="470"/>
      <c r="LM127" s="470"/>
      <c r="LN127" s="470"/>
      <c r="LO127" s="470"/>
      <c r="LP127" s="470"/>
      <c r="LQ127" s="470"/>
      <c r="LR127" s="470"/>
      <c r="LS127" s="470"/>
      <c r="LT127" s="470"/>
      <c r="LU127" s="470"/>
      <c r="LV127" s="470"/>
      <c r="LW127" s="470"/>
      <c r="LX127" s="470"/>
      <c r="LY127" s="470"/>
      <c r="LZ127" s="470"/>
      <c r="MA127" s="470"/>
      <c r="MB127" s="470"/>
      <c r="MC127" s="470"/>
      <c r="MD127" s="470"/>
      <c r="ME127" s="470"/>
      <c r="MF127" s="470"/>
      <c r="MG127" s="470"/>
      <c r="MH127" s="470"/>
      <c r="MI127" s="470"/>
      <c r="MJ127" s="470"/>
      <c r="MK127" s="470"/>
      <c r="ML127" s="470"/>
      <c r="MM127" s="470"/>
      <c r="MN127" s="470"/>
      <c r="MO127" s="470"/>
      <c r="MP127" s="470"/>
      <c r="MQ127" s="470"/>
      <c r="MR127" s="470"/>
      <c r="MS127" s="470"/>
      <c r="MT127" s="470"/>
      <c r="MU127" s="470"/>
      <c r="MV127" s="470"/>
      <c r="MW127" s="470"/>
      <c r="MX127" s="470"/>
      <c r="MY127" s="470"/>
      <c r="MZ127" s="470"/>
      <c r="NA127" s="470"/>
      <c r="NB127" s="470"/>
      <c r="NC127" s="470"/>
      <c r="ND127" s="470"/>
      <c r="NE127" s="470"/>
      <c r="NF127" s="470"/>
      <c r="NG127" s="470"/>
      <c r="NH127" s="470"/>
      <c r="NI127" s="470"/>
      <c r="NJ127" s="470"/>
      <c r="NK127" s="470"/>
      <c r="NL127" s="470"/>
      <c r="NM127" s="470"/>
      <c r="NN127" s="470"/>
      <c r="NO127" s="470"/>
      <c r="NP127" s="470"/>
      <c r="NQ127" s="470"/>
      <c r="NR127" s="470"/>
      <c r="NS127" s="470"/>
      <c r="NT127" s="470"/>
      <c r="NU127" s="470"/>
      <c r="NV127" s="470"/>
      <c r="NW127" s="470"/>
      <c r="NX127" s="470"/>
      <c r="NY127" s="470"/>
      <c r="NZ127" s="470"/>
      <c r="OA127" s="470"/>
      <c r="OB127" s="470"/>
      <c r="OC127" s="470"/>
      <c r="OD127" s="470"/>
      <c r="OE127" s="470"/>
      <c r="OF127" s="470"/>
      <c r="OG127" s="470"/>
      <c r="OH127" s="470"/>
      <c r="OI127" s="470"/>
      <c r="OJ127" s="470"/>
      <c r="OK127" s="470"/>
      <c r="OL127" s="470"/>
      <c r="OM127" s="470"/>
      <c r="ON127" s="470"/>
      <c r="OO127" s="470"/>
      <c r="OP127" s="470"/>
      <c r="OQ127" s="470"/>
      <c r="OR127" s="470"/>
      <c r="OS127" s="470"/>
      <c r="OT127" s="470"/>
      <c r="OU127" s="470"/>
      <c r="OV127" s="470"/>
      <c r="OW127" s="470"/>
      <c r="OX127" s="470"/>
      <c r="OY127" s="470"/>
      <c r="OZ127" s="470"/>
      <c r="PA127" s="470"/>
      <c r="PB127" s="470"/>
      <c r="PC127" s="470"/>
      <c r="PD127" s="470"/>
      <c r="PE127" s="470"/>
      <c r="PF127" s="470"/>
      <c r="PG127" s="470"/>
      <c r="PH127" s="470"/>
    </row>
    <row r="128">
      <c r="B128" s="431" t="s">
        <v>283</v>
      </c>
      <c r="C128" s="42" t="n">
        <f>+I120+I105+I126</f>
        <v>48830200.36828583</v>
      </c>
      <c r="D128" s="42"/>
      <c r="E128" s="47"/>
      <c r="F128" s="135"/>
      <c r="G128" s="39"/>
      <c r="H128" s="149"/>
      <c r="I128" s="449" t="n">
        <f>SUM(I105,I120,I126)</f>
        <v>48830200.36828583</v>
      </c>
      <c r="K128" s="76"/>
      <c r="L128" s="76" t="n">
        <f>SUM(L105,L120,L126)</f>
        <v>2042.483660130719</v>
      </c>
      <c r="M128" s="76" t="n">
        <f t="shared" ref="M128:BX128" si="806">SUM(M105,M120,M126)</f>
        <v>0</v>
      </c>
      <c r="N128" s="76">
        <f t="shared" si="806"/>
        <v>0</v>
      </c>
      <c r="O128" s="76">
        <f t="shared" si="806"/>
        <v>0</v>
      </c>
      <c r="P128" s="76">
        <f t="shared" si="806"/>
        <v>0</v>
      </c>
      <c r="Q128" s="76">
        <f t="shared" si="806"/>
        <v>0</v>
      </c>
      <c r="R128" s="76">
        <f t="shared" si="806"/>
        <v>0</v>
      </c>
      <c r="S128" s="76">
        <f t="shared" si="806"/>
        <v>700145.94197825424</v>
      </c>
      <c r="T128" s="76">
        <f t="shared" si="806"/>
        <v>700145.94197825424</v>
      </c>
      <c r="U128" s="76">
        <f t="shared" si="806"/>
        <v>700145.94197825424</v>
      </c>
      <c r="V128" s="76">
        <f t="shared" si="806"/>
        <v>700145.94197825424</v>
      </c>
      <c r="W128" s="76">
        <f t="shared" si="806"/>
        <v>700145.94197825424</v>
      </c>
      <c r="X128" s="76">
        <f t="shared" si="806"/>
        <v>700145.94197825424</v>
      </c>
      <c r="Y128" s="76">
        <f t="shared" si="806"/>
        <v>700145.94197825424</v>
      </c>
      <c r="Z128" s="76">
        <f t="shared" si="806"/>
        <v>700145.94197825424</v>
      </c>
      <c r="AA128" s="76">
        <f t="shared" si="806"/>
        <v>700145.94197825424</v>
      </c>
      <c r="AB128" s="76">
        <f t="shared" si="806"/>
        <v>700145.94197825424</v>
      </c>
      <c r="AC128" s="76">
        <f t="shared" si="806"/>
        <v>700145.94197825424</v>
      </c>
      <c r="AD128" s="76">
        <f t="shared" si="806"/>
        <v>700145.94197825424</v>
      </c>
      <c r="AE128" s="76">
        <f t="shared" si="806"/>
        <v>3756155.729140019</v>
      </c>
      <c r="AF128" s="76">
        <f t="shared" si="806"/>
        <v>3756155.729140019</v>
      </c>
      <c r="AG128" s="76">
        <f t="shared" si="806"/>
        <v>3756155.729140019</v>
      </c>
      <c r="AH128" s="76">
        <f t="shared" si="806"/>
        <v>4544918.0293516144</v>
      </c>
      <c r="AI128" s="76">
        <f t="shared" si="806"/>
        <v>4544918.0293516144</v>
      </c>
      <c r="AJ128" s="76">
        <f t="shared" si="806"/>
        <v>4544918.0293516144</v>
      </c>
      <c r="AK128" s="76">
        <f t="shared" si="806"/>
        <v>4850446.7559690066</v>
      </c>
      <c r="AL128" s="76">
        <f t="shared" si="806"/>
        <v>4850446.7559690066</v>
      </c>
      <c r="AM128" s="76">
        <f t="shared" si="806"/>
        <v>4850446.7559690066</v>
      </c>
      <c r="AN128" s="76">
        <f t="shared" si="806"/>
        <v>5038529.5565524856</v>
      </c>
      <c r="AO128" s="76">
        <f t="shared" si="806"/>
        <v>5038529.5565524856</v>
      </c>
      <c r="AP128" s="76">
        <f t="shared" si="806"/>
        <v>5046134.0402314598</v>
      </c>
      <c r="AQ128" s="76">
        <f t="shared" si="806"/>
        <v>5599025.4780591168</v>
      </c>
      <c r="AR128" s="76">
        <f t="shared" si="806"/>
        <v>5599025.4780591168</v>
      </c>
      <c r="AS128" s="76">
        <f t="shared" si="806"/>
        <v>5599025.4780591168</v>
      </c>
      <c r="AT128" s="76">
        <f t="shared" si="806"/>
        <v>5724564.6827028003</v>
      </c>
      <c r="AU128" s="76">
        <f t="shared" si="806"/>
        <v>5724564.6827028003</v>
      </c>
      <c r="AV128" s="76">
        <f t="shared" si="806"/>
        <v>5724564.6827028003</v>
      </c>
      <c r="AW128" s="76">
        <f t="shared" si="806"/>
        <v>5732148.0160361342</v>
      </c>
      <c r="AX128" s="76">
        <f t="shared" si="806"/>
        <v>5732148.0160361342</v>
      </c>
      <c r="AY128" s="76">
        <f t="shared" si="806"/>
        <v>5732148.0160361342</v>
      </c>
      <c r="AZ128" s="76">
        <f t="shared" si="806"/>
        <v>5738467.7920714775</v>
      </c>
      <c r="BA128" s="76">
        <f t="shared" si="806"/>
        <v>5738467.7920714775</v>
      </c>
      <c r="BB128" s="76">
        <f t="shared" si="806"/>
        <v>5738467.7920714775</v>
      </c>
      <c r="BC128" s="76">
        <f t="shared" si="806"/>
        <v>5908617.6464161528</v>
      </c>
      <c r="BD128" s="76">
        <f t="shared" si="806"/>
        <v>5908617.6464161528</v>
      </c>
      <c r="BE128" s="76">
        <f t="shared" si="806"/>
        <v>5908617.6464161528</v>
      </c>
      <c r="BF128" s="76">
        <f t="shared" si="806"/>
        <v>5937758.0630828198</v>
      </c>
      <c r="BG128" s="76">
        <f t="shared" si="806"/>
        <v>5937758.0630828198</v>
      </c>
      <c r="BH128" s="76">
        <f t="shared" si="806"/>
        <v>5937758.0630828198</v>
      </c>
      <c r="BI128" s="76">
        <f t="shared" si="806"/>
        <v>5945606.8130828198</v>
      </c>
      <c r="BJ128" s="76">
        <f t="shared" si="806"/>
        <v>5945606.8130828198</v>
      </c>
      <c r="BK128" s="76">
        <f t="shared" si="806"/>
        <v>5945606.8130828198</v>
      </c>
      <c r="BL128" s="76">
        <f t="shared" si="806"/>
        <v>5951916.0005828198</v>
      </c>
      <c r="BM128" s="76">
        <f t="shared" si="806"/>
        <v>5951916.0005828198</v>
      </c>
      <c r="BN128" s="76">
        <f t="shared" si="806"/>
        <v>5951916.0005828198</v>
      </c>
      <c r="BO128" s="76">
        <f t="shared" si="806"/>
        <v>6105951.4384639971</v>
      </c>
      <c r="BP128" s="76">
        <f t="shared" si="806"/>
        <v>6105951.4384639971</v>
      </c>
      <c r="BQ128" s="76">
        <f t="shared" si="806"/>
        <v>6105951.4384639971</v>
      </c>
      <c r="BR128" s="76">
        <f t="shared" si="806"/>
        <v>6136111.7697139969</v>
      </c>
      <c r="BS128" s="76">
        <f t="shared" si="806"/>
        <v>6136111.7697139969</v>
      </c>
      <c r="BT128" s="76">
        <f t="shared" si="806"/>
        <v>6136111.7697139969</v>
      </c>
      <c r="BU128" s="76">
        <f t="shared" si="806"/>
        <v>6144235.2259639967</v>
      </c>
      <c r="BV128" s="76">
        <f t="shared" si="806"/>
        <v>6144235.2259639967</v>
      </c>
      <c r="BW128" s="76">
        <f t="shared" si="806"/>
        <v>6144235.2259639967</v>
      </c>
      <c r="BX128" s="76">
        <f t="shared" si="806"/>
        <v>6150765.2350264974</v>
      </c>
      <c r="BY128" s="76" t="n">
        <f t="shared" ref="BY128:EJ128" si="807">SUM(BY105,BY120,BY126)</f>
        <v>6150765.235026497</v>
      </c>
      <c r="BZ128" s="76">
        <f t="shared" si="807"/>
        <v>6150765.2350264974</v>
      </c>
      <c r="CA128" s="76">
        <f t="shared" si="807"/>
        <v>6306916.922973928</v>
      </c>
      <c r="CB128" s="76">
        <f t="shared" si="807"/>
        <v>6306916.922973928</v>
      </c>
      <c r="CC128" s="76">
        <f t="shared" si="807"/>
        <v>6306916.922973928</v>
      </c>
      <c r="CD128" s="76">
        <f t="shared" si="807"/>
        <v>6338132.8658176782</v>
      </c>
      <c r="CE128" s="76">
        <f t="shared" si="807"/>
        <v>6338132.8658176782</v>
      </c>
      <c r="CF128" s="76">
        <f t="shared" si="807"/>
        <v>6338132.8658176782</v>
      </c>
      <c r="CG128" s="76">
        <f t="shared" si="807"/>
        <v>6346540.6430364279</v>
      </c>
      <c r="CH128" s="76">
        <f t="shared" si="807"/>
        <v>6346540.6430364279</v>
      </c>
      <c r="CI128" s="76">
        <f t="shared" si="807"/>
        <v>6346540.6430364279</v>
      </c>
      <c r="CJ128" s="76">
        <f t="shared" si="807"/>
        <v>6353299.2024161154</v>
      </c>
      <c r="CK128" s="76">
        <f t="shared" si="807"/>
        <v>6353299.2024161154</v>
      </c>
      <c r="CL128" s="76">
        <f t="shared" si="807"/>
        <v>6353299.2024161154</v>
      </c>
      <c r="CM128" s="76">
        <f t="shared" si="807"/>
        <v>6249736.7942295074</v>
      </c>
      <c r="CN128" s="76">
        <f t="shared" si="807"/>
        <v>6249736.7942295074</v>
      </c>
      <c r="CO128" s="76">
        <f t="shared" si="807"/>
        <v>6249736.7942295074</v>
      </c>
      <c r="CP128" s="76">
        <f t="shared" si="807"/>
        <v>6282045.2950727884</v>
      </c>
      <c r="CQ128" s="76">
        <f t="shared" si="807"/>
        <v>6282045.2950727884</v>
      </c>
      <c r="CR128" s="76">
        <f t="shared" si="807"/>
        <v>6282045.2950727884</v>
      </c>
      <c r="CS128" s="76">
        <f t="shared" si="807"/>
        <v>6290747.3444941938</v>
      </c>
      <c r="CT128" s="76">
        <f t="shared" si="807"/>
        <v>6290747.3444941938</v>
      </c>
      <c r="CU128" s="76">
        <f t="shared" si="807"/>
        <v>6290747.3444941938</v>
      </c>
      <c r="CV128" s="76">
        <f t="shared" si="807"/>
        <v>6297742.4534521708</v>
      </c>
      <c r="CW128" s="76">
        <f t="shared" si="807"/>
        <v>6297742.4534521708</v>
      </c>
      <c r="CX128" s="76">
        <f t="shared" si="807"/>
        <v>6297742.4534521708</v>
      </c>
      <c r="CY128" s="76">
        <f t="shared" si="807"/>
        <v>6460126.8428756548</v>
      </c>
      <c r="CZ128" s="76">
        <f t="shared" si="807"/>
        <v>6460126.8428756548</v>
      </c>
      <c r="DA128" s="76">
        <f t="shared" si="807"/>
        <v>6460126.8428756548</v>
      </c>
      <c r="DB128" s="76">
        <f t="shared" si="807"/>
        <v>6493566.1412484506</v>
      </c>
      <c r="DC128" s="76">
        <f t="shared" si="807"/>
        <v>6493566.1412484506</v>
      </c>
      <c r="DD128" s="76">
        <f t="shared" si="807"/>
        <v>6493566.1412484506</v>
      </c>
      <c r="DE128" s="76">
        <f t="shared" si="807"/>
        <v>6502572.7623996064</v>
      </c>
      <c r="DF128" s="76">
        <f t="shared" si="807"/>
        <v>6502572.7623996064</v>
      </c>
      <c r="DG128" s="76">
        <f t="shared" si="807"/>
        <v>6502572.7623996064</v>
      </c>
      <c r="DH128" s="76">
        <f t="shared" si="807"/>
        <v>6509812.7001711121</v>
      </c>
      <c r="DI128" s="76">
        <f t="shared" si="807"/>
        <v>6509812.7001711121</v>
      </c>
      <c r="DJ128" s="76">
        <f t="shared" si="807"/>
        <v>6509812.7001711121</v>
      </c>
      <c r="DK128" s="76">
        <f t="shared" si="807"/>
        <v>6677995.9821910737</v>
      </c>
      <c r="DL128" s="76">
        <f t="shared" si="807"/>
        <v>6677995.9821910737</v>
      </c>
      <c r="DM128" s="76">
        <f t="shared" si="807"/>
        <v>6677995.9821910737</v>
      </c>
      <c r="DN128" s="76">
        <f t="shared" si="807"/>
        <v>6712605.6560069174</v>
      </c>
      <c r="DO128" s="76">
        <f t="shared" si="807"/>
        <v>6712605.6560069174</v>
      </c>
      <c r="DP128" s="76">
        <f t="shared" si="807"/>
        <v>6712605.6560069174</v>
      </c>
      <c r="DQ128" s="76">
        <f t="shared" si="807"/>
        <v>6721927.5088983634</v>
      </c>
      <c r="DR128" s="76">
        <f t="shared" si="807"/>
        <v>6721927.5088983634</v>
      </c>
      <c r="DS128" s="76">
        <f t="shared" si="807"/>
        <v>6721927.5088983634</v>
      </c>
      <c r="DT128" s="76">
        <f t="shared" si="807"/>
        <v>6729420.844491872</v>
      </c>
      <c r="DU128" s="76">
        <f t="shared" si="807"/>
        <v>6729420.844491872</v>
      </c>
      <c r="DV128" s="76">
        <f t="shared" si="807"/>
        <v>6729420.844491872</v>
      </c>
      <c r="DW128" s="76">
        <f t="shared" si="807"/>
        <v>6903661.2427616958</v>
      </c>
      <c r="DX128" s="76">
        <f t="shared" si="807"/>
        <v>6903661.2427616958</v>
      </c>
      <c r="DY128" s="76">
        <f t="shared" si="807"/>
        <v>6903661.2427616958</v>
      </c>
      <c r="DZ128" s="76">
        <f t="shared" si="807"/>
        <v>6939482.2551610935</v>
      </c>
      <c r="EA128" s="76">
        <f t="shared" si="807"/>
        <v>6939482.2551610935</v>
      </c>
      <c r="EB128" s="76">
        <f t="shared" si="807"/>
        <v>6939482.2551610935</v>
      </c>
      <c r="EC128" s="76">
        <f t="shared" si="807"/>
        <v>6949130.37290374</v>
      </c>
      <c r="ED128" s="76">
        <f t="shared" si="807"/>
        <v>6949130.37290374</v>
      </c>
      <c r="EE128" s="76">
        <f t="shared" si="807"/>
        <v>6949130.37290374</v>
      </c>
      <c r="EF128" s="76">
        <f t="shared" si="807"/>
        <v>6956885.9752430208</v>
      </c>
      <c r="EG128" s="76">
        <f t="shared" si="807"/>
        <v>6956885.9752430208</v>
      </c>
      <c r="EH128" s="76">
        <f t="shared" si="807"/>
        <v>6956885.9752430208</v>
      </c>
      <c r="EI128" s="76">
        <f t="shared" si="807"/>
        <v>7137335.308768753</v>
      </c>
      <c r="EJ128" s="76">
        <f t="shared" si="807"/>
        <v>7137335.308768753</v>
      </c>
      <c r="EK128" s="76" t="n">
        <f t="shared" ref="EK128:EN128" si="808">SUM(EK105,EK120,EK126)</f>
        <v>7137335.308768753</v>
      </c>
      <c r="EL128" s="76">
        <f t="shared" si="808"/>
        <v>7174410.0566021306</v>
      </c>
      <c r="EM128" s="76">
        <f t="shared" si="808"/>
        <v>7174410.0566021306</v>
      </c>
      <c r="EN128" s="76">
        <f t="shared" si="808"/>
        <v>7174410.0566021306</v>
      </c>
      <c r="EO128" s="209"/>
      <c r="EP128" s="468"/>
      <c r="EQ128" s="469"/>
      <c r="ER128" s="469"/>
      <c r="ES128" s="469"/>
      <c r="ET128" s="469"/>
      <c r="EU128" s="469"/>
      <c r="EV128" s="469"/>
      <c r="EW128" s="469"/>
      <c r="EX128" s="469"/>
      <c r="EY128" s="469"/>
      <c r="EZ128" s="469"/>
      <c r="FA128" s="469"/>
      <c r="FB128" s="469"/>
      <c r="FC128" s="469"/>
      <c r="FD128" s="469"/>
      <c r="FE128" s="469"/>
      <c r="FF128" s="469"/>
      <c r="FG128" s="469"/>
      <c r="FH128" s="469"/>
      <c r="FI128" s="469"/>
      <c r="FJ128" s="469"/>
      <c r="FK128" s="469"/>
      <c r="FL128" s="469"/>
      <c r="FM128" s="469"/>
      <c r="FN128" s="469"/>
      <c r="FO128" s="469"/>
      <c r="FP128" s="469"/>
      <c r="FQ128" s="469"/>
      <c r="FR128" s="469"/>
      <c r="FS128" s="469"/>
      <c r="FT128" s="469"/>
      <c r="FU128" s="469"/>
      <c r="FV128" s="469"/>
      <c r="FW128" s="469"/>
      <c r="FX128" s="469"/>
      <c r="FY128" s="469"/>
      <c r="FZ128" s="469"/>
      <c r="GA128" s="469"/>
      <c r="GB128" s="469"/>
      <c r="GC128" s="469"/>
      <c r="GD128" s="469"/>
      <c r="GE128" s="469"/>
      <c r="GF128" s="469"/>
      <c r="GG128" s="469"/>
      <c r="GH128" s="469"/>
      <c r="GI128" s="469"/>
      <c r="GJ128" s="469"/>
      <c r="GK128" s="469"/>
      <c r="GL128" s="469"/>
      <c r="GM128" s="469"/>
      <c r="GN128" s="469"/>
      <c r="GO128" s="469"/>
      <c r="GP128" s="469"/>
      <c r="GQ128" s="469"/>
      <c r="GR128" s="469"/>
      <c r="GS128" s="469"/>
      <c r="GT128" s="469"/>
      <c r="GU128" s="469"/>
      <c r="GV128" s="469"/>
      <c r="GW128" s="469"/>
      <c r="GX128" s="469"/>
      <c r="GY128" s="469"/>
      <c r="GZ128" s="469"/>
      <c r="HA128" s="469"/>
      <c r="HB128" s="469"/>
      <c r="HC128" s="469"/>
      <c r="HD128" s="469"/>
      <c r="HE128" s="469"/>
      <c r="HF128" s="469"/>
      <c r="HG128" s="469"/>
      <c r="HH128" s="469"/>
      <c r="HI128" s="469"/>
      <c r="HJ128" s="469"/>
      <c r="HK128" s="469"/>
      <c r="HL128" s="469"/>
      <c r="HM128" s="469"/>
      <c r="HN128" s="469"/>
      <c r="HO128" s="469"/>
      <c r="HP128" s="469"/>
      <c r="HQ128" s="469"/>
      <c r="HR128" s="469"/>
      <c r="HS128" s="469"/>
      <c r="HT128" s="469"/>
      <c r="HU128" s="469"/>
      <c r="HV128" s="469"/>
      <c r="HW128" s="469"/>
      <c r="HX128" s="469"/>
      <c r="HY128" s="469"/>
      <c r="HZ128" s="469"/>
      <c r="IA128" s="469"/>
      <c r="IB128" s="469"/>
      <c r="IC128" s="469"/>
      <c r="ID128" s="469"/>
      <c r="IE128" s="469"/>
      <c r="IF128" s="469"/>
      <c r="IG128" s="469"/>
      <c r="IH128" s="469"/>
      <c r="II128" s="469"/>
      <c r="IJ128" s="469"/>
      <c r="IK128" s="469"/>
      <c r="IL128" s="469"/>
      <c r="IM128" s="469"/>
      <c r="IN128" s="469"/>
      <c r="IO128" s="469"/>
      <c r="IP128" s="469"/>
      <c r="IQ128" s="469"/>
      <c r="IR128" s="469"/>
      <c r="IS128" s="469"/>
      <c r="IT128" s="469"/>
      <c r="IU128" s="469"/>
      <c r="IV128" s="469"/>
      <c r="IW128" s="469"/>
      <c r="IX128" s="469"/>
      <c r="IY128" s="469"/>
      <c r="IZ128" s="469"/>
      <c r="JA128" s="469"/>
      <c r="JB128" s="469"/>
      <c r="JC128" s="469"/>
      <c r="JD128" s="469"/>
      <c r="JE128" s="469"/>
      <c r="JF128" s="469"/>
      <c r="JG128" s="469"/>
      <c r="JH128" s="469"/>
      <c r="JI128" s="469"/>
      <c r="JJ128" s="469"/>
      <c r="JK128" s="469"/>
      <c r="JL128" s="469"/>
      <c r="JM128" s="469"/>
      <c r="JN128" s="469"/>
      <c r="JO128" s="469"/>
      <c r="JP128" s="469"/>
      <c r="JQ128" s="469"/>
      <c r="JR128" s="469"/>
      <c r="JS128" s="469"/>
      <c r="JT128" s="469"/>
      <c r="JU128" s="469"/>
      <c r="JV128" s="469"/>
      <c r="JW128" s="469"/>
      <c r="JX128" s="20"/>
      <c r="JZ128" s="470"/>
      <c r="KA128" s="470"/>
      <c r="KB128" s="470"/>
      <c r="KC128" s="470"/>
      <c r="KD128" s="470"/>
      <c r="KE128" s="470"/>
      <c r="KF128" s="470"/>
      <c r="KG128" s="470"/>
      <c r="KH128" s="470"/>
      <c r="KI128" s="470"/>
      <c r="KJ128" s="470"/>
      <c r="KK128" s="470"/>
      <c r="KL128" s="470"/>
      <c r="KM128" s="470"/>
      <c r="KN128" s="470"/>
      <c r="KO128" s="470"/>
      <c r="KP128" s="470"/>
      <c r="KQ128" s="470"/>
      <c r="KR128" s="470"/>
      <c r="KS128" s="470"/>
      <c r="KT128" s="470"/>
      <c r="KU128" s="470"/>
      <c r="KV128" s="470"/>
      <c r="KW128" s="470"/>
      <c r="KX128" s="470"/>
      <c r="KY128" s="470"/>
      <c r="KZ128" s="470"/>
      <c r="LA128" s="470"/>
      <c r="LB128" s="470"/>
      <c r="LC128" s="470"/>
      <c r="LD128" s="470"/>
      <c r="LE128" s="470"/>
      <c r="LF128" s="470"/>
      <c r="LG128" s="470"/>
      <c r="LH128" s="470"/>
      <c r="LI128" s="470"/>
      <c r="LJ128" s="470"/>
      <c r="LK128" s="470"/>
      <c r="LL128" s="470"/>
      <c r="LM128" s="470"/>
      <c r="LN128" s="470"/>
      <c r="LO128" s="470"/>
      <c r="LP128" s="470"/>
      <c r="LQ128" s="470"/>
      <c r="LR128" s="470"/>
      <c r="LS128" s="470"/>
      <c r="LT128" s="470"/>
      <c r="LU128" s="470"/>
      <c r="LV128" s="470"/>
      <c r="LW128" s="470"/>
      <c r="LX128" s="470"/>
      <c r="LY128" s="470"/>
      <c r="LZ128" s="470"/>
      <c r="MA128" s="470"/>
      <c r="MB128" s="470"/>
      <c r="MC128" s="470"/>
      <c r="MD128" s="470"/>
      <c r="ME128" s="470"/>
      <c r="MF128" s="470"/>
      <c r="MG128" s="470"/>
      <c r="MH128" s="470"/>
      <c r="MI128" s="470"/>
      <c r="MJ128" s="470"/>
      <c r="MK128" s="470"/>
      <c r="ML128" s="470"/>
      <c r="MM128" s="470"/>
      <c r="MN128" s="470"/>
      <c r="MO128" s="470"/>
      <c r="MP128" s="470"/>
      <c r="MQ128" s="470"/>
      <c r="MR128" s="470"/>
      <c r="MS128" s="470"/>
      <c r="MT128" s="470"/>
      <c r="MU128" s="470"/>
      <c r="MV128" s="470"/>
      <c r="MW128" s="470"/>
      <c r="MX128" s="470"/>
      <c r="MY128" s="470"/>
      <c r="MZ128" s="470"/>
      <c r="NA128" s="470"/>
      <c r="NB128" s="470"/>
      <c r="NC128" s="470"/>
      <c r="ND128" s="470"/>
      <c r="NE128" s="470"/>
      <c r="NF128" s="470"/>
      <c r="NG128" s="470"/>
      <c r="NH128" s="470"/>
      <c r="NI128" s="470"/>
      <c r="NJ128" s="470"/>
      <c r="NK128" s="470"/>
      <c r="NL128" s="470"/>
      <c r="NM128" s="470"/>
      <c r="NN128" s="470"/>
      <c r="NO128" s="470"/>
      <c r="NP128" s="470"/>
      <c r="NQ128" s="470"/>
      <c r="NR128" s="470"/>
      <c r="NS128" s="470"/>
      <c r="NT128" s="470"/>
      <c r="NU128" s="470"/>
      <c r="NV128" s="470"/>
      <c r="NW128" s="470"/>
      <c r="NX128" s="470"/>
      <c r="NY128" s="470"/>
      <c r="NZ128" s="470"/>
      <c r="OA128" s="470"/>
      <c r="OB128" s="470"/>
      <c r="OC128" s="470"/>
      <c r="OD128" s="470"/>
      <c r="OE128" s="470"/>
      <c r="OF128" s="470"/>
      <c r="OG128" s="470"/>
      <c r="OH128" s="470"/>
      <c r="OI128" s="470"/>
      <c r="OJ128" s="470"/>
      <c r="OK128" s="470"/>
      <c r="OL128" s="470"/>
      <c r="OM128" s="470"/>
      <c r="ON128" s="470"/>
      <c r="OO128" s="470"/>
      <c r="OP128" s="470"/>
      <c r="OQ128" s="470"/>
      <c r="OR128" s="470"/>
      <c r="OS128" s="470"/>
      <c r="OT128" s="470"/>
      <c r="OU128" s="470"/>
      <c r="OV128" s="470"/>
      <c r="OW128" s="470"/>
      <c r="OX128" s="470"/>
      <c r="OY128" s="470"/>
      <c r="OZ128" s="470"/>
      <c r="PA128" s="470"/>
      <c r="PB128" s="470"/>
      <c r="PC128" s="470"/>
      <c r="PD128" s="470"/>
      <c r="PE128" s="470"/>
      <c r="PF128" s="470"/>
      <c r="PG128" s="470"/>
      <c r="PH128" s="470"/>
    </row>
    <row r="129">
      <c r="B129" s="448" t="s">
        <v>284</v>
      </c>
      <c r="C129" s="418">
        <v>0</v>
      </c>
      <c r="D129" s="404"/>
      <c r="E129" s="404"/>
      <c r="F129" s="418"/>
      <c r="G129" s="44"/>
      <c r="H129" s="152" t="str">
        <f>"/"&amp;Unit_Type&amp;"/YR"</f>
        <v>/M2/YR</v>
      </c>
      <c r="I129" s="483" t="n">
        <f>-$G$129*I128</f>
        <v>0</v>
      </c>
      <c r="K129" s="76"/>
      <c r="L129" s="203" t="n">
        <f>-$G$129*L128</f>
        <v>0</v>
      </c>
      <c r="M129" s="203" t="n">
        <f t="shared" ref="M129:BX129" si="809">-$G$129*M128</f>
        <v>0</v>
      </c>
      <c r="N129" s="203">
        <f t="shared" si="809"/>
        <v>0</v>
      </c>
      <c r="O129" s="203">
        <f t="shared" si="809"/>
        <v>0</v>
      </c>
      <c r="P129" s="203">
        <f t="shared" si="809"/>
        <v>0</v>
      </c>
      <c r="Q129" s="203">
        <f t="shared" si="809"/>
        <v>0</v>
      </c>
      <c r="R129" s="203">
        <f t="shared" si="809"/>
        <v>0</v>
      </c>
      <c r="S129" s="203">
        <f t="shared" si="809"/>
        <v>0</v>
      </c>
      <c r="T129" s="203">
        <f t="shared" si="809"/>
        <v>0</v>
      </c>
      <c r="U129" s="203">
        <f t="shared" si="809"/>
        <v>0</v>
      </c>
      <c r="V129" s="203">
        <f t="shared" si="809"/>
        <v>0</v>
      </c>
      <c r="W129" s="203">
        <f t="shared" si="809"/>
        <v>0</v>
      </c>
      <c r="X129" s="203">
        <f t="shared" si="809"/>
        <v>0</v>
      </c>
      <c r="Y129" s="203">
        <f t="shared" si="809"/>
        <v>0</v>
      </c>
      <c r="Z129" s="203">
        <f t="shared" si="809"/>
        <v>0</v>
      </c>
      <c r="AA129" s="203">
        <f t="shared" si="809"/>
        <v>0</v>
      </c>
      <c r="AB129" s="203">
        <f t="shared" si="809"/>
        <v>0</v>
      </c>
      <c r="AC129" s="203">
        <f t="shared" si="809"/>
        <v>0</v>
      </c>
      <c r="AD129" s="203">
        <f t="shared" si="809"/>
        <v>0</v>
      </c>
      <c r="AE129" s="203">
        <f t="shared" si="809"/>
        <v>0</v>
      </c>
      <c r="AF129" s="203">
        <f t="shared" si="809"/>
        <v>0</v>
      </c>
      <c r="AG129" s="203">
        <f t="shared" si="809"/>
        <v>0</v>
      </c>
      <c r="AH129" s="203">
        <f t="shared" si="809"/>
        <v>0</v>
      </c>
      <c r="AI129" s="203">
        <f t="shared" si="809"/>
        <v>0</v>
      </c>
      <c r="AJ129" s="203">
        <f t="shared" si="809"/>
        <v>0</v>
      </c>
      <c r="AK129" s="203">
        <f t="shared" si="809"/>
        <v>0</v>
      </c>
      <c r="AL129" s="203">
        <f t="shared" si="809"/>
        <v>0</v>
      </c>
      <c r="AM129" s="203">
        <f t="shared" si="809"/>
        <v>0</v>
      </c>
      <c r="AN129" s="203">
        <f t="shared" si="809"/>
        <v>0</v>
      </c>
      <c r="AO129" s="203">
        <f t="shared" si="809"/>
        <v>0</v>
      </c>
      <c r="AP129" s="203">
        <f t="shared" si="809"/>
        <v>0</v>
      </c>
      <c r="AQ129" s="203">
        <f t="shared" si="809"/>
        <v>0</v>
      </c>
      <c r="AR129" s="203">
        <f t="shared" si="809"/>
        <v>0</v>
      </c>
      <c r="AS129" s="203">
        <f t="shared" si="809"/>
        <v>0</v>
      </c>
      <c r="AT129" s="203">
        <f t="shared" si="809"/>
        <v>0</v>
      </c>
      <c r="AU129" s="203">
        <f t="shared" si="809"/>
        <v>0</v>
      </c>
      <c r="AV129" s="203">
        <f t="shared" si="809"/>
        <v>0</v>
      </c>
      <c r="AW129" s="203">
        <f t="shared" si="809"/>
        <v>0</v>
      </c>
      <c r="AX129" s="203">
        <f t="shared" si="809"/>
        <v>0</v>
      </c>
      <c r="AY129" s="203">
        <f t="shared" si="809"/>
        <v>0</v>
      </c>
      <c r="AZ129" s="203">
        <f t="shared" si="809"/>
        <v>0</v>
      </c>
      <c r="BA129" s="203">
        <f t="shared" si="809"/>
        <v>0</v>
      </c>
      <c r="BB129" s="203">
        <f t="shared" si="809"/>
        <v>0</v>
      </c>
      <c r="BC129" s="203">
        <f t="shared" si="809"/>
        <v>0</v>
      </c>
      <c r="BD129" s="203">
        <f t="shared" si="809"/>
        <v>0</v>
      </c>
      <c r="BE129" s="203">
        <f t="shared" si="809"/>
        <v>0</v>
      </c>
      <c r="BF129" s="203">
        <f t="shared" si="809"/>
        <v>0</v>
      </c>
      <c r="BG129" s="203">
        <f t="shared" si="809"/>
        <v>0</v>
      </c>
      <c r="BH129" s="203">
        <f t="shared" si="809"/>
        <v>0</v>
      </c>
      <c r="BI129" s="203">
        <f t="shared" si="809"/>
        <v>0</v>
      </c>
      <c r="BJ129" s="203">
        <f t="shared" si="809"/>
        <v>0</v>
      </c>
      <c r="BK129" s="203">
        <f t="shared" si="809"/>
        <v>0</v>
      </c>
      <c r="BL129" s="203">
        <f t="shared" si="809"/>
        <v>0</v>
      </c>
      <c r="BM129" s="203">
        <f t="shared" si="809"/>
        <v>0</v>
      </c>
      <c r="BN129" s="203">
        <f t="shared" si="809"/>
        <v>0</v>
      </c>
      <c r="BO129" s="203">
        <f t="shared" si="809"/>
        <v>0</v>
      </c>
      <c r="BP129" s="203">
        <f t="shared" si="809"/>
        <v>0</v>
      </c>
      <c r="BQ129" s="203">
        <f t="shared" si="809"/>
        <v>0</v>
      </c>
      <c r="BR129" s="203">
        <f t="shared" si="809"/>
        <v>0</v>
      </c>
      <c r="BS129" s="203">
        <f t="shared" si="809"/>
        <v>0</v>
      </c>
      <c r="BT129" s="203">
        <f t="shared" si="809"/>
        <v>0</v>
      </c>
      <c r="BU129" s="203">
        <f t="shared" si="809"/>
        <v>0</v>
      </c>
      <c r="BV129" s="203">
        <f t="shared" si="809"/>
        <v>0</v>
      </c>
      <c r="BW129" s="203">
        <f t="shared" si="809"/>
        <v>0</v>
      </c>
      <c r="BX129" s="203">
        <f t="shared" si="809"/>
        <v>0</v>
      </c>
      <c r="BY129" s="203" t="n">
        <f t="shared" ref="BY129:EJ129" si="810">-$G$129*BY128</f>
        <v>0</v>
      </c>
      <c r="BZ129" s="203">
        <f t="shared" si="810"/>
        <v>0</v>
      </c>
      <c r="CA129" s="203">
        <f t="shared" si="810"/>
        <v>0</v>
      </c>
      <c r="CB129" s="203">
        <f t="shared" si="810"/>
        <v>0</v>
      </c>
      <c r="CC129" s="203">
        <f t="shared" si="810"/>
        <v>0</v>
      </c>
      <c r="CD129" s="203">
        <f t="shared" si="810"/>
        <v>0</v>
      </c>
      <c r="CE129" s="203">
        <f t="shared" si="810"/>
        <v>0</v>
      </c>
      <c r="CF129" s="203">
        <f t="shared" si="810"/>
        <v>0</v>
      </c>
      <c r="CG129" s="203">
        <f t="shared" si="810"/>
        <v>0</v>
      </c>
      <c r="CH129" s="203">
        <f t="shared" si="810"/>
        <v>0</v>
      </c>
      <c r="CI129" s="203">
        <f t="shared" si="810"/>
        <v>0</v>
      </c>
      <c r="CJ129" s="203">
        <f t="shared" si="810"/>
        <v>0</v>
      </c>
      <c r="CK129" s="203">
        <f t="shared" si="810"/>
        <v>0</v>
      </c>
      <c r="CL129" s="203">
        <f t="shared" si="810"/>
        <v>0</v>
      </c>
      <c r="CM129" s="203">
        <f t="shared" si="810"/>
        <v>0</v>
      </c>
      <c r="CN129" s="203">
        <f t="shared" si="810"/>
        <v>0</v>
      </c>
      <c r="CO129" s="203">
        <f t="shared" si="810"/>
        <v>0</v>
      </c>
      <c r="CP129" s="203">
        <f t="shared" si="810"/>
        <v>0</v>
      </c>
      <c r="CQ129" s="203">
        <f t="shared" si="810"/>
        <v>0</v>
      </c>
      <c r="CR129" s="203">
        <f t="shared" si="810"/>
        <v>0</v>
      </c>
      <c r="CS129" s="203">
        <f t="shared" si="810"/>
        <v>0</v>
      </c>
      <c r="CT129" s="203">
        <f t="shared" si="810"/>
        <v>0</v>
      </c>
      <c r="CU129" s="203">
        <f t="shared" si="810"/>
        <v>0</v>
      </c>
      <c r="CV129" s="203">
        <f t="shared" si="810"/>
        <v>0</v>
      </c>
      <c r="CW129" s="203">
        <f t="shared" si="810"/>
        <v>0</v>
      </c>
      <c r="CX129" s="203">
        <f t="shared" si="810"/>
        <v>0</v>
      </c>
      <c r="CY129" s="203">
        <f t="shared" si="810"/>
        <v>0</v>
      </c>
      <c r="CZ129" s="203">
        <f t="shared" si="810"/>
        <v>0</v>
      </c>
      <c r="DA129" s="203">
        <f t="shared" si="810"/>
        <v>0</v>
      </c>
      <c r="DB129" s="203">
        <f t="shared" si="810"/>
        <v>0</v>
      </c>
      <c r="DC129" s="203">
        <f t="shared" si="810"/>
        <v>0</v>
      </c>
      <c r="DD129" s="203">
        <f t="shared" si="810"/>
        <v>0</v>
      </c>
      <c r="DE129" s="203">
        <f t="shared" si="810"/>
        <v>0</v>
      </c>
      <c r="DF129" s="203">
        <f t="shared" si="810"/>
        <v>0</v>
      </c>
      <c r="DG129" s="203">
        <f t="shared" si="810"/>
        <v>0</v>
      </c>
      <c r="DH129" s="203">
        <f t="shared" si="810"/>
        <v>0</v>
      </c>
      <c r="DI129" s="203">
        <f t="shared" si="810"/>
        <v>0</v>
      </c>
      <c r="DJ129" s="203">
        <f t="shared" si="810"/>
        <v>0</v>
      </c>
      <c r="DK129" s="203">
        <f t="shared" si="810"/>
        <v>0</v>
      </c>
      <c r="DL129" s="203">
        <f t="shared" si="810"/>
        <v>0</v>
      </c>
      <c r="DM129" s="203">
        <f t="shared" si="810"/>
        <v>0</v>
      </c>
      <c r="DN129" s="203">
        <f t="shared" si="810"/>
        <v>0</v>
      </c>
      <c r="DO129" s="203">
        <f t="shared" si="810"/>
        <v>0</v>
      </c>
      <c r="DP129" s="203">
        <f t="shared" si="810"/>
        <v>0</v>
      </c>
      <c r="DQ129" s="203">
        <f t="shared" si="810"/>
        <v>0</v>
      </c>
      <c r="DR129" s="203">
        <f t="shared" si="810"/>
        <v>0</v>
      </c>
      <c r="DS129" s="203">
        <f t="shared" si="810"/>
        <v>0</v>
      </c>
      <c r="DT129" s="203">
        <f t="shared" si="810"/>
        <v>0</v>
      </c>
      <c r="DU129" s="203">
        <f t="shared" si="810"/>
        <v>0</v>
      </c>
      <c r="DV129" s="203">
        <f t="shared" si="810"/>
        <v>0</v>
      </c>
      <c r="DW129" s="203">
        <f t="shared" si="810"/>
        <v>0</v>
      </c>
      <c r="DX129" s="203">
        <f t="shared" si="810"/>
        <v>0</v>
      </c>
      <c r="DY129" s="203">
        <f t="shared" si="810"/>
        <v>0</v>
      </c>
      <c r="DZ129" s="203">
        <f t="shared" si="810"/>
        <v>0</v>
      </c>
      <c r="EA129" s="203">
        <f t="shared" si="810"/>
        <v>0</v>
      </c>
      <c r="EB129" s="203">
        <f t="shared" si="810"/>
        <v>0</v>
      </c>
      <c r="EC129" s="203">
        <f t="shared" si="810"/>
        <v>0</v>
      </c>
      <c r="ED129" s="203">
        <f t="shared" si="810"/>
        <v>0</v>
      </c>
      <c r="EE129" s="203">
        <f t="shared" si="810"/>
        <v>0</v>
      </c>
      <c r="EF129" s="203">
        <f t="shared" si="810"/>
        <v>0</v>
      </c>
      <c r="EG129" s="203">
        <f t="shared" si="810"/>
        <v>0</v>
      </c>
      <c r="EH129" s="203">
        <f t="shared" si="810"/>
        <v>0</v>
      </c>
      <c r="EI129" s="203">
        <f t="shared" si="810"/>
        <v>0</v>
      </c>
      <c r="EJ129" s="203">
        <f t="shared" si="810"/>
        <v>0</v>
      </c>
      <c r="EK129" s="203" t="n">
        <f t="shared" ref="EK129:EN129" si="811">-$G$129*EK128</f>
        <v>0</v>
      </c>
      <c r="EL129" s="203">
        <f t="shared" si="811"/>
        <v>0</v>
      </c>
      <c r="EM129" s="203">
        <f t="shared" si="811"/>
        <v>0</v>
      </c>
      <c r="EN129" s="203">
        <f t="shared" si="811"/>
        <v>0</v>
      </c>
      <c r="EO129" s="209"/>
      <c r="EP129" s="468"/>
      <c r="EQ129" s="469"/>
      <c r="ER129" s="469"/>
      <c r="ES129" s="469"/>
      <c r="ET129" s="469"/>
      <c r="EU129" s="469"/>
      <c r="EV129" s="469"/>
      <c r="EW129" s="469"/>
      <c r="EX129" s="469"/>
      <c r="EY129" s="469"/>
      <c r="EZ129" s="469"/>
      <c r="FA129" s="469"/>
      <c r="FB129" s="469"/>
      <c r="FC129" s="469"/>
      <c r="FD129" s="469"/>
      <c r="FE129" s="469"/>
      <c r="FF129" s="469"/>
      <c r="FG129" s="469"/>
      <c r="FH129" s="469"/>
      <c r="FI129" s="469"/>
      <c r="FJ129" s="469"/>
      <c r="FK129" s="469"/>
      <c r="FL129" s="469"/>
      <c r="FM129" s="469"/>
      <c r="FN129" s="469"/>
      <c r="FO129" s="469"/>
      <c r="FP129" s="469"/>
      <c r="FQ129" s="469"/>
      <c r="FR129" s="469"/>
      <c r="FS129" s="469"/>
      <c r="FT129" s="469"/>
      <c r="FU129" s="469"/>
      <c r="FV129" s="469"/>
      <c r="FW129" s="469"/>
      <c r="FX129" s="469"/>
      <c r="FY129" s="469"/>
      <c r="FZ129" s="469"/>
      <c r="GA129" s="469"/>
      <c r="GB129" s="469"/>
      <c r="GC129" s="469"/>
      <c r="GD129" s="469"/>
      <c r="GE129" s="469"/>
      <c r="GF129" s="469"/>
      <c r="GG129" s="469"/>
      <c r="GH129" s="469"/>
      <c r="GI129" s="469"/>
      <c r="GJ129" s="469"/>
      <c r="GK129" s="469"/>
      <c r="GL129" s="469"/>
      <c r="GM129" s="469"/>
      <c r="GN129" s="469"/>
      <c r="GO129" s="469"/>
      <c r="GP129" s="469"/>
      <c r="GQ129" s="469"/>
      <c r="GR129" s="469"/>
      <c r="GS129" s="469"/>
      <c r="GT129" s="469"/>
      <c r="GU129" s="469"/>
      <c r="GV129" s="469"/>
      <c r="GW129" s="469"/>
      <c r="GX129" s="469"/>
      <c r="GY129" s="469"/>
      <c r="GZ129" s="469"/>
      <c r="HA129" s="469"/>
      <c r="HB129" s="469"/>
      <c r="HC129" s="469"/>
      <c r="HD129" s="469"/>
      <c r="HE129" s="469"/>
      <c r="HF129" s="469"/>
      <c r="HG129" s="469"/>
      <c r="HH129" s="469"/>
      <c r="HI129" s="469"/>
      <c r="HJ129" s="469"/>
      <c r="HK129" s="469"/>
      <c r="HL129" s="469"/>
      <c r="HM129" s="469"/>
      <c r="HN129" s="469"/>
      <c r="HO129" s="469"/>
      <c r="HP129" s="469"/>
      <c r="HQ129" s="469"/>
      <c r="HR129" s="469"/>
      <c r="HS129" s="469"/>
      <c r="HT129" s="469"/>
      <c r="HU129" s="469"/>
      <c r="HV129" s="469"/>
      <c r="HW129" s="469"/>
      <c r="HX129" s="469"/>
      <c r="HY129" s="469"/>
      <c r="HZ129" s="469"/>
      <c r="IA129" s="469"/>
      <c r="IB129" s="469"/>
      <c r="IC129" s="469"/>
      <c r="ID129" s="469"/>
      <c r="IE129" s="469"/>
      <c r="IF129" s="469"/>
      <c r="IG129" s="469"/>
      <c r="IH129" s="469"/>
      <c r="II129" s="469"/>
      <c r="IJ129" s="469"/>
      <c r="IK129" s="469"/>
      <c r="IL129" s="469"/>
      <c r="IM129" s="469"/>
      <c r="IN129" s="469"/>
      <c r="IO129" s="469"/>
      <c r="IP129" s="469"/>
      <c r="IQ129" s="469"/>
      <c r="IR129" s="469"/>
      <c r="IS129" s="469"/>
      <c r="IT129" s="469"/>
      <c r="IU129" s="469"/>
      <c r="IV129" s="469"/>
      <c r="IW129" s="469"/>
      <c r="IX129" s="469"/>
      <c r="IY129" s="469"/>
      <c r="IZ129" s="469"/>
      <c r="JA129" s="469"/>
      <c r="JB129" s="469"/>
      <c r="JC129" s="469"/>
      <c r="JD129" s="469"/>
      <c r="JE129" s="469"/>
      <c r="JF129" s="469"/>
      <c r="JG129" s="469"/>
      <c r="JH129" s="469"/>
      <c r="JI129" s="469"/>
      <c r="JJ129" s="469"/>
      <c r="JK129" s="469"/>
      <c r="JL129" s="469"/>
      <c r="JM129" s="469"/>
      <c r="JN129" s="469"/>
      <c r="JO129" s="469"/>
      <c r="JP129" s="469"/>
      <c r="JQ129" s="469"/>
      <c r="JR129" s="469"/>
      <c r="JS129" s="469"/>
      <c r="JT129" s="469"/>
      <c r="JU129" s="469"/>
      <c r="JV129" s="469"/>
      <c r="JW129" s="469"/>
      <c r="JX129" s="20"/>
      <c r="JZ129" s="470"/>
      <c r="KA129" s="470"/>
      <c r="KB129" s="470"/>
      <c r="KC129" s="470"/>
      <c r="KD129" s="470"/>
      <c r="KE129" s="470"/>
      <c r="KF129" s="470"/>
      <c r="KG129" s="470"/>
      <c r="KH129" s="470"/>
      <c r="KI129" s="470"/>
      <c r="KJ129" s="470"/>
      <c r="KK129" s="470"/>
      <c r="KL129" s="470"/>
      <c r="KM129" s="470"/>
      <c r="KN129" s="470"/>
      <c r="KO129" s="470"/>
      <c r="KP129" s="470"/>
      <c r="KQ129" s="470"/>
      <c r="KR129" s="470"/>
      <c r="KS129" s="470"/>
      <c r="KT129" s="470"/>
      <c r="KU129" s="470"/>
      <c r="KV129" s="470"/>
      <c r="KW129" s="470"/>
      <c r="KX129" s="470"/>
      <c r="KY129" s="470"/>
      <c r="KZ129" s="470"/>
      <c r="LA129" s="470"/>
      <c r="LB129" s="470"/>
      <c r="LC129" s="470"/>
      <c r="LD129" s="470"/>
      <c r="LE129" s="470"/>
      <c r="LF129" s="470"/>
      <c r="LG129" s="470"/>
      <c r="LH129" s="470"/>
      <c r="LI129" s="470"/>
      <c r="LJ129" s="470"/>
      <c r="LK129" s="470"/>
      <c r="LL129" s="470"/>
      <c r="LM129" s="470"/>
      <c r="LN129" s="470"/>
      <c r="LO129" s="470"/>
      <c r="LP129" s="470"/>
      <c r="LQ129" s="470"/>
      <c r="LR129" s="470"/>
      <c r="LS129" s="470"/>
      <c r="LT129" s="470"/>
      <c r="LU129" s="470"/>
      <c r="LV129" s="470"/>
      <c r="LW129" s="470"/>
      <c r="LX129" s="470"/>
      <c r="LY129" s="470"/>
      <c r="LZ129" s="470"/>
      <c r="MA129" s="470"/>
      <c r="MB129" s="470"/>
      <c r="MC129" s="470"/>
      <c r="MD129" s="470"/>
      <c r="ME129" s="470"/>
      <c r="MF129" s="470"/>
      <c r="MG129" s="470"/>
      <c r="MH129" s="470"/>
      <c r="MI129" s="470"/>
      <c r="MJ129" s="470"/>
      <c r="MK129" s="470"/>
      <c r="ML129" s="470"/>
      <c r="MM129" s="470"/>
      <c r="MN129" s="470"/>
      <c r="MO129" s="470"/>
      <c r="MP129" s="470"/>
      <c r="MQ129" s="470"/>
      <c r="MR129" s="470"/>
      <c r="MS129" s="470"/>
      <c r="MT129" s="470"/>
      <c r="MU129" s="470"/>
      <c r="MV129" s="470"/>
      <c r="MW129" s="470"/>
      <c r="MX129" s="470"/>
      <c r="MY129" s="470"/>
      <c r="MZ129" s="470"/>
      <c r="NA129" s="470"/>
      <c r="NB129" s="470"/>
      <c r="NC129" s="470"/>
      <c r="ND129" s="470"/>
      <c r="NE129" s="470"/>
      <c r="NF129" s="470"/>
      <c r="NG129" s="470"/>
      <c r="NH129" s="470"/>
      <c r="NI129" s="470"/>
      <c r="NJ129" s="470"/>
      <c r="NK129" s="470"/>
      <c r="NL129" s="470"/>
      <c r="NM129" s="470"/>
      <c r="NN129" s="470"/>
      <c r="NO129" s="470"/>
      <c r="NP129" s="470"/>
      <c r="NQ129" s="470"/>
      <c r="NR129" s="470"/>
      <c r="NS129" s="470"/>
      <c r="NT129" s="470"/>
      <c r="NU129" s="470"/>
      <c r="NV129" s="470"/>
      <c r="NW129" s="470"/>
      <c r="NX129" s="470"/>
      <c r="NY129" s="470"/>
      <c r="NZ129" s="470"/>
      <c r="OA129" s="470"/>
      <c r="OB129" s="470"/>
      <c r="OC129" s="470"/>
      <c r="OD129" s="470"/>
      <c r="OE129" s="470"/>
      <c r="OF129" s="470"/>
      <c r="OG129" s="470"/>
      <c r="OH129" s="470"/>
      <c r="OI129" s="470"/>
      <c r="OJ129" s="470"/>
      <c r="OK129" s="470"/>
      <c r="OL129" s="470"/>
      <c r="OM129" s="470"/>
      <c r="ON129" s="470"/>
      <c r="OO129" s="470"/>
      <c r="OP129" s="470"/>
      <c r="OQ129" s="470"/>
      <c r="OR129" s="470"/>
      <c r="OS129" s="470"/>
      <c r="OT129" s="470"/>
      <c r="OU129" s="470"/>
      <c r="OV129" s="470"/>
      <c r="OW129" s="470"/>
      <c r="OX129" s="470"/>
      <c r="OY129" s="470"/>
      <c r="OZ129" s="470"/>
      <c r="PA129" s="470"/>
      <c r="PB129" s="470"/>
      <c r="PC129" s="470"/>
      <c r="PD129" s="470"/>
      <c r="PE129" s="470"/>
      <c r="PF129" s="470"/>
      <c r="PG129" s="470"/>
      <c r="PH129" s="470"/>
    </row>
    <row r="130" s="28" customFormat="1" ht="13.5">
      <c r="A130" s="484"/>
      <c r="B130" s="34" t="s">
        <v>285</v>
      </c>
      <c r="C130" s="485" t="n">
        <f t="array" ref="C130">I130/Units_Ind</f>
        <v>623.5310479426857</v>
      </c>
      <c r="D130" s="458"/>
      <c r="E130" s="458"/>
      <c r="F130" s="153"/>
      <c r="G130" s="137"/>
      <c r="H130" s="149"/>
      <c r="I130" s="449" t="n">
        <f>SUM(I128:I129)</f>
        <v>48830200.36828583</v>
      </c>
      <c r="K130" s="224" t="s">
        <v>58</v>
      </c>
      <c r="L130" s="76" t="n">
        <f>SUM(L128:L129)</f>
        <v>2042.483660130719</v>
      </c>
      <c r="M130" s="76" t="n">
        <f t="shared" ref="M130:BX130" si="812">SUM(M128:M129)</f>
        <v>0</v>
      </c>
      <c r="N130" s="76">
        <f t="shared" si="812"/>
        <v>0</v>
      </c>
      <c r="O130" s="76">
        <f t="shared" si="812"/>
        <v>0</v>
      </c>
      <c r="P130" s="76">
        <f t="shared" si="812"/>
        <v>0</v>
      </c>
      <c r="Q130" s="76">
        <f t="shared" si="812"/>
        <v>0</v>
      </c>
      <c r="R130" s="76">
        <f t="shared" si="812"/>
        <v>0</v>
      </c>
      <c r="S130" s="76">
        <f t="shared" si="812"/>
        <v>700145.94197825424</v>
      </c>
      <c r="T130" s="76">
        <f t="shared" si="812"/>
        <v>700145.94197825424</v>
      </c>
      <c r="U130" s="76">
        <f t="shared" si="812"/>
        <v>700145.94197825424</v>
      </c>
      <c r="V130" s="76">
        <f t="shared" si="812"/>
        <v>700145.94197825424</v>
      </c>
      <c r="W130" s="76">
        <f t="shared" si="812"/>
        <v>700145.94197825424</v>
      </c>
      <c r="X130" s="76">
        <f t="shared" si="812"/>
        <v>700145.94197825424</v>
      </c>
      <c r="Y130" s="76">
        <f t="shared" si="812"/>
        <v>700145.94197825424</v>
      </c>
      <c r="Z130" s="76">
        <f t="shared" si="812"/>
        <v>700145.94197825424</v>
      </c>
      <c r="AA130" s="76">
        <f t="shared" si="812"/>
        <v>700145.94197825424</v>
      </c>
      <c r="AB130" s="76">
        <f t="shared" si="812"/>
        <v>700145.94197825424</v>
      </c>
      <c r="AC130" s="76">
        <f t="shared" si="812"/>
        <v>700145.94197825424</v>
      </c>
      <c r="AD130" s="76">
        <f t="shared" si="812"/>
        <v>700145.94197825424</v>
      </c>
      <c r="AE130" s="76">
        <f t="shared" si="812"/>
        <v>3756155.729140019</v>
      </c>
      <c r="AF130" s="76">
        <f t="shared" si="812"/>
        <v>3756155.729140019</v>
      </c>
      <c r="AG130" s="76">
        <f t="shared" si="812"/>
        <v>3756155.729140019</v>
      </c>
      <c r="AH130" s="76">
        <f t="shared" si="812"/>
        <v>4544918.0293516144</v>
      </c>
      <c r="AI130" s="76">
        <f t="shared" si="812"/>
        <v>4544918.0293516144</v>
      </c>
      <c r="AJ130" s="76">
        <f t="shared" si="812"/>
        <v>4544918.0293516144</v>
      </c>
      <c r="AK130" s="76">
        <f t="shared" si="812"/>
        <v>4850446.7559690066</v>
      </c>
      <c r="AL130" s="76">
        <f t="shared" si="812"/>
        <v>4850446.7559690066</v>
      </c>
      <c r="AM130" s="76">
        <f t="shared" si="812"/>
        <v>4850446.7559690066</v>
      </c>
      <c r="AN130" s="76">
        <f t="shared" si="812"/>
        <v>5038529.5565524856</v>
      </c>
      <c r="AO130" s="76">
        <f t="shared" si="812"/>
        <v>5038529.5565524856</v>
      </c>
      <c r="AP130" s="76">
        <f t="shared" si="812"/>
        <v>5046134.0402314598</v>
      </c>
      <c r="AQ130" s="76">
        <f t="shared" si="812"/>
        <v>5599025.4780591168</v>
      </c>
      <c r="AR130" s="76">
        <f t="shared" si="812"/>
        <v>5599025.4780591168</v>
      </c>
      <c r="AS130" s="76">
        <f t="shared" si="812"/>
        <v>5599025.4780591168</v>
      </c>
      <c r="AT130" s="76">
        <f t="shared" si="812"/>
        <v>5724564.6827028003</v>
      </c>
      <c r="AU130" s="76">
        <f t="shared" si="812"/>
        <v>5724564.6827028003</v>
      </c>
      <c r="AV130" s="76">
        <f t="shared" si="812"/>
        <v>5724564.6827028003</v>
      </c>
      <c r="AW130" s="76">
        <f t="shared" si="812"/>
        <v>5732148.0160361342</v>
      </c>
      <c r="AX130" s="76">
        <f t="shared" si="812"/>
        <v>5732148.0160361342</v>
      </c>
      <c r="AY130" s="76">
        <f t="shared" si="812"/>
        <v>5732148.0160361342</v>
      </c>
      <c r="AZ130" s="76">
        <f t="shared" si="812"/>
        <v>5738467.7920714775</v>
      </c>
      <c r="BA130" s="76">
        <f t="shared" si="812"/>
        <v>5738467.7920714775</v>
      </c>
      <c r="BB130" s="76">
        <f t="shared" si="812"/>
        <v>5738467.7920714775</v>
      </c>
      <c r="BC130" s="76">
        <f t="shared" si="812"/>
        <v>5908617.6464161528</v>
      </c>
      <c r="BD130" s="76">
        <f t="shared" si="812"/>
        <v>5908617.6464161528</v>
      </c>
      <c r="BE130" s="76">
        <f t="shared" si="812"/>
        <v>5908617.6464161528</v>
      </c>
      <c r="BF130" s="76">
        <f t="shared" si="812"/>
        <v>5937758.0630828198</v>
      </c>
      <c r="BG130" s="76">
        <f t="shared" si="812"/>
        <v>5937758.0630828198</v>
      </c>
      <c r="BH130" s="76">
        <f t="shared" si="812"/>
        <v>5937758.0630828198</v>
      </c>
      <c r="BI130" s="76">
        <f t="shared" si="812"/>
        <v>5945606.8130828198</v>
      </c>
      <c r="BJ130" s="76">
        <f t="shared" si="812"/>
        <v>5945606.8130828198</v>
      </c>
      <c r="BK130" s="76">
        <f t="shared" si="812"/>
        <v>5945606.8130828198</v>
      </c>
      <c r="BL130" s="76">
        <f t="shared" si="812"/>
        <v>5951916.0005828198</v>
      </c>
      <c r="BM130" s="76">
        <f t="shared" si="812"/>
        <v>5951916.0005828198</v>
      </c>
      <c r="BN130" s="76">
        <f t="shared" si="812"/>
        <v>5951916.0005828198</v>
      </c>
      <c r="BO130" s="76">
        <f t="shared" si="812"/>
        <v>6105951.4384639971</v>
      </c>
      <c r="BP130" s="76">
        <f t="shared" si="812"/>
        <v>6105951.4384639971</v>
      </c>
      <c r="BQ130" s="76">
        <f t="shared" si="812"/>
        <v>6105951.4384639971</v>
      </c>
      <c r="BR130" s="76">
        <f t="shared" si="812"/>
        <v>6136111.7697139969</v>
      </c>
      <c r="BS130" s="76">
        <f t="shared" si="812"/>
        <v>6136111.7697139969</v>
      </c>
      <c r="BT130" s="76">
        <f t="shared" si="812"/>
        <v>6136111.7697139969</v>
      </c>
      <c r="BU130" s="76">
        <f t="shared" si="812"/>
        <v>6144235.2259639967</v>
      </c>
      <c r="BV130" s="76">
        <f t="shared" si="812"/>
        <v>6144235.2259639967</v>
      </c>
      <c r="BW130" s="76">
        <f t="shared" si="812"/>
        <v>6144235.2259639967</v>
      </c>
      <c r="BX130" s="76">
        <f t="shared" si="812"/>
        <v>6150765.2350264974</v>
      </c>
      <c r="BY130" s="76" t="n">
        <f t="shared" ref="BY130:EJ130" si="813">SUM(BY128:BY129)</f>
        <v>6150765.235026497</v>
      </c>
      <c r="BZ130" s="76">
        <f t="shared" si="813"/>
        <v>6150765.2350264974</v>
      </c>
      <c r="CA130" s="76">
        <f t="shared" si="813"/>
        <v>6306916.922973928</v>
      </c>
      <c r="CB130" s="76">
        <f t="shared" si="813"/>
        <v>6306916.922973928</v>
      </c>
      <c r="CC130" s="76">
        <f t="shared" si="813"/>
        <v>6306916.922973928</v>
      </c>
      <c r="CD130" s="76">
        <f t="shared" si="813"/>
        <v>6338132.8658176782</v>
      </c>
      <c r="CE130" s="76">
        <f t="shared" si="813"/>
        <v>6338132.8658176782</v>
      </c>
      <c r="CF130" s="76">
        <f t="shared" si="813"/>
        <v>6338132.8658176782</v>
      </c>
      <c r="CG130" s="76">
        <f t="shared" si="813"/>
        <v>6346540.6430364279</v>
      </c>
      <c r="CH130" s="76">
        <f t="shared" si="813"/>
        <v>6346540.6430364279</v>
      </c>
      <c r="CI130" s="76">
        <f t="shared" si="813"/>
        <v>6346540.6430364279</v>
      </c>
      <c r="CJ130" s="76">
        <f t="shared" si="813"/>
        <v>6353299.2024161154</v>
      </c>
      <c r="CK130" s="76">
        <f t="shared" si="813"/>
        <v>6353299.2024161154</v>
      </c>
      <c r="CL130" s="76">
        <f t="shared" si="813"/>
        <v>6353299.2024161154</v>
      </c>
      <c r="CM130" s="76">
        <f t="shared" si="813"/>
        <v>6249736.7942295074</v>
      </c>
      <c r="CN130" s="76">
        <f t="shared" si="813"/>
        <v>6249736.7942295074</v>
      </c>
      <c r="CO130" s="76">
        <f t="shared" si="813"/>
        <v>6249736.7942295074</v>
      </c>
      <c r="CP130" s="76">
        <f t="shared" si="813"/>
        <v>6282045.2950727884</v>
      </c>
      <c r="CQ130" s="76">
        <f t="shared" si="813"/>
        <v>6282045.2950727884</v>
      </c>
      <c r="CR130" s="76">
        <f t="shared" si="813"/>
        <v>6282045.2950727884</v>
      </c>
      <c r="CS130" s="76">
        <f t="shared" si="813"/>
        <v>6290747.3444941938</v>
      </c>
      <c r="CT130" s="76">
        <f t="shared" si="813"/>
        <v>6290747.3444941938</v>
      </c>
      <c r="CU130" s="76">
        <f t="shared" si="813"/>
        <v>6290747.3444941938</v>
      </c>
      <c r="CV130" s="76">
        <f t="shared" si="813"/>
        <v>6297742.4534521708</v>
      </c>
      <c r="CW130" s="76">
        <f t="shared" si="813"/>
        <v>6297742.4534521708</v>
      </c>
      <c r="CX130" s="76">
        <f t="shared" si="813"/>
        <v>6297742.4534521708</v>
      </c>
      <c r="CY130" s="76">
        <f t="shared" si="813"/>
        <v>6460126.8428756548</v>
      </c>
      <c r="CZ130" s="76">
        <f t="shared" si="813"/>
        <v>6460126.8428756548</v>
      </c>
      <c r="DA130" s="76">
        <f t="shared" si="813"/>
        <v>6460126.8428756548</v>
      </c>
      <c r="DB130" s="76">
        <f t="shared" si="813"/>
        <v>6493566.1412484506</v>
      </c>
      <c r="DC130" s="76">
        <f t="shared" si="813"/>
        <v>6493566.1412484506</v>
      </c>
      <c r="DD130" s="76">
        <f t="shared" si="813"/>
        <v>6493566.1412484506</v>
      </c>
      <c r="DE130" s="76">
        <f t="shared" si="813"/>
        <v>6502572.7623996064</v>
      </c>
      <c r="DF130" s="76">
        <f t="shared" si="813"/>
        <v>6502572.7623996064</v>
      </c>
      <c r="DG130" s="76">
        <f t="shared" si="813"/>
        <v>6502572.7623996064</v>
      </c>
      <c r="DH130" s="76">
        <f t="shared" si="813"/>
        <v>6509812.7001711121</v>
      </c>
      <c r="DI130" s="76">
        <f t="shared" si="813"/>
        <v>6509812.7001711121</v>
      </c>
      <c r="DJ130" s="76">
        <f t="shared" si="813"/>
        <v>6509812.7001711121</v>
      </c>
      <c r="DK130" s="76">
        <f t="shared" si="813"/>
        <v>6677995.9821910737</v>
      </c>
      <c r="DL130" s="76">
        <f t="shared" si="813"/>
        <v>6677995.9821910737</v>
      </c>
      <c r="DM130" s="76">
        <f t="shared" si="813"/>
        <v>6677995.9821910737</v>
      </c>
      <c r="DN130" s="76">
        <f t="shared" si="813"/>
        <v>6712605.6560069174</v>
      </c>
      <c r="DO130" s="76">
        <f t="shared" si="813"/>
        <v>6712605.6560069174</v>
      </c>
      <c r="DP130" s="76">
        <f t="shared" si="813"/>
        <v>6712605.6560069174</v>
      </c>
      <c r="DQ130" s="76">
        <f t="shared" si="813"/>
        <v>6721927.5088983634</v>
      </c>
      <c r="DR130" s="76">
        <f t="shared" si="813"/>
        <v>6721927.5088983634</v>
      </c>
      <c r="DS130" s="76">
        <f t="shared" si="813"/>
        <v>6721927.5088983634</v>
      </c>
      <c r="DT130" s="76">
        <f t="shared" si="813"/>
        <v>6729420.844491872</v>
      </c>
      <c r="DU130" s="76">
        <f t="shared" si="813"/>
        <v>6729420.844491872</v>
      </c>
      <c r="DV130" s="76">
        <f t="shared" si="813"/>
        <v>6729420.844491872</v>
      </c>
      <c r="DW130" s="76">
        <f t="shared" si="813"/>
        <v>6903661.2427616958</v>
      </c>
      <c r="DX130" s="76">
        <f t="shared" si="813"/>
        <v>6903661.2427616958</v>
      </c>
      <c r="DY130" s="76">
        <f t="shared" si="813"/>
        <v>6903661.2427616958</v>
      </c>
      <c r="DZ130" s="76">
        <f t="shared" si="813"/>
        <v>6939482.2551610935</v>
      </c>
      <c r="EA130" s="76">
        <f t="shared" si="813"/>
        <v>6939482.2551610935</v>
      </c>
      <c r="EB130" s="76">
        <f t="shared" si="813"/>
        <v>6939482.2551610935</v>
      </c>
      <c r="EC130" s="76">
        <f t="shared" si="813"/>
        <v>6949130.37290374</v>
      </c>
      <c r="ED130" s="76">
        <f t="shared" si="813"/>
        <v>6949130.37290374</v>
      </c>
      <c r="EE130" s="76">
        <f t="shared" si="813"/>
        <v>6949130.37290374</v>
      </c>
      <c r="EF130" s="76">
        <f t="shared" si="813"/>
        <v>6956885.9752430208</v>
      </c>
      <c r="EG130" s="76">
        <f t="shared" si="813"/>
        <v>6956885.9752430208</v>
      </c>
      <c r="EH130" s="76">
        <f t="shared" si="813"/>
        <v>6956885.9752430208</v>
      </c>
      <c r="EI130" s="76">
        <f t="shared" si="813"/>
        <v>7137335.308768753</v>
      </c>
      <c r="EJ130" s="76">
        <f t="shared" si="813"/>
        <v>7137335.308768753</v>
      </c>
      <c r="EK130" s="76" t="n">
        <f t="shared" ref="EK130:EN130" si="814">SUM(EK128:EK129)</f>
        <v>7137335.308768753</v>
      </c>
      <c r="EL130" s="76">
        <f t="shared" si="814"/>
        <v>7174410.0566021306</v>
      </c>
      <c r="EM130" s="76">
        <f t="shared" si="814"/>
        <v>7174410.0566021306</v>
      </c>
      <c r="EN130" s="76">
        <f t="shared" si="814"/>
        <v>7174410.0566021306</v>
      </c>
      <c r="EO130" s="486"/>
      <c r="EP130" s="487"/>
      <c r="EQ130" s="488"/>
      <c r="ER130" s="488"/>
      <c r="ES130" s="488"/>
      <c r="ET130" s="488"/>
      <c r="EU130" s="488"/>
      <c r="EV130" s="488"/>
      <c r="EW130" s="488"/>
      <c r="EX130" s="488"/>
      <c r="EY130" s="488"/>
      <c r="EZ130" s="488"/>
      <c r="FA130" s="488"/>
      <c r="FB130" s="488"/>
      <c r="FC130" s="488"/>
      <c r="FD130" s="488"/>
      <c r="FE130" s="488"/>
      <c r="FF130" s="488"/>
      <c r="FG130" s="488"/>
      <c r="FH130" s="488"/>
      <c r="FI130" s="488"/>
      <c r="FJ130" s="488"/>
      <c r="FK130" s="488"/>
      <c r="FL130" s="488"/>
      <c r="FM130" s="488"/>
      <c r="FN130" s="488"/>
      <c r="FO130" s="488"/>
      <c r="FP130" s="488"/>
      <c r="FQ130" s="488"/>
      <c r="FR130" s="488"/>
      <c r="FS130" s="488"/>
      <c r="FT130" s="488"/>
      <c r="FU130" s="488"/>
      <c r="FV130" s="488"/>
      <c r="FW130" s="488"/>
      <c r="FX130" s="488"/>
      <c r="FY130" s="488"/>
      <c r="FZ130" s="488"/>
      <c r="GA130" s="488"/>
      <c r="GB130" s="488"/>
      <c r="GC130" s="488"/>
      <c r="GD130" s="488"/>
      <c r="GE130" s="488"/>
      <c r="GF130" s="488"/>
      <c r="GG130" s="488"/>
      <c r="GH130" s="488"/>
      <c r="GI130" s="488"/>
      <c r="GJ130" s="488"/>
      <c r="GK130" s="488"/>
      <c r="GL130" s="488"/>
      <c r="GM130" s="488"/>
      <c r="GN130" s="488"/>
      <c r="GO130" s="488"/>
      <c r="GP130" s="488"/>
      <c r="GQ130" s="488"/>
      <c r="GR130" s="488"/>
      <c r="GS130" s="488"/>
      <c r="GT130" s="488"/>
      <c r="GU130" s="488"/>
      <c r="GV130" s="488"/>
      <c r="GW130" s="488"/>
      <c r="GX130" s="488"/>
      <c r="GY130" s="488"/>
      <c r="GZ130" s="488"/>
      <c r="HA130" s="488"/>
      <c r="HB130" s="488"/>
      <c r="HC130" s="488"/>
      <c r="HD130" s="488"/>
      <c r="HE130" s="488"/>
      <c r="HF130" s="488"/>
      <c r="HG130" s="488"/>
      <c r="HH130" s="488"/>
      <c r="HI130" s="488"/>
      <c r="HJ130" s="488"/>
      <c r="HK130" s="488"/>
      <c r="HL130" s="488"/>
      <c r="HM130" s="488"/>
      <c r="HN130" s="488"/>
      <c r="HO130" s="488"/>
      <c r="HP130" s="488"/>
      <c r="HQ130" s="488"/>
      <c r="HR130" s="488"/>
      <c r="HS130" s="488"/>
      <c r="HT130" s="488"/>
      <c r="HU130" s="488"/>
      <c r="HV130" s="488"/>
      <c r="HW130" s="488"/>
      <c r="HX130" s="488"/>
      <c r="HY130" s="488"/>
      <c r="HZ130" s="488"/>
      <c r="IA130" s="488"/>
      <c r="IB130" s="488"/>
      <c r="IC130" s="488"/>
      <c r="ID130" s="488"/>
      <c r="IE130" s="488"/>
      <c r="IF130" s="488"/>
      <c r="IG130" s="488"/>
      <c r="IH130" s="488"/>
      <c r="II130" s="488"/>
      <c r="IJ130" s="488"/>
      <c r="IK130" s="488"/>
      <c r="IL130" s="488"/>
      <c r="IM130" s="488"/>
      <c r="IN130" s="488"/>
      <c r="IO130" s="488"/>
      <c r="IP130" s="488"/>
      <c r="IQ130" s="488"/>
      <c r="IR130" s="488"/>
      <c r="IS130" s="488"/>
      <c r="IT130" s="488"/>
      <c r="IU130" s="488"/>
      <c r="IV130" s="488"/>
      <c r="IW130" s="488"/>
      <c r="IX130" s="488"/>
      <c r="IY130" s="488"/>
      <c r="IZ130" s="488"/>
      <c r="JA130" s="488"/>
      <c r="JB130" s="488"/>
      <c r="JC130" s="488"/>
      <c r="JD130" s="488"/>
      <c r="JE130" s="488"/>
      <c r="JF130" s="488"/>
      <c r="JG130" s="488"/>
      <c r="JH130" s="488"/>
      <c r="JI130" s="488"/>
      <c r="JJ130" s="488"/>
      <c r="JK130" s="488"/>
      <c r="JL130" s="488"/>
      <c r="JM130" s="488"/>
      <c r="JN130" s="488"/>
      <c r="JO130" s="488"/>
      <c r="JP130" s="488"/>
      <c r="JQ130" s="488"/>
      <c r="JR130" s="488"/>
      <c r="JS130" s="488"/>
      <c r="JT130" s="488"/>
      <c r="JU130" s="488"/>
      <c r="JV130" s="488"/>
      <c r="JW130" s="488"/>
      <c r="JX130" s="20"/>
      <c r="JZ130" s="489"/>
      <c r="KA130" s="489"/>
      <c r="KB130" s="489"/>
      <c r="KC130" s="489"/>
      <c r="KD130" s="489"/>
      <c r="KE130" s="489"/>
      <c r="KF130" s="489"/>
      <c r="KG130" s="489"/>
      <c r="KH130" s="489"/>
      <c r="KI130" s="489"/>
      <c r="KJ130" s="489"/>
      <c r="KK130" s="489"/>
      <c r="KL130" s="489"/>
      <c r="KM130" s="489"/>
      <c r="KN130" s="489"/>
      <c r="KO130" s="489"/>
      <c r="KP130" s="489"/>
      <c r="KQ130" s="489"/>
      <c r="KR130" s="489"/>
      <c r="KS130" s="489"/>
      <c r="KT130" s="489"/>
      <c r="KU130" s="489"/>
      <c r="KV130" s="489"/>
      <c r="KW130" s="489"/>
      <c r="KX130" s="489"/>
      <c r="KY130" s="489"/>
      <c r="KZ130" s="489"/>
      <c r="LA130" s="489"/>
      <c r="LB130" s="489"/>
      <c r="LC130" s="489"/>
      <c r="LD130" s="489"/>
      <c r="LE130" s="489"/>
      <c r="LF130" s="489"/>
      <c r="LG130" s="489"/>
      <c r="LH130" s="489"/>
      <c r="LI130" s="489"/>
      <c r="LJ130" s="489"/>
      <c r="LK130" s="489"/>
      <c r="LL130" s="489"/>
      <c r="LM130" s="489"/>
      <c r="LN130" s="489"/>
      <c r="LO130" s="489"/>
      <c r="LP130" s="489"/>
      <c r="LQ130" s="489"/>
      <c r="LR130" s="489"/>
      <c r="LS130" s="489"/>
      <c r="LT130" s="489"/>
      <c r="LU130" s="489"/>
      <c r="LV130" s="489"/>
      <c r="LW130" s="489"/>
      <c r="LX130" s="489"/>
      <c r="LY130" s="489"/>
      <c r="LZ130" s="489"/>
      <c r="MA130" s="489"/>
      <c r="MB130" s="489"/>
      <c r="MC130" s="489"/>
      <c r="MD130" s="489"/>
      <c r="ME130" s="489"/>
      <c r="MF130" s="489"/>
      <c r="MG130" s="489"/>
      <c r="MH130" s="489"/>
      <c r="MI130" s="489"/>
      <c r="MJ130" s="489"/>
      <c r="MK130" s="489"/>
      <c r="ML130" s="489"/>
      <c r="MM130" s="489"/>
      <c r="MN130" s="489"/>
      <c r="MO130" s="489"/>
      <c r="MP130" s="489"/>
      <c r="MQ130" s="489"/>
      <c r="MR130" s="489"/>
      <c r="MS130" s="489"/>
      <c r="MT130" s="489"/>
      <c r="MU130" s="489"/>
      <c r="MV130" s="489"/>
      <c r="MW130" s="489"/>
      <c r="MX130" s="489"/>
      <c r="MY130" s="489"/>
      <c r="MZ130" s="489"/>
      <c r="NA130" s="489"/>
      <c r="NB130" s="489"/>
      <c r="NC130" s="489"/>
      <c r="ND130" s="489"/>
      <c r="NE130" s="489"/>
      <c r="NF130" s="489"/>
      <c r="NG130" s="489"/>
      <c r="NH130" s="489"/>
      <c r="NI130" s="489"/>
      <c r="NJ130" s="489"/>
      <c r="NK130" s="489"/>
      <c r="NL130" s="489"/>
      <c r="NM130" s="489"/>
      <c r="NN130" s="489"/>
      <c r="NO130" s="489"/>
      <c r="NP130" s="489"/>
      <c r="NQ130" s="489"/>
      <c r="NR130" s="489"/>
      <c r="NS130" s="489"/>
      <c r="NT130" s="489"/>
      <c r="NU130" s="489"/>
      <c r="NV130" s="489"/>
      <c r="NW130" s="489"/>
      <c r="NX130" s="489"/>
      <c r="NY130" s="489"/>
      <c r="NZ130" s="489"/>
      <c r="OA130" s="489"/>
      <c r="OB130" s="489"/>
      <c r="OC130" s="489"/>
      <c r="OD130" s="489"/>
      <c r="OE130" s="489"/>
      <c r="OF130" s="489"/>
      <c r="OG130" s="489"/>
      <c r="OH130" s="489"/>
      <c r="OI130" s="489"/>
      <c r="OJ130" s="489"/>
      <c r="OK130" s="489"/>
      <c r="OL130" s="489"/>
      <c r="OM130" s="489"/>
      <c r="ON130" s="489"/>
      <c r="OO130" s="489"/>
      <c r="OP130" s="489"/>
      <c r="OQ130" s="489"/>
      <c r="OR130" s="489"/>
      <c r="OS130" s="489"/>
      <c r="OT130" s="489"/>
      <c r="OU130" s="489"/>
      <c r="OV130" s="489"/>
      <c r="OW130" s="489"/>
      <c r="OX130" s="489"/>
      <c r="OY130" s="489"/>
      <c r="OZ130" s="489"/>
      <c r="PA130" s="489"/>
      <c r="PB130" s="489"/>
      <c r="PC130" s="489"/>
      <c r="PD130" s="489"/>
      <c r="PE130" s="489"/>
      <c r="PF130" s="489"/>
      <c r="PG130" s="489"/>
      <c r="PH130" s="489"/>
    </row>
    <row r="131">
      <c r="B131" s="473"/>
      <c r="C131" s="418"/>
      <c r="D131" s="404"/>
      <c r="E131" s="404"/>
      <c r="F131" s="418"/>
      <c r="G131" s="41"/>
      <c r="H131" s="41"/>
      <c r="I131" s="42"/>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c r="DM131" s="76"/>
      <c r="DN131" s="76"/>
      <c r="DO131" s="76"/>
      <c r="DP131" s="76"/>
      <c r="DQ131" s="76"/>
      <c r="DR131" s="76"/>
      <c r="DS131" s="76"/>
      <c r="DT131" s="76"/>
      <c r="DU131" s="76"/>
      <c r="DV131" s="76"/>
      <c r="DW131" s="76"/>
      <c r="DX131" s="76"/>
      <c r="DY131" s="76"/>
      <c r="DZ131" s="76"/>
      <c r="EA131" s="76"/>
      <c r="EB131" s="76"/>
      <c r="EC131" s="76"/>
      <c r="ED131" s="76"/>
      <c r="EE131" s="76"/>
      <c r="EF131" s="76"/>
      <c r="EG131" s="76"/>
      <c r="EH131" s="76"/>
      <c r="EI131" s="76"/>
      <c r="EJ131" s="76"/>
      <c r="EK131" s="76"/>
      <c r="EL131" s="76"/>
      <c r="EM131" s="76"/>
      <c r="EN131" s="76"/>
      <c r="EO131" s="209"/>
      <c r="EP131" s="468"/>
      <c r="EQ131" s="469"/>
      <c r="ER131" s="469"/>
      <c r="ES131" s="469"/>
      <c r="ET131" s="469"/>
      <c r="EU131" s="469"/>
      <c r="EV131" s="469"/>
      <c r="EW131" s="469"/>
      <c r="EX131" s="469"/>
      <c r="EY131" s="469"/>
      <c r="EZ131" s="469"/>
      <c r="FA131" s="469"/>
      <c r="FB131" s="469"/>
      <c r="FC131" s="469"/>
      <c r="FD131" s="469"/>
      <c r="FE131" s="469"/>
      <c r="FF131" s="469"/>
      <c r="FG131" s="469"/>
      <c r="FH131" s="469"/>
      <c r="FI131" s="469"/>
      <c r="FJ131" s="469"/>
      <c r="FK131" s="469"/>
      <c r="FL131" s="469"/>
      <c r="FM131" s="469"/>
      <c r="FN131" s="469"/>
      <c r="FO131" s="469"/>
      <c r="FP131" s="469"/>
      <c r="FQ131" s="469"/>
      <c r="FR131" s="469"/>
      <c r="FS131" s="469"/>
      <c r="FT131" s="469"/>
      <c r="FU131" s="469"/>
      <c r="FV131" s="469"/>
      <c r="FW131" s="469"/>
      <c r="FX131" s="469"/>
      <c r="FY131" s="469"/>
      <c r="FZ131" s="469"/>
      <c r="GA131" s="469"/>
      <c r="GB131" s="469"/>
      <c r="GC131" s="469"/>
      <c r="GD131" s="469"/>
      <c r="GE131" s="469"/>
      <c r="GF131" s="469"/>
      <c r="GG131" s="469"/>
      <c r="GH131" s="469"/>
      <c r="GI131" s="469"/>
      <c r="GJ131" s="469"/>
      <c r="GK131" s="469"/>
      <c r="GL131" s="469"/>
      <c r="GM131" s="469"/>
      <c r="GN131" s="469"/>
      <c r="GO131" s="469"/>
      <c r="GP131" s="469"/>
      <c r="GQ131" s="469"/>
      <c r="GR131" s="469"/>
      <c r="GS131" s="469"/>
      <c r="GT131" s="469"/>
      <c r="GU131" s="469"/>
      <c r="GV131" s="469"/>
      <c r="GW131" s="469"/>
      <c r="GX131" s="469"/>
      <c r="GY131" s="469"/>
      <c r="GZ131" s="469"/>
      <c r="HA131" s="469"/>
      <c r="HB131" s="469"/>
      <c r="HC131" s="469"/>
      <c r="HD131" s="469"/>
      <c r="HE131" s="469"/>
      <c r="HF131" s="469"/>
      <c r="HG131" s="469"/>
      <c r="HH131" s="469"/>
      <c r="HI131" s="469"/>
      <c r="HJ131" s="469"/>
      <c r="HK131" s="469"/>
      <c r="HL131" s="469"/>
      <c r="HM131" s="469"/>
      <c r="HN131" s="469"/>
      <c r="HO131" s="469"/>
      <c r="HP131" s="469"/>
      <c r="HQ131" s="469"/>
      <c r="HR131" s="469"/>
      <c r="HS131" s="469"/>
      <c r="HT131" s="469"/>
      <c r="HU131" s="469"/>
      <c r="HV131" s="469"/>
      <c r="HW131" s="469"/>
      <c r="HX131" s="469"/>
      <c r="HY131" s="469"/>
      <c r="HZ131" s="469"/>
      <c r="IA131" s="469"/>
      <c r="IB131" s="469"/>
      <c r="IC131" s="469"/>
      <c r="ID131" s="469"/>
      <c r="IE131" s="469"/>
      <c r="IF131" s="469"/>
      <c r="IG131" s="469"/>
      <c r="IH131" s="469"/>
      <c r="II131" s="469"/>
      <c r="IJ131" s="469"/>
      <c r="IK131" s="469"/>
      <c r="IL131" s="469"/>
      <c r="IM131" s="469"/>
      <c r="IN131" s="469"/>
      <c r="IO131" s="469"/>
      <c r="IP131" s="469"/>
      <c r="IQ131" s="469"/>
      <c r="IR131" s="469"/>
      <c r="IS131" s="469"/>
      <c r="IT131" s="469"/>
      <c r="IU131" s="469"/>
      <c r="IV131" s="469"/>
      <c r="IW131" s="469"/>
      <c r="IX131" s="469"/>
      <c r="IY131" s="469"/>
      <c r="IZ131" s="469"/>
      <c r="JA131" s="469"/>
      <c r="JB131" s="469"/>
      <c r="JC131" s="469"/>
      <c r="JD131" s="469"/>
      <c r="JE131" s="469"/>
      <c r="JF131" s="469"/>
      <c r="JG131" s="469"/>
      <c r="JH131" s="469"/>
      <c r="JI131" s="469"/>
      <c r="JJ131" s="469"/>
      <c r="JK131" s="469"/>
      <c r="JL131" s="469"/>
      <c r="JM131" s="469"/>
      <c r="JN131" s="469"/>
      <c r="JO131" s="469"/>
      <c r="JP131" s="469"/>
      <c r="JQ131" s="469"/>
      <c r="JR131" s="469"/>
      <c r="JS131" s="469"/>
      <c r="JT131" s="469"/>
      <c r="JU131" s="469"/>
      <c r="JV131" s="469"/>
      <c r="JW131" s="469"/>
      <c r="JX131" s="20"/>
      <c r="JZ131" s="470"/>
      <c r="KA131" s="470"/>
      <c r="KB131" s="470"/>
      <c r="KC131" s="470"/>
      <c r="KD131" s="470"/>
      <c r="KE131" s="470"/>
      <c r="KF131" s="470"/>
      <c r="KG131" s="470"/>
      <c r="KH131" s="470"/>
      <c r="KI131" s="470"/>
      <c r="KJ131" s="470"/>
      <c r="KK131" s="470"/>
      <c r="KL131" s="470"/>
      <c r="KM131" s="470"/>
      <c r="KN131" s="470"/>
      <c r="KO131" s="470"/>
      <c r="KP131" s="470"/>
      <c r="KQ131" s="470"/>
      <c r="KR131" s="470"/>
      <c r="KS131" s="470"/>
      <c r="KT131" s="470"/>
      <c r="KU131" s="470"/>
      <c r="KV131" s="470"/>
      <c r="KW131" s="470"/>
      <c r="KX131" s="470"/>
      <c r="KY131" s="470"/>
      <c r="KZ131" s="470"/>
      <c r="LA131" s="470"/>
      <c r="LB131" s="470"/>
      <c r="LC131" s="470"/>
      <c r="LD131" s="470"/>
      <c r="LE131" s="470"/>
      <c r="LF131" s="470"/>
      <c r="LG131" s="470"/>
      <c r="LH131" s="470"/>
      <c r="LI131" s="470"/>
      <c r="LJ131" s="470"/>
      <c r="LK131" s="470"/>
      <c r="LL131" s="470"/>
      <c r="LM131" s="470"/>
      <c r="LN131" s="470"/>
      <c r="LO131" s="470"/>
      <c r="LP131" s="470"/>
      <c r="LQ131" s="470"/>
      <c r="LR131" s="470"/>
      <c r="LS131" s="470"/>
      <c r="LT131" s="470"/>
      <c r="LU131" s="470"/>
      <c r="LV131" s="470"/>
      <c r="LW131" s="470"/>
      <c r="LX131" s="470"/>
      <c r="LY131" s="470"/>
      <c r="LZ131" s="470"/>
      <c r="MA131" s="470"/>
      <c r="MB131" s="470"/>
      <c r="MC131" s="470"/>
      <c r="MD131" s="470"/>
      <c r="ME131" s="470"/>
      <c r="MF131" s="470"/>
      <c r="MG131" s="470"/>
      <c r="MH131" s="470"/>
      <c r="MI131" s="470"/>
      <c r="MJ131" s="470"/>
      <c r="MK131" s="470"/>
      <c r="ML131" s="470"/>
      <c r="MM131" s="470"/>
      <c r="MN131" s="470"/>
      <c r="MO131" s="470"/>
      <c r="MP131" s="470"/>
      <c r="MQ131" s="470"/>
      <c r="MR131" s="470"/>
      <c r="MS131" s="470"/>
      <c r="MT131" s="470"/>
      <c r="MU131" s="470"/>
      <c r="MV131" s="470"/>
      <c r="MW131" s="470"/>
      <c r="MX131" s="470"/>
      <c r="MY131" s="470"/>
      <c r="MZ131" s="470"/>
      <c r="NA131" s="470"/>
      <c r="NB131" s="470"/>
      <c r="NC131" s="470"/>
      <c r="ND131" s="470"/>
      <c r="NE131" s="470"/>
      <c r="NF131" s="470"/>
      <c r="NG131" s="470"/>
      <c r="NH131" s="470"/>
      <c r="NI131" s="470"/>
      <c r="NJ131" s="470"/>
      <c r="NK131" s="470"/>
      <c r="NL131" s="470"/>
      <c r="NM131" s="470"/>
      <c r="NN131" s="470"/>
      <c r="NO131" s="470"/>
      <c r="NP131" s="470"/>
      <c r="NQ131" s="470"/>
      <c r="NR131" s="470"/>
      <c r="NS131" s="470"/>
      <c r="NT131" s="470"/>
      <c r="NU131" s="470"/>
      <c r="NV131" s="470"/>
      <c r="NW131" s="470"/>
      <c r="NX131" s="470"/>
      <c r="NY131" s="470"/>
      <c r="NZ131" s="470"/>
      <c r="OA131" s="470"/>
      <c r="OB131" s="470"/>
      <c r="OC131" s="470"/>
      <c r="OD131" s="470"/>
      <c r="OE131" s="470"/>
      <c r="OF131" s="470"/>
      <c r="OG131" s="470"/>
      <c r="OH131" s="470"/>
      <c r="OI131" s="470"/>
      <c r="OJ131" s="470"/>
      <c r="OK131" s="470"/>
      <c r="OL131" s="470"/>
      <c r="OM131" s="470"/>
      <c r="ON131" s="470"/>
      <c r="OO131" s="470"/>
      <c r="OP131" s="470"/>
      <c r="OQ131" s="470"/>
      <c r="OR131" s="470"/>
      <c r="OS131" s="470"/>
      <c r="OT131" s="470"/>
      <c r="OU131" s="470"/>
      <c r="OV131" s="470"/>
      <c r="OW131" s="470"/>
      <c r="OX131" s="470"/>
      <c r="OY131" s="470"/>
      <c r="OZ131" s="470"/>
      <c r="PA131" s="470"/>
      <c r="PB131" s="470"/>
      <c r="PC131" s="470"/>
      <c r="PD131" s="470"/>
      <c r="PE131" s="470"/>
      <c r="PF131" s="470"/>
      <c r="PG131" s="470"/>
      <c r="PH131" s="470"/>
    </row>
    <row r="132">
      <c r="B132" s="410"/>
      <c r="C132" s="490">
        <v>260</v>
      </c>
      <c r="D132" s="411"/>
      <c r="E132" s="411"/>
      <c r="F132" s="411"/>
      <c r="G132" s="411"/>
      <c r="H132" s="411"/>
      <c r="I132" s="411"/>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c r="DM132" s="76"/>
      <c r="DN132" s="76"/>
      <c r="DO132" s="76"/>
      <c r="DP132" s="76"/>
      <c r="DQ132" s="76"/>
      <c r="DR132" s="76"/>
      <c r="DS132" s="76"/>
      <c r="DT132" s="76"/>
      <c r="DU132" s="76"/>
      <c r="DV132" s="76"/>
      <c r="DW132" s="76"/>
      <c r="DX132" s="76"/>
      <c r="DY132" s="76"/>
      <c r="DZ132" s="76"/>
      <c r="EA132" s="76"/>
      <c r="EB132" s="76"/>
      <c r="EC132" s="76"/>
      <c r="ED132" s="76"/>
      <c r="EE132" s="76"/>
      <c r="EF132" s="76"/>
      <c r="EG132" s="76"/>
      <c r="EH132" s="76"/>
      <c r="EI132" s="76"/>
      <c r="EJ132" s="76"/>
      <c r="EK132" s="76"/>
      <c r="EL132" s="76"/>
      <c r="EM132" s="76"/>
      <c r="EN132" s="76"/>
      <c r="EO132" s="209"/>
      <c r="EP132" s="468"/>
      <c r="EQ132" s="469"/>
      <c r="ER132" s="469"/>
      <c r="ES132" s="469"/>
      <c r="ET132" s="469"/>
      <c r="EU132" s="469"/>
      <c r="EV132" s="469"/>
      <c r="EW132" s="469"/>
      <c r="EX132" s="469"/>
      <c r="EY132" s="469"/>
      <c r="EZ132" s="469"/>
      <c r="FA132" s="469"/>
      <c r="FB132" s="469"/>
      <c r="FC132" s="469"/>
      <c r="FD132" s="469"/>
      <c r="FE132" s="469"/>
      <c r="FF132" s="469"/>
      <c r="FG132" s="469"/>
      <c r="FH132" s="469"/>
      <c r="FI132" s="469"/>
      <c r="FJ132" s="469"/>
      <c r="FK132" s="469"/>
      <c r="FL132" s="469"/>
      <c r="FM132" s="469"/>
      <c r="FN132" s="469"/>
      <c r="FO132" s="469"/>
      <c r="FP132" s="469"/>
      <c r="FQ132" s="469"/>
      <c r="FR132" s="469"/>
      <c r="FS132" s="469"/>
      <c r="FT132" s="469"/>
      <c r="FU132" s="469"/>
      <c r="FV132" s="469"/>
      <c r="FW132" s="469"/>
      <c r="FX132" s="469"/>
      <c r="FY132" s="469"/>
      <c r="FZ132" s="469"/>
      <c r="GA132" s="469"/>
      <c r="GB132" s="469"/>
      <c r="GC132" s="469"/>
      <c r="GD132" s="469"/>
      <c r="GE132" s="469"/>
      <c r="GF132" s="469"/>
      <c r="GG132" s="469"/>
      <c r="GH132" s="469"/>
      <c r="GI132" s="469"/>
      <c r="GJ132" s="469"/>
      <c r="GK132" s="469"/>
      <c r="GL132" s="469"/>
      <c r="GM132" s="469"/>
      <c r="GN132" s="469"/>
      <c r="GO132" s="469"/>
      <c r="GP132" s="469"/>
      <c r="GQ132" s="469"/>
      <c r="GR132" s="469"/>
      <c r="GS132" s="469"/>
      <c r="GT132" s="469"/>
      <c r="GU132" s="469"/>
      <c r="GV132" s="469"/>
      <c r="GW132" s="469"/>
      <c r="GX132" s="469"/>
      <c r="GY132" s="469"/>
      <c r="GZ132" s="469"/>
      <c r="HA132" s="469"/>
      <c r="HB132" s="469"/>
      <c r="HC132" s="469"/>
      <c r="HD132" s="469"/>
      <c r="HE132" s="469"/>
      <c r="HF132" s="469"/>
      <c r="HG132" s="469"/>
      <c r="HH132" s="469"/>
      <c r="HI132" s="469"/>
      <c r="HJ132" s="469"/>
      <c r="HK132" s="469"/>
      <c r="HL132" s="469"/>
      <c r="HM132" s="469"/>
      <c r="HN132" s="469"/>
      <c r="HO132" s="469"/>
      <c r="HP132" s="469"/>
      <c r="HQ132" s="469"/>
      <c r="HR132" s="469"/>
      <c r="HS132" s="469"/>
      <c r="HT132" s="469"/>
      <c r="HU132" s="469"/>
      <c r="HV132" s="469"/>
      <c r="HW132" s="469"/>
      <c r="HX132" s="469"/>
      <c r="HY132" s="469"/>
      <c r="HZ132" s="469"/>
      <c r="IA132" s="469"/>
      <c r="IB132" s="469"/>
      <c r="IC132" s="469"/>
      <c r="ID132" s="469"/>
      <c r="IE132" s="469"/>
      <c r="IF132" s="469"/>
      <c r="IG132" s="469"/>
      <c r="IH132" s="469"/>
      <c r="II132" s="469"/>
      <c r="IJ132" s="469"/>
      <c r="IK132" s="469"/>
      <c r="IL132" s="469"/>
      <c r="IM132" s="469"/>
      <c r="IN132" s="469"/>
      <c r="IO132" s="469"/>
      <c r="IP132" s="469"/>
      <c r="IQ132" s="469"/>
      <c r="IR132" s="469"/>
      <c r="IS132" s="469"/>
      <c r="IT132" s="469"/>
      <c r="IU132" s="469"/>
      <c r="IV132" s="469"/>
      <c r="IW132" s="469"/>
      <c r="IX132" s="469"/>
      <c r="IY132" s="469"/>
      <c r="IZ132" s="469"/>
      <c r="JA132" s="469"/>
      <c r="JB132" s="469"/>
      <c r="JC132" s="469"/>
      <c r="JD132" s="469"/>
      <c r="JE132" s="469"/>
      <c r="JF132" s="469"/>
      <c r="JG132" s="469"/>
      <c r="JH132" s="469"/>
      <c r="JI132" s="469"/>
      <c r="JJ132" s="469"/>
      <c r="JK132" s="469"/>
      <c r="JL132" s="469"/>
      <c r="JM132" s="469"/>
      <c r="JN132" s="469"/>
      <c r="JO132" s="469"/>
      <c r="JP132" s="469"/>
      <c r="JQ132" s="469"/>
      <c r="JR132" s="469"/>
      <c r="JS132" s="469"/>
      <c r="JT132" s="469"/>
      <c r="JU132" s="469"/>
      <c r="JV132" s="469"/>
      <c r="JW132" s="469"/>
      <c r="JX132" s="20"/>
      <c r="JZ132" s="470"/>
      <c r="KA132" s="470"/>
      <c r="KB132" s="470"/>
      <c r="KC132" s="470"/>
      <c r="KD132" s="470"/>
      <c r="KE132" s="470"/>
      <c r="KF132" s="470"/>
      <c r="KG132" s="470"/>
      <c r="KH132" s="470"/>
      <c r="KI132" s="470"/>
      <c r="KJ132" s="470"/>
      <c r="KK132" s="470"/>
      <c r="KL132" s="470"/>
      <c r="KM132" s="470"/>
      <c r="KN132" s="470"/>
      <c r="KO132" s="470"/>
      <c r="KP132" s="470"/>
      <c r="KQ132" s="470"/>
      <c r="KR132" s="470"/>
      <c r="KS132" s="470"/>
      <c r="KT132" s="470"/>
      <c r="KU132" s="470"/>
      <c r="KV132" s="470"/>
      <c r="KW132" s="470"/>
      <c r="KX132" s="470"/>
      <c r="KY132" s="470"/>
      <c r="KZ132" s="470"/>
      <c r="LA132" s="470"/>
      <c r="LB132" s="470"/>
      <c r="LC132" s="470"/>
      <c r="LD132" s="470"/>
      <c r="LE132" s="470"/>
      <c r="LF132" s="470"/>
      <c r="LG132" s="470"/>
      <c r="LH132" s="470"/>
      <c r="LI132" s="470"/>
      <c r="LJ132" s="470"/>
      <c r="LK132" s="470"/>
      <c r="LL132" s="470"/>
      <c r="LM132" s="470"/>
      <c r="LN132" s="470"/>
      <c r="LO132" s="470"/>
      <c r="LP132" s="470"/>
      <c r="LQ132" s="470"/>
      <c r="LR132" s="470"/>
      <c r="LS132" s="470"/>
      <c r="LT132" s="470"/>
      <c r="LU132" s="470"/>
      <c r="LV132" s="470"/>
      <c r="LW132" s="470"/>
      <c r="LX132" s="470"/>
      <c r="LY132" s="470"/>
      <c r="LZ132" s="470"/>
      <c r="MA132" s="470"/>
      <c r="MB132" s="470"/>
      <c r="MC132" s="470"/>
      <c r="MD132" s="470"/>
      <c r="ME132" s="470"/>
      <c r="MF132" s="470"/>
      <c r="MG132" s="470"/>
      <c r="MH132" s="470"/>
      <c r="MI132" s="470"/>
      <c r="MJ132" s="470"/>
      <c r="MK132" s="470"/>
      <c r="ML132" s="470"/>
      <c r="MM132" s="470"/>
      <c r="MN132" s="470"/>
      <c r="MO132" s="470"/>
      <c r="MP132" s="470"/>
      <c r="MQ132" s="470"/>
      <c r="MR132" s="470"/>
      <c r="MS132" s="470"/>
      <c r="MT132" s="470"/>
      <c r="MU132" s="470"/>
      <c r="MV132" s="470"/>
      <c r="MW132" s="470"/>
      <c r="MX132" s="470"/>
      <c r="MY132" s="470"/>
      <c r="MZ132" s="470"/>
      <c r="NA132" s="470"/>
      <c r="NB132" s="470"/>
      <c r="NC132" s="470"/>
      <c r="ND132" s="470"/>
      <c r="NE132" s="470"/>
      <c r="NF132" s="470"/>
      <c r="NG132" s="470"/>
      <c r="NH132" s="470"/>
      <c r="NI132" s="470"/>
      <c r="NJ132" s="470"/>
      <c r="NK132" s="470"/>
      <c r="NL132" s="470"/>
      <c r="NM132" s="470"/>
      <c r="NN132" s="470"/>
      <c r="NO132" s="470"/>
      <c r="NP132" s="470"/>
      <c r="NQ132" s="470"/>
      <c r="NR132" s="470"/>
      <c r="NS132" s="470"/>
      <c r="NT132" s="470"/>
      <c r="NU132" s="470"/>
      <c r="NV132" s="470"/>
      <c r="NW132" s="470"/>
      <c r="NX132" s="470"/>
      <c r="NY132" s="470"/>
      <c r="NZ132" s="470"/>
      <c r="OA132" s="470"/>
      <c r="OB132" s="470"/>
      <c r="OC132" s="470"/>
      <c r="OD132" s="470"/>
      <c r="OE132" s="470"/>
      <c r="OF132" s="470"/>
      <c r="OG132" s="470"/>
      <c r="OH132" s="470"/>
      <c r="OI132" s="470"/>
      <c r="OJ132" s="470"/>
      <c r="OK132" s="470"/>
      <c r="OL132" s="470"/>
      <c r="OM132" s="470"/>
      <c r="ON132" s="470"/>
      <c r="OO132" s="470"/>
      <c r="OP132" s="470"/>
      <c r="OQ132" s="470"/>
      <c r="OR132" s="470"/>
      <c r="OS132" s="470"/>
      <c r="OT132" s="470"/>
      <c r="OU132" s="470"/>
      <c r="OV132" s="470"/>
      <c r="OW132" s="470"/>
      <c r="OX132" s="470"/>
      <c r="OY132" s="470"/>
      <c r="OZ132" s="470"/>
      <c r="PA132" s="470"/>
      <c r="PB132" s="470"/>
      <c r="PC132" s="470"/>
      <c r="PD132" s="470"/>
      <c r="PE132" s="470"/>
      <c r="PF132" s="470"/>
      <c r="PG132" s="470"/>
      <c r="PH132" s="470"/>
    </row>
    <row r="133">
      <c r="B133" s="453"/>
      <c r="C133" s="491">
        <v>250</v>
      </c>
      <c r="D133" s="416"/>
      <c r="E133" s="416"/>
      <c r="F133" s="416" t="s">
        <v>286</v>
      </c>
      <c r="G133" s="416" t="s">
        <v>287</v>
      </c>
      <c r="H133" s="152" t="str">
        <f>+H129</f>
        <v>/M2/YR</v>
      </c>
      <c r="I133" s="416" t="s">
        <v>267</v>
      </c>
      <c r="EP133" s="220"/>
      <c r="EQ133" s="210"/>
      <c r="ER133" s="18"/>
      <c r="ES133" s="18"/>
      <c r="ET133" s="18"/>
      <c r="EU133" s="18"/>
      <c r="EV133" s="20"/>
      <c r="EW133" s="20"/>
      <c r="EX133" s="20"/>
      <c r="EY133" s="20"/>
      <c r="EZ133" s="20"/>
      <c r="FA133" s="20"/>
      <c r="FB133" s="20"/>
      <c r="FC133" s="20"/>
      <c r="FD133" s="20"/>
      <c r="FE133" s="20"/>
      <c r="FF133" s="20"/>
      <c r="FG133" s="20"/>
      <c r="FH133" s="20"/>
      <c r="FI133" s="20"/>
      <c r="FJ133" s="20"/>
      <c r="FK133" s="20"/>
      <c r="FL133" s="20"/>
      <c r="FM133" s="20"/>
      <c r="FN133" s="20"/>
      <c r="FO133" s="20"/>
      <c r="FP133" s="20"/>
      <c r="FQ133" s="20"/>
      <c r="FR133" s="20"/>
      <c r="FS133" s="20"/>
      <c r="FT133" s="20"/>
      <c r="FU133" s="20"/>
      <c r="FV133" s="20"/>
      <c r="FW133" s="20"/>
      <c r="FX133" s="20"/>
      <c r="FY133" s="20"/>
      <c r="FZ133" s="20"/>
      <c r="GA133" s="20"/>
      <c r="GB133" s="20"/>
      <c r="GC133" s="20"/>
      <c r="GD133" s="20"/>
      <c r="GE133" s="20"/>
      <c r="GF133" s="20"/>
      <c r="GG133" s="20"/>
      <c r="GH133" s="20"/>
      <c r="GI133" s="20"/>
      <c r="GJ133" s="20"/>
      <c r="GK133" s="20"/>
      <c r="GL133" s="20"/>
      <c r="GM133" s="20"/>
      <c r="GN133" s="20"/>
      <c r="GO133" s="20"/>
      <c r="GP133" s="20"/>
      <c r="GQ133" s="20"/>
      <c r="GR133" s="20"/>
      <c r="GS133" s="20"/>
      <c r="GT133" s="20"/>
      <c r="GU133" s="20"/>
      <c r="GV133" s="20"/>
      <c r="GW133" s="20"/>
      <c r="GX133" s="20"/>
      <c r="GY133" s="20"/>
      <c r="GZ133" s="20"/>
      <c r="HA133" s="20"/>
      <c r="HB133" s="20"/>
      <c r="HC133" s="20"/>
      <c r="HD133" s="20"/>
      <c r="HE133" s="20"/>
      <c r="HF133" s="20"/>
      <c r="HG133" s="20"/>
      <c r="HH133" s="20"/>
      <c r="HI133" s="20"/>
      <c r="HJ133" s="20"/>
      <c r="HK133" s="20"/>
      <c r="HL133" s="20"/>
      <c r="HM133" s="20"/>
      <c r="HN133" s="20"/>
      <c r="HO133" s="20"/>
      <c r="HP133" s="20"/>
      <c r="HQ133" s="20"/>
      <c r="HR133" s="20"/>
      <c r="HS133" s="20"/>
      <c r="HT133" s="20"/>
      <c r="HU133" s="20"/>
      <c r="HV133" s="20"/>
      <c r="HW133" s="20"/>
      <c r="HX133" s="20"/>
      <c r="HY133" s="20"/>
      <c r="HZ133" s="20"/>
      <c r="IA133" s="20"/>
      <c r="IB133" s="20"/>
      <c r="IC133" s="20"/>
      <c r="ID133" s="20"/>
      <c r="IE133" s="20"/>
      <c r="IF133" s="20"/>
      <c r="IG133" s="20"/>
      <c r="IH133" s="20"/>
      <c r="II133" s="20"/>
      <c r="IJ133" s="20"/>
      <c r="IK133" s="20"/>
      <c r="IL133" s="20"/>
      <c r="IM133" s="20"/>
      <c r="IN133" s="20"/>
      <c r="IO133" s="20"/>
      <c r="IP133" s="20"/>
      <c r="IQ133" s="20"/>
      <c r="IR133" s="20"/>
      <c r="IS133" s="20"/>
      <c r="IT133" s="20"/>
      <c r="IU133" s="20"/>
      <c r="IV133" s="20"/>
      <c r="IW133" s="20"/>
      <c r="IX133" s="20"/>
      <c r="IY133" s="20"/>
      <c r="IZ133" s="20"/>
      <c r="JA133" s="20"/>
      <c r="JB133" s="20"/>
      <c r="JC133" s="20"/>
      <c r="JD133" s="20"/>
      <c r="JE133" s="20"/>
      <c r="JF133" s="20"/>
      <c r="JG133" s="20"/>
      <c r="JH133" s="20"/>
      <c r="JI133" s="20"/>
      <c r="JJ133" s="20"/>
      <c r="JK133" s="20"/>
      <c r="JL133" s="20"/>
      <c r="JM133" s="20"/>
      <c r="JN133" s="20"/>
      <c r="JO133" s="20"/>
      <c r="JP133" s="20"/>
      <c r="JQ133" s="20"/>
      <c r="JR133" s="20"/>
      <c r="JS133" s="20"/>
      <c r="JT133" s="20"/>
      <c r="JU133" s="20"/>
      <c r="JV133" s="20"/>
      <c r="JW133" s="20"/>
      <c r="JX133" s="20"/>
      <c r="JZ133" s="263"/>
      <c r="KA133" s="263"/>
      <c r="KB133" s="263"/>
      <c r="KC133" s="263"/>
      <c r="KD133" s="263"/>
      <c r="KE133" s="263"/>
      <c r="KF133" s="263"/>
      <c r="KG133" s="263"/>
      <c r="KH133" s="263"/>
      <c r="KI133" s="263"/>
      <c r="KJ133" s="263"/>
      <c r="KK133" s="263"/>
      <c r="KL133" s="263"/>
      <c r="KM133" s="263"/>
      <c r="KN133" s="263"/>
      <c r="KO133" s="263"/>
      <c r="KP133" s="263"/>
      <c r="KQ133" s="263"/>
      <c r="KR133" s="263"/>
      <c r="KS133" s="263"/>
      <c r="KT133" s="263"/>
      <c r="KU133" s="263"/>
      <c r="KV133" s="263"/>
      <c r="KW133" s="263"/>
      <c r="KX133" s="263"/>
      <c r="KY133" s="263"/>
      <c r="KZ133" s="263"/>
      <c r="LA133" s="263"/>
      <c r="LB133" s="263"/>
      <c r="LC133" s="263"/>
      <c r="LD133" s="263"/>
      <c r="LE133" s="263"/>
      <c r="LF133" s="263"/>
      <c r="LG133" s="263"/>
      <c r="LH133" s="263"/>
      <c r="LI133" s="263"/>
      <c r="LJ133" s="263"/>
      <c r="LK133" s="263"/>
      <c r="LL133" s="263"/>
      <c r="LM133" s="263"/>
      <c r="LN133" s="263"/>
      <c r="LO133" s="263"/>
      <c r="LP133" s="263"/>
      <c r="LQ133" s="263"/>
      <c r="LR133" s="263"/>
      <c r="LS133" s="263"/>
      <c r="LT133" s="263"/>
      <c r="LU133" s="263"/>
      <c r="LV133" s="263"/>
      <c r="LW133" s="263"/>
      <c r="LX133" s="263"/>
      <c r="LY133" s="263"/>
      <c r="LZ133" s="263"/>
      <c r="MA133" s="263"/>
      <c r="MB133" s="263"/>
      <c r="MC133" s="263"/>
      <c r="MD133" s="263"/>
      <c r="ME133" s="263"/>
      <c r="MF133" s="263"/>
      <c r="MG133" s="263"/>
      <c r="MH133" s="263"/>
      <c r="MI133" s="263"/>
      <c r="MJ133" s="263"/>
      <c r="MK133" s="263"/>
      <c r="ML133" s="263"/>
      <c r="MM133" s="263"/>
      <c r="MN133" s="263"/>
      <c r="MO133" s="263"/>
      <c r="MP133" s="263"/>
      <c r="MQ133" s="263"/>
      <c r="MR133" s="263"/>
      <c r="MS133" s="263"/>
      <c r="MT133" s="263"/>
      <c r="MU133" s="263"/>
      <c r="MV133" s="263"/>
      <c r="MW133" s="263"/>
      <c r="MX133" s="263"/>
      <c r="MY133" s="263"/>
      <c r="MZ133" s="263"/>
      <c r="NA133" s="263"/>
      <c r="NB133" s="263"/>
      <c r="NC133" s="263"/>
      <c r="ND133" s="263"/>
      <c r="NE133" s="263"/>
      <c r="NF133" s="263"/>
      <c r="NG133" s="263"/>
      <c r="NH133" s="263"/>
      <c r="NI133" s="263"/>
      <c r="NJ133" s="263"/>
      <c r="NK133" s="263"/>
      <c r="NL133" s="263"/>
      <c r="NM133" s="263"/>
      <c r="NN133" s="263"/>
      <c r="NO133" s="263"/>
      <c r="NP133" s="263"/>
      <c r="NQ133" s="263"/>
      <c r="NR133" s="263"/>
      <c r="NS133" s="263"/>
      <c r="NT133" s="263"/>
      <c r="NU133" s="263"/>
      <c r="NV133" s="263"/>
      <c r="NW133" s="263"/>
      <c r="NX133" s="263"/>
      <c r="NY133" s="263"/>
      <c r="NZ133" s="263"/>
      <c r="OA133" s="263"/>
      <c r="OB133" s="263"/>
      <c r="OC133" s="263"/>
      <c r="OD133" s="263"/>
      <c r="OE133" s="263"/>
      <c r="OF133" s="263"/>
      <c r="OG133" s="263"/>
      <c r="OH133" s="263"/>
      <c r="OI133" s="263"/>
      <c r="OJ133" s="263"/>
      <c r="OK133" s="263"/>
      <c r="OL133" s="263"/>
      <c r="OM133" s="263"/>
      <c r="ON133" s="263"/>
      <c r="OO133" s="263"/>
      <c r="OP133" s="263"/>
      <c r="OQ133" s="263"/>
      <c r="OR133" s="263"/>
      <c r="OS133" s="263"/>
      <c r="OT133" s="263"/>
      <c r="OU133" s="263"/>
      <c r="OV133" s="263"/>
      <c r="OW133" s="263"/>
      <c r="OX133" s="263"/>
      <c r="OY133" s="263"/>
      <c r="OZ133" s="263"/>
      <c r="PA133" s="263"/>
      <c r="PB133" s="263"/>
      <c r="PC133" s="263"/>
      <c r="PD133" s="263"/>
      <c r="PE133" s="263"/>
      <c r="PF133" s="263"/>
      <c r="PG133" s="263"/>
      <c r="PH133" s="263"/>
    </row>
    <row r="134">
      <c r="B134" s="431"/>
      <c r="C134" s="418">
        <v>0.25</v>
      </c>
      <c r="D134" s="404"/>
      <c r="E134" s="54"/>
      <c r="F134" s="44">
        <v>0.02</v>
      </c>
      <c r="G134" s="58" t="n">
        <f>I134/$I$130</f>
        <v>0.06734108392120527</v>
      </c>
      <c r="H134" s="144" t="n">
        <f>I134/Units</f>
        <v>41.98925662698547</v>
      </c>
      <c r="I134" s="428" t="n">
        <f>PROJECTS!$N$29*1000000</f>
        <v>3288278.6208900046</v>
      </c>
      <c r="L134" s="76" t="n">
        <f>IFERROR(INDEX(PROJECTS!$N$15:$AI$15,1,MATCH(YEAR(L$24),PROJECTS!$N$7:$AI$7,0))*1000000/12+INDEX(PROJECTS!$N$19:$AI$19,1,MATCH(YEAR(L$24),PROJECTS!$N$7:$AI$7,0))*1000000/12,0)</f>
        <v>0</v>
      </c>
      <c r="M134" s="421" t="n">
        <f>IFERROR(INDEX(PROJECTS!$N$15:$AI$15,1,MATCH(YEAR(M$24),PROJECTS!$N$7:$AI$7,0))*1000000/12+INDEX(PROJECTS!$N$19:$AI$19,1,MATCH(YEAR(M$24),PROJECTS!$N$7:$AI$7,0))*1000000/12,0)</f>
        <v>0</v>
      </c>
      <c r="N134" s="421" t="n">
        <f>IFERROR(INDEX(PROJECTS!$N$15:$AI$15,1,MATCH(YEAR(N$24),PROJECTS!$N$7:$AI$7,0))*1000000/12+INDEX(PROJECTS!$N$19:$AI$19,1,MATCH(YEAR(N$24),PROJECTS!$N$7:$AI$7,0))*1000000/12,0)</f>
        <v>0</v>
      </c>
      <c r="O134" s="421" t="n">
        <f>IFERROR(INDEX(PROJECTS!$N$15:$AI$15,1,MATCH(YEAR(O$24),PROJECTS!$N$7:$AI$7,0))*1000000/12+INDEX(PROJECTS!$N$19:$AI$19,1,MATCH(YEAR(O$24),PROJECTS!$N$7:$AI$7,0))*1000000/12,0)</f>
        <v>0</v>
      </c>
      <c r="P134" s="421" t="n">
        <f>IFERROR(INDEX(PROJECTS!$N$15:$AI$15,1,MATCH(YEAR(P$24),PROJECTS!$N$7:$AI$7,0))*1000000/12+INDEX(PROJECTS!$N$19:$AI$19,1,MATCH(YEAR(P$24),PROJECTS!$N$7:$AI$7,0))*1000000/12,0)</f>
        <v>0</v>
      </c>
      <c r="Q134" s="421" t="n">
        <f>IFERROR(INDEX(PROJECTS!$N$15:$AI$15,1,MATCH(YEAR(Q$24),PROJECTS!$N$7:$AI$7,0))*1000000/12+INDEX(PROJECTS!$N$19:$AI$19,1,MATCH(YEAR(Q$24),PROJECTS!$N$7:$AI$7,0))*1000000/12,0)</f>
        <v>0</v>
      </c>
      <c r="R134" s="421" t="n">
        <f>IFERROR(INDEX(PROJECTS!$N$15:$AI$15,1,MATCH(YEAR(R$24),PROJECTS!$N$7:$AI$7,0))*1000000/12+INDEX(PROJECTS!$N$19:$AI$19,1,MATCH(YEAR(R$24),PROJECTS!$N$7:$AI$7,0))*1000000/12,0)</f>
        <v>0</v>
      </c>
      <c r="S134" s="421" t="n">
        <f>IFERROR(INDEX(PROJECTS!$N$15:$AI$15,1,MATCH(YEAR(S$24),PROJECTS!$N$7:$AI$7,0))*1000000/12+INDEX(PROJECTS!$N$19:$AI$19,1,MATCH(YEAR(S$24),PROJECTS!$N$7:$AI$7,0))*1000000/12,0)</f>
        <v>114338.88963590557</v>
      </c>
      <c r="T134" s="421" t="n">
        <f>IFERROR(INDEX(PROJECTS!$N$15:$AI$15,1,MATCH(YEAR(T$24),PROJECTS!$N$7:$AI$7,0))*1000000/12+INDEX(PROJECTS!$N$19:$AI$19,1,MATCH(YEAR(T$24),PROJECTS!$N$7:$AI$7,0))*1000000/12,0)</f>
        <v>114338.88963590557</v>
      </c>
      <c r="U134" s="421" t="n">
        <f>IFERROR(INDEX(PROJECTS!$N$15:$AI$15,1,MATCH(YEAR(U$24),PROJECTS!$N$7:$AI$7,0))*1000000/12+INDEX(PROJECTS!$N$19:$AI$19,1,MATCH(YEAR(U$24),PROJECTS!$N$7:$AI$7,0))*1000000/12,0)</f>
        <v>114338.88963590557</v>
      </c>
      <c r="V134" s="421" t="n">
        <f>IFERROR(INDEX(PROJECTS!$N$15:$AI$15,1,MATCH(YEAR(V$24),PROJECTS!$N$7:$AI$7,0))*1000000/12+INDEX(PROJECTS!$N$19:$AI$19,1,MATCH(YEAR(V$24),PROJECTS!$N$7:$AI$7,0))*1000000/12,0)</f>
        <v>114338.88963590557</v>
      </c>
      <c r="W134" s="421" t="n">
        <f>IFERROR(INDEX(PROJECTS!$N$15:$AI$15,1,MATCH(YEAR(W$24),PROJECTS!$N$7:$AI$7,0))*1000000/12+INDEX(PROJECTS!$N$19:$AI$19,1,MATCH(YEAR(W$24),PROJECTS!$N$7:$AI$7,0))*1000000/12,0)</f>
        <v>114338.88963590557</v>
      </c>
      <c r="X134" s="421" t="n">
        <f>IFERROR(INDEX(PROJECTS!$N$15:$AI$15,1,MATCH(YEAR(X$24),PROJECTS!$N$7:$AI$7,0))*1000000/12+INDEX(PROJECTS!$N$19:$AI$19,1,MATCH(YEAR(X$24),PROJECTS!$N$7:$AI$7,0))*1000000/12,0)</f>
        <v>114338.88963590557</v>
      </c>
      <c r="Y134" s="421" t="n">
        <f>IFERROR(INDEX(PROJECTS!$N$15:$AI$15,1,MATCH(YEAR(Y$24),PROJECTS!$N$7:$AI$7,0))*1000000/12+INDEX(PROJECTS!$N$19:$AI$19,1,MATCH(YEAR(Y$24),PROJECTS!$N$7:$AI$7,0))*1000000/12,0)</f>
        <v>114338.88963590557</v>
      </c>
      <c r="Z134" s="421" t="n">
        <f>IFERROR(INDEX(PROJECTS!$N$15:$AI$15,1,MATCH(YEAR(Z$24),PROJECTS!$N$7:$AI$7,0))*1000000/12+INDEX(PROJECTS!$N$19:$AI$19,1,MATCH(YEAR(Z$24),PROJECTS!$N$7:$AI$7,0))*1000000/12,0)</f>
        <v>114338.88963590557</v>
      </c>
      <c r="AA134" s="421" t="n">
        <f>IFERROR(INDEX(PROJECTS!$N$15:$AI$15,1,MATCH(YEAR(AA$24),PROJECTS!$N$7:$AI$7,0))*1000000/12+INDEX(PROJECTS!$N$19:$AI$19,1,MATCH(YEAR(AA$24),PROJECTS!$N$7:$AI$7,0))*1000000/12,0)</f>
        <v>114338.88963590557</v>
      </c>
      <c r="AB134" s="421" t="n">
        <f>IFERROR(INDEX(PROJECTS!$N$15:$AI$15,1,MATCH(YEAR(AB$24),PROJECTS!$N$7:$AI$7,0))*1000000/12+INDEX(PROJECTS!$N$19:$AI$19,1,MATCH(YEAR(AB$24),PROJECTS!$N$7:$AI$7,0))*1000000/12,0)</f>
        <v>114338.88963590557</v>
      </c>
      <c r="AC134" s="421" t="n">
        <f>IFERROR(INDEX(PROJECTS!$N$15:$AI$15,1,MATCH(YEAR(AC$24),PROJECTS!$N$7:$AI$7,0))*1000000/12+INDEX(PROJECTS!$N$19:$AI$19,1,MATCH(YEAR(AC$24),PROJECTS!$N$7:$AI$7,0))*1000000/12,0)</f>
        <v>114338.88963590557</v>
      </c>
      <c r="AD134" s="421" t="n">
        <f>IFERROR(INDEX(PROJECTS!$N$15:$AI$15,1,MATCH(YEAR(AD$24),PROJECTS!$N$7:$AI$7,0))*1000000/12+INDEX(PROJECTS!$N$19:$AI$19,1,MATCH(YEAR(AD$24),PROJECTS!$N$7:$AI$7,0))*1000000/12,0)</f>
        <v>114338.88963590557</v>
      </c>
      <c r="AE134" s="421" t="n">
        <f>IFERROR(INDEX(PROJECTS!$N$15:$AI$15,1,MATCH(YEAR(AE$24),PROJECTS!$N$7:$AI$7,0))*1000000/12+INDEX(PROJECTS!$N$19:$AI$19,1,MATCH(YEAR(AE$24),PROJECTS!$N$7:$AI$7,0))*1000000/12,0)</f>
        <v>262603.75118656736</v>
      </c>
      <c r="AF134" s="421" t="n">
        <f>IFERROR(INDEX(PROJECTS!$N$15:$AI$15,1,MATCH(YEAR(AF$24),PROJECTS!$N$7:$AI$7,0))*1000000/12+INDEX(PROJECTS!$N$19:$AI$19,1,MATCH(YEAR(AF$24),PROJECTS!$N$7:$AI$7,0))*1000000/12,0)</f>
        <v>262603.75118656736</v>
      </c>
      <c r="AG134" s="421" t="n">
        <f>IFERROR(INDEX(PROJECTS!$N$15:$AI$15,1,MATCH(YEAR(AG$24),PROJECTS!$N$7:$AI$7,0))*1000000/12+INDEX(PROJECTS!$N$19:$AI$19,1,MATCH(YEAR(AG$24),PROJECTS!$N$7:$AI$7,0))*1000000/12,0)</f>
        <v>262603.75118656736</v>
      </c>
      <c r="AH134" s="421" t="n">
        <f>IFERROR(INDEX(PROJECTS!$N$15:$AI$15,1,MATCH(YEAR(AH$24),PROJECTS!$N$7:$AI$7,0))*1000000/12+INDEX(PROJECTS!$N$19:$AI$19,1,MATCH(YEAR(AH$24),PROJECTS!$N$7:$AI$7,0))*1000000/12,0)</f>
        <v>262603.75118656736</v>
      </c>
      <c r="AI134" s="421" t="n">
        <f>IFERROR(INDEX(PROJECTS!$N$15:$AI$15,1,MATCH(YEAR(AI$24),PROJECTS!$N$7:$AI$7,0))*1000000/12+INDEX(PROJECTS!$N$19:$AI$19,1,MATCH(YEAR(AI$24),PROJECTS!$N$7:$AI$7,0))*1000000/12,0)</f>
        <v>262603.75118656736</v>
      </c>
      <c r="AJ134" s="421" t="n">
        <f>IFERROR(INDEX(PROJECTS!$N$15:$AI$15,1,MATCH(YEAR(AJ$24),PROJECTS!$N$7:$AI$7,0))*1000000/12+INDEX(PROJECTS!$N$19:$AI$19,1,MATCH(YEAR(AJ$24),PROJECTS!$N$7:$AI$7,0))*1000000/12,0)</f>
        <v>262603.75118656736</v>
      </c>
      <c r="AK134" s="421" t="n">
        <f>IFERROR(INDEX(PROJECTS!$N$15:$AI$15,1,MATCH(YEAR(AK$24),PROJECTS!$N$7:$AI$7,0))*1000000/12+INDEX(PROJECTS!$N$19:$AI$19,1,MATCH(YEAR(AK$24),PROJECTS!$N$7:$AI$7,0))*1000000/12,0)</f>
        <v>262603.75118656736</v>
      </c>
      <c r="AL134" s="421" t="n">
        <f>IFERROR(INDEX(PROJECTS!$N$15:$AI$15,1,MATCH(YEAR(AL$24),PROJECTS!$N$7:$AI$7,0))*1000000/12+INDEX(PROJECTS!$N$19:$AI$19,1,MATCH(YEAR(AL$24),PROJECTS!$N$7:$AI$7,0))*1000000/12,0)</f>
        <v>262603.75118656736</v>
      </c>
      <c r="AM134" s="421" t="n">
        <f>IFERROR(INDEX(PROJECTS!$N$15:$AI$15,1,MATCH(YEAR(AM$24),PROJECTS!$N$7:$AI$7,0))*1000000/12+INDEX(PROJECTS!$N$19:$AI$19,1,MATCH(YEAR(AM$24),PROJECTS!$N$7:$AI$7,0))*1000000/12,0)</f>
        <v>262603.75118656736</v>
      </c>
      <c r="AN134" s="421" t="n">
        <f>IFERROR(INDEX(PROJECTS!$N$15:$AI$15,1,MATCH(YEAR(AN$24),PROJECTS!$N$7:$AI$7,0))*1000000/12+INDEX(PROJECTS!$N$19:$AI$19,1,MATCH(YEAR(AN$24),PROJECTS!$N$7:$AI$7,0))*1000000/12,0)</f>
        <v>262603.75118656736</v>
      </c>
      <c r="AO134" s="421" t="n">
        <f>IFERROR(INDEX(PROJECTS!$N$15:$AI$15,1,MATCH(YEAR(AO$24),PROJECTS!$N$7:$AI$7,0))*1000000/12+INDEX(PROJECTS!$N$19:$AI$19,1,MATCH(YEAR(AO$24),PROJECTS!$N$7:$AI$7,0))*1000000/12,0)</f>
        <v>262603.75118656736</v>
      </c>
      <c r="AP134" s="421" t="n">
        <f>IFERROR(INDEX(PROJECTS!$N$15:$AI$15,1,MATCH(YEAR(AP$24),PROJECTS!$N$7:$AI$7,0))*1000000/12+INDEX(PROJECTS!$N$19:$AI$19,1,MATCH(YEAR(AP$24),PROJECTS!$N$7:$AI$7,0))*1000000/12,0)</f>
        <v>262603.75118656736</v>
      </c>
      <c r="AQ134" s="421" t="n">
        <f>IFERROR(INDEX(PROJECTS!$N$15:$AI$15,1,MATCH(YEAR(AQ$24),PROJECTS!$N$7:$AI$7,0))*1000000/12+INDEX(PROJECTS!$N$19:$AI$19,1,MATCH(YEAR(AQ$24),PROJECTS!$N$7:$AI$7,0))*1000000/12,0)</f>
        <v>274023.21840750036</v>
      </c>
      <c r="AR134" s="421" t="n">
        <f>IFERROR(INDEX(PROJECTS!$N$15:$AI$15,1,MATCH(YEAR(AR$24),PROJECTS!$N$7:$AI$7,0))*1000000/12+INDEX(PROJECTS!$N$19:$AI$19,1,MATCH(YEAR(AR$24),PROJECTS!$N$7:$AI$7,0))*1000000/12,0)</f>
        <v>274023.21840750036</v>
      </c>
      <c r="AS134" s="421" t="n">
        <f>IFERROR(INDEX(PROJECTS!$N$15:$AI$15,1,MATCH(YEAR(AS$24),PROJECTS!$N$7:$AI$7,0))*1000000/12+INDEX(PROJECTS!$N$19:$AI$19,1,MATCH(YEAR(AS$24),PROJECTS!$N$7:$AI$7,0))*1000000/12,0)</f>
        <v>274023.21840750036</v>
      </c>
      <c r="AT134" s="421" t="n">
        <f>IFERROR(INDEX(PROJECTS!$N$15:$AI$15,1,MATCH(YEAR(AT$24),PROJECTS!$N$7:$AI$7,0))*1000000/12+INDEX(PROJECTS!$N$19:$AI$19,1,MATCH(YEAR(AT$24),PROJECTS!$N$7:$AI$7,0))*1000000/12,0)</f>
        <v>274023.21840750036</v>
      </c>
      <c r="AU134" s="421" t="n">
        <f>IFERROR(INDEX(PROJECTS!$N$15:$AI$15,1,MATCH(YEAR(AU$24),PROJECTS!$N$7:$AI$7,0))*1000000/12+INDEX(PROJECTS!$N$19:$AI$19,1,MATCH(YEAR(AU$24),PROJECTS!$N$7:$AI$7,0))*1000000/12,0)</f>
        <v>274023.21840750036</v>
      </c>
      <c r="AV134" s="421" t="n">
        <f>IFERROR(INDEX(PROJECTS!$N$15:$AI$15,1,MATCH(YEAR(AV$24),PROJECTS!$N$7:$AI$7,0))*1000000/12+INDEX(PROJECTS!$N$19:$AI$19,1,MATCH(YEAR(AV$24),PROJECTS!$N$7:$AI$7,0))*1000000/12,0)</f>
        <v>274023.21840750036</v>
      </c>
      <c r="AW134" s="421" t="n">
        <f>IFERROR(INDEX(PROJECTS!$N$15:$AI$15,1,MATCH(YEAR(AW$24),PROJECTS!$N$7:$AI$7,0))*1000000/12+INDEX(PROJECTS!$N$19:$AI$19,1,MATCH(YEAR(AW$24),PROJECTS!$N$7:$AI$7,0))*1000000/12,0)</f>
        <v>274023.21840750036</v>
      </c>
      <c r="AX134" s="421" t="n">
        <f>IFERROR(INDEX(PROJECTS!$N$15:$AI$15,1,MATCH(YEAR(AX$24),PROJECTS!$N$7:$AI$7,0))*1000000/12+INDEX(PROJECTS!$N$19:$AI$19,1,MATCH(YEAR(AX$24),PROJECTS!$N$7:$AI$7,0))*1000000/12,0)</f>
        <v>274023.21840750036</v>
      </c>
      <c r="AY134" s="421" t="n">
        <f>IFERROR(INDEX(PROJECTS!$N$15:$AI$15,1,MATCH(YEAR(AY$24),PROJECTS!$N$7:$AI$7,0))*1000000/12+INDEX(PROJECTS!$N$19:$AI$19,1,MATCH(YEAR(AY$24),PROJECTS!$N$7:$AI$7,0))*1000000/12,0)</f>
        <v>274023.21840750036</v>
      </c>
      <c r="AZ134" s="421" t="n">
        <f>IFERROR(INDEX(PROJECTS!$N$15:$AI$15,1,MATCH(YEAR(AZ$24),PROJECTS!$N$7:$AI$7,0))*1000000/12+INDEX(PROJECTS!$N$19:$AI$19,1,MATCH(YEAR(AZ$24),PROJECTS!$N$7:$AI$7,0))*1000000/12,0)</f>
        <v>274023.21840750036</v>
      </c>
      <c r="BA134" s="421" t="n">
        <f>IFERROR(INDEX(PROJECTS!$N$15:$AI$15,1,MATCH(YEAR(BA$24),PROJECTS!$N$7:$AI$7,0))*1000000/12+INDEX(PROJECTS!$N$19:$AI$19,1,MATCH(YEAR(BA$24),PROJECTS!$N$7:$AI$7,0))*1000000/12,0)</f>
        <v>274023.21840750036</v>
      </c>
      <c r="BB134" s="421" t="n">
        <f>IFERROR(INDEX(PROJECTS!$N$15:$AI$15,1,MATCH(YEAR(BB$24),PROJECTS!$N$7:$AI$7,0))*1000000/12+INDEX(PROJECTS!$N$19:$AI$19,1,MATCH(YEAR(BB$24),PROJECTS!$N$7:$AI$7,0))*1000000/12,0)</f>
        <v>274023.21840750036</v>
      </c>
      <c r="BC134" s="421" t="n">
        <f>IFERROR(INDEX(PROJECTS!$N$15:$AI$15,1,MATCH(YEAR(BC$24),PROJECTS!$N$7:$AI$7,0))*1000000/12+INDEX(PROJECTS!$N$19:$AI$19,1,MATCH(YEAR(BC$24),PROJECTS!$N$7:$AI$7,0))*1000000/12,0)</f>
        <v>280051.0646697076</v>
      </c>
      <c r="BD134" s="421" t="n">
        <f>IFERROR(INDEX(PROJECTS!$N$15:$AI$15,1,MATCH(YEAR(BD$24),PROJECTS!$N$7:$AI$7,0))*1000000/12+INDEX(PROJECTS!$N$19:$AI$19,1,MATCH(YEAR(BD$24),PROJECTS!$N$7:$AI$7,0))*1000000/12,0)</f>
        <v>280051.0646697076</v>
      </c>
      <c r="BE134" s="421" t="n">
        <f>IFERROR(INDEX(PROJECTS!$N$15:$AI$15,1,MATCH(YEAR(BE$24),PROJECTS!$N$7:$AI$7,0))*1000000/12+INDEX(PROJECTS!$N$19:$AI$19,1,MATCH(YEAR(BE$24),PROJECTS!$N$7:$AI$7,0))*1000000/12,0)</f>
        <v>280051.0646697076</v>
      </c>
      <c r="BF134" s="421" t="n">
        <f>IFERROR(INDEX(PROJECTS!$N$15:$AI$15,1,MATCH(YEAR(BF$24),PROJECTS!$N$7:$AI$7,0))*1000000/12+INDEX(PROJECTS!$N$19:$AI$19,1,MATCH(YEAR(BF$24),PROJECTS!$N$7:$AI$7,0))*1000000/12,0)</f>
        <v>280051.0646697076</v>
      </c>
      <c r="BG134" s="421" t="n">
        <f>IFERROR(INDEX(PROJECTS!$N$15:$AI$15,1,MATCH(YEAR(BG$24),PROJECTS!$N$7:$AI$7,0))*1000000/12+INDEX(PROJECTS!$N$19:$AI$19,1,MATCH(YEAR(BG$24),PROJECTS!$N$7:$AI$7,0))*1000000/12,0)</f>
        <v>280051.0646697076</v>
      </c>
      <c r="BH134" s="421" t="n">
        <f>IFERROR(INDEX(PROJECTS!$N$15:$AI$15,1,MATCH(YEAR(BH$24),PROJECTS!$N$7:$AI$7,0))*1000000/12+INDEX(PROJECTS!$N$19:$AI$19,1,MATCH(YEAR(BH$24),PROJECTS!$N$7:$AI$7,0))*1000000/12,0)</f>
        <v>280051.0646697076</v>
      </c>
      <c r="BI134" s="421" t="n">
        <f>IFERROR(INDEX(PROJECTS!$N$15:$AI$15,1,MATCH(YEAR(BI$24),PROJECTS!$N$7:$AI$7,0))*1000000/12+INDEX(PROJECTS!$N$19:$AI$19,1,MATCH(YEAR(BI$24),PROJECTS!$N$7:$AI$7,0))*1000000/12,0)</f>
        <v>280051.0646697076</v>
      </c>
      <c r="BJ134" s="421" t="n">
        <f>IFERROR(INDEX(PROJECTS!$N$15:$AI$15,1,MATCH(YEAR(BJ$24),PROJECTS!$N$7:$AI$7,0))*1000000/12+INDEX(PROJECTS!$N$19:$AI$19,1,MATCH(YEAR(BJ$24),PROJECTS!$N$7:$AI$7,0))*1000000/12,0)</f>
        <v>280051.0646697076</v>
      </c>
      <c r="BK134" s="421" t="n">
        <f>IFERROR(INDEX(PROJECTS!$N$15:$AI$15,1,MATCH(YEAR(BK$24),PROJECTS!$N$7:$AI$7,0))*1000000/12+INDEX(PROJECTS!$N$19:$AI$19,1,MATCH(YEAR(BK$24),PROJECTS!$N$7:$AI$7,0))*1000000/12,0)</f>
        <v>280051.0646697076</v>
      </c>
      <c r="BL134" s="421" t="n">
        <f>IFERROR(INDEX(PROJECTS!$N$15:$AI$15,1,MATCH(YEAR(BL$24),PROJECTS!$N$7:$AI$7,0))*1000000/12+INDEX(PROJECTS!$N$19:$AI$19,1,MATCH(YEAR(BL$24),PROJECTS!$N$7:$AI$7,0))*1000000/12,0)</f>
        <v>280051.0646697076</v>
      </c>
      <c r="BM134" s="421" t="n">
        <f>IFERROR(INDEX(PROJECTS!$N$15:$AI$15,1,MATCH(YEAR(BM$24),PROJECTS!$N$7:$AI$7,0))*1000000/12+INDEX(PROJECTS!$N$19:$AI$19,1,MATCH(YEAR(BM$24),PROJECTS!$N$7:$AI$7,0))*1000000/12,0)</f>
        <v>280051.0646697076</v>
      </c>
      <c r="BN134" s="421" t="n">
        <f>IFERROR(INDEX(PROJECTS!$N$15:$AI$15,1,MATCH(YEAR(BN$24),PROJECTS!$N$7:$AI$7,0))*1000000/12+INDEX(PROJECTS!$N$19:$AI$19,1,MATCH(YEAR(BN$24),PROJECTS!$N$7:$AI$7,0))*1000000/12,0)</f>
        <v>280051.0646697076</v>
      </c>
      <c r="BO134" s="421" t="n">
        <f>IFERROR(INDEX(PROJECTS!$N$15:$AI$15,1,MATCH(YEAR(BO$24),PROJECTS!$N$7:$AI$7,0))*1000000/12+INDEX(PROJECTS!$N$19:$AI$19,1,MATCH(YEAR(BO$24),PROJECTS!$N$7:$AI$7,0))*1000000/12,0)</f>
        <v>285541.2466786235</v>
      </c>
      <c r="BP134" s="421" t="n">
        <f>IFERROR(INDEX(PROJECTS!$N$15:$AI$15,1,MATCH(YEAR(BP$24),PROJECTS!$N$7:$AI$7,0))*1000000/12+INDEX(PROJECTS!$N$19:$AI$19,1,MATCH(YEAR(BP$24),PROJECTS!$N$7:$AI$7,0))*1000000/12,0)</f>
        <v>285541.2466786235</v>
      </c>
      <c r="BQ134" s="421" t="n">
        <f>IFERROR(INDEX(PROJECTS!$N$15:$AI$15,1,MATCH(YEAR(BQ$24),PROJECTS!$N$7:$AI$7,0))*1000000/12+INDEX(PROJECTS!$N$19:$AI$19,1,MATCH(YEAR(BQ$24),PROJECTS!$N$7:$AI$7,0))*1000000/12,0)</f>
        <v>285541.2466786235</v>
      </c>
      <c r="BR134" s="421" t="n">
        <f>IFERROR(INDEX(PROJECTS!$N$15:$AI$15,1,MATCH(YEAR(BR$24),PROJECTS!$N$7:$AI$7,0))*1000000/12+INDEX(PROJECTS!$N$19:$AI$19,1,MATCH(YEAR(BR$24),PROJECTS!$N$7:$AI$7,0))*1000000/12,0)</f>
        <v>285541.2466786235</v>
      </c>
      <c r="BS134" s="421" t="n">
        <f>IFERROR(INDEX(PROJECTS!$N$15:$AI$15,1,MATCH(YEAR(BS$24),PROJECTS!$N$7:$AI$7,0))*1000000/12+INDEX(PROJECTS!$N$19:$AI$19,1,MATCH(YEAR(BS$24),PROJECTS!$N$7:$AI$7,0))*1000000/12,0)</f>
        <v>285541.2466786235</v>
      </c>
      <c r="BT134" s="421" t="n">
        <f>IFERROR(INDEX(PROJECTS!$N$15:$AI$15,1,MATCH(YEAR(BT$24),PROJECTS!$N$7:$AI$7,0))*1000000/12+INDEX(PROJECTS!$N$19:$AI$19,1,MATCH(YEAR(BT$24),PROJECTS!$N$7:$AI$7,0))*1000000/12,0)</f>
        <v>285541.2466786235</v>
      </c>
      <c r="BU134" s="421" t="n">
        <f>IFERROR(INDEX(PROJECTS!$N$15:$AI$15,1,MATCH(YEAR(BU$24),PROJECTS!$N$7:$AI$7,0))*1000000/12+INDEX(PROJECTS!$N$19:$AI$19,1,MATCH(YEAR(BU$24),PROJECTS!$N$7:$AI$7,0))*1000000/12,0)</f>
        <v>285541.2466786235</v>
      </c>
      <c r="BV134" s="421" t="n">
        <f>IFERROR(INDEX(PROJECTS!$N$15:$AI$15,1,MATCH(YEAR(BV$24),PROJECTS!$N$7:$AI$7,0))*1000000/12+INDEX(PROJECTS!$N$19:$AI$19,1,MATCH(YEAR(BV$24),PROJECTS!$N$7:$AI$7,0))*1000000/12,0)</f>
        <v>285541.2466786235</v>
      </c>
      <c r="BW134" s="421" t="n">
        <f>IFERROR(INDEX(PROJECTS!$N$15:$AI$15,1,MATCH(YEAR(BW$24),PROJECTS!$N$7:$AI$7,0))*1000000/12+INDEX(PROJECTS!$N$19:$AI$19,1,MATCH(YEAR(BW$24),PROJECTS!$N$7:$AI$7,0))*1000000/12,0)</f>
        <v>285541.2466786235</v>
      </c>
      <c r="BX134" s="421" t="n">
        <f>IFERROR(INDEX(PROJECTS!$N$15:$AI$15,1,MATCH(YEAR(BX$24),PROJECTS!$N$7:$AI$7,0))*1000000/12+INDEX(PROJECTS!$N$19:$AI$19,1,MATCH(YEAR(BX$24),PROJECTS!$N$7:$AI$7,0))*1000000/12,0)</f>
        <v>285541.2466786235</v>
      </c>
      <c r="BY134" s="421" t="n">
        <f>IFERROR(INDEX(PROJECTS!$N$15:$AI$15,1,MATCH(YEAR(BY$24),PROJECTS!$N$7:$AI$7,0))*1000000/12+INDEX(PROJECTS!$N$19:$AI$19,1,MATCH(YEAR(BY$24),PROJECTS!$N$7:$AI$7,0))*1000000/12,0)</f>
        <v>285541.2466786235</v>
      </c>
      <c r="BZ134" s="421" t="n">
        <f>IFERROR(INDEX(PROJECTS!$N$15:$AI$15,1,MATCH(YEAR(BZ$24),PROJECTS!$N$7:$AI$7,0))*1000000/12+INDEX(PROJECTS!$N$19:$AI$19,1,MATCH(YEAR(BZ$24),PROJECTS!$N$7:$AI$7,0))*1000000/12,0)</f>
        <v>285541.2466786235</v>
      </c>
      <c r="CA134" s="421" t="n">
        <f>IFERROR(INDEX(PROJECTS!$N$15:$AI$15,1,MATCH(YEAR(CA$24),PROJECTS!$N$7:$AI$7,0))*1000000/12+INDEX(PROJECTS!$N$19:$AI$19,1,MATCH(YEAR(CA$24),PROJECTS!$N$7:$AI$7,0))*1000000/12,0)</f>
        <v>291110.45875670854</v>
      </c>
      <c r="CB134" s="421" t="n">
        <f>IFERROR(INDEX(PROJECTS!$N$15:$AI$15,1,MATCH(YEAR(CB$24),PROJECTS!$N$7:$AI$7,0))*1000000/12+INDEX(PROJECTS!$N$19:$AI$19,1,MATCH(YEAR(CB$24),PROJECTS!$N$7:$AI$7,0))*1000000/12,0)</f>
        <v>291110.45875670854</v>
      </c>
      <c r="CC134" s="421" t="n">
        <f>IFERROR(INDEX(PROJECTS!$N$15:$AI$15,1,MATCH(YEAR(CC$24),PROJECTS!$N$7:$AI$7,0))*1000000/12+INDEX(PROJECTS!$N$19:$AI$19,1,MATCH(YEAR(CC$24),PROJECTS!$N$7:$AI$7,0))*1000000/12,0)</f>
        <v>291110.45875670854</v>
      </c>
      <c r="CD134" s="421" t="n">
        <f>IFERROR(INDEX(PROJECTS!$N$15:$AI$15,1,MATCH(YEAR(CD$24),PROJECTS!$N$7:$AI$7,0))*1000000/12+INDEX(PROJECTS!$N$19:$AI$19,1,MATCH(YEAR(CD$24),PROJECTS!$N$7:$AI$7,0))*1000000/12,0)</f>
        <v>291110.45875670854</v>
      </c>
      <c r="CE134" s="421" t="n">
        <f>IFERROR(INDEX(PROJECTS!$N$15:$AI$15,1,MATCH(YEAR(CE$24),PROJECTS!$N$7:$AI$7,0))*1000000/12+INDEX(PROJECTS!$N$19:$AI$19,1,MATCH(YEAR(CE$24),PROJECTS!$N$7:$AI$7,0))*1000000/12,0)</f>
        <v>291110.45875670854</v>
      </c>
      <c r="CF134" s="421" t="n">
        <f>IFERROR(INDEX(PROJECTS!$N$15:$AI$15,1,MATCH(YEAR(CF$24),PROJECTS!$N$7:$AI$7,0))*1000000/12+INDEX(PROJECTS!$N$19:$AI$19,1,MATCH(YEAR(CF$24),PROJECTS!$N$7:$AI$7,0))*1000000/12,0)</f>
        <v>291110.45875670854</v>
      </c>
      <c r="CG134" s="421" t="n">
        <f>IFERROR(INDEX(PROJECTS!$N$15:$AI$15,1,MATCH(YEAR(CG$24),PROJECTS!$N$7:$AI$7,0))*1000000/12+INDEX(PROJECTS!$N$19:$AI$19,1,MATCH(YEAR(CG$24),PROJECTS!$N$7:$AI$7,0))*1000000/12,0)</f>
        <v>291110.45875670854</v>
      </c>
      <c r="CH134" s="421" t="n">
        <f>IFERROR(INDEX(PROJECTS!$N$15:$AI$15,1,MATCH(YEAR(CH$24),PROJECTS!$N$7:$AI$7,0))*1000000/12+INDEX(PROJECTS!$N$19:$AI$19,1,MATCH(YEAR(CH$24),PROJECTS!$N$7:$AI$7,0))*1000000/12,0)</f>
        <v>291110.45875670854</v>
      </c>
      <c r="CI134" s="421" t="n">
        <f>IFERROR(INDEX(PROJECTS!$N$15:$AI$15,1,MATCH(YEAR(CI$24),PROJECTS!$N$7:$AI$7,0))*1000000/12+INDEX(PROJECTS!$N$19:$AI$19,1,MATCH(YEAR(CI$24),PROJECTS!$N$7:$AI$7,0))*1000000/12,0)</f>
        <v>291110.45875670854</v>
      </c>
      <c r="CJ134" s="421" t="n">
        <f>IFERROR(INDEX(PROJECTS!$N$15:$AI$15,1,MATCH(YEAR(CJ$24),PROJECTS!$N$7:$AI$7,0))*1000000/12+INDEX(PROJECTS!$N$19:$AI$19,1,MATCH(YEAR(CJ$24),PROJECTS!$N$7:$AI$7,0))*1000000/12,0)</f>
        <v>291110.45875670854</v>
      </c>
      <c r="CK134" s="421" t="n">
        <f>IFERROR(INDEX(PROJECTS!$N$15:$AI$15,1,MATCH(YEAR(CK$24),PROJECTS!$N$7:$AI$7,0))*1000000/12+INDEX(PROJECTS!$N$19:$AI$19,1,MATCH(YEAR(CK$24),PROJECTS!$N$7:$AI$7,0))*1000000/12,0)</f>
        <v>291110.45875670854</v>
      </c>
      <c r="CL134" s="421" t="n">
        <f>IFERROR(INDEX(PROJECTS!$N$15:$AI$15,1,MATCH(YEAR(CL$24),PROJECTS!$N$7:$AI$7,0))*1000000/12+INDEX(PROJECTS!$N$19:$AI$19,1,MATCH(YEAR(CL$24),PROJECTS!$N$7:$AI$7,0))*1000000/12,0)</f>
        <v>291110.45875670854</v>
      </c>
      <c r="CM134" s="421" t="n">
        <f>IFERROR(INDEX(PROJECTS!$N$15:$AI$15,1,MATCH(YEAR(CM$24),PROJECTS!$N$7:$AI$7,0))*1000000/12+INDEX(PROJECTS!$N$19:$AI$19,1,MATCH(YEAR(CM$24),PROJECTS!$N$7:$AI$7,0))*1000000/12,0)</f>
        <v>287904.5410761604</v>
      </c>
      <c r="CN134" s="421" t="n">
        <f>IFERROR(INDEX(PROJECTS!$N$15:$AI$15,1,MATCH(YEAR(CN$24),PROJECTS!$N$7:$AI$7,0))*1000000/12+INDEX(PROJECTS!$N$19:$AI$19,1,MATCH(YEAR(CN$24),PROJECTS!$N$7:$AI$7,0))*1000000/12,0)</f>
        <v>287904.5410761604</v>
      </c>
      <c r="CO134" s="421" t="n">
        <f>IFERROR(INDEX(PROJECTS!$N$15:$AI$15,1,MATCH(YEAR(CO$24),PROJECTS!$N$7:$AI$7,0))*1000000/12+INDEX(PROJECTS!$N$19:$AI$19,1,MATCH(YEAR(CO$24),PROJECTS!$N$7:$AI$7,0))*1000000/12,0)</f>
        <v>287904.5410761604</v>
      </c>
      <c r="CP134" s="421" t="n">
        <f>IFERROR(INDEX(PROJECTS!$N$15:$AI$15,1,MATCH(YEAR(CP$24),PROJECTS!$N$7:$AI$7,0))*1000000/12+INDEX(PROJECTS!$N$19:$AI$19,1,MATCH(YEAR(CP$24),PROJECTS!$N$7:$AI$7,0))*1000000/12,0)</f>
        <v>287904.5410761604</v>
      </c>
      <c r="CQ134" s="421" t="n">
        <f>IFERROR(INDEX(PROJECTS!$N$15:$AI$15,1,MATCH(YEAR(CQ$24),PROJECTS!$N$7:$AI$7,0))*1000000/12+INDEX(PROJECTS!$N$19:$AI$19,1,MATCH(YEAR(CQ$24),PROJECTS!$N$7:$AI$7,0))*1000000/12,0)</f>
        <v>287904.5410761604</v>
      </c>
      <c r="CR134" s="421" t="n">
        <f>IFERROR(INDEX(PROJECTS!$N$15:$AI$15,1,MATCH(YEAR(CR$24),PROJECTS!$N$7:$AI$7,0))*1000000/12+INDEX(PROJECTS!$N$19:$AI$19,1,MATCH(YEAR(CR$24),PROJECTS!$N$7:$AI$7,0))*1000000/12,0)</f>
        <v>287904.5410761604</v>
      </c>
      <c r="CS134" s="421" t="n">
        <f>IFERROR(INDEX(PROJECTS!$N$15:$AI$15,1,MATCH(YEAR(CS$24),PROJECTS!$N$7:$AI$7,0))*1000000/12+INDEX(PROJECTS!$N$19:$AI$19,1,MATCH(YEAR(CS$24),PROJECTS!$N$7:$AI$7,0))*1000000/12,0)</f>
        <v>287904.5410761604</v>
      </c>
      <c r="CT134" s="421" t="n">
        <f>IFERROR(INDEX(PROJECTS!$N$15:$AI$15,1,MATCH(YEAR(CT$24),PROJECTS!$N$7:$AI$7,0))*1000000/12+INDEX(PROJECTS!$N$19:$AI$19,1,MATCH(YEAR(CT$24),PROJECTS!$N$7:$AI$7,0))*1000000/12,0)</f>
        <v>287904.5410761604</v>
      </c>
      <c r="CU134" s="421" t="n">
        <f>IFERROR(INDEX(PROJECTS!$N$15:$AI$15,1,MATCH(YEAR(CU$24),PROJECTS!$N$7:$AI$7,0))*1000000/12+INDEX(PROJECTS!$N$19:$AI$19,1,MATCH(YEAR(CU$24),PROJECTS!$N$7:$AI$7,0))*1000000/12,0)</f>
        <v>287904.5410761604</v>
      </c>
      <c r="CV134" s="421" t="n">
        <f>IFERROR(INDEX(PROJECTS!$N$15:$AI$15,1,MATCH(YEAR(CV$24),PROJECTS!$N$7:$AI$7,0))*1000000/12+INDEX(PROJECTS!$N$19:$AI$19,1,MATCH(YEAR(CV$24),PROJECTS!$N$7:$AI$7,0))*1000000/12,0)</f>
        <v>287904.5410761604</v>
      </c>
      <c r="CW134" s="421" t="n">
        <f>IFERROR(INDEX(PROJECTS!$N$15:$AI$15,1,MATCH(YEAR(CW$24),PROJECTS!$N$7:$AI$7,0))*1000000/12+INDEX(PROJECTS!$N$19:$AI$19,1,MATCH(YEAR(CW$24),PROJECTS!$N$7:$AI$7,0))*1000000/12,0)</f>
        <v>287904.5410761604</v>
      </c>
      <c r="CX134" s="421" t="n">
        <f>IFERROR(INDEX(PROJECTS!$N$15:$AI$15,1,MATCH(YEAR(CX$24),PROJECTS!$N$7:$AI$7,0))*1000000/12+INDEX(PROJECTS!$N$19:$AI$19,1,MATCH(YEAR(CX$24),PROJECTS!$N$7:$AI$7,0))*1000000/12,0)</f>
        <v>287904.5410761604</v>
      </c>
      <c r="CY134" s="421" t="n">
        <f>IFERROR(INDEX(PROJECTS!$N$15:$AI$15,1,MATCH(YEAR(CY$24),PROJECTS!$N$7:$AI$7,0))*1000000/12+INDEX(PROJECTS!$N$19:$AI$19,1,MATCH(YEAR(CY$24),PROJECTS!$N$7:$AI$7,0))*1000000/12,0)</f>
        <v>293700.02884675935</v>
      </c>
      <c r="CZ134" s="421" t="n">
        <f>IFERROR(INDEX(PROJECTS!$N$15:$AI$15,1,MATCH(YEAR(CZ$24),PROJECTS!$N$7:$AI$7,0))*1000000/12+INDEX(PROJECTS!$N$19:$AI$19,1,MATCH(YEAR(CZ$24),PROJECTS!$N$7:$AI$7,0))*1000000/12,0)</f>
        <v>293700.02884675935</v>
      </c>
      <c r="DA134" s="421" t="n">
        <f>IFERROR(INDEX(PROJECTS!$N$15:$AI$15,1,MATCH(YEAR(DA$24),PROJECTS!$N$7:$AI$7,0))*1000000/12+INDEX(PROJECTS!$N$19:$AI$19,1,MATCH(YEAR(DA$24),PROJECTS!$N$7:$AI$7,0))*1000000/12,0)</f>
        <v>293700.02884675935</v>
      </c>
      <c r="DB134" s="421" t="n">
        <f>IFERROR(INDEX(PROJECTS!$N$15:$AI$15,1,MATCH(YEAR(DB$24),PROJECTS!$N$7:$AI$7,0))*1000000/12+INDEX(PROJECTS!$N$19:$AI$19,1,MATCH(YEAR(DB$24),PROJECTS!$N$7:$AI$7,0))*1000000/12,0)</f>
        <v>293700.02884675935</v>
      </c>
      <c r="DC134" s="421" t="n">
        <f>IFERROR(INDEX(PROJECTS!$N$15:$AI$15,1,MATCH(YEAR(DC$24),PROJECTS!$N$7:$AI$7,0))*1000000/12+INDEX(PROJECTS!$N$19:$AI$19,1,MATCH(YEAR(DC$24),PROJECTS!$N$7:$AI$7,0))*1000000/12,0)</f>
        <v>293700.02884675935</v>
      </c>
      <c r="DD134" s="421" t="n">
        <f>IFERROR(INDEX(PROJECTS!$N$15:$AI$15,1,MATCH(YEAR(DD$24),PROJECTS!$N$7:$AI$7,0))*1000000/12+INDEX(PROJECTS!$N$19:$AI$19,1,MATCH(YEAR(DD$24),PROJECTS!$N$7:$AI$7,0))*1000000/12,0)</f>
        <v>293700.02884675935</v>
      </c>
      <c r="DE134" s="421" t="n">
        <f>IFERROR(INDEX(PROJECTS!$N$15:$AI$15,1,MATCH(YEAR(DE$24),PROJECTS!$N$7:$AI$7,0))*1000000/12+INDEX(PROJECTS!$N$19:$AI$19,1,MATCH(YEAR(DE$24),PROJECTS!$N$7:$AI$7,0))*1000000/12,0)</f>
        <v>293700.02884675935</v>
      </c>
      <c r="DF134" s="421" t="n">
        <f>IFERROR(INDEX(PROJECTS!$N$15:$AI$15,1,MATCH(YEAR(DF$24),PROJECTS!$N$7:$AI$7,0))*1000000/12+INDEX(PROJECTS!$N$19:$AI$19,1,MATCH(YEAR(DF$24),PROJECTS!$N$7:$AI$7,0))*1000000/12,0)</f>
        <v>293700.02884675935</v>
      </c>
      <c r="DG134" s="421" t="n">
        <f>IFERROR(INDEX(PROJECTS!$N$15:$AI$15,1,MATCH(YEAR(DG$24),PROJECTS!$N$7:$AI$7,0))*1000000/12+INDEX(PROJECTS!$N$19:$AI$19,1,MATCH(YEAR(DG$24),PROJECTS!$N$7:$AI$7,0))*1000000/12,0)</f>
        <v>293700.02884675935</v>
      </c>
      <c r="DH134" s="421" t="n">
        <f>IFERROR(INDEX(PROJECTS!$N$15:$AI$15,1,MATCH(YEAR(DH$24),PROJECTS!$N$7:$AI$7,0))*1000000/12+INDEX(PROJECTS!$N$19:$AI$19,1,MATCH(YEAR(DH$24),PROJECTS!$N$7:$AI$7,0))*1000000/12,0)</f>
        <v>293700.02884675935</v>
      </c>
      <c r="DI134" s="421" t="n">
        <f>IFERROR(INDEX(PROJECTS!$N$15:$AI$15,1,MATCH(YEAR(DI$24),PROJECTS!$N$7:$AI$7,0))*1000000/12+INDEX(PROJECTS!$N$19:$AI$19,1,MATCH(YEAR(DI$24),PROJECTS!$N$7:$AI$7,0))*1000000/12,0)</f>
        <v>293700.02884675935</v>
      </c>
      <c r="DJ134" s="421" t="n">
        <f>IFERROR(INDEX(PROJECTS!$N$15:$AI$15,1,MATCH(YEAR(DJ$24),PROJECTS!$N$7:$AI$7,0))*1000000/12+INDEX(PROJECTS!$N$19:$AI$19,1,MATCH(YEAR(DJ$24),PROJECTS!$N$7:$AI$7,0))*1000000/12,0)</f>
        <v>293700.02884675935</v>
      </c>
      <c r="DK134" s="421" t="n">
        <f>IFERROR(INDEX(PROJECTS!$N$15:$AI$15,1,MATCH(YEAR(DK$24),PROJECTS!$N$7:$AI$7,0))*1000000/12+INDEX(PROJECTS!$N$19:$AI$19,1,MATCH(YEAR(DK$24),PROJECTS!$N$7:$AI$7,0))*1000000/12,0)</f>
        <v>299699.66668375017</v>
      </c>
      <c r="DL134" s="421" t="n">
        <f>IFERROR(INDEX(PROJECTS!$N$15:$AI$15,1,MATCH(YEAR(DL$24),PROJECTS!$N$7:$AI$7,0))*1000000/12+INDEX(PROJECTS!$N$19:$AI$19,1,MATCH(YEAR(DL$24),PROJECTS!$N$7:$AI$7,0))*1000000/12,0)</f>
        <v>299699.66668375017</v>
      </c>
      <c r="DM134" s="421" t="n">
        <f>IFERROR(INDEX(PROJECTS!$N$15:$AI$15,1,MATCH(YEAR(DM$24),PROJECTS!$N$7:$AI$7,0))*1000000/12+INDEX(PROJECTS!$N$19:$AI$19,1,MATCH(YEAR(DM$24),PROJECTS!$N$7:$AI$7,0))*1000000/12,0)</f>
        <v>299699.66668375017</v>
      </c>
      <c r="DN134" s="421" t="n">
        <f>IFERROR(INDEX(PROJECTS!$N$15:$AI$15,1,MATCH(YEAR(DN$24),PROJECTS!$N$7:$AI$7,0))*1000000/12+INDEX(PROJECTS!$N$19:$AI$19,1,MATCH(YEAR(DN$24),PROJECTS!$N$7:$AI$7,0))*1000000/12,0)</f>
        <v>299699.66668375017</v>
      </c>
      <c r="DO134" s="421" t="n">
        <f>IFERROR(INDEX(PROJECTS!$N$15:$AI$15,1,MATCH(YEAR(DO$24),PROJECTS!$N$7:$AI$7,0))*1000000/12+INDEX(PROJECTS!$N$19:$AI$19,1,MATCH(YEAR(DO$24),PROJECTS!$N$7:$AI$7,0))*1000000/12,0)</f>
        <v>299699.66668375017</v>
      </c>
      <c r="DP134" s="421" t="n">
        <f>IFERROR(INDEX(PROJECTS!$N$15:$AI$15,1,MATCH(YEAR(DP$24),PROJECTS!$N$7:$AI$7,0))*1000000/12+INDEX(PROJECTS!$N$19:$AI$19,1,MATCH(YEAR(DP$24),PROJECTS!$N$7:$AI$7,0))*1000000/12,0)</f>
        <v>299699.66668375017</v>
      </c>
      <c r="DQ134" s="421" t="n">
        <f>IFERROR(INDEX(PROJECTS!$N$15:$AI$15,1,MATCH(YEAR(DQ$24),PROJECTS!$N$7:$AI$7,0))*1000000/12+INDEX(PROJECTS!$N$19:$AI$19,1,MATCH(YEAR(DQ$24),PROJECTS!$N$7:$AI$7,0))*1000000/12,0)</f>
        <v>299699.66668375017</v>
      </c>
      <c r="DR134" s="421" t="n">
        <f>IFERROR(INDEX(PROJECTS!$N$15:$AI$15,1,MATCH(YEAR(DR$24),PROJECTS!$N$7:$AI$7,0))*1000000/12+INDEX(PROJECTS!$N$19:$AI$19,1,MATCH(YEAR(DR$24),PROJECTS!$N$7:$AI$7,0))*1000000/12,0)</f>
        <v>299699.66668375017</v>
      </c>
      <c r="DS134" s="421" t="n">
        <f>IFERROR(INDEX(PROJECTS!$N$15:$AI$15,1,MATCH(YEAR(DS$24),PROJECTS!$N$7:$AI$7,0))*1000000/12+INDEX(PROJECTS!$N$19:$AI$19,1,MATCH(YEAR(DS$24),PROJECTS!$N$7:$AI$7,0))*1000000/12,0)</f>
        <v>299699.66668375017</v>
      </c>
      <c r="DT134" s="421" t="n">
        <f>IFERROR(INDEX(PROJECTS!$N$15:$AI$15,1,MATCH(YEAR(DT$24),PROJECTS!$N$7:$AI$7,0))*1000000/12+INDEX(PROJECTS!$N$19:$AI$19,1,MATCH(YEAR(DT$24),PROJECTS!$N$7:$AI$7,0))*1000000/12,0)</f>
        <v>299699.66668375017</v>
      </c>
      <c r="DU134" s="421" t="n">
        <f>IFERROR(INDEX(PROJECTS!$N$15:$AI$15,1,MATCH(YEAR(DU$24),PROJECTS!$N$7:$AI$7,0))*1000000/12+INDEX(PROJECTS!$N$19:$AI$19,1,MATCH(YEAR(DU$24),PROJECTS!$N$7:$AI$7,0))*1000000/12,0)</f>
        <v>299699.66668375017</v>
      </c>
      <c r="DV134" s="421" t="n">
        <f>IFERROR(INDEX(PROJECTS!$N$15:$AI$15,1,MATCH(YEAR(DV$24),PROJECTS!$N$7:$AI$7,0))*1000000/12+INDEX(PROJECTS!$N$19:$AI$19,1,MATCH(YEAR(DV$24),PROJECTS!$N$7:$AI$7,0))*1000000/12,0)</f>
        <v>299699.66668375017</v>
      </c>
      <c r="DW134" s="421" t="n">
        <f>IFERROR(INDEX(PROJECTS!$N$15:$AI$15,1,MATCH(YEAR(DW$24),PROJECTS!$N$7:$AI$7,0))*1000000/12+INDEX(PROJECTS!$N$19:$AI$19,1,MATCH(YEAR(DW$24),PROJECTS!$N$7:$AI$7,0))*1000000/12,0)</f>
        <v>305912.39078083617</v>
      </c>
      <c r="DX134" s="421" t="n">
        <f>IFERROR(INDEX(PROJECTS!$N$15:$AI$15,1,MATCH(YEAR(DX$24),PROJECTS!$N$7:$AI$7,0))*1000000/12+INDEX(PROJECTS!$N$19:$AI$19,1,MATCH(YEAR(DX$24),PROJECTS!$N$7:$AI$7,0))*1000000/12,0)</f>
        <v>305912.39078083617</v>
      </c>
      <c r="DY134" s="421" t="n">
        <f>IFERROR(INDEX(PROJECTS!$N$15:$AI$15,1,MATCH(YEAR(DY$24),PROJECTS!$N$7:$AI$7,0))*1000000/12+INDEX(PROJECTS!$N$19:$AI$19,1,MATCH(YEAR(DY$24),PROJECTS!$N$7:$AI$7,0))*1000000/12,0)</f>
        <v>305912.39078083617</v>
      </c>
      <c r="DZ134" s="421" t="n">
        <f>IFERROR(INDEX(PROJECTS!$N$15:$AI$15,1,MATCH(YEAR(DZ$24),PROJECTS!$N$7:$AI$7,0))*1000000/12+INDEX(PROJECTS!$N$19:$AI$19,1,MATCH(YEAR(DZ$24),PROJECTS!$N$7:$AI$7,0))*1000000/12,0)</f>
        <v>305912.39078083617</v>
      </c>
      <c r="EA134" s="421" t="n">
        <f>IFERROR(INDEX(PROJECTS!$N$15:$AI$15,1,MATCH(YEAR(EA$24),PROJECTS!$N$7:$AI$7,0))*1000000/12+INDEX(PROJECTS!$N$19:$AI$19,1,MATCH(YEAR(EA$24),PROJECTS!$N$7:$AI$7,0))*1000000/12,0)</f>
        <v>305912.39078083617</v>
      </c>
      <c r="EB134" s="421" t="n">
        <f>IFERROR(INDEX(PROJECTS!$N$15:$AI$15,1,MATCH(YEAR(EB$24),PROJECTS!$N$7:$AI$7,0))*1000000/12+INDEX(PROJECTS!$N$19:$AI$19,1,MATCH(YEAR(EB$24),PROJECTS!$N$7:$AI$7,0))*1000000/12,0)</f>
        <v>305912.39078083617</v>
      </c>
      <c r="EC134" s="421" t="n">
        <f>IFERROR(INDEX(PROJECTS!$N$15:$AI$15,1,MATCH(YEAR(EC$24),PROJECTS!$N$7:$AI$7,0))*1000000/12+INDEX(PROJECTS!$N$19:$AI$19,1,MATCH(YEAR(EC$24),PROJECTS!$N$7:$AI$7,0))*1000000/12,0)</f>
        <v>305912.39078083617</v>
      </c>
      <c r="ED134" s="421" t="n">
        <f>IFERROR(INDEX(PROJECTS!$N$15:$AI$15,1,MATCH(YEAR(ED$24),PROJECTS!$N$7:$AI$7,0))*1000000/12+INDEX(PROJECTS!$N$19:$AI$19,1,MATCH(YEAR(ED$24),PROJECTS!$N$7:$AI$7,0))*1000000/12,0)</f>
        <v>305912.39078083617</v>
      </c>
      <c r="EE134" s="421" t="n">
        <f>IFERROR(INDEX(PROJECTS!$N$15:$AI$15,1,MATCH(YEAR(EE$24),PROJECTS!$N$7:$AI$7,0))*1000000/12+INDEX(PROJECTS!$N$19:$AI$19,1,MATCH(YEAR(EE$24),PROJECTS!$N$7:$AI$7,0))*1000000/12,0)</f>
        <v>305912.39078083617</v>
      </c>
      <c r="EF134" s="421" t="n">
        <f>IFERROR(INDEX(PROJECTS!$N$15:$AI$15,1,MATCH(YEAR(EF$24),PROJECTS!$N$7:$AI$7,0))*1000000/12+INDEX(PROJECTS!$N$19:$AI$19,1,MATCH(YEAR(EF$24),PROJECTS!$N$7:$AI$7,0))*1000000/12,0)</f>
        <v>305912.39078083617</v>
      </c>
      <c r="EG134" s="421" t="n">
        <f>IFERROR(INDEX(PROJECTS!$N$15:$AI$15,1,MATCH(YEAR(EG$24),PROJECTS!$N$7:$AI$7,0))*1000000/12+INDEX(PROJECTS!$N$19:$AI$19,1,MATCH(YEAR(EG$24),PROJECTS!$N$7:$AI$7,0))*1000000/12,0)</f>
        <v>305912.39078083617</v>
      </c>
      <c r="EH134" s="421" t="n">
        <f>IFERROR(INDEX(PROJECTS!$N$15:$AI$15,1,MATCH(YEAR(EH$24),PROJECTS!$N$7:$AI$7,0))*1000000/12+INDEX(PROJECTS!$N$19:$AI$19,1,MATCH(YEAR(EH$24),PROJECTS!$N$7:$AI$7,0))*1000000/12,0)</f>
        <v>305912.39078083617</v>
      </c>
      <c r="EI134" s="421" t="n">
        <f>IFERROR(INDEX(PROJECTS!$N$15:$AI$15,1,MATCH(YEAR(EI$24),PROJECTS!$N$7:$AI$7,0))*1000000/12+INDEX(PROJECTS!$N$19:$AI$19,1,MATCH(YEAR(EI$24),PROJECTS!$N$7:$AI$7,0))*1000000/12,0)</f>
        <v>312343.54382952704</v>
      </c>
      <c r="EJ134" s="421" t="n">
        <f>IFERROR(INDEX(PROJECTS!$N$15:$AI$15,1,MATCH(YEAR(EJ$24),PROJECTS!$N$7:$AI$7,0))*1000000/12+INDEX(PROJECTS!$N$19:$AI$19,1,MATCH(YEAR(EJ$24),PROJECTS!$N$7:$AI$7,0))*1000000/12,0)</f>
        <v>312343.54382952704</v>
      </c>
      <c r="EK134" s="421" t="n">
        <f>IFERROR(INDEX(PROJECTS!$N$15:$AI$15,1,MATCH(YEAR(EK$24),PROJECTS!$N$7:$AI$7,0))*1000000/12+INDEX(PROJECTS!$N$19:$AI$19,1,MATCH(YEAR(EK$24),PROJECTS!$N$7:$AI$7,0))*1000000/12,0)</f>
        <v>312343.54382952704</v>
      </c>
      <c r="EL134" s="421" t="n">
        <f>IFERROR(INDEX(PROJECTS!$N$15:$AI$15,1,MATCH(YEAR(EL$24),PROJECTS!$N$7:$AI$7,0))*1000000/12+INDEX(PROJECTS!$N$19:$AI$19,1,MATCH(YEAR(EL$24),PROJECTS!$N$7:$AI$7,0))*1000000/12,0)</f>
        <v>312343.54382952704</v>
      </c>
      <c r="EM134" s="421" t="n">
        <f>IFERROR(INDEX(PROJECTS!$N$15:$AI$15,1,MATCH(YEAR(EM$24),PROJECTS!$N$7:$AI$7,0))*1000000/12+INDEX(PROJECTS!$N$19:$AI$19,1,MATCH(YEAR(EM$24),PROJECTS!$N$7:$AI$7,0))*1000000/12,0)</f>
        <v>312343.54382952704</v>
      </c>
      <c r="EN134" s="421" t="n">
        <f>IFERROR(INDEX(PROJECTS!$N$15:$AI$15,1,MATCH(YEAR(EN$24),PROJECTS!$N$7:$AI$7,0))*1000000/12+INDEX(PROJECTS!$N$19:$AI$19,1,MATCH(YEAR(EN$24),PROJECTS!$N$7:$AI$7,0))*1000000/12,0)</f>
        <v>312343.54382952704</v>
      </c>
      <c r="EP134" s="220"/>
      <c r="EQ134" s="210"/>
      <c r="ER134" s="18"/>
      <c r="ES134" s="18"/>
      <c r="ET134" s="18"/>
      <c r="EU134" s="18"/>
      <c r="EV134" s="20"/>
      <c r="EW134" s="20"/>
      <c r="EX134" s="20"/>
      <c r="EY134" s="20"/>
      <c r="EZ134" s="20"/>
      <c r="FA134" s="20"/>
      <c r="FB134" s="20"/>
      <c r="FC134" s="20"/>
      <c r="FD134" s="20"/>
      <c r="FE134" s="20"/>
      <c r="FF134" s="20"/>
      <c r="FG134" s="20"/>
      <c r="FH134" s="20"/>
      <c r="FI134" s="20"/>
      <c r="FJ134" s="20"/>
      <c r="FK134" s="20"/>
      <c r="FL134" s="20"/>
      <c r="FM134" s="20"/>
      <c r="FN134" s="20"/>
      <c r="FO134" s="20"/>
      <c r="FP134" s="20"/>
      <c r="FQ134" s="20"/>
      <c r="FR134" s="20"/>
      <c r="FS134" s="20"/>
      <c r="FT134" s="20"/>
      <c r="FU134" s="20"/>
      <c r="FV134" s="20"/>
      <c r="FW134" s="20"/>
      <c r="FX134" s="20"/>
      <c r="FY134" s="20"/>
      <c r="FZ134" s="20"/>
      <c r="GA134" s="20"/>
      <c r="GB134" s="20"/>
      <c r="GC134" s="20"/>
      <c r="GD134" s="20"/>
      <c r="GE134" s="20"/>
      <c r="GF134" s="20"/>
      <c r="GG134" s="20"/>
      <c r="GH134" s="20"/>
      <c r="GI134" s="20"/>
      <c r="GJ134" s="20"/>
      <c r="GK134" s="20"/>
      <c r="GL134" s="20"/>
      <c r="GM134" s="20"/>
      <c r="GN134" s="20"/>
      <c r="GO134" s="20"/>
      <c r="GP134" s="20"/>
      <c r="GQ134" s="20"/>
      <c r="GR134" s="20"/>
      <c r="GS134" s="20"/>
      <c r="GT134" s="20"/>
      <c r="GU134" s="20"/>
      <c r="GV134" s="20"/>
      <c r="GW134" s="20"/>
      <c r="GX134" s="20"/>
      <c r="GY134" s="20"/>
      <c r="GZ134" s="20"/>
      <c r="HA134" s="20"/>
      <c r="HB134" s="20"/>
      <c r="HC134" s="20"/>
      <c r="HD134" s="20"/>
      <c r="HE134" s="20"/>
      <c r="HF134" s="20"/>
      <c r="HG134" s="20"/>
      <c r="HH134" s="20"/>
      <c r="HI134" s="20"/>
      <c r="HJ134" s="20"/>
      <c r="HK134" s="20"/>
      <c r="HL134" s="20"/>
      <c r="HM134" s="20"/>
      <c r="HN134" s="20"/>
      <c r="HO134" s="20"/>
      <c r="HP134" s="20"/>
      <c r="HQ134" s="20"/>
      <c r="HR134" s="20"/>
      <c r="HS134" s="20"/>
      <c r="HT134" s="20"/>
      <c r="HU134" s="20"/>
      <c r="HV134" s="20"/>
      <c r="HW134" s="20"/>
      <c r="HX134" s="20"/>
      <c r="HY134" s="20"/>
      <c r="HZ134" s="20"/>
      <c r="IA134" s="20"/>
      <c r="IB134" s="20"/>
      <c r="IC134" s="20"/>
      <c r="ID134" s="20"/>
      <c r="IE134" s="20"/>
      <c r="IF134" s="20"/>
      <c r="IG134" s="20"/>
      <c r="IH134" s="20"/>
      <c r="II134" s="20"/>
      <c r="IJ134" s="20"/>
      <c r="IK134" s="20"/>
      <c r="IL134" s="20"/>
      <c r="IM134" s="20"/>
      <c r="IN134" s="20"/>
      <c r="IO134" s="20"/>
      <c r="IP134" s="20"/>
      <c r="IQ134" s="20"/>
      <c r="IR134" s="20"/>
      <c r="IS134" s="20"/>
      <c r="IT134" s="20"/>
      <c r="IU134" s="20"/>
      <c r="IV134" s="20"/>
      <c r="IW134" s="20"/>
      <c r="IX134" s="20"/>
      <c r="IY134" s="20"/>
      <c r="IZ134" s="20"/>
      <c r="JA134" s="20"/>
      <c r="JB134" s="20"/>
      <c r="JC134" s="20"/>
      <c r="JD134" s="20"/>
      <c r="JE134" s="20"/>
      <c r="JF134" s="20"/>
      <c r="JG134" s="20"/>
      <c r="JH134" s="20"/>
      <c r="JI134" s="20"/>
      <c r="JJ134" s="20"/>
      <c r="JK134" s="20"/>
      <c r="JL134" s="20"/>
      <c r="JM134" s="20"/>
      <c r="JN134" s="20"/>
      <c r="JO134" s="20"/>
      <c r="JP134" s="20"/>
      <c r="JQ134" s="20"/>
      <c r="JR134" s="20"/>
      <c r="JS134" s="20"/>
      <c r="JT134" s="20"/>
      <c r="JU134" s="20"/>
      <c r="JV134" s="20"/>
      <c r="JW134" s="20"/>
      <c r="JX134" s="20"/>
      <c r="JZ134" s="263"/>
      <c r="KA134" s="263"/>
      <c r="KB134" s="263"/>
      <c r="KC134" s="263"/>
      <c r="KD134" s="263"/>
      <c r="KE134" s="263"/>
      <c r="KF134" s="263"/>
      <c r="KG134" s="263"/>
      <c r="KH134" s="263"/>
      <c r="KI134" s="263"/>
      <c r="KJ134" s="263"/>
      <c r="KK134" s="263"/>
      <c r="KL134" s="263"/>
      <c r="KM134" s="263"/>
      <c r="KN134" s="263"/>
      <c r="KO134" s="263"/>
      <c r="KP134" s="263"/>
      <c r="KQ134" s="263"/>
      <c r="KR134" s="263"/>
      <c r="KS134" s="263"/>
      <c r="KT134" s="263"/>
      <c r="KU134" s="263"/>
      <c r="KV134" s="263"/>
      <c r="KW134" s="263"/>
      <c r="KX134" s="263"/>
      <c r="KY134" s="263"/>
      <c r="KZ134" s="263"/>
      <c r="LA134" s="263"/>
      <c r="LB134" s="263"/>
      <c r="LC134" s="263"/>
      <c r="LD134" s="263"/>
      <c r="LE134" s="263"/>
      <c r="LF134" s="263"/>
      <c r="LG134" s="263"/>
      <c r="LH134" s="263"/>
      <c r="LI134" s="263"/>
      <c r="LJ134" s="263"/>
      <c r="LK134" s="263"/>
      <c r="LL134" s="263"/>
      <c r="LM134" s="263"/>
      <c r="LN134" s="263"/>
      <c r="LO134" s="263"/>
      <c r="LP134" s="263"/>
      <c r="LQ134" s="263"/>
      <c r="LR134" s="263"/>
      <c r="LS134" s="263"/>
      <c r="LT134" s="263"/>
      <c r="LU134" s="263"/>
      <c r="LV134" s="263"/>
      <c r="LW134" s="263"/>
      <c r="LX134" s="263"/>
      <c r="LY134" s="263"/>
      <c r="LZ134" s="263"/>
      <c r="MA134" s="263"/>
      <c r="MB134" s="263"/>
      <c r="MC134" s="263"/>
      <c r="MD134" s="263"/>
      <c r="ME134" s="263"/>
      <c r="MF134" s="263"/>
      <c r="MG134" s="263"/>
      <c r="MH134" s="263"/>
      <c r="MI134" s="263"/>
      <c r="MJ134" s="263"/>
      <c r="MK134" s="263"/>
      <c r="ML134" s="263"/>
      <c r="MM134" s="263"/>
      <c r="MN134" s="263"/>
      <c r="MO134" s="263"/>
      <c r="MP134" s="263"/>
      <c r="MQ134" s="263"/>
      <c r="MR134" s="263"/>
      <c r="MS134" s="263"/>
      <c r="MT134" s="263"/>
      <c r="MU134" s="263"/>
      <c r="MV134" s="263"/>
      <c r="MW134" s="263"/>
      <c r="MX134" s="263"/>
      <c r="MY134" s="263"/>
      <c r="MZ134" s="263"/>
      <c r="NA134" s="263"/>
      <c r="NB134" s="263"/>
      <c r="NC134" s="263"/>
      <c r="ND134" s="263"/>
      <c r="NE134" s="263"/>
      <c r="NF134" s="263"/>
      <c r="NG134" s="263"/>
      <c r="NH134" s="263"/>
      <c r="NI134" s="263"/>
      <c r="NJ134" s="263"/>
      <c r="NK134" s="263"/>
      <c r="NL134" s="263"/>
      <c r="NM134" s="263"/>
      <c r="NN134" s="263"/>
      <c r="NO134" s="263"/>
      <c r="NP134" s="263"/>
      <c r="NQ134" s="263"/>
      <c r="NR134" s="263"/>
      <c r="NS134" s="263"/>
      <c r="NT134" s="263"/>
      <c r="NU134" s="263"/>
      <c r="NV134" s="263"/>
      <c r="NW134" s="263"/>
      <c r="NX134" s="263"/>
      <c r="NY134" s="263"/>
      <c r="NZ134" s="263"/>
      <c r="OA134" s="263"/>
      <c r="OB134" s="263"/>
      <c r="OC134" s="263"/>
      <c r="OD134" s="263"/>
      <c r="OE134" s="263"/>
      <c r="OF134" s="263"/>
      <c r="OG134" s="263"/>
      <c r="OH134" s="263"/>
      <c r="OI134" s="263"/>
      <c r="OJ134" s="263"/>
      <c r="OK134" s="263"/>
      <c r="OL134" s="263"/>
      <c r="OM134" s="263"/>
      <c r="ON134" s="263"/>
      <c r="OO134" s="263"/>
      <c r="OP134" s="263"/>
      <c r="OQ134" s="263"/>
      <c r="OR134" s="263"/>
      <c r="OS134" s="263"/>
      <c r="OT134" s="263"/>
      <c r="OU134" s="263"/>
      <c r="OV134" s="263"/>
      <c r="OW134" s="263"/>
      <c r="OX134" s="263"/>
      <c r="OY134" s="263"/>
      <c r="OZ134" s="263"/>
      <c r="PA134" s="263"/>
      <c r="PB134" s="263"/>
      <c r="PC134" s="263"/>
      <c r="PD134" s="263"/>
      <c r="PE134" s="263"/>
      <c r="PF134" s="263"/>
      <c r="PG134" s="263"/>
      <c r="PH134" s="263"/>
    </row>
    <row r="135">
      <c r="B135" s="431"/>
      <c r="C135" s="418">
        <v>0</v>
      </c>
      <c r="D135" s="404"/>
      <c r="E135" s="54"/>
      <c r="F135" s="44" t="n">
        <f>$F$134</f>
        <v>0.02</v>
      </c>
      <c r="G135" s="44">
        <v>0.03</v>
      </c>
      <c r="H135" s="149" t="n">
        <f>+REL_Mgmt_Fee_Proforma/Units</f>
        <v>0</v>
      </c>
      <c r="I135" s="428">
        <v>0</v>
      </c>
      <c r="L135" s="421">
        <v>0</v>
      </c>
      <c r="M135" s="421">
        <v>0</v>
      </c>
      <c r="N135" s="421">
        <v>0</v>
      </c>
      <c r="O135" s="421">
        <v>0</v>
      </c>
      <c r="P135" s="421">
        <v>0</v>
      </c>
      <c r="Q135" s="421">
        <v>0</v>
      </c>
      <c r="R135" s="421">
        <v>0</v>
      </c>
      <c r="S135" s="421">
        <v>0</v>
      </c>
      <c r="T135" s="421">
        <v>0</v>
      </c>
      <c r="U135" s="421">
        <v>0</v>
      </c>
      <c r="V135" s="421">
        <v>0</v>
      </c>
      <c r="W135" s="421">
        <v>0</v>
      </c>
      <c r="X135" s="421">
        <v>0</v>
      </c>
      <c r="Y135" s="421">
        <v>0</v>
      </c>
      <c r="Z135" s="421">
        <v>0</v>
      </c>
      <c r="AA135" s="421">
        <v>0</v>
      </c>
      <c r="AB135" s="421">
        <v>0</v>
      </c>
      <c r="AC135" s="421">
        <v>0</v>
      </c>
      <c r="AD135" s="421">
        <v>0</v>
      </c>
      <c r="AE135" s="421">
        <v>0</v>
      </c>
      <c r="AF135" s="421">
        <v>0</v>
      </c>
      <c r="AG135" s="421">
        <v>0</v>
      </c>
      <c r="AH135" s="421">
        <v>0</v>
      </c>
      <c r="AI135" s="421">
        <v>0</v>
      </c>
      <c r="AJ135" s="421">
        <v>0</v>
      </c>
      <c r="AK135" s="421">
        <v>0</v>
      </c>
      <c r="AL135" s="421">
        <v>0</v>
      </c>
      <c r="AM135" s="421">
        <v>0</v>
      </c>
      <c r="AN135" s="421">
        <v>0</v>
      </c>
      <c r="AO135" s="421">
        <v>0</v>
      </c>
      <c r="AP135" s="421">
        <v>0</v>
      </c>
      <c r="AQ135" s="421">
        <v>0</v>
      </c>
      <c r="AR135" s="421">
        <v>0</v>
      </c>
      <c r="AS135" s="421">
        <v>0</v>
      </c>
      <c r="AT135" s="421">
        <v>0</v>
      </c>
      <c r="AU135" s="421">
        <v>0</v>
      </c>
      <c r="AV135" s="421">
        <v>0</v>
      </c>
      <c r="AW135" s="421">
        <v>0</v>
      </c>
      <c r="AX135" s="421">
        <v>0</v>
      </c>
      <c r="AY135" s="421">
        <v>0</v>
      </c>
      <c r="AZ135" s="421">
        <v>0</v>
      </c>
      <c r="BA135" s="421">
        <v>0</v>
      </c>
      <c r="BB135" s="421">
        <v>0</v>
      </c>
      <c r="BC135" s="421">
        <v>0</v>
      </c>
      <c r="BD135" s="421">
        <v>0</v>
      </c>
      <c r="BE135" s="421">
        <v>0</v>
      </c>
      <c r="BF135" s="421">
        <v>0</v>
      </c>
      <c r="BG135" s="421">
        <v>0</v>
      </c>
      <c r="BH135" s="421">
        <v>0</v>
      </c>
      <c r="BI135" s="421">
        <v>0</v>
      </c>
      <c r="BJ135" s="421">
        <v>0</v>
      </c>
      <c r="BK135" s="421">
        <v>0</v>
      </c>
      <c r="BL135" s="421">
        <v>0</v>
      </c>
      <c r="BM135" s="421">
        <v>0</v>
      </c>
      <c r="BN135" s="421">
        <v>0</v>
      </c>
      <c r="BO135" s="421">
        <v>0</v>
      </c>
      <c r="BP135" s="421">
        <v>0</v>
      </c>
      <c r="BQ135" s="421">
        <v>0</v>
      </c>
      <c r="BR135" s="421">
        <v>0</v>
      </c>
      <c r="BS135" s="421">
        <v>0</v>
      </c>
      <c r="BT135" s="421">
        <v>0</v>
      </c>
      <c r="BU135" s="421">
        <v>0</v>
      </c>
      <c r="BV135" s="421">
        <v>0</v>
      </c>
      <c r="BW135" s="421">
        <v>0</v>
      </c>
      <c r="BX135" s="421">
        <v>0</v>
      </c>
      <c r="BY135" s="421">
        <v>0</v>
      </c>
      <c r="BZ135" s="421">
        <v>0</v>
      </c>
      <c r="CA135" s="421">
        <v>0</v>
      </c>
      <c r="CB135" s="421">
        <v>0</v>
      </c>
      <c r="CC135" s="421">
        <v>0</v>
      </c>
      <c r="CD135" s="421">
        <v>0</v>
      </c>
      <c r="CE135" s="421">
        <v>0</v>
      </c>
      <c r="CF135" s="421">
        <v>0</v>
      </c>
      <c r="CG135" s="421">
        <v>0</v>
      </c>
      <c r="CH135" s="421">
        <v>0</v>
      </c>
      <c r="CI135" s="421">
        <v>0</v>
      </c>
      <c r="CJ135" s="421">
        <v>0</v>
      </c>
      <c r="CK135" s="421">
        <v>0</v>
      </c>
      <c r="CL135" s="421">
        <v>0</v>
      </c>
      <c r="CM135" s="421">
        <v>0</v>
      </c>
      <c r="CN135" s="421">
        <v>0</v>
      </c>
      <c r="CO135" s="421">
        <v>0</v>
      </c>
      <c r="CP135" s="421">
        <v>0</v>
      </c>
      <c r="CQ135" s="421">
        <v>0</v>
      </c>
      <c r="CR135" s="421">
        <v>0</v>
      </c>
      <c r="CS135" s="421">
        <v>0</v>
      </c>
      <c r="CT135" s="421">
        <v>0</v>
      </c>
      <c r="CU135" s="421">
        <v>0</v>
      </c>
      <c r="CV135" s="421">
        <v>0</v>
      </c>
      <c r="CW135" s="421">
        <v>0</v>
      </c>
      <c r="CX135" s="421">
        <v>0</v>
      </c>
      <c r="CY135" s="421">
        <v>0</v>
      </c>
      <c r="CZ135" s="421">
        <v>0</v>
      </c>
      <c r="DA135" s="421">
        <v>0</v>
      </c>
      <c r="DB135" s="421">
        <v>0</v>
      </c>
      <c r="DC135" s="421">
        <v>0</v>
      </c>
      <c r="DD135" s="421">
        <v>0</v>
      </c>
      <c r="DE135" s="421">
        <v>0</v>
      </c>
      <c r="DF135" s="421">
        <v>0</v>
      </c>
      <c r="DG135" s="421">
        <v>0</v>
      </c>
      <c r="DH135" s="421">
        <v>0</v>
      </c>
      <c r="DI135" s="421">
        <v>0</v>
      </c>
      <c r="DJ135" s="421">
        <v>0</v>
      </c>
      <c r="DK135" s="421">
        <v>0</v>
      </c>
      <c r="DL135" s="421">
        <v>0</v>
      </c>
      <c r="DM135" s="421">
        <v>0</v>
      </c>
      <c r="DN135" s="421">
        <v>0</v>
      </c>
      <c r="DO135" s="421">
        <v>0</v>
      </c>
      <c r="DP135" s="421">
        <v>0</v>
      </c>
      <c r="DQ135" s="421">
        <v>0</v>
      </c>
      <c r="DR135" s="421">
        <v>0</v>
      </c>
      <c r="DS135" s="421">
        <v>0</v>
      </c>
      <c r="DT135" s="421">
        <v>0</v>
      </c>
      <c r="DU135" s="421">
        <v>0</v>
      </c>
      <c r="DV135" s="421">
        <v>0</v>
      </c>
      <c r="DW135" s="421">
        <v>0</v>
      </c>
      <c r="DX135" s="421">
        <v>0</v>
      </c>
      <c r="DY135" s="421">
        <v>0</v>
      </c>
      <c r="DZ135" s="421">
        <v>0</v>
      </c>
      <c r="EA135" s="421">
        <v>0</v>
      </c>
      <c r="EB135" s="421">
        <v>0</v>
      </c>
      <c r="EC135" s="421">
        <v>0</v>
      </c>
      <c r="ED135" s="421">
        <v>0</v>
      </c>
      <c r="EE135" s="421">
        <v>0</v>
      </c>
      <c r="EF135" s="421">
        <v>0</v>
      </c>
      <c r="EG135" s="421">
        <v>0</v>
      </c>
      <c r="EH135" s="421">
        <v>0</v>
      </c>
      <c r="EI135" s="421">
        <v>0</v>
      </c>
      <c r="EJ135" s="421">
        <v>0</v>
      </c>
      <c r="EK135" s="421">
        <v>0</v>
      </c>
      <c r="EL135" s="421">
        <v>0</v>
      </c>
      <c r="EM135" s="421">
        <v>0</v>
      </c>
      <c r="EN135" s="421">
        <v>0</v>
      </c>
      <c r="EP135" s="220"/>
      <c r="EQ135" s="210"/>
      <c r="ER135" s="18"/>
      <c r="ES135" s="18"/>
      <c r="ET135" s="18"/>
      <c r="EU135" s="18"/>
      <c r="EV135" s="20"/>
      <c r="EW135" s="20"/>
      <c r="EX135" s="20"/>
      <c r="EY135" s="20"/>
      <c r="EZ135" s="20"/>
      <c r="FA135" s="20"/>
      <c r="FB135" s="20"/>
      <c r="FC135" s="20"/>
      <c r="FD135" s="20"/>
      <c r="FE135" s="20"/>
      <c r="FF135" s="20"/>
      <c r="FG135" s="20"/>
      <c r="FH135" s="20"/>
      <c r="FI135" s="20"/>
      <c r="FJ135" s="20"/>
      <c r="FK135" s="20"/>
      <c r="FL135" s="20"/>
      <c r="FM135" s="20"/>
      <c r="FN135" s="20"/>
      <c r="FO135" s="20"/>
      <c r="FP135" s="20"/>
      <c r="FQ135" s="20"/>
      <c r="FR135" s="20"/>
      <c r="FS135" s="20"/>
      <c r="FT135" s="20"/>
      <c r="FU135" s="20"/>
      <c r="FV135" s="20"/>
      <c r="FW135" s="20"/>
      <c r="FX135" s="20"/>
      <c r="FY135" s="20"/>
      <c r="FZ135" s="20"/>
      <c r="GA135" s="20"/>
      <c r="GB135" s="20"/>
      <c r="GC135" s="20"/>
      <c r="GD135" s="20"/>
      <c r="GE135" s="20"/>
      <c r="GF135" s="20"/>
      <c r="GG135" s="20"/>
      <c r="GH135" s="20"/>
      <c r="GI135" s="20"/>
      <c r="GJ135" s="20"/>
      <c r="GK135" s="20"/>
      <c r="GL135" s="20"/>
      <c r="GM135" s="20"/>
      <c r="GN135" s="20"/>
      <c r="GO135" s="20"/>
      <c r="GP135" s="20"/>
      <c r="GQ135" s="20"/>
      <c r="GR135" s="20"/>
      <c r="GS135" s="20"/>
      <c r="GT135" s="20"/>
      <c r="GU135" s="20"/>
      <c r="GV135" s="20"/>
      <c r="GW135" s="20"/>
      <c r="GX135" s="20"/>
      <c r="GY135" s="20"/>
      <c r="GZ135" s="20"/>
      <c r="HA135" s="20"/>
      <c r="HB135" s="20"/>
      <c r="HC135" s="20"/>
      <c r="HD135" s="20"/>
      <c r="HE135" s="20"/>
      <c r="HF135" s="20"/>
      <c r="HG135" s="20"/>
      <c r="HH135" s="20"/>
      <c r="HI135" s="20"/>
      <c r="HJ135" s="20"/>
      <c r="HK135" s="20"/>
      <c r="HL135" s="20"/>
      <c r="HM135" s="20"/>
      <c r="HN135" s="20"/>
      <c r="HO135" s="20"/>
      <c r="HP135" s="20"/>
      <c r="HQ135" s="20"/>
      <c r="HR135" s="20"/>
      <c r="HS135" s="20"/>
      <c r="HT135" s="20"/>
      <c r="HU135" s="20"/>
      <c r="HV135" s="20"/>
      <c r="HW135" s="20"/>
      <c r="HX135" s="20"/>
      <c r="HY135" s="20"/>
      <c r="HZ135" s="20"/>
      <c r="IA135" s="20"/>
      <c r="IB135" s="20"/>
      <c r="IC135" s="20"/>
      <c r="ID135" s="20"/>
      <c r="IE135" s="20"/>
      <c r="IF135" s="20"/>
      <c r="IG135" s="20"/>
      <c r="IH135" s="20"/>
      <c r="II135" s="20"/>
      <c r="IJ135" s="20"/>
      <c r="IK135" s="20"/>
      <c r="IL135" s="20"/>
      <c r="IM135" s="20"/>
      <c r="IN135" s="20"/>
      <c r="IO135" s="20"/>
      <c r="IP135" s="20"/>
      <c r="IQ135" s="20"/>
      <c r="IR135" s="20"/>
      <c r="IS135" s="20"/>
      <c r="IT135" s="20"/>
      <c r="IU135" s="20"/>
      <c r="IV135" s="20"/>
      <c r="IW135" s="20"/>
      <c r="IX135" s="20"/>
      <c r="IY135" s="20"/>
      <c r="IZ135" s="20"/>
      <c r="JA135" s="20"/>
      <c r="JB135" s="20"/>
      <c r="JC135" s="20"/>
      <c r="JD135" s="20"/>
      <c r="JE135" s="20"/>
      <c r="JF135" s="20"/>
      <c r="JG135" s="20"/>
      <c r="JH135" s="20"/>
      <c r="JI135" s="20"/>
      <c r="JJ135" s="20"/>
      <c r="JK135" s="20"/>
      <c r="JL135" s="20"/>
      <c r="JM135" s="20"/>
      <c r="JN135" s="20"/>
      <c r="JO135" s="20"/>
      <c r="JP135" s="20"/>
      <c r="JQ135" s="20"/>
      <c r="JR135" s="20"/>
      <c r="JS135" s="20"/>
      <c r="JT135" s="20"/>
      <c r="JU135" s="20"/>
      <c r="JV135" s="20"/>
      <c r="JW135" s="20"/>
      <c r="JX135" s="20"/>
      <c r="JZ135" s="263"/>
      <c r="KA135" s="263"/>
      <c r="KB135" s="263"/>
      <c r="KC135" s="263"/>
      <c r="KD135" s="263"/>
      <c r="KE135" s="263"/>
      <c r="KF135" s="263"/>
      <c r="KG135" s="263"/>
      <c r="KH135" s="263"/>
      <c r="KI135" s="263"/>
      <c r="KJ135" s="263"/>
      <c r="KK135" s="263"/>
      <c r="KL135" s="263"/>
      <c r="KM135" s="263"/>
      <c r="KN135" s="263"/>
      <c r="KO135" s="263"/>
      <c r="KP135" s="263"/>
      <c r="KQ135" s="263"/>
      <c r="KR135" s="263"/>
      <c r="KS135" s="263"/>
      <c r="KT135" s="263"/>
      <c r="KU135" s="263"/>
      <c r="KV135" s="263"/>
      <c r="KW135" s="263"/>
      <c r="KX135" s="263"/>
      <c r="KY135" s="263"/>
      <c r="KZ135" s="263"/>
      <c r="LA135" s="263"/>
      <c r="LB135" s="263"/>
      <c r="LC135" s="263"/>
      <c r="LD135" s="263"/>
      <c r="LE135" s="263"/>
      <c r="LF135" s="263"/>
      <c r="LG135" s="263"/>
      <c r="LH135" s="263"/>
      <c r="LI135" s="263"/>
      <c r="LJ135" s="263"/>
      <c r="LK135" s="263"/>
      <c r="LL135" s="263"/>
      <c r="LM135" s="263"/>
      <c r="LN135" s="263"/>
      <c r="LO135" s="263"/>
      <c r="LP135" s="263"/>
      <c r="LQ135" s="263"/>
      <c r="LR135" s="263"/>
      <c r="LS135" s="263"/>
      <c r="LT135" s="263"/>
      <c r="LU135" s="263"/>
      <c r="LV135" s="263"/>
      <c r="LW135" s="263"/>
      <c r="LX135" s="263"/>
      <c r="LY135" s="263"/>
      <c r="LZ135" s="263"/>
      <c r="MA135" s="263"/>
      <c r="MB135" s="263"/>
      <c r="MC135" s="263"/>
      <c r="MD135" s="263"/>
      <c r="ME135" s="263"/>
      <c r="MF135" s="263"/>
      <c r="MG135" s="263"/>
      <c r="MH135" s="263"/>
      <c r="MI135" s="263"/>
      <c r="MJ135" s="263"/>
      <c r="MK135" s="263"/>
      <c r="ML135" s="263"/>
      <c r="MM135" s="263"/>
      <c r="MN135" s="263"/>
      <c r="MO135" s="263"/>
      <c r="MP135" s="263"/>
      <c r="MQ135" s="263"/>
      <c r="MR135" s="263"/>
      <c r="MS135" s="263"/>
      <c r="MT135" s="263"/>
      <c r="MU135" s="263"/>
      <c r="MV135" s="263"/>
      <c r="MW135" s="263"/>
      <c r="MX135" s="263"/>
      <c r="MY135" s="263"/>
      <c r="MZ135" s="263"/>
      <c r="NA135" s="263"/>
      <c r="NB135" s="263"/>
      <c r="NC135" s="263"/>
      <c r="ND135" s="263"/>
      <c r="NE135" s="263"/>
      <c r="NF135" s="263"/>
      <c r="NG135" s="263"/>
      <c r="NH135" s="263"/>
      <c r="NI135" s="263"/>
      <c r="NJ135" s="263"/>
      <c r="NK135" s="263"/>
      <c r="NL135" s="263"/>
      <c r="NM135" s="263"/>
      <c r="NN135" s="263"/>
      <c r="NO135" s="263"/>
      <c r="NP135" s="263"/>
      <c r="NQ135" s="263"/>
      <c r="NR135" s="263"/>
      <c r="NS135" s="263"/>
      <c r="NT135" s="263"/>
      <c r="NU135" s="263"/>
      <c r="NV135" s="263"/>
      <c r="NW135" s="263"/>
      <c r="NX135" s="263"/>
      <c r="NY135" s="263"/>
      <c r="NZ135" s="263"/>
      <c r="OA135" s="263"/>
      <c r="OB135" s="263"/>
      <c r="OC135" s="263"/>
      <c r="OD135" s="263"/>
      <c r="OE135" s="263"/>
      <c r="OF135" s="263"/>
      <c r="OG135" s="263"/>
      <c r="OH135" s="263"/>
      <c r="OI135" s="263"/>
      <c r="OJ135" s="263"/>
      <c r="OK135" s="263"/>
      <c r="OL135" s="263"/>
      <c r="OM135" s="263"/>
      <c r="ON135" s="263"/>
      <c r="OO135" s="263"/>
      <c r="OP135" s="263"/>
      <c r="OQ135" s="263"/>
      <c r="OR135" s="263"/>
      <c r="OS135" s="263"/>
      <c r="OT135" s="263"/>
      <c r="OU135" s="263"/>
      <c r="OV135" s="263"/>
      <c r="OW135" s="263"/>
      <c r="OX135" s="263"/>
      <c r="OY135" s="263"/>
      <c r="OZ135" s="263"/>
      <c r="PA135" s="263"/>
      <c r="PB135" s="263"/>
      <c r="PC135" s="263"/>
      <c r="PD135" s="263"/>
      <c r="PE135" s="263"/>
      <c r="PF135" s="263"/>
      <c r="PG135" s="263"/>
      <c r="PH135" s="263"/>
    </row>
    <row r="136">
      <c r="B136" s="431"/>
      <c r="C136" s="418">
        <v>1</v>
      </c>
      <c r="D136" s="404"/>
      <c r="E136" s="54"/>
      <c r="F136" s="44" t="n">
        <f>$F$134</f>
        <v>0.02</v>
      </c>
      <c r="G136" s="40" t="n">
        <f>+I136/$I$130</f>
        <v>0</v>
      </c>
      <c r="H136" s="144">
        <v>2</v>
      </c>
      <c r="I136" s="428">
        <v>0</v>
      </c>
      <c r="L136" s="76">
        <v>0</v>
      </c>
      <c r="M136" s="421" t="n">
        <f t="shared" ref="M136:AR136" si="815">(M$91&gt;0)*(($I136/12*M$89*(1+$F136)^(ROUNDUP(M$91/12,0)-1))*(1-$E136)+($I136/12*(1+$F136)^(ROUNDUP(M$91/12,0)-1))*$E136)</f>
        <v>0</v>
      </c>
      <c r="N136" s="421">
        <f t="shared" si="815"/>
        <v>0</v>
      </c>
      <c r="O136" s="421">
        <f t="shared" si="815"/>
        <v>0</v>
      </c>
      <c r="P136" s="421">
        <f t="shared" si="815"/>
        <v>0</v>
      </c>
      <c r="Q136" s="421">
        <f t="shared" si="815"/>
        <v>0</v>
      </c>
      <c r="R136" s="421">
        <f t="shared" si="815"/>
        <v>0</v>
      </c>
      <c r="S136" s="421">
        <f t="shared" si="815"/>
        <v>0</v>
      </c>
      <c r="T136" s="421">
        <f t="shared" si="815"/>
        <v>0</v>
      </c>
      <c r="U136" s="421">
        <f t="shared" si="815"/>
        <v>0</v>
      </c>
      <c r="V136" s="421">
        <f t="shared" si="815"/>
        <v>0</v>
      </c>
      <c r="W136" s="421">
        <f t="shared" si="815"/>
        <v>0</v>
      </c>
      <c r="X136" s="421">
        <f t="shared" si="815"/>
        <v>0</v>
      </c>
      <c r="Y136" s="421">
        <f t="shared" si="815"/>
        <v>0</v>
      </c>
      <c r="Z136" s="421">
        <f t="shared" si="815"/>
        <v>0</v>
      </c>
      <c r="AA136" s="421">
        <f t="shared" si="815"/>
        <v>0</v>
      </c>
      <c r="AB136" s="421">
        <f t="shared" si="815"/>
        <v>0</v>
      </c>
      <c r="AC136" s="421">
        <f t="shared" si="815"/>
        <v>0</v>
      </c>
      <c r="AD136" s="421">
        <f t="shared" si="815"/>
        <v>0</v>
      </c>
      <c r="AE136" s="421">
        <f t="shared" si="815"/>
        <v>0</v>
      </c>
      <c r="AF136" s="421">
        <f t="shared" si="815"/>
        <v>0</v>
      </c>
      <c r="AG136" s="421">
        <f t="shared" si="815"/>
        <v>0</v>
      </c>
      <c r="AH136" s="421">
        <f t="shared" si="815"/>
        <v>0</v>
      </c>
      <c r="AI136" s="421">
        <f t="shared" si="815"/>
        <v>0</v>
      </c>
      <c r="AJ136" s="421">
        <f t="shared" si="815"/>
        <v>0</v>
      </c>
      <c r="AK136" s="421">
        <f t="shared" si="815"/>
        <v>0</v>
      </c>
      <c r="AL136" s="421">
        <f t="shared" si="815"/>
        <v>0</v>
      </c>
      <c r="AM136" s="421">
        <f t="shared" si="815"/>
        <v>0</v>
      </c>
      <c r="AN136" s="421">
        <f t="shared" si="815"/>
        <v>0</v>
      </c>
      <c r="AO136" s="421">
        <f t="shared" si="815"/>
        <v>0</v>
      </c>
      <c r="AP136" s="421">
        <f t="shared" si="815"/>
        <v>0</v>
      </c>
      <c r="AQ136" s="421">
        <f t="shared" si="815"/>
        <v>0</v>
      </c>
      <c r="AR136" s="421">
        <f t="shared" si="815"/>
        <v>0</v>
      </c>
      <c r="AS136" s="421" t="n">
        <f t="shared" ref="AS136:BX136" si="816">(AS$91&gt;0)*(($I136/12*AS$89*(1+$F136)^(ROUNDUP(AS$91/12,0)-1))*(1-$E136)+($I136/12*(1+$F136)^(ROUNDUP(AS$91/12,0)-1))*$E136)</f>
        <v>0</v>
      </c>
      <c r="AT136" s="421">
        <f t="shared" si="816"/>
        <v>0</v>
      </c>
      <c r="AU136" s="421">
        <f t="shared" si="816"/>
        <v>0</v>
      </c>
      <c r="AV136" s="421">
        <f t="shared" si="816"/>
        <v>0</v>
      </c>
      <c r="AW136" s="421">
        <f t="shared" si="816"/>
        <v>0</v>
      </c>
      <c r="AX136" s="421">
        <f t="shared" si="816"/>
        <v>0</v>
      </c>
      <c r="AY136" s="421">
        <f t="shared" si="816"/>
        <v>0</v>
      </c>
      <c r="AZ136" s="421">
        <f t="shared" si="816"/>
        <v>0</v>
      </c>
      <c r="BA136" s="421">
        <f t="shared" si="816"/>
        <v>0</v>
      </c>
      <c r="BB136" s="421">
        <f t="shared" si="816"/>
        <v>0</v>
      </c>
      <c r="BC136" s="421">
        <f t="shared" si="816"/>
        <v>0</v>
      </c>
      <c r="BD136" s="421">
        <f t="shared" si="816"/>
        <v>0</v>
      </c>
      <c r="BE136" s="421">
        <f t="shared" si="816"/>
        <v>0</v>
      </c>
      <c r="BF136" s="421">
        <f t="shared" si="816"/>
        <v>0</v>
      </c>
      <c r="BG136" s="421">
        <f t="shared" si="816"/>
        <v>0</v>
      </c>
      <c r="BH136" s="421">
        <f t="shared" si="816"/>
        <v>0</v>
      </c>
      <c r="BI136" s="421">
        <f t="shared" si="816"/>
        <v>0</v>
      </c>
      <c r="BJ136" s="421">
        <f t="shared" si="816"/>
        <v>0</v>
      </c>
      <c r="BK136" s="421">
        <f t="shared" si="816"/>
        <v>0</v>
      </c>
      <c r="BL136" s="421">
        <f t="shared" si="816"/>
        <v>0</v>
      </c>
      <c r="BM136" s="421">
        <f t="shared" si="816"/>
        <v>0</v>
      </c>
      <c r="BN136" s="421">
        <f t="shared" si="816"/>
        <v>0</v>
      </c>
      <c r="BO136" s="421">
        <f t="shared" si="816"/>
        <v>0</v>
      </c>
      <c r="BP136" s="421">
        <f t="shared" si="816"/>
        <v>0</v>
      </c>
      <c r="BQ136" s="421">
        <f t="shared" si="816"/>
        <v>0</v>
      </c>
      <c r="BR136" s="421">
        <f t="shared" si="816"/>
        <v>0</v>
      </c>
      <c r="BS136" s="421">
        <f t="shared" si="816"/>
        <v>0</v>
      </c>
      <c r="BT136" s="421">
        <f t="shared" si="816"/>
        <v>0</v>
      </c>
      <c r="BU136" s="421">
        <f t="shared" si="816"/>
        <v>0</v>
      </c>
      <c r="BV136" s="421">
        <f t="shared" si="816"/>
        <v>0</v>
      </c>
      <c r="BW136" s="421">
        <f t="shared" si="816"/>
        <v>0</v>
      </c>
      <c r="BX136" s="421">
        <f t="shared" si="816"/>
        <v>0</v>
      </c>
      <c r="BY136" s="421" t="n">
        <f t="shared" ref="BY136:DD136" si="817">(BY$91&gt;0)*(($I136/12*BY$89*(1+$F136)^(ROUNDUP(BY$91/12,0)-1))*(1-$E136)+($I136/12*(1+$F136)^(ROUNDUP(BY$91/12,0)-1))*$E136)</f>
        <v>0</v>
      </c>
      <c r="BZ136" s="421">
        <f t="shared" si="817"/>
        <v>0</v>
      </c>
      <c r="CA136" s="421">
        <f t="shared" si="817"/>
        <v>0</v>
      </c>
      <c r="CB136" s="421">
        <f t="shared" si="817"/>
        <v>0</v>
      </c>
      <c r="CC136" s="421">
        <f t="shared" si="817"/>
        <v>0</v>
      </c>
      <c r="CD136" s="421">
        <f t="shared" si="817"/>
        <v>0</v>
      </c>
      <c r="CE136" s="421">
        <f t="shared" si="817"/>
        <v>0</v>
      </c>
      <c r="CF136" s="421">
        <f t="shared" si="817"/>
        <v>0</v>
      </c>
      <c r="CG136" s="421">
        <f t="shared" si="817"/>
        <v>0</v>
      </c>
      <c r="CH136" s="421">
        <f t="shared" si="817"/>
        <v>0</v>
      </c>
      <c r="CI136" s="421">
        <f t="shared" si="817"/>
        <v>0</v>
      </c>
      <c r="CJ136" s="421">
        <f t="shared" si="817"/>
        <v>0</v>
      </c>
      <c r="CK136" s="421">
        <f t="shared" si="817"/>
        <v>0</v>
      </c>
      <c r="CL136" s="421">
        <f t="shared" si="817"/>
        <v>0</v>
      </c>
      <c r="CM136" s="421">
        <f t="shared" si="817"/>
        <v>0</v>
      </c>
      <c r="CN136" s="421">
        <f t="shared" si="817"/>
        <v>0</v>
      </c>
      <c r="CO136" s="421">
        <f t="shared" si="817"/>
        <v>0</v>
      </c>
      <c r="CP136" s="421">
        <f t="shared" si="817"/>
        <v>0</v>
      </c>
      <c r="CQ136" s="421">
        <f t="shared" si="817"/>
        <v>0</v>
      </c>
      <c r="CR136" s="421">
        <f t="shared" si="817"/>
        <v>0</v>
      </c>
      <c r="CS136" s="421">
        <f t="shared" si="817"/>
        <v>0</v>
      </c>
      <c r="CT136" s="421">
        <f t="shared" si="817"/>
        <v>0</v>
      </c>
      <c r="CU136" s="421">
        <f t="shared" si="817"/>
        <v>0</v>
      </c>
      <c r="CV136" s="421">
        <f t="shared" si="817"/>
        <v>0</v>
      </c>
      <c r="CW136" s="421">
        <f t="shared" si="817"/>
        <v>0</v>
      </c>
      <c r="CX136" s="421">
        <f t="shared" si="817"/>
        <v>0</v>
      </c>
      <c r="CY136" s="421">
        <f t="shared" si="817"/>
        <v>0</v>
      </c>
      <c r="CZ136" s="421">
        <f t="shared" si="817"/>
        <v>0</v>
      </c>
      <c r="DA136" s="421">
        <f t="shared" si="817"/>
        <v>0</v>
      </c>
      <c r="DB136" s="421">
        <f t="shared" si="817"/>
        <v>0</v>
      </c>
      <c r="DC136" s="421">
        <f t="shared" si="817"/>
        <v>0</v>
      </c>
      <c r="DD136" s="421">
        <f t="shared" si="817"/>
        <v>0</v>
      </c>
      <c r="DE136" s="421" t="n">
        <f t="shared" ref="DE136:EN136" si="818">(DE$91&gt;0)*(($I136/12*DE$89*(1+$F136)^(ROUNDUP(DE$91/12,0)-1))*(1-$E136)+($I136/12*(1+$F136)^(ROUNDUP(DE$91/12,0)-1))*$E136)</f>
        <v>0</v>
      </c>
      <c r="DF136" s="421">
        <f t="shared" si="818"/>
        <v>0</v>
      </c>
      <c r="DG136" s="421">
        <f t="shared" si="818"/>
        <v>0</v>
      </c>
      <c r="DH136" s="421">
        <f t="shared" si="818"/>
        <v>0</v>
      </c>
      <c r="DI136" s="421">
        <f t="shared" si="818"/>
        <v>0</v>
      </c>
      <c r="DJ136" s="421">
        <f t="shared" si="818"/>
        <v>0</v>
      </c>
      <c r="DK136" s="421">
        <f t="shared" si="818"/>
        <v>0</v>
      </c>
      <c r="DL136" s="421">
        <f t="shared" si="818"/>
        <v>0</v>
      </c>
      <c r="DM136" s="421">
        <f t="shared" si="818"/>
        <v>0</v>
      </c>
      <c r="DN136" s="421">
        <f t="shared" si="818"/>
        <v>0</v>
      </c>
      <c r="DO136" s="421">
        <f t="shared" si="818"/>
        <v>0</v>
      </c>
      <c r="DP136" s="421">
        <f t="shared" si="818"/>
        <v>0</v>
      </c>
      <c r="DQ136" s="421">
        <f t="shared" si="818"/>
        <v>0</v>
      </c>
      <c r="DR136" s="421">
        <f t="shared" si="818"/>
        <v>0</v>
      </c>
      <c r="DS136" s="421">
        <f t="shared" si="818"/>
        <v>0</v>
      </c>
      <c r="DT136" s="421">
        <f t="shared" si="818"/>
        <v>0</v>
      </c>
      <c r="DU136" s="421">
        <f t="shared" si="818"/>
        <v>0</v>
      </c>
      <c r="DV136" s="421">
        <f t="shared" si="818"/>
        <v>0</v>
      </c>
      <c r="DW136" s="421">
        <f t="shared" si="818"/>
        <v>0</v>
      </c>
      <c r="DX136" s="421">
        <f t="shared" si="818"/>
        <v>0</v>
      </c>
      <c r="DY136" s="421">
        <f t="shared" si="818"/>
        <v>0</v>
      </c>
      <c r="DZ136" s="421">
        <f t="shared" si="818"/>
        <v>0</v>
      </c>
      <c r="EA136" s="421">
        <f t="shared" si="818"/>
        <v>0</v>
      </c>
      <c r="EB136" s="421">
        <f t="shared" si="818"/>
        <v>0</v>
      </c>
      <c r="EC136" s="421">
        <f t="shared" si="818"/>
        <v>0</v>
      </c>
      <c r="ED136" s="421">
        <f t="shared" si="818"/>
        <v>0</v>
      </c>
      <c r="EE136" s="421">
        <f t="shared" si="818"/>
        <v>0</v>
      </c>
      <c r="EF136" s="421">
        <f t="shared" si="818"/>
        <v>0</v>
      </c>
      <c r="EG136" s="421">
        <f t="shared" si="818"/>
        <v>0</v>
      </c>
      <c r="EH136" s="421">
        <f t="shared" si="818"/>
        <v>0</v>
      </c>
      <c r="EI136" s="421">
        <f t="shared" si="818"/>
        <v>0</v>
      </c>
      <c r="EJ136" s="421">
        <f t="shared" si="818"/>
        <v>0</v>
      </c>
      <c r="EK136" s="421">
        <f t="shared" si="818"/>
        <v>0</v>
      </c>
      <c r="EL136" s="421">
        <f t="shared" si="818"/>
        <v>0</v>
      </c>
      <c r="EM136" s="421">
        <f t="shared" si="818"/>
        <v>0</v>
      </c>
      <c r="EN136" s="421">
        <f t="shared" si="818"/>
        <v>0</v>
      </c>
      <c r="EP136" s="220" t="s">
        <v>288</v>
      </c>
      <c r="EQ136" s="210"/>
      <c r="ER136" s="18"/>
      <c r="ES136" s="18"/>
      <c r="ET136" s="18"/>
      <c r="EU136" s="18"/>
      <c r="EV136" s="204" t="n">
        <f t="shared" ref="EV136:GA136" si="819">ROUNDUP(L91/12,0)</f>
        <v>0</v>
      </c>
      <c r="EW136" s="204">
        <f t="shared" si="819"/>
        <v>0</v>
      </c>
      <c r="EX136" s="204">
        <f t="shared" si="819"/>
        <v>0</v>
      </c>
      <c r="EY136" s="204">
        <f t="shared" si="819"/>
        <v>0</v>
      </c>
      <c r="EZ136" s="204">
        <f t="shared" si="819"/>
        <v>0</v>
      </c>
      <c r="FA136" s="204">
        <f t="shared" si="819"/>
        <v>0</v>
      </c>
      <c r="FB136" s="204">
        <f t="shared" si="819"/>
        <v>0</v>
      </c>
      <c r="FC136" s="204">
        <f t="shared" si="819"/>
        <v>0</v>
      </c>
      <c r="FD136" s="204">
        <f t="shared" si="819"/>
        <v>0</v>
      </c>
      <c r="FE136" s="204">
        <f t="shared" si="819"/>
        <v>0</v>
      </c>
      <c r="FF136" s="204">
        <f t="shared" si="819"/>
        <v>0</v>
      </c>
      <c r="FG136" s="204">
        <f t="shared" si="819"/>
        <v>0</v>
      </c>
      <c r="FH136" s="204">
        <f t="shared" si="819"/>
        <v>0</v>
      </c>
      <c r="FI136" s="204">
        <f t="shared" si="819"/>
        <v>0</v>
      </c>
      <c r="FJ136" s="204">
        <f t="shared" si="819"/>
        <v>0</v>
      </c>
      <c r="FK136" s="204">
        <f t="shared" si="819"/>
        <v>0</v>
      </c>
      <c r="FL136" s="204">
        <f t="shared" si="819"/>
        <v>0</v>
      </c>
      <c r="FM136" s="204">
        <f t="shared" si="819"/>
        <v>0</v>
      </c>
      <c r="FN136" s="204">
        <f t="shared" si="819"/>
        <v>0</v>
      </c>
      <c r="FO136" s="204">
        <f t="shared" si="819"/>
        <v>0</v>
      </c>
      <c r="FP136" s="204">
        <f t="shared" si="819"/>
        <v>0</v>
      </c>
      <c r="FQ136" s="204">
        <f t="shared" si="819"/>
        <v>0</v>
      </c>
      <c r="FR136" s="204">
        <f t="shared" si="819"/>
        <v>0</v>
      </c>
      <c r="FS136" s="204">
        <f t="shared" si="819"/>
        <v>0</v>
      </c>
      <c r="FT136" s="204">
        <f t="shared" si="819"/>
        <v>0</v>
      </c>
      <c r="FU136" s="204">
        <f t="shared" si="819"/>
        <v>0</v>
      </c>
      <c r="FV136" s="204">
        <f t="shared" si="819"/>
        <v>0</v>
      </c>
      <c r="FW136" s="204">
        <f t="shared" si="819"/>
        <v>0</v>
      </c>
      <c r="FX136" s="204">
        <f t="shared" si="819"/>
        <v>0</v>
      </c>
      <c r="FY136" s="204">
        <f t="shared" si="819"/>
        <v>0</v>
      </c>
      <c r="FZ136" s="204">
        <f t="shared" si="819"/>
        <v>0</v>
      </c>
      <c r="GA136" s="204">
        <f t="shared" si="819"/>
        <v>0</v>
      </c>
      <c r="GB136" s="204" t="n">
        <f t="shared" ref="GB136:HG136" si="820">ROUNDUP(AR91/12,0)</f>
        <v>0</v>
      </c>
      <c r="GC136" s="204">
        <f t="shared" si="820"/>
        <v>0</v>
      </c>
      <c r="GD136" s="204">
        <f t="shared" si="820"/>
        <v>0</v>
      </c>
      <c r="GE136" s="204">
        <f t="shared" si="820"/>
        <v>0</v>
      </c>
      <c r="GF136" s="204">
        <f t="shared" si="820"/>
        <v>0</v>
      </c>
      <c r="GG136" s="204">
        <f t="shared" si="820"/>
        <v>1</v>
      </c>
      <c r="GH136" s="204">
        <f t="shared" si="820"/>
        <v>1</v>
      </c>
      <c r="GI136" s="204">
        <f t="shared" si="820"/>
        <v>1</v>
      </c>
      <c r="GJ136" s="204">
        <f t="shared" si="820"/>
        <v>1</v>
      </c>
      <c r="GK136" s="204">
        <f t="shared" si="820"/>
        <v>1</v>
      </c>
      <c r="GL136" s="204">
        <f t="shared" si="820"/>
        <v>1</v>
      </c>
      <c r="GM136" s="204">
        <f t="shared" si="820"/>
        <v>1</v>
      </c>
      <c r="GN136" s="204">
        <f t="shared" si="820"/>
        <v>1</v>
      </c>
      <c r="GO136" s="204">
        <f t="shared" si="820"/>
        <v>1</v>
      </c>
      <c r="GP136" s="204">
        <f t="shared" si="820"/>
        <v>1</v>
      </c>
      <c r="GQ136" s="204">
        <f t="shared" si="820"/>
        <v>1</v>
      </c>
      <c r="GR136" s="204">
        <f t="shared" si="820"/>
        <v>1</v>
      </c>
      <c r="GS136" s="204">
        <f t="shared" si="820"/>
        <v>2</v>
      </c>
      <c r="GT136" s="204">
        <f t="shared" si="820"/>
        <v>2</v>
      </c>
      <c r="GU136" s="204">
        <f t="shared" si="820"/>
        <v>2</v>
      </c>
      <c r="GV136" s="204">
        <f t="shared" si="820"/>
        <v>2</v>
      </c>
      <c r="GW136" s="204">
        <f t="shared" si="820"/>
        <v>2</v>
      </c>
      <c r="GX136" s="204">
        <f t="shared" si="820"/>
        <v>2</v>
      </c>
      <c r="GY136" s="204">
        <f t="shared" si="820"/>
        <v>2</v>
      </c>
      <c r="GZ136" s="204">
        <f t="shared" si="820"/>
        <v>2</v>
      </c>
      <c r="HA136" s="204">
        <f t="shared" si="820"/>
        <v>2</v>
      </c>
      <c r="HB136" s="204">
        <f t="shared" si="820"/>
        <v>2</v>
      </c>
      <c r="HC136" s="204">
        <f t="shared" si="820"/>
        <v>2</v>
      </c>
      <c r="HD136" s="204">
        <f t="shared" si="820"/>
        <v>2</v>
      </c>
      <c r="HE136" s="204">
        <f t="shared" si="820"/>
        <v>3</v>
      </c>
      <c r="HF136" s="204">
        <f t="shared" si="820"/>
        <v>3</v>
      </c>
      <c r="HG136" s="204">
        <f t="shared" si="820"/>
        <v>3</v>
      </c>
      <c r="HH136" s="204" t="n">
        <f t="shared" ref="HH136:IM136" si="821">ROUNDUP(BX91/12,0)</f>
        <v>3</v>
      </c>
      <c r="HI136" s="204">
        <f t="shared" si="821"/>
        <v>3</v>
      </c>
      <c r="HJ136" s="204">
        <f t="shared" si="821"/>
        <v>3</v>
      </c>
      <c r="HK136" s="204">
        <f t="shared" si="821"/>
        <v>3</v>
      </c>
      <c r="HL136" s="204">
        <f t="shared" si="821"/>
        <v>3</v>
      </c>
      <c r="HM136" s="204">
        <f t="shared" si="821"/>
        <v>3</v>
      </c>
      <c r="HN136" s="204">
        <f t="shared" si="821"/>
        <v>3</v>
      </c>
      <c r="HO136" s="204">
        <f t="shared" si="821"/>
        <v>3</v>
      </c>
      <c r="HP136" s="204">
        <f t="shared" si="821"/>
        <v>3</v>
      </c>
      <c r="HQ136" s="204">
        <f t="shared" si="821"/>
        <v>4</v>
      </c>
      <c r="HR136" s="204">
        <f t="shared" si="821"/>
        <v>4</v>
      </c>
      <c r="HS136" s="204">
        <f t="shared" si="821"/>
        <v>4</v>
      </c>
      <c r="HT136" s="204">
        <f t="shared" si="821"/>
        <v>4</v>
      </c>
      <c r="HU136" s="204">
        <f t="shared" si="821"/>
        <v>4</v>
      </c>
      <c r="HV136" s="204">
        <f t="shared" si="821"/>
        <v>4</v>
      </c>
      <c r="HW136" s="204">
        <f t="shared" si="821"/>
        <v>4</v>
      </c>
      <c r="HX136" s="204">
        <f t="shared" si="821"/>
        <v>4</v>
      </c>
      <c r="HY136" s="204">
        <f t="shared" si="821"/>
        <v>4</v>
      </c>
      <c r="HZ136" s="204">
        <f t="shared" si="821"/>
        <v>4</v>
      </c>
      <c r="IA136" s="204">
        <f t="shared" si="821"/>
        <v>4</v>
      </c>
      <c r="IB136" s="204">
        <f t="shared" si="821"/>
        <v>4</v>
      </c>
      <c r="IC136" s="204">
        <f t="shared" si="821"/>
        <v>5</v>
      </c>
      <c r="ID136" s="204">
        <f t="shared" si="821"/>
        <v>5</v>
      </c>
      <c r="IE136" s="204">
        <f t="shared" si="821"/>
        <v>5</v>
      </c>
      <c r="IF136" s="204">
        <f t="shared" si="821"/>
        <v>5</v>
      </c>
      <c r="IG136" s="204">
        <f t="shared" si="821"/>
        <v>5</v>
      </c>
      <c r="IH136" s="204">
        <f t="shared" si="821"/>
        <v>5</v>
      </c>
      <c r="II136" s="204">
        <f t="shared" si="821"/>
        <v>5</v>
      </c>
      <c r="IJ136" s="204">
        <f t="shared" si="821"/>
        <v>5</v>
      </c>
      <c r="IK136" s="204">
        <f t="shared" si="821"/>
        <v>5</v>
      </c>
      <c r="IL136" s="204">
        <f t="shared" si="821"/>
        <v>5</v>
      </c>
      <c r="IM136" s="204">
        <f t="shared" si="821"/>
        <v>5</v>
      </c>
      <c r="IN136" s="204" t="n">
        <f t="shared" ref="IN136:JS136" si="822">ROUNDUP(DD91/12,0)</f>
        <v>5</v>
      </c>
      <c r="IO136" s="204">
        <f t="shared" si="822"/>
        <v>6</v>
      </c>
      <c r="IP136" s="204">
        <f t="shared" si="822"/>
        <v>6</v>
      </c>
      <c r="IQ136" s="204">
        <f t="shared" si="822"/>
        <v>6</v>
      </c>
      <c r="IR136" s="204">
        <f t="shared" si="822"/>
        <v>6</v>
      </c>
      <c r="IS136" s="204">
        <f t="shared" si="822"/>
        <v>6</v>
      </c>
      <c r="IT136" s="204">
        <f t="shared" si="822"/>
        <v>6</v>
      </c>
      <c r="IU136" s="204">
        <f t="shared" si="822"/>
        <v>6</v>
      </c>
      <c r="IV136" s="204">
        <f t="shared" si="822"/>
        <v>6</v>
      </c>
      <c r="IW136" s="204">
        <f t="shared" si="822"/>
        <v>6</v>
      </c>
      <c r="IX136" s="204">
        <f t="shared" si="822"/>
        <v>6</v>
      </c>
      <c r="IY136" s="204">
        <f t="shared" si="822"/>
        <v>6</v>
      </c>
      <c r="IZ136" s="204">
        <f t="shared" si="822"/>
        <v>6</v>
      </c>
      <c r="JA136" s="204">
        <f t="shared" si="822"/>
        <v>7</v>
      </c>
      <c r="JB136" s="204">
        <f t="shared" si="822"/>
        <v>7</v>
      </c>
      <c r="JC136" s="204">
        <f t="shared" si="822"/>
        <v>7</v>
      </c>
      <c r="JD136" s="204">
        <f t="shared" si="822"/>
        <v>7</v>
      </c>
      <c r="JE136" s="204">
        <f t="shared" si="822"/>
        <v>7</v>
      </c>
      <c r="JF136" s="204">
        <f t="shared" si="822"/>
        <v>7</v>
      </c>
      <c r="JG136" s="204">
        <f t="shared" si="822"/>
        <v>7</v>
      </c>
      <c r="JH136" s="204">
        <f t="shared" si="822"/>
        <v>7</v>
      </c>
      <c r="JI136" s="204">
        <f t="shared" si="822"/>
        <v>7</v>
      </c>
      <c r="JJ136" s="204">
        <f t="shared" si="822"/>
        <v>7</v>
      </c>
      <c r="JK136" s="204">
        <f t="shared" si="822"/>
        <v>7</v>
      </c>
      <c r="JL136" s="204">
        <f t="shared" si="822"/>
        <v>7</v>
      </c>
      <c r="JM136" s="204">
        <f t="shared" si="822"/>
        <v>8</v>
      </c>
      <c r="JN136" s="204">
        <f t="shared" si="822"/>
        <v>8</v>
      </c>
      <c r="JO136" s="204">
        <f t="shared" si="822"/>
        <v>8</v>
      </c>
      <c r="JP136" s="204">
        <f t="shared" si="822"/>
        <v>8</v>
      </c>
      <c r="JQ136" s="204">
        <f t="shared" si="822"/>
        <v>8</v>
      </c>
      <c r="JR136" s="204">
        <f t="shared" si="822"/>
        <v>8</v>
      </c>
      <c r="JS136" s="204">
        <f t="shared" si="822"/>
        <v>8</v>
      </c>
      <c r="JT136" s="204" t="n">
        <f t="shared" ref="JT136:JX136" si="823">ROUNDUP(EJ91/12,0)</f>
        <v>8</v>
      </c>
      <c r="JU136" s="204">
        <f t="shared" si="823"/>
        <v>8</v>
      </c>
      <c r="JV136" s="204">
        <f t="shared" si="823"/>
        <v>8</v>
      </c>
      <c r="JW136" s="204">
        <f t="shared" si="823"/>
        <v>8</v>
      </c>
      <c r="JX136" s="204">
        <f t="shared" si="823"/>
        <v>8</v>
      </c>
      <c r="JZ136" s="263"/>
      <c r="KA136" s="263"/>
      <c r="KB136" s="263"/>
      <c r="KC136" s="263"/>
      <c r="KD136" s="263"/>
      <c r="KE136" s="263"/>
      <c r="KF136" s="263"/>
      <c r="KG136" s="263"/>
      <c r="KH136" s="263"/>
      <c r="KI136" s="263"/>
      <c r="KJ136" s="263"/>
      <c r="KK136" s="263"/>
      <c r="KL136" s="263"/>
      <c r="KM136" s="263"/>
      <c r="KN136" s="263"/>
      <c r="KO136" s="263"/>
      <c r="KP136" s="263"/>
      <c r="KQ136" s="263"/>
      <c r="KR136" s="263"/>
      <c r="KS136" s="263"/>
      <c r="KT136" s="263"/>
      <c r="KU136" s="263"/>
      <c r="KV136" s="263"/>
      <c r="KW136" s="263"/>
      <c r="KX136" s="263"/>
      <c r="KY136" s="263"/>
      <c r="KZ136" s="263"/>
      <c r="LA136" s="263"/>
      <c r="LB136" s="263"/>
      <c r="LC136" s="263"/>
      <c r="LD136" s="263"/>
      <c r="LE136" s="263"/>
      <c r="LF136" s="263"/>
      <c r="LG136" s="263"/>
      <c r="LH136" s="263"/>
      <c r="LI136" s="263"/>
      <c r="LJ136" s="263"/>
      <c r="LK136" s="263"/>
      <c r="LL136" s="263"/>
      <c r="LM136" s="263"/>
      <c r="LN136" s="263"/>
      <c r="LO136" s="263"/>
      <c r="LP136" s="263"/>
      <c r="LQ136" s="263"/>
      <c r="LR136" s="263"/>
      <c r="LS136" s="263"/>
      <c r="LT136" s="263"/>
      <c r="LU136" s="263"/>
      <c r="LV136" s="263"/>
      <c r="LW136" s="263"/>
      <c r="LX136" s="263"/>
      <c r="LY136" s="263"/>
      <c r="LZ136" s="263"/>
      <c r="MA136" s="263"/>
      <c r="MB136" s="263"/>
      <c r="MC136" s="263"/>
      <c r="MD136" s="263"/>
      <c r="ME136" s="263"/>
      <c r="MF136" s="263"/>
      <c r="MG136" s="263"/>
      <c r="MH136" s="263"/>
      <c r="MI136" s="263"/>
      <c r="MJ136" s="263"/>
      <c r="MK136" s="263"/>
      <c r="ML136" s="263"/>
      <c r="MM136" s="263"/>
      <c r="MN136" s="263"/>
      <c r="MO136" s="263"/>
      <c r="MP136" s="263"/>
      <c r="MQ136" s="263"/>
      <c r="MR136" s="263"/>
      <c r="MS136" s="263"/>
      <c r="MT136" s="263"/>
      <c r="MU136" s="263"/>
      <c r="MV136" s="263"/>
      <c r="MW136" s="263"/>
      <c r="MX136" s="263"/>
      <c r="MY136" s="263"/>
      <c r="MZ136" s="263"/>
      <c r="NA136" s="263"/>
      <c r="NB136" s="263"/>
      <c r="NC136" s="263"/>
      <c r="ND136" s="263"/>
      <c r="NE136" s="263"/>
      <c r="NF136" s="263"/>
      <c r="NG136" s="263"/>
      <c r="NH136" s="263"/>
      <c r="NI136" s="263"/>
      <c r="NJ136" s="263"/>
      <c r="NK136" s="263"/>
      <c r="NL136" s="263"/>
      <c r="NM136" s="263"/>
      <c r="NN136" s="263"/>
      <c r="NO136" s="263"/>
      <c r="NP136" s="263"/>
      <c r="NQ136" s="263"/>
      <c r="NR136" s="263"/>
      <c r="NS136" s="263"/>
      <c r="NT136" s="263"/>
      <c r="NU136" s="263"/>
      <c r="NV136" s="263"/>
      <c r="NW136" s="263"/>
      <c r="NX136" s="263"/>
      <c r="NY136" s="263"/>
      <c r="NZ136" s="263"/>
      <c r="OA136" s="263"/>
      <c r="OB136" s="263"/>
      <c r="OC136" s="263"/>
      <c r="OD136" s="263"/>
      <c r="OE136" s="263"/>
      <c r="OF136" s="263"/>
      <c r="OG136" s="263"/>
      <c r="OH136" s="263"/>
      <c r="OI136" s="263"/>
      <c r="OJ136" s="263"/>
      <c r="OK136" s="263"/>
      <c r="OL136" s="263"/>
      <c r="OM136" s="263"/>
      <c r="ON136" s="263"/>
      <c r="OO136" s="263"/>
      <c r="OP136" s="263"/>
      <c r="OQ136" s="263"/>
      <c r="OR136" s="263"/>
      <c r="OS136" s="263"/>
      <c r="OT136" s="263"/>
      <c r="OU136" s="263"/>
      <c r="OV136" s="263"/>
      <c r="OW136" s="263"/>
      <c r="OX136" s="263"/>
      <c r="OY136" s="263"/>
      <c r="OZ136" s="263"/>
      <c r="PA136" s="263"/>
      <c r="PB136" s="263"/>
      <c r="PC136" s="263"/>
      <c r="PD136" s="263"/>
      <c r="PE136" s="263"/>
      <c r="PF136" s="263"/>
      <c r="PG136" s="263"/>
      <c r="PH136" s="263"/>
    </row>
    <row r="137">
      <c r="B137" s="431"/>
      <c r="C137" s="433" t="s">
        <v>289</v>
      </c>
      <c r="D137" s="40" t="n">
        <f>+I137/Valuation_Trended</f>
        <v>0</v>
      </c>
      <c r="E137" s="70" t="n">
        <f>$F$134</f>
        <v>0.02</v>
      </c>
      <c r="F137" s="146"/>
      <c r="G137" s="251" t="n">
        <f>+I137/$I$130</f>
        <v>0</v>
      </c>
      <c r="H137" s="147">
        <v>4</v>
      </c>
      <c r="I137" s="483">
        <v>0</v>
      </c>
      <c r="K137" s="209"/>
      <c r="L137" s="203"/>
      <c r="M137" s="426" t="n">
        <f t="shared" ref="M137:AR137" si="824">($I137/12*(1+$F137)^(ROUNDUP(M$91/12,0)-1))*EW137</f>
        <v>0</v>
      </c>
      <c r="N137" s="426">
        <f t="shared" si="824"/>
        <v>0</v>
      </c>
      <c r="O137" s="426">
        <f t="shared" si="824"/>
        <v>0</v>
      </c>
      <c r="P137" s="426">
        <f t="shared" si="824"/>
        <v>0</v>
      </c>
      <c r="Q137" s="426">
        <f t="shared" si="824"/>
        <v>0</v>
      </c>
      <c r="R137" s="426">
        <f t="shared" si="824"/>
        <v>0</v>
      </c>
      <c r="S137" s="426">
        <f t="shared" si="824"/>
        <v>0</v>
      </c>
      <c r="T137" s="426">
        <f t="shared" si="824"/>
        <v>0</v>
      </c>
      <c r="U137" s="426">
        <f t="shared" si="824"/>
        <v>0</v>
      </c>
      <c r="V137" s="426">
        <f t="shared" si="824"/>
        <v>0</v>
      </c>
      <c r="W137" s="426">
        <f t="shared" si="824"/>
        <v>0</v>
      </c>
      <c r="X137" s="426">
        <f t="shared" si="824"/>
        <v>0</v>
      </c>
      <c r="Y137" s="426">
        <f t="shared" si="824"/>
        <v>0</v>
      </c>
      <c r="Z137" s="426">
        <f t="shared" si="824"/>
        <v>0</v>
      </c>
      <c r="AA137" s="426">
        <f t="shared" si="824"/>
        <v>0</v>
      </c>
      <c r="AB137" s="426">
        <f t="shared" si="824"/>
        <v>0</v>
      </c>
      <c r="AC137" s="426">
        <f t="shared" si="824"/>
        <v>0</v>
      </c>
      <c r="AD137" s="426">
        <f t="shared" si="824"/>
        <v>0</v>
      </c>
      <c r="AE137" s="426">
        <f t="shared" si="824"/>
        <v>0</v>
      </c>
      <c r="AF137" s="426">
        <f t="shared" si="824"/>
        <v>0</v>
      </c>
      <c r="AG137" s="426">
        <f t="shared" si="824"/>
        <v>0</v>
      </c>
      <c r="AH137" s="426">
        <f t="shared" si="824"/>
        <v>0</v>
      </c>
      <c r="AI137" s="426">
        <f t="shared" si="824"/>
        <v>0</v>
      </c>
      <c r="AJ137" s="426">
        <f t="shared" si="824"/>
        <v>0</v>
      </c>
      <c r="AK137" s="426">
        <f t="shared" si="824"/>
        <v>0</v>
      </c>
      <c r="AL137" s="426">
        <f t="shared" si="824"/>
        <v>0</v>
      </c>
      <c r="AM137" s="426">
        <f t="shared" si="824"/>
        <v>0</v>
      </c>
      <c r="AN137" s="426">
        <f t="shared" si="824"/>
        <v>0</v>
      </c>
      <c r="AO137" s="426">
        <f t="shared" si="824"/>
        <v>0</v>
      </c>
      <c r="AP137" s="426">
        <f t="shared" si="824"/>
        <v>0</v>
      </c>
      <c r="AQ137" s="426">
        <f t="shared" si="824"/>
        <v>0</v>
      </c>
      <c r="AR137" s="426">
        <f t="shared" si="824"/>
        <v>0</v>
      </c>
      <c r="AS137" s="426" t="n">
        <f t="shared" ref="AS137:BX137" si="825">($I137/12*(1+$F137)^(ROUNDUP(AS$91/12,0)-1))*GC137</f>
        <v>0</v>
      </c>
      <c r="AT137" s="426">
        <f t="shared" si="825"/>
        <v>0</v>
      </c>
      <c r="AU137" s="426">
        <f t="shared" si="825"/>
        <v>0</v>
      </c>
      <c r="AV137" s="426">
        <f t="shared" si="825"/>
        <v>0</v>
      </c>
      <c r="AW137" s="426">
        <f t="shared" si="825"/>
        <v>0</v>
      </c>
      <c r="AX137" s="426">
        <f t="shared" si="825"/>
        <v>0</v>
      </c>
      <c r="AY137" s="426">
        <f t="shared" si="825"/>
        <v>0</v>
      </c>
      <c r="AZ137" s="426">
        <f t="shared" si="825"/>
        <v>0</v>
      </c>
      <c r="BA137" s="426">
        <f t="shared" si="825"/>
        <v>0</v>
      </c>
      <c r="BB137" s="426">
        <f t="shared" si="825"/>
        <v>0</v>
      </c>
      <c r="BC137" s="426">
        <f t="shared" si="825"/>
        <v>0</v>
      </c>
      <c r="BD137" s="426">
        <f t="shared" si="825"/>
        <v>0</v>
      </c>
      <c r="BE137" s="426">
        <f t="shared" si="825"/>
        <v>0</v>
      </c>
      <c r="BF137" s="426">
        <f t="shared" si="825"/>
        <v>0</v>
      </c>
      <c r="BG137" s="426">
        <f t="shared" si="825"/>
        <v>0</v>
      </c>
      <c r="BH137" s="426">
        <f t="shared" si="825"/>
        <v>0</v>
      </c>
      <c r="BI137" s="426">
        <f t="shared" si="825"/>
        <v>0</v>
      </c>
      <c r="BJ137" s="426">
        <f t="shared" si="825"/>
        <v>0</v>
      </c>
      <c r="BK137" s="426">
        <f t="shared" si="825"/>
        <v>0</v>
      </c>
      <c r="BL137" s="426">
        <f t="shared" si="825"/>
        <v>0</v>
      </c>
      <c r="BM137" s="426">
        <f t="shared" si="825"/>
        <v>0</v>
      </c>
      <c r="BN137" s="426">
        <f t="shared" si="825"/>
        <v>0</v>
      </c>
      <c r="BO137" s="426">
        <f t="shared" si="825"/>
        <v>0</v>
      </c>
      <c r="BP137" s="426">
        <f t="shared" si="825"/>
        <v>0</v>
      </c>
      <c r="BQ137" s="426">
        <f t="shared" si="825"/>
        <v>0</v>
      </c>
      <c r="BR137" s="426">
        <f t="shared" si="825"/>
        <v>0</v>
      </c>
      <c r="BS137" s="426">
        <f t="shared" si="825"/>
        <v>0</v>
      </c>
      <c r="BT137" s="426">
        <f t="shared" si="825"/>
        <v>0</v>
      </c>
      <c r="BU137" s="426">
        <f t="shared" si="825"/>
        <v>0</v>
      </c>
      <c r="BV137" s="426">
        <f t="shared" si="825"/>
        <v>0</v>
      </c>
      <c r="BW137" s="426">
        <f t="shared" si="825"/>
        <v>0</v>
      </c>
      <c r="BX137" s="426">
        <f t="shared" si="825"/>
        <v>0</v>
      </c>
      <c r="BY137" s="426" t="n">
        <f t="shared" ref="BY137:DD137" si="826">($I137/12*(1+$F137)^(ROUNDUP(BY$91/12,0)-1))*HI137</f>
        <v>0</v>
      </c>
      <c r="BZ137" s="426">
        <f t="shared" si="826"/>
        <v>0</v>
      </c>
      <c r="CA137" s="426">
        <f t="shared" si="826"/>
        <v>0</v>
      </c>
      <c r="CB137" s="426">
        <f t="shared" si="826"/>
        <v>0</v>
      </c>
      <c r="CC137" s="426">
        <f t="shared" si="826"/>
        <v>0</v>
      </c>
      <c r="CD137" s="426">
        <f t="shared" si="826"/>
        <v>0</v>
      </c>
      <c r="CE137" s="426">
        <f t="shared" si="826"/>
        <v>0</v>
      </c>
      <c r="CF137" s="426">
        <f t="shared" si="826"/>
        <v>0</v>
      </c>
      <c r="CG137" s="426">
        <f t="shared" si="826"/>
        <v>0</v>
      </c>
      <c r="CH137" s="426">
        <f t="shared" si="826"/>
        <v>0</v>
      </c>
      <c r="CI137" s="426">
        <f t="shared" si="826"/>
        <v>0</v>
      </c>
      <c r="CJ137" s="426">
        <f t="shared" si="826"/>
        <v>0</v>
      </c>
      <c r="CK137" s="426">
        <f t="shared" si="826"/>
        <v>0</v>
      </c>
      <c r="CL137" s="426">
        <f t="shared" si="826"/>
        <v>0</v>
      </c>
      <c r="CM137" s="426">
        <f t="shared" si="826"/>
        <v>0</v>
      </c>
      <c r="CN137" s="426">
        <f t="shared" si="826"/>
        <v>0</v>
      </c>
      <c r="CO137" s="426">
        <f t="shared" si="826"/>
        <v>0</v>
      </c>
      <c r="CP137" s="426">
        <f t="shared" si="826"/>
        <v>0</v>
      </c>
      <c r="CQ137" s="426">
        <f t="shared" si="826"/>
        <v>0</v>
      </c>
      <c r="CR137" s="426">
        <f t="shared" si="826"/>
        <v>0</v>
      </c>
      <c r="CS137" s="426">
        <f t="shared" si="826"/>
        <v>0</v>
      </c>
      <c r="CT137" s="426">
        <f t="shared" si="826"/>
        <v>0</v>
      </c>
      <c r="CU137" s="426">
        <f t="shared" si="826"/>
        <v>0</v>
      </c>
      <c r="CV137" s="426">
        <f t="shared" si="826"/>
        <v>0</v>
      </c>
      <c r="CW137" s="426">
        <f t="shared" si="826"/>
        <v>0</v>
      </c>
      <c r="CX137" s="426">
        <f t="shared" si="826"/>
        <v>0</v>
      </c>
      <c r="CY137" s="426">
        <f t="shared" si="826"/>
        <v>0</v>
      </c>
      <c r="CZ137" s="426">
        <f t="shared" si="826"/>
        <v>0</v>
      </c>
      <c r="DA137" s="426">
        <f t="shared" si="826"/>
        <v>0</v>
      </c>
      <c r="DB137" s="426">
        <f t="shared" si="826"/>
        <v>0</v>
      </c>
      <c r="DC137" s="426">
        <f t="shared" si="826"/>
        <v>0</v>
      </c>
      <c r="DD137" s="426">
        <f t="shared" si="826"/>
        <v>0</v>
      </c>
      <c r="DE137" s="426" t="n">
        <f t="shared" ref="DE137:EJ137" si="827">($I137/12*(1+$F137)^(ROUNDUP(DE$91/12,0)-1))*IO137</f>
        <v>0</v>
      </c>
      <c r="DF137" s="426">
        <f t="shared" si="827"/>
        <v>0</v>
      </c>
      <c r="DG137" s="426">
        <f t="shared" si="827"/>
        <v>0</v>
      </c>
      <c r="DH137" s="426">
        <f t="shared" si="827"/>
        <v>0</v>
      </c>
      <c r="DI137" s="426">
        <f t="shared" si="827"/>
        <v>0</v>
      </c>
      <c r="DJ137" s="426">
        <f t="shared" si="827"/>
        <v>0</v>
      </c>
      <c r="DK137" s="426">
        <f t="shared" si="827"/>
        <v>0</v>
      </c>
      <c r="DL137" s="426">
        <f t="shared" si="827"/>
        <v>0</v>
      </c>
      <c r="DM137" s="426">
        <f t="shared" si="827"/>
        <v>0</v>
      </c>
      <c r="DN137" s="426">
        <f t="shared" si="827"/>
        <v>0</v>
      </c>
      <c r="DO137" s="426">
        <f t="shared" si="827"/>
        <v>0</v>
      </c>
      <c r="DP137" s="426">
        <f t="shared" si="827"/>
        <v>0</v>
      </c>
      <c r="DQ137" s="426">
        <f t="shared" si="827"/>
        <v>0</v>
      </c>
      <c r="DR137" s="426">
        <f t="shared" si="827"/>
        <v>0</v>
      </c>
      <c r="DS137" s="426">
        <f t="shared" si="827"/>
        <v>0</v>
      </c>
      <c r="DT137" s="426">
        <f t="shared" si="827"/>
        <v>0</v>
      </c>
      <c r="DU137" s="426">
        <f t="shared" si="827"/>
        <v>0</v>
      </c>
      <c r="DV137" s="426">
        <f t="shared" si="827"/>
        <v>0</v>
      </c>
      <c r="DW137" s="426">
        <f t="shared" si="827"/>
        <v>0</v>
      </c>
      <c r="DX137" s="426">
        <f t="shared" si="827"/>
        <v>0</v>
      </c>
      <c r="DY137" s="426">
        <f t="shared" si="827"/>
        <v>0</v>
      </c>
      <c r="DZ137" s="426">
        <f t="shared" si="827"/>
        <v>0</v>
      </c>
      <c r="EA137" s="426">
        <f t="shared" si="827"/>
        <v>0</v>
      </c>
      <c r="EB137" s="426">
        <f t="shared" si="827"/>
        <v>0</v>
      </c>
      <c r="EC137" s="426">
        <f t="shared" si="827"/>
        <v>0</v>
      </c>
      <c r="ED137" s="426">
        <f t="shared" si="827"/>
        <v>0</v>
      </c>
      <c r="EE137" s="426">
        <f t="shared" si="827"/>
        <v>0</v>
      </c>
      <c r="EF137" s="426">
        <f t="shared" si="827"/>
        <v>0</v>
      </c>
      <c r="EG137" s="426">
        <f t="shared" si="827"/>
        <v>0</v>
      </c>
      <c r="EH137" s="426">
        <f t="shared" si="827"/>
        <v>0</v>
      </c>
      <c r="EI137" s="426">
        <f t="shared" si="827"/>
        <v>0</v>
      </c>
      <c r="EJ137" s="426">
        <f t="shared" si="827"/>
        <v>0</v>
      </c>
      <c r="EK137" s="426" t="n">
        <f t="shared" ref="EK137:EN137" si="828">($I137/12*(1+$F137)^(ROUNDUP(EK$91/12,0)-1))*JU137</f>
        <v>0</v>
      </c>
      <c r="EL137" s="426">
        <f t="shared" si="828"/>
        <v>0</v>
      </c>
      <c r="EM137" s="426">
        <f t="shared" si="828"/>
        <v>0</v>
      </c>
      <c r="EN137" s="426">
        <f t="shared" si="828"/>
        <v>0</v>
      </c>
      <c r="EO137" s="209"/>
      <c r="EP137" s="492" t="s">
        <v>290</v>
      </c>
      <c r="EQ137" s="493"/>
      <c r="ER137" s="493"/>
      <c r="ES137" s="493"/>
      <c r="ET137" s="493"/>
      <c r="EU137" s="493"/>
      <c r="EV137" s="257" t="n">
        <f>IF(EV136&lt;1,0,IF(EV136&lt;2,$G$88,IF(EV136&lt;3,$G$89,IF(EV136&lt;4,$I$88,1))))</f>
        <v>0</v>
      </c>
      <c r="EW137" s="257" t="n">
        <f t="shared" ref="EW137:HH137" si="829">IF(EW136&lt;1,0,IF(EW136&lt;2,$G$88,IF(EW136&lt;3,$G$89,IF(EW136&lt;4,$I$88,1))))</f>
        <v>0</v>
      </c>
      <c r="EX137" s="257">
        <f t="shared" si="829"/>
        <v>0</v>
      </c>
      <c r="EY137" s="257">
        <f t="shared" si="829"/>
        <v>0</v>
      </c>
      <c r="EZ137" s="257">
        <f t="shared" si="829"/>
        <v>0</v>
      </c>
      <c r="FA137" s="257">
        <f t="shared" si="829"/>
        <v>0</v>
      </c>
      <c r="FB137" s="257">
        <f t="shared" si="829"/>
        <v>0</v>
      </c>
      <c r="FC137" s="257">
        <f t="shared" si="829"/>
        <v>0</v>
      </c>
      <c r="FD137" s="257">
        <f t="shared" si="829"/>
        <v>0</v>
      </c>
      <c r="FE137" s="257">
        <f t="shared" si="829"/>
        <v>0</v>
      </c>
      <c r="FF137" s="257">
        <f t="shared" si="829"/>
        <v>0</v>
      </c>
      <c r="FG137" s="257">
        <f t="shared" si="829"/>
        <v>0</v>
      </c>
      <c r="FH137" s="257">
        <f t="shared" si="829"/>
        <v>0</v>
      </c>
      <c r="FI137" s="257">
        <f t="shared" si="829"/>
        <v>0</v>
      </c>
      <c r="FJ137" s="257">
        <f t="shared" si="829"/>
        <v>0</v>
      </c>
      <c r="FK137" s="257">
        <f t="shared" si="829"/>
        <v>0</v>
      </c>
      <c r="FL137" s="257">
        <f t="shared" si="829"/>
        <v>0</v>
      </c>
      <c r="FM137" s="257">
        <f t="shared" si="829"/>
        <v>0</v>
      </c>
      <c r="FN137" s="257">
        <f t="shared" si="829"/>
        <v>0</v>
      </c>
      <c r="FO137" s="257">
        <f t="shared" si="829"/>
        <v>0</v>
      </c>
      <c r="FP137" s="257">
        <f t="shared" si="829"/>
        <v>0</v>
      </c>
      <c r="FQ137" s="257">
        <f t="shared" si="829"/>
        <v>0</v>
      </c>
      <c r="FR137" s="257">
        <f t="shared" si="829"/>
        <v>0</v>
      </c>
      <c r="FS137" s="257">
        <f t="shared" si="829"/>
        <v>0</v>
      </c>
      <c r="FT137" s="257">
        <f t="shared" si="829"/>
        <v>0</v>
      </c>
      <c r="FU137" s="257">
        <f t="shared" si="829"/>
        <v>0</v>
      </c>
      <c r="FV137" s="257">
        <f t="shared" si="829"/>
        <v>0</v>
      </c>
      <c r="FW137" s="257">
        <f t="shared" si="829"/>
        <v>0</v>
      </c>
      <c r="FX137" s="257">
        <f t="shared" si="829"/>
        <v>0</v>
      </c>
      <c r="FY137" s="257">
        <f t="shared" si="829"/>
        <v>0</v>
      </c>
      <c r="FZ137" s="257">
        <f t="shared" si="829"/>
        <v>0</v>
      </c>
      <c r="GA137" s="257">
        <f t="shared" si="829"/>
        <v>0</v>
      </c>
      <c r="GB137" s="257">
        <f t="shared" si="829"/>
        <v>0</v>
      </c>
      <c r="GC137" s="257">
        <f t="shared" si="829"/>
        <v>0</v>
      </c>
      <c r="GD137" s="257">
        <f t="shared" si="829"/>
        <v>0</v>
      </c>
      <c r="GE137" s="257">
        <f t="shared" si="829"/>
        <v>0</v>
      </c>
      <c r="GF137" s="257">
        <f t="shared" si="829"/>
        <v>0</v>
      </c>
      <c r="GG137" s="257">
        <f t="shared" si="829"/>
        <v>0.5</v>
      </c>
      <c r="GH137" s="257">
        <f t="shared" si="829"/>
        <v>0.5</v>
      </c>
      <c r="GI137" s="257">
        <f t="shared" si="829"/>
        <v>0.5</v>
      </c>
      <c r="GJ137" s="257">
        <f t="shared" si="829"/>
        <v>0.5</v>
      </c>
      <c r="GK137" s="257">
        <f t="shared" si="829"/>
        <v>0.5</v>
      </c>
      <c r="GL137" s="257">
        <f t="shared" si="829"/>
        <v>0.5</v>
      </c>
      <c r="GM137" s="257">
        <f t="shared" si="829"/>
        <v>0.5</v>
      </c>
      <c r="GN137" s="257">
        <f t="shared" si="829"/>
        <v>0.5</v>
      </c>
      <c r="GO137" s="257">
        <f t="shared" si="829"/>
        <v>0.5</v>
      </c>
      <c r="GP137" s="257">
        <f t="shared" si="829"/>
        <v>0.5</v>
      </c>
      <c r="GQ137" s="257">
        <f t="shared" si="829"/>
        <v>0.5</v>
      </c>
      <c r="GR137" s="257">
        <f t="shared" si="829"/>
        <v>0.5</v>
      </c>
      <c r="GS137" s="257">
        <f t="shared" si="829"/>
        <v>0.75</v>
      </c>
      <c r="GT137" s="257">
        <f t="shared" si="829"/>
        <v>0.75</v>
      </c>
      <c r="GU137" s="257">
        <f t="shared" si="829"/>
        <v>0.75</v>
      </c>
      <c r="GV137" s="257">
        <f t="shared" si="829"/>
        <v>0.75</v>
      </c>
      <c r="GW137" s="257">
        <f t="shared" si="829"/>
        <v>0.75</v>
      </c>
      <c r="GX137" s="257">
        <f t="shared" si="829"/>
        <v>0.75</v>
      </c>
      <c r="GY137" s="257">
        <f t="shared" si="829"/>
        <v>0.75</v>
      </c>
      <c r="GZ137" s="257">
        <f t="shared" si="829"/>
        <v>0.75</v>
      </c>
      <c r="HA137" s="257">
        <f t="shared" si="829"/>
        <v>0.75</v>
      </c>
      <c r="HB137" s="257">
        <f t="shared" si="829"/>
        <v>0.75</v>
      </c>
      <c r="HC137" s="257">
        <f t="shared" si="829"/>
        <v>0.75</v>
      </c>
      <c r="HD137" s="257">
        <f t="shared" si="829"/>
        <v>0.75</v>
      </c>
      <c r="HE137" s="257">
        <f t="shared" si="829"/>
        <v>1</v>
      </c>
      <c r="HF137" s="257">
        <f t="shared" si="829"/>
        <v>1</v>
      </c>
      <c r="HG137" s="257">
        <f t="shared" si="829"/>
        <v>1</v>
      </c>
      <c r="HH137" s="257">
        <f t="shared" si="829"/>
        <v>1</v>
      </c>
      <c r="HI137" s="257" t="n">
        <f t="shared" ref="HI137:JT137" si="830">IF(HI136&lt;1,0,IF(HI136&lt;2,$G$88,IF(HI136&lt;3,$G$89,IF(HI136&lt;4,$I$88,1))))</f>
        <v>1</v>
      </c>
      <c r="HJ137" s="257">
        <f t="shared" si="830"/>
        <v>1</v>
      </c>
      <c r="HK137" s="257">
        <f t="shared" si="830"/>
        <v>1</v>
      </c>
      <c r="HL137" s="257">
        <f t="shared" si="830"/>
        <v>1</v>
      </c>
      <c r="HM137" s="257">
        <f t="shared" si="830"/>
        <v>1</v>
      </c>
      <c r="HN137" s="257">
        <f t="shared" si="830"/>
        <v>1</v>
      </c>
      <c r="HO137" s="257">
        <f t="shared" si="830"/>
        <v>1</v>
      </c>
      <c r="HP137" s="257">
        <f t="shared" si="830"/>
        <v>1</v>
      </c>
      <c r="HQ137" s="257">
        <f t="shared" si="830"/>
        <v>1</v>
      </c>
      <c r="HR137" s="257">
        <f t="shared" si="830"/>
        <v>1</v>
      </c>
      <c r="HS137" s="257">
        <f t="shared" si="830"/>
        <v>1</v>
      </c>
      <c r="HT137" s="257">
        <f t="shared" si="830"/>
        <v>1</v>
      </c>
      <c r="HU137" s="257">
        <f t="shared" si="830"/>
        <v>1</v>
      </c>
      <c r="HV137" s="257">
        <f t="shared" si="830"/>
        <v>1</v>
      </c>
      <c r="HW137" s="257">
        <f t="shared" si="830"/>
        <v>1</v>
      </c>
      <c r="HX137" s="257">
        <f t="shared" si="830"/>
        <v>1</v>
      </c>
      <c r="HY137" s="257">
        <f t="shared" si="830"/>
        <v>1</v>
      </c>
      <c r="HZ137" s="257">
        <f t="shared" si="830"/>
        <v>1</v>
      </c>
      <c r="IA137" s="257">
        <f t="shared" si="830"/>
        <v>1</v>
      </c>
      <c r="IB137" s="257">
        <f t="shared" si="830"/>
        <v>1</v>
      </c>
      <c r="IC137" s="257">
        <f t="shared" si="830"/>
        <v>1</v>
      </c>
      <c r="ID137" s="257">
        <f t="shared" si="830"/>
        <v>1</v>
      </c>
      <c r="IE137" s="257">
        <f t="shared" si="830"/>
        <v>1</v>
      </c>
      <c r="IF137" s="257">
        <f t="shared" si="830"/>
        <v>1</v>
      </c>
      <c r="IG137" s="257">
        <f t="shared" si="830"/>
        <v>1</v>
      </c>
      <c r="IH137" s="257">
        <f t="shared" si="830"/>
        <v>1</v>
      </c>
      <c r="II137" s="257">
        <f t="shared" si="830"/>
        <v>1</v>
      </c>
      <c r="IJ137" s="257">
        <f t="shared" si="830"/>
        <v>1</v>
      </c>
      <c r="IK137" s="257">
        <f t="shared" si="830"/>
        <v>1</v>
      </c>
      <c r="IL137" s="257">
        <f t="shared" si="830"/>
        <v>1</v>
      </c>
      <c r="IM137" s="257">
        <f t="shared" si="830"/>
        <v>1</v>
      </c>
      <c r="IN137" s="257">
        <f t="shared" si="830"/>
        <v>1</v>
      </c>
      <c r="IO137" s="257">
        <f t="shared" si="830"/>
        <v>1</v>
      </c>
      <c r="IP137" s="257">
        <f t="shared" si="830"/>
        <v>1</v>
      </c>
      <c r="IQ137" s="257">
        <f t="shared" si="830"/>
        <v>1</v>
      </c>
      <c r="IR137" s="257">
        <f t="shared" si="830"/>
        <v>1</v>
      </c>
      <c r="IS137" s="257">
        <f t="shared" si="830"/>
        <v>1</v>
      </c>
      <c r="IT137" s="257">
        <f t="shared" si="830"/>
        <v>1</v>
      </c>
      <c r="IU137" s="257">
        <f t="shared" si="830"/>
        <v>1</v>
      </c>
      <c r="IV137" s="257">
        <f t="shared" si="830"/>
        <v>1</v>
      </c>
      <c r="IW137" s="257">
        <f t="shared" si="830"/>
        <v>1</v>
      </c>
      <c r="IX137" s="257">
        <f t="shared" si="830"/>
        <v>1</v>
      </c>
      <c r="IY137" s="257">
        <f t="shared" si="830"/>
        <v>1</v>
      </c>
      <c r="IZ137" s="257">
        <f t="shared" si="830"/>
        <v>1</v>
      </c>
      <c r="JA137" s="257">
        <f t="shared" si="830"/>
        <v>1</v>
      </c>
      <c r="JB137" s="257">
        <f t="shared" si="830"/>
        <v>1</v>
      </c>
      <c r="JC137" s="257">
        <f t="shared" si="830"/>
        <v>1</v>
      </c>
      <c r="JD137" s="257">
        <f t="shared" si="830"/>
        <v>1</v>
      </c>
      <c r="JE137" s="257">
        <f t="shared" si="830"/>
        <v>1</v>
      </c>
      <c r="JF137" s="257">
        <f t="shared" si="830"/>
        <v>1</v>
      </c>
      <c r="JG137" s="257">
        <f t="shared" si="830"/>
        <v>1</v>
      </c>
      <c r="JH137" s="257">
        <f t="shared" si="830"/>
        <v>1</v>
      </c>
      <c r="JI137" s="257">
        <f t="shared" si="830"/>
        <v>1</v>
      </c>
      <c r="JJ137" s="257">
        <f t="shared" si="830"/>
        <v>1</v>
      </c>
      <c r="JK137" s="257">
        <f t="shared" si="830"/>
        <v>1</v>
      </c>
      <c r="JL137" s="257">
        <f t="shared" si="830"/>
        <v>1</v>
      </c>
      <c r="JM137" s="257">
        <f t="shared" si="830"/>
        <v>1</v>
      </c>
      <c r="JN137" s="257">
        <f t="shared" si="830"/>
        <v>1</v>
      </c>
      <c r="JO137" s="257">
        <f t="shared" si="830"/>
        <v>1</v>
      </c>
      <c r="JP137" s="257">
        <f t="shared" si="830"/>
        <v>1</v>
      </c>
      <c r="JQ137" s="257">
        <f t="shared" si="830"/>
        <v>1</v>
      </c>
      <c r="JR137" s="257">
        <f t="shared" si="830"/>
        <v>1</v>
      </c>
      <c r="JS137" s="257">
        <f t="shared" si="830"/>
        <v>1</v>
      </c>
      <c r="JT137" s="257">
        <f t="shared" si="830"/>
        <v>1</v>
      </c>
      <c r="JU137" s="257" t="n">
        <f t="shared" ref="JU137:JX137" si="831">IF(JU136&lt;1,0,IF(JU136&lt;2,$G$88,IF(JU136&lt;3,$G$89,IF(JU136&lt;4,$I$88,1))))</f>
        <v>1</v>
      </c>
      <c r="JV137" s="257">
        <f t="shared" si="831"/>
        <v>1</v>
      </c>
      <c r="JW137" s="257">
        <f t="shared" si="831"/>
        <v>1</v>
      </c>
      <c r="JX137" s="257">
        <f t="shared" si="831"/>
        <v>1</v>
      </c>
      <c r="JZ137" s="470"/>
      <c r="KA137" s="470"/>
      <c r="KB137" s="470"/>
      <c r="KC137" s="470"/>
      <c r="KD137" s="470"/>
      <c r="KE137" s="470"/>
      <c r="KF137" s="470"/>
      <c r="KG137" s="470"/>
      <c r="KH137" s="470"/>
      <c r="KI137" s="470"/>
      <c r="KJ137" s="470"/>
      <c r="KK137" s="470"/>
      <c r="KL137" s="470"/>
      <c r="KM137" s="470"/>
      <c r="KN137" s="470"/>
      <c r="KO137" s="470"/>
      <c r="KP137" s="470"/>
      <c r="KQ137" s="470"/>
      <c r="KR137" s="470"/>
      <c r="KS137" s="470"/>
      <c r="KT137" s="470"/>
      <c r="KU137" s="470"/>
      <c r="KV137" s="470"/>
      <c r="KW137" s="470"/>
      <c r="KX137" s="470"/>
      <c r="KY137" s="470"/>
      <c r="KZ137" s="470"/>
      <c r="LA137" s="470"/>
      <c r="LB137" s="470"/>
      <c r="LC137" s="470"/>
      <c r="LD137" s="470"/>
      <c r="LE137" s="470"/>
      <c r="LF137" s="470"/>
      <c r="LG137" s="470"/>
      <c r="LH137" s="470"/>
      <c r="LI137" s="470"/>
      <c r="LJ137" s="470"/>
      <c r="LK137" s="470"/>
      <c r="LL137" s="470"/>
      <c r="LM137" s="470"/>
      <c r="LN137" s="470"/>
      <c r="LO137" s="470"/>
      <c r="LP137" s="470"/>
      <c r="LQ137" s="470"/>
      <c r="LR137" s="470"/>
      <c r="LS137" s="470"/>
      <c r="LT137" s="470"/>
      <c r="LU137" s="470"/>
      <c r="LV137" s="470"/>
      <c r="LW137" s="470"/>
      <c r="LX137" s="470"/>
      <c r="LY137" s="470"/>
      <c r="LZ137" s="470"/>
      <c r="MA137" s="470"/>
      <c r="MB137" s="470"/>
      <c r="MC137" s="470"/>
      <c r="MD137" s="470"/>
      <c r="ME137" s="470"/>
      <c r="MF137" s="470"/>
      <c r="MG137" s="470"/>
      <c r="MH137" s="470"/>
      <c r="MI137" s="470"/>
      <c r="MJ137" s="470"/>
      <c r="MK137" s="470"/>
      <c r="ML137" s="470"/>
      <c r="MM137" s="470"/>
      <c r="MN137" s="470"/>
      <c r="MO137" s="470"/>
      <c r="MP137" s="470"/>
      <c r="MQ137" s="470"/>
      <c r="MR137" s="470"/>
      <c r="MS137" s="470"/>
      <c r="MT137" s="470"/>
      <c r="MU137" s="470"/>
      <c r="MV137" s="470"/>
      <c r="MW137" s="470"/>
      <c r="MX137" s="470"/>
      <c r="MY137" s="470"/>
      <c r="MZ137" s="470"/>
      <c r="NA137" s="470"/>
      <c r="NB137" s="470"/>
      <c r="NC137" s="470"/>
      <c r="ND137" s="470"/>
      <c r="NE137" s="470"/>
      <c r="NF137" s="470"/>
      <c r="NG137" s="470"/>
      <c r="NH137" s="470"/>
      <c r="NI137" s="470"/>
      <c r="NJ137" s="470"/>
      <c r="NK137" s="470"/>
      <c r="NL137" s="470"/>
      <c r="NM137" s="470"/>
      <c r="NN137" s="470"/>
      <c r="NO137" s="470"/>
      <c r="NP137" s="470"/>
      <c r="NQ137" s="470"/>
      <c r="NR137" s="470"/>
      <c r="NS137" s="470"/>
      <c r="NT137" s="470"/>
      <c r="NU137" s="470"/>
      <c r="NV137" s="470"/>
      <c r="NW137" s="470"/>
      <c r="NX137" s="470"/>
      <c r="NY137" s="470"/>
      <c r="NZ137" s="470"/>
      <c r="OA137" s="470"/>
      <c r="OB137" s="470"/>
      <c r="OC137" s="470"/>
      <c r="OD137" s="470"/>
      <c r="OE137" s="470"/>
      <c r="OF137" s="470"/>
      <c r="OG137" s="470"/>
      <c r="OH137" s="470"/>
      <c r="OI137" s="470"/>
      <c r="OJ137" s="470"/>
      <c r="OK137" s="470"/>
      <c r="OL137" s="470"/>
      <c r="OM137" s="470"/>
      <c r="ON137" s="470"/>
      <c r="OO137" s="470"/>
      <c r="OP137" s="470"/>
      <c r="OQ137" s="470"/>
      <c r="OR137" s="470"/>
      <c r="OS137" s="470"/>
      <c r="OT137" s="470"/>
      <c r="OU137" s="470"/>
      <c r="OV137" s="470"/>
      <c r="OW137" s="470"/>
      <c r="OX137" s="470"/>
      <c r="OY137" s="470"/>
      <c r="OZ137" s="470"/>
      <c r="PA137" s="470"/>
      <c r="PB137" s="470"/>
      <c r="PC137" s="470"/>
      <c r="PD137" s="470"/>
      <c r="PE137" s="470"/>
      <c r="PF137" s="470"/>
      <c r="PG137" s="470"/>
      <c r="PH137" s="470"/>
    </row>
    <row r="138">
      <c r="B138" s="34"/>
      <c r="C138" s="42" t="n">
        <f>SUMPRODUCT(F134:F137,I134:I137)/I138</f>
        <v>0.02</v>
      </c>
      <c r="D138" s="42"/>
      <c r="E138" s="42"/>
      <c r="F138" s="148"/>
      <c r="G138" s="58" t="n">
        <f>+I138/$I$130</f>
        <v>0.06734108392120527</v>
      </c>
      <c r="H138" s="149" t="n">
        <f t="array" ref="H138">I138/Units_Ind</f>
        <v>41.98925662698547</v>
      </c>
      <c r="I138" s="449" t="n">
        <f>SUM(I134:I137)</f>
        <v>3288278.6208900046</v>
      </c>
      <c r="K138" s="224" t="s">
        <v>291</v>
      </c>
      <c r="L138" s="76" t="n">
        <f>SUM(M134:M137)</f>
        <v>0</v>
      </c>
      <c r="M138" s="421"/>
      <c r="N138" s="421" t="n">
        <f t="shared" ref="N138:AR138" si="832">SUM(O134:O137)</f>
        <v>0</v>
      </c>
      <c r="O138" s="421">
        <f t="shared" si="832"/>
        <v>0</v>
      </c>
      <c r="P138" s="421">
        <f t="shared" si="832"/>
        <v>0</v>
      </c>
      <c r="Q138" s="421">
        <f t="shared" si="832"/>
        <v>0</v>
      </c>
      <c r="R138" s="421">
        <f t="shared" si="832"/>
        <v>114338.88963590557</v>
      </c>
      <c r="S138" s="421">
        <f t="shared" si="832"/>
        <v>114338.88963590557</v>
      </c>
      <c r="T138" s="421">
        <f t="shared" si="832"/>
        <v>114338.88963590557</v>
      </c>
      <c r="U138" s="421">
        <f t="shared" si="832"/>
        <v>114338.88963590557</v>
      </c>
      <c r="V138" s="421">
        <f t="shared" si="832"/>
        <v>114338.88963590557</v>
      </c>
      <c r="W138" s="421">
        <f t="shared" si="832"/>
        <v>114338.88963590557</v>
      </c>
      <c r="X138" s="421">
        <f t="shared" si="832"/>
        <v>114338.88963590557</v>
      </c>
      <c r="Y138" s="421">
        <f t="shared" si="832"/>
        <v>114338.88963590557</v>
      </c>
      <c r="Z138" s="421">
        <f t="shared" si="832"/>
        <v>114338.88963590557</v>
      </c>
      <c r="AA138" s="421">
        <f t="shared" si="832"/>
        <v>114338.88963590557</v>
      </c>
      <c r="AB138" s="421">
        <f t="shared" si="832"/>
        <v>114338.88963590557</v>
      </c>
      <c r="AC138" s="421">
        <f t="shared" si="832"/>
        <v>114338.88963590557</v>
      </c>
      <c r="AD138" s="421">
        <f t="shared" si="832"/>
        <v>262603.75118656736</v>
      </c>
      <c r="AE138" s="421">
        <f t="shared" si="832"/>
        <v>262603.75118656736</v>
      </c>
      <c r="AF138" s="421">
        <f t="shared" si="832"/>
        <v>262603.75118656736</v>
      </c>
      <c r="AG138" s="421">
        <f t="shared" si="832"/>
        <v>262603.75118656736</v>
      </c>
      <c r="AH138" s="421">
        <f t="shared" si="832"/>
        <v>262603.75118656736</v>
      </c>
      <c r="AI138" s="421">
        <f t="shared" si="832"/>
        <v>262603.75118656736</v>
      </c>
      <c r="AJ138" s="421">
        <f t="shared" si="832"/>
        <v>262603.75118656736</v>
      </c>
      <c r="AK138" s="421">
        <f t="shared" si="832"/>
        <v>262603.75118656736</v>
      </c>
      <c r="AL138" s="421">
        <f t="shared" si="832"/>
        <v>262603.75118656736</v>
      </c>
      <c r="AM138" s="421">
        <f t="shared" si="832"/>
        <v>262603.75118656736</v>
      </c>
      <c r="AN138" s="421">
        <f t="shared" si="832"/>
        <v>262603.75118656736</v>
      </c>
      <c r="AO138" s="421">
        <f t="shared" si="832"/>
        <v>262603.75118656736</v>
      </c>
      <c r="AP138" s="421">
        <f t="shared" si="832"/>
        <v>274023.21840750036</v>
      </c>
      <c r="AQ138" s="421">
        <f t="shared" si="832"/>
        <v>274023.21840750036</v>
      </c>
      <c r="AR138" s="421">
        <f t="shared" si="832"/>
        <v>274023.21840750036</v>
      </c>
      <c r="AS138" s="421" t="n">
        <f t="shared" ref="AS138:BX138" si="833">SUM(AS134:AS137)</f>
        <v>274023.21840750036</v>
      </c>
      <c r="AT138" s="421">
        <f t="shared" si="833"/>
        <v>274023.21840750036</v>
      </c>
      <c r="AU138" s="421">
        <f t="shared" si="833"/>
        <v>274023.21840750036</v>
      </c>
      <c r="AV138" s="421">
        <f t="shared" si="833"/>
        <v>274023.21840750036</v>
      </c>
      <c r="AW138" s="421">
        <f t="shared" si="833"/>
        <v>274023.21840750036</v>
      </c>
      <c r="AX138" s="421">
        <f t="shared" si="833"/>
        <v>274023.21840750036</v>
      </c>
      <c r="AY138" s="421">
        <f t="shared" si="833"/>
        <v>274023.21840750036</v>
      </c>
      <c r="AZ138" s="421">
        <f t="shared" si="833"/>
        <v>274023.21840750036</v>
      </c>
      <c r="BA138" s="421">
        <f t="shared" si="833"/>
        <v>274023.21840750036</v>
      </c>
      <c r="BB138" s="421">
        <f t="shared" si="833"/>
        <v>274023.21840750036</v>
      </c>
      <c r="BC138" s="421">
        <f t="shared" si="833"/>
        <v>280051.06466970762</v>
      </c>
      <c r="BD138" s="421">
        <f t="shared" si="833"/>
        <v>280051.06466970762</v>
      </c>
      <c r="BE138" s="421">
        <f t="shared" si="833"/>
        <v>280051.06466970762</v>
      </c>
      <c r="BF138" s="421">
        <f t="shared" si="833"/>
        <v>280051.06466970762</v>
      </c>
      <c r="BG138" s="421">
        <f t="shared" si="833"/>
        <v>280051.06466970762</v>
      </c>
      <c r="BH138" s="421">
        <f t="shared" si="833"/>
        <v>280051.06466970762</v>
      </c>
      <c r="BI138" s="421">
        <f t="shared" si="833"/>
        <v>280051.06466970762</v>
      </c>
      <c r="BJ138" s="421">
        <f t="shared" si="833"/>
        <v>280051.06466970762</v>
      </c>
      <c r="BK138" s="421">
        <f t="shared" si="833"/>
        <v>280051.06466970762</v>
      </c>
      <c r="BL138" s="421">
        <f t="shared" si="833"/>
        <v>280051.06466970762</v>
      </c>
      <c r="BM138" s="421">
        <f t="shared" si="833"/>
        <v>280051.06466970762</v>
      </c>
      <c r="BN138" s="421">
        <f t="shared" si="833"/>
        <v>280051.06466970762</v>
      </c>
      <c r="BO138" s="421">
        <f t="shared" si="833"/>
        <v>285541.24667862349</v>
      </c>
      <c r="BP138" s="421">
        <f t="shared" si="833"/>
        <v>285541.24667862349</v>
      </c>
      <c r="BQ138" s="421">
        <f t="shared" si="833"/>
        <v>285541.24667862349</v>
      </c>
      <c r="BR138" s="421">
        <f t="shared" si="833"/>
        <v>285541.24667862349</v>
      </c>
      <c r="BS138" s="421">
        <f t="shared" si="833"/>
        <v>285541.24667862349</v>
      </c>
      <c r="BT138" s="421">
        <f t="shared" si="833"/>
        <v>285541.24667862349</v>
      </c>
      <c r="BU138" s="421">
        <f t="shared" si="833"/>
        <v>285541.24667862349</v>
      </c>
      <c r="BV138" s="421">
        <f t="shared" si="833"/>
        <v>285541.24667862349</v>
      </c>
      <c r="BW138" s="421">
        <f t="shared" si="833"/>
        <v>285541.24667862349</v>
      </c>
      <c r="BX138" s="421">
        <f t="shared" si="833"/>
        <v>285541.24667862349</v>
      </c>
      <c r="BY138" s="421" t="n">
        <f t="shared" ref="BY138:DD138" si="834">SUM(BY134:BY137)</f>
        <v>285541.2466786235</v>
      </c>
      <c r="BZ138" s="421">
        <f t="shared" si="834"/>
        <v>285541.24667862349</v>
      </c>
      <c r="CA138" s="421">
        <f t="shared" si="834"/>
        <v>291110.45875670854</v>
      </c>
      <c r="CB138" s="421">
        <f t="shared" si="834"/>
        <v>291110.45875670854</v>
      </c>
      <c r="CC138" s="421">
        <f t="shared" si="834"/>
        <v>291110.45875670854</v>
      </c>
      <c r="CD138" s="421">
        <f t="shared" si="834"/>
        <v>291110.45875670854</v>
      </c>
      <c r="CE138" s="421">
        <f t="shared" si="834"/>
        <v>291110.45875670854</v>
      </c>
      <c r="CF138" s="421">
        <f t="shared" si="834"/>
        <v>291110.45875670854</v>
      </c>
      <c r="CG138" s="421">
        <f t="shared" si="834"/>
        <v>291110.45875670854</v>
      </c>
      <c r="CH138" s="421">
        <f t="shared" si="834"/>
        <v>291110.45875670854</v>
      </c>
      <c r="CI138" s="421">
        <f t="shared" si="834"/>
        <v>291110.45875670854</v>
      </c>
      <c r="CJ138" s="421">
        <f t="shared" si="834"/>
        <v>291110.45875670854</v>
      </c>
      <c r="CK138" s="421">
        <f t="shared" si="834"/>
        <v>291110.45875670854</v>
      </c>
      <c r="CL138" s="421">
        <f t="shared" si="834"/>
        <v>291110.45875670854</v>
      </c>
      <c r="CM138" s="421">
        <f t="shared" si="834"/>
        <v>287904.54107616039</v>
      </c>
      <c r="CN138" s="421">
        <f t="shared" si="834"/>
        <v>287904.54107616039</v>
      </c>
      <c r="CO138" s="421">
        <f t="shared" si="834"/>
        <v>287904.54107616039</v>
      </c>
      <c r="CP138" s="421">
        <f t="shared" si="834"/>
        <v>287904.54107616039</v>
      </c>
      <c r="CQ138" s="421">
        <f t="shared" si="834"/>
        <v>287904.54107616039</v>
      </c>
      <c r="CR138" s="421">
        <f t="shared" si="834"/>
        <v>287904.54107616039</v>
      </c>
      <c r="CS138" s="421">
        <f t="shared" si="834"/>
        <v>287904.54107616039</v>
      </c>
      <c r="CT138" s="421">
        <f t="shared" si="834"/>
        <v>287904.54107616039</v>
      </c>
      <c r="CU138" s="421">
        <f t="shared" si="834"/>
        <v>287904.54107616039</v>
      </c>
      <c r="CV138" s="421">
        <f t="shared" si="834"/>
        <v>287904.54107616039</v>
      </c>
      <c r="CW138" s="421">
        <f t="shared" si="834"/>
        <v>287904.54107616039</v>
      </c>
      <c r="CX138" s="421">
        <f t="shared" si="834"/>
        <v>287904.54107616039</v>
      </c>
      <c r="CY138" s="421">
        <f t="shared" si="834"/>
        <v>293700.02884675935</v>
      </c>
      <c r="CZ138" s="421">
        <f t="shared" si="834"/>
        <v>293700.02884675935</v>
      </c>
      <c r="DA138" s="421">
        <f t="shared" si="834"/>
        <v>293700.02884675935</v>
      </c>
      <c r="DB138" s="421">
        <f t="shared" si="834"/>
        <v>293700.02884675935</v>
      </c>
      <c r="DC138" s="421">
        <f t="shared" si="834"/>
        <v>293700.02884675935</v>
      </c>
      <c r="DD138" s="421">
        <f t="shared" si="834"/>
        <v>293700.02884675935</v>
      </c>
      <c r="DE138" s="421" t="n">
        <f t="shared" ref="DE138:EJ138" si="835">SUM(DE134:DE137)</f>
        <v>293700.02884675935</v>
      </c>
      <c r="DF138" s="421">
        <f t="shared" si="835"/>
        <v>293700.02884675935</v>
      </c>
      <c r="DG138" s="421">
        <f t="shared" si="835"/>
        <v>293700.02884675935</v>
      </c>
      <c r="DH138" s="421">
        <f t="shared" si="835"/>
        <v>293700.02884675935</v>
      </c>
      <c r="DI138" s="421">
        <f t="shared" si="835"/>
        <v>293700.02884675935</v>
      </c>
      <c r="DJ138" s="421">
        <f t="shared" si="835"/>
        <v>293700.02884675935</v>
      </c>
      <c r="DK138" s="421">
        <f t="shared" si="835"/>
        <v>299699.66668375017</v>
      </c>
      <c r="DL138" s="421">
        <f t="shared" si="835"/>
        <v>299699.66668375017</v>
      </c>
      <c r="DM138" s="421">
        <f t="shared" si="835"/>
        <v>299699.66668375017</v>
      </c>
      <c r="DN138" s="421">
        <f t="shared" si="835"/>
        <v>299699.66668375017</v>
      </c>
      <c r="DO138" s="421">
        <f t="shared" si="835"/>
        <v>299699.66668375017</v>
      </c>
      <c r="DP138" s="421">
        <f t="shared" si="835"/>
        <v>299699.66668375017</v>
      </c>
      <c r="DQ138" s="421">
        <f t="shared" si="835"/>
        <v>299699.66668375017</v>
      </c>
      <c r="DR138" s="421">
        <f t="shared" si="835"/>
        <v>299699.66668375017</v>
      </c>
      <c r="DS138" s="421">
        <f t="shared" si="835"/>
        <v>299699.66668375017</v>
      </c>
      <c r="DT138" s="421">
        <f t="shared" si="835"/>
        <v>299699.66668375017</v>
      </c>
      <c r="DU138" s="421">
        <f t="shared" si="835"/>
        <v>299699.66668375017</v>
      </c>
      <c r="DV138" s="421">
        <f t="shared" si="835"/>
        <v>299699.66668375017</v>
      </c>
      <c r="DW138" s="421">
        <f t="shared" si="835"/>
        <v>305912.39078083617</v>
      </c>
      <c r="DX138" s="421">
        <f t="shared" si="835"/>
        <v>305912.39078083617</v>
      </c>
      <c r="DY138" s="421">
        <f t="shared" si="835"/>
        <v>305912.39078083617</v>
      </c>
      <c r="DZ138" s="421">
        <f t="shared" si="835"/>
        <v>305912.39078083617</v>
      </c>
      <c r="EA138" s="421">
        <f t="shared" si="835"/>
        <v>305912.39078083617</v>
      </c>
      <c r="EB138" s="421">
        <f t="shared" si="835"/>
        <v>305912.39078083617</v>
      </c>
      <c r="EC138" s="421">
        <f t="shared" si="835"/>
        <v>305912.39078083617</v>
      </c>
      <c r="ED138" s="421">
        <f t="shared" si="835"/>
        <v>305912.39078083617</v>
      </c>
      <c r="EE138" s="421">
        <f t="shared" si="835"/>
        <v>305912.39078083617</v>
      </c>
      <c r="EF138" s="421">
        <f t="shared" si="835"/>
        <v>305912.39078083617</v>
      </c>
      <c r="EG138" s="421">
        <f t="shared" si="835"/>
        <v>305912.39078083617</v>
      </c>
      <c r="EH138" s="421">
        <f t="shared" si="835"/>
        <v>305912.39078083617</v>
      </c>
      <c r="EI138" s="421">
        <f t="shared" si="835"/>
        <v>312343.54382952704</v>
      </c>
      <c r="EJ138" s="421">
        <f t="shared" si="835"/>
        <v>312343.54382952704</v>
      </c>
      <c r="EK138" s="421" t="n">
        <f t="shared" ref="EK138:EN138" si="836">SUM(EK134:EK137)</f>
        <v>312343.54382952704</v>
      </c>
      <c r="EL138" s="421">
        <f t="shared" si="836"/>
        <v>312343.54382952704</v>
      </c>
      <c r="EM138" s="421">
        <f t="shared" si="836"/>
        <v>312343.54382952704</v>
      </c>
      <c r="EN138" s="421">
        <f t="shared" si="836"/>
        <v>312343.54382952704</v>
      </c>
      <c r="EO138" s="209"/>
      <c r="EP138" s="220"/>
      <c r="EQ138" s="18" t="s">
        <v>292</v>
      </c>
      <c r="ER138" s="20" t="n">
        <f>COUNTA($B$134:$B$137)</f>
        <v>0</v>
      </c>
      <c r="ES138" s="469"/>
      <c r="ET138" s="469"/>
      <c r="EU138" s="469"/>
      <c r="EV138" s="469"/>
      <c r="EW138" s="469"/>
      <c r="EX138" s="469"/>
      <c r="EY138" s="469"/>
      <c r="EZ138" s="469"/>
      <c r="FA138" s="469"/>
      <c r="FB138" s="469"/>
      <c r="FC138" s="469"/>
      <c r="FD138" s="469"/>
      <c r="FE138" s="469"/>
      <c r="FF138" s="469"/>
      <c r="FG138" s="469"/>
      <c r="FH138" s="469"/>
      <c r="FI138" s="469"/>
      <c r="FJ138" s="469"/>
      <c r="FK138" s="469"/>
      <c r="FL138" s="469"/>
      <c r="FM138" s="469"/>
      <c r="FN138" s="469"/>
      <c r="FO138" s="469"/>
      <c r="FP138" s="469"/>
      <c r="FQ138" s="469"/>
      <c r="FR138" s="469"/>
      <c r="FS138" s="469"/>
      <c r="FT138" s="469"/>
      <c r="FU138" s="469"/>
      <c r="FV138" s="469"/>
      <c r="FW138" s="469"/>
      <c r="FX138" s="469"/>
      <c r="FY138" s="469"/>
      <c r="FZ138" s="469"/>
      <c r="GA138" s="469"/>
      <c r="GB138" s="469"/>
      <c r="GC138" s="469"/>
      <c r="GD138" s="469"/>
      <c r="GE138" s="469"/>
      <c r="GF138" s="469"/>
      <c r="GG138" s="469"/>
      <c r="GH138" s="469"/>
      <c r="GI138" s="469"/>
      <c r="GJ138" s="469"/>
      <c r="GK138" s="469"/>
      <c r="GL138" s="469"/>
      <c r="GM138" s="469"/>
      <c r="GN138" s="469"/>
      <c r="GO138" s="469"/>
      <c r="GP138" s="469"/>
      <c r="GQ138" s="469"/>
      <c r="GR138" s="469"/>
      <c r="GS138" s="469"/>
      <c r="GT138" s="469"/>
      <c r="GU138" s="469"/>
      <c r="GV138" s="469"/>
      <c r="GW138" s="469"/>
      <c r="GX138" s="469"/>
      <c r="GY138" s="469"/>
      <c r="GZ138" s="469"/>
      <c r="HA138" s="469"/>
      <c r="HB138" s="469"/>
      <c r="HC138" s="469"/>
      <c r="HD138" s="469"/>
      <c r="HE138" s="469"/>
      <c r="HF138" s="469"/>
      <c r="HG138" s="469"/>
      <c r="HH138" s="469"/>
      <c r="HI138" s="469"/>
      <c r="HJ138" s="469"/>
      <c r="HK138" s="469"/>
      <c r="HL138" s="469"/>
      <c r="HM138" s="469"/>
      <c r="HN138" s="469"/>
      <c r="HO138" s="469"/>
      <c r="HP138" s="469"/>
      <c r="HQ138" s="469"/>
      <c r="HR138" s="469"/>
      <c r="HS138" s="469"/>
      <c r="HT138" s="469"/>
      <c r="HU138" s="469"/>
      <c r="HV138" s="469"/>
      <c r="HW138" s="469"/>
      <c r="HX138" s="469"/>
      <c r="HY138" s="469"/>
      <c r="HZ138" s="469"/>
      <c r="IA138" s="469"/>
      <c r="IB138" s="469"/>
      <c r="IC138" s="469"/>
      <c r="ID138" s="469"/>
      <c r="IE138" s="469"/>
      <c r="IF138" s="469"/>
      <c r="IG138" s="469"/>
      <c r="IH138" s="469"/>
      <c r="II138" s="469"/>
      <c r="IJ138" s="469"/>
      <c r="IK138" s="469"/>
      <c r="IL138" s="469"/>
      <c r="IM138" s="469"/>
      <c r="IN138" s="469"/>
      <c r="IO138" s="469"/>
      <c r="IP138" s="469"/>
      <c r="IQ138" s="469"/>
      <c r="IR138" s="469"/>
      <c r="IS138" s="469"/>
      <c r="IT138" s="469"/>
      <c r="IU138" s="469"/>
      <c r="IV138" s="469"/>
      <c r="IW138" s="469"/>
      <c r="IX138" s="469"/>
      <c r="IY138" s="469"/>
      <c r="IZ138" s="469"/>
      <c r="JA138" s="469"/>
      <c r="JB138" s="469"/>
      <c r="JC138" s="469"/>
      <c r="JD138" s="469"/>
      <c r="JE138" s="469"/>
      <c r="JF138" s="469"/>
      <c r="JG138" s="469"/>
      <c r="JH138" s="469"/>
      <c r="JI138" s="469"/>
      <c r="JJ138" s="469"/>
      <c r="JK138" s="469"/>
      <c r="JL138" s="469"/>
      <c r="JM138" s="469"/>
      <c r="JN138" s="469"/>
      <c r="JO138" s="469"/>
      <c r="JP138" s="469"/>
      <c r="JQ138" s="469"/>
      <c r="JR138" s="469"/>
      <c r="JS138" s="469"/>
      <c r="JT138" s="469"/>
      <c r="JU138" s="469"/>
      <c r="JV138" s="469"/>
      <c r="JW138" s="469"/>
      <c r="JX138" s="20"/>
      <c r="JZ138" s="470"/>
      <c r="KA138" s="470"/>
      <c r="KB138" s="470"/>
      <c r="KC138" s="470"/>
      <c r="KD138" s="470"/>
      <c r="KE138" s="470"/>
      <c r="KF138" s="470"/>
      <c r="KG138" s="470"/>
      <c r="KH138" s="470"/>
      <c r="KI138" s="470"/>
      <c r="KJ138" s="470"/>
      <c r="KK138" s="470"/>
      <c r="KL138" s="470"/>
      <c r="KM138" s="470"/>
      <c r="KN138" s="470"/>
      <c r="KO138" s="470"/>
      <c r="KP138" s="470"/>
      <c r="KQ138" s="470"/>
      <c r="KR138" s="470"/>
      <c r="KS138" s="470"/>
      <c r="KT138" s="470"/>
      <c r="KU138" s="470"/>
      <c r="KV138" s="470"/>
      <c r="KW138" s="470"/>
      <c r="KX138" s="470"/>
      <c r="KY138" s="470"/>
      <c r="KZ138" s="470"/>
      <c r="LA138" s="470"/>
      <c r="LB138" s="470"/>
      <c r="LC138" s="470"/>
      <c r="LD138" s="470"/>
      <c r="LE138" s="470"/>
      <c r="LF138" s="470"/>
      <c r="LG138" s="470"/>
      <c r="LH138" s="470"/>
      <c r="LI138" s="470"/>
      <c r="LJ138" s="470"/>
      <c r="LK138" s="470"/>
      <c r="LL138" s="470"/>
      <c r="LM138" s="470"/>
      <c r="LN138" s="470"/>
      <c r="LO138" s="470"/>
      <c r="LP138" s="470"/>
      <c r="LQ138" s="470"/>
      <c r="LR138" s="470"/>
      <c r="LS138" s="470"/>
      <c r="LT138" s="470"/>
      <c r="LU138" s="470"/>
      <c r="LV138" s="470"/>
      <c r="LW138" s="470"/>
      <c r="LX138" s="470"/>
      <c r="LY138" s="470"/>
      <c r="LZ138" s="470"/>
      <c r="MA138" s="470"/>
      <c r="MB138" s="470"/>
      <c r="MC138" s="470"/>
      <c r="MD138" s="470"/>
      <c r="ME138" s="470"/>
      <c r="MF138" s="470"/>
      <c r="MG138" s="470"/>
      <c r="MH138" s="470"/>
      <c r="MI138" s="470"/>
      <c r="MJ138" s="470"/>
      <c r="MK138" s="470"/>
      <c r="ML138" s="470"/>
      <c r="MM138" s="470"/>
      <c r="MN138" s="470"/>
      <c r="MO138" s="470"/>
      <c r="MP138" s="470"/>
      <c r="MQ138" s="470"/>
      <c r="MR138" s="470"/>
      <c r="MS138" s="470"/>
      <c r="MT138" s="470"/>
      <c r="MU138" s="470"/>
      <c r="MV138" s="470"/>
      <c r="MW138" s="470"/>
      <c r="MX138" s="470"/>
      <c r="MY138" s="470"/>
      <c r="MZ138" s="470"/>
      <c r="NA138" s="470"/>
      <c r="NB138" s="470"/>
      <c r="NC138" s="470"/>
      <c r="ND138" s="470"/>
      <c r="NE138" s="470"/>
      <c r="NF138" s="470"/>
      <c r="NG138" s="470"/>
      <c r="NH138" s="470"/>
      <c r="NI138" s="470"/>
      <c r="NJ138" s="470"/>
      <c r="NK138" s="470"/>
      <c r="NL138" s="470"/>
      <c r="NM138" s="470"/>
      <c r="NN138" s="470"/>
      <c r="NO138" s="470"/>
      <c r="NP138" s="470"/>
      <c r="NQ138" s="470"/>
      <c r="NR138" s="470"/>
      <c r="NS138" s="470"/>
      <c r="NT138" s="470"/>
      <c r="NU138" s="470"/>
      <c r="NV138" s="470"/>
      <c r="NW138" s="470"/>
      <c r="NX138" s="470"/>
      <c r="NY138" s="470"/>
      <c r="NZ138" s="470"/>
      <c r="OA138" s="470"/>
      <c r="OB138" s="470"/>
      <c r="OC138" s="470"/>
      <c r="OD138" s="470"/>
      <c r="OE138" s="470"/>
      <c r="OF138" s="470"/>
      <c r="OG138" s="470"/>
      <c r="OH138" s="470"/>
      <c r="OI138" s="470"/>
      <c r="OJ138" s="470"/>
      <c r="OK138" s="470"/>
      <c r="OL138" s="470"/>
      <c r="OM138" s="470"/>
      <c r="ON138" s="470"/>
      <c r="OO138" s="470"/>
      <c r="OP138" s="470"/>
      <c r="OQ138" s="470"/>
      <c r="OR138" s="470"/>
      <c r="OS138" s="470"/>
      <c r="OT138" s="470"/>
      <c r="OU138" s="470"/>
      <c r="OV138" s="470"/>
      <c r="OW138" s="470"/>
      <c r="OX138" s="470"/>
      <c r="OY138" s="470"/>
      <c r="OZ138" s="470"/>
      <c r="PA138" s="470"/>
      <c r="PB138" s="470"/>
      <c r="PC138" s="470"/>
      <c r="PD138" s="470"/>
      <c r="PE138" s="470"/>
      <c r="PF138" s="470"/>
      <c r="PG138" s="470"/>
      <c r="PH138" s="470"/>
    </row>
    <row r="139">
      <c r="B139" s="473"/>
      <c r="C139" s="42"/>
      <c r="D139" s="42"/>
      <c r="E139" s="42"/>
      <c r="F139" s="42"/>
      <c r="G139" s="135"/>
      <c r="H139" s="149"/>
      <c r="I139" s="135"/>
      <c r="K139" s="209"/>
      <c r="L139" s="209"/>
      <c r="M139" s="209"/>
      <c r="N139" s="209"/>
      <c r="O139" s="209"/>
      <c r="P139" s="209"/>
      <c r="Q139" s="209"/>
      <c r="R139" s="209"/>
      <c r="S139" s="209"/>
      <c r="T139" s="209"/>
      <c r="U139" s="209"/>
      <c r="V139" s="209"/>
      <c r="W139" s="209"/>
      <c r="X139" s="209"/>
      <c r="Y139" s="209"/>
      <c r="Z139" s="209"/>
      <c r="AA139" s="209"/>
      <c r="AB139" s="209"/>
      <c r="AC139" s="209"/>
      <c r="AD139" s="209"/>
      <c r="AE139" s="209"/>
      <c r="AF139" s="209"/>
      <c r="AG139" s="209"/>
      <c r="AH139" s="209"/>
      <c r="AI139" s="209"/>
      <c r="AJ139" s="209"/>
      <c r="AK139" s="209"/>
      <c r="AL139" s="209"/>
      <c r="AM139" s="209"/>
      <c r="AN139" s="209"/>
      <c r="AO139" s="209"/>
      <c r="AP139" s="209"/>
      <c r="AQ139" s="209"/>
      <c r="AR139" s="209"/>
      <c r="AS139" s="209"/>
      <c r="AT139" s="209"/>
      <c r="AU139" s="209"/>
      <c r="AV139" s="209"/>
      <c r="AW139" s="209"/>
      <c r="AX139" s="209"/>
      <c r="AY139" s="209"/>
      <c r="AZ139" s="209"/>
      <c r="BA139" s="209"/>
      <c r="BB139" s="209"/>
      <c r="BC139" s="209"/>
      <c r="BD139" s="209"/>
      <c r="BE139" s="209"/>
      <c r="BF139" s="209"/>
      <c r="BG139" s="209"/>
      <c r="BH139" s="209"/>
      <c r="BI139" s="209"/>
      <c r="BJ139" s="209"/>
      <c r="BK139" s="209"/>
      <c r="BL139" s="209"/>
      <c r="BM139" s="209"/>
      <c r="BN139" s="209"/>
      <c r="BO139" s="209"/>
      <c r="BP139" s="209"/>
      <c r="BQ139" s="209"/>
      <c r="BR139" s="209"/>
      <c r="BS139" s="209"/>
      <c r="BT139" s="209"/>
      <c r="BU139" s="209"/>
      <c r="BV139" s="209"/>
      <c r="BW139" s="209"/>
      <c r="BX139" s="209"/>
      <c r="BY139" s="209"/>
      <c r="BZ139" s="209"/>
      <c r="CA139" s="209"/>
      <c r="CB139" s="209"/>
      <c r="CC139" s="209"/>
      <c r="CD139" s="209"/>
      <c r="CE139" s="209"/>
      <c r="CF139" s="209"/>
      <c r="CG139" s="209"/>
      <c r="CH139" s="209"/>
      <c r="CI139" s="209"/>
      <c r="CJ139" s="209"/>
      <c r="CK139" s="209"/>
      <c r="CL139" s="209"/>
      <c r="CM139" s="209"/>
      <c r="CN139" s="209"/>
      <c r="CO139" s="209"/>
      <c r="CP139" s="209"/>
      <c r="CQ139" s="209"/>
      <c r="CR139" s="209"/>
      <c r="CS139" s="209"/>
      <c r="CT139" s="209"/>
      <c r="CU139" s="209"/>
      <c r="CV139" s="209"/>
      <c r="CW139" s="209"/>
      <c r="CX139" s="209"/>
      <c r="CY139" s="209"/>
      <c r="CZ139" s="209"/>
      <c r="DA139" s="209"/>
      <c r="DB139" s="209"/>
      <c r="DC139" s="209"/>
      <c r="DD139" s="209"/>
      <c r="DE139" s="209"/>
      <c r="DF139" s="209"/>
      <c r="DG139" s="209"/>
      <c r="DH139" s="209"/>
      <c r="DI139" s="209"/>
      <c r="DJ139" s="209"/>
      <c r="DK139" s="209"/>
      <c r="DL139" s="209"/>
      <c r="DM139" s="209"/>
      <c r="DN139" s="209"/>
      <c r="DO139" s="209"/>
      <c r="DP139" s="209"/>
      <c r="DQ139" s="209"/>
      <c r="DR139" s="209"/>
      <c r="DS139" s="209"/>
      <c r="DT139" s="209"/>
      <c r="DU139" s="209"/>
      <c r="DV139" s="209"/>
      <c r="DW139" s="209"/>
      <c r="DX139" s="209"/>
      <c r="DY139" s="209"/>
      <c r="DZ139" s="209"/>
      <c r="EA139" s="209"/>
      <c r="EB139" s="209"/>
      <c r="EC139" s="209"/>
      <c r="ED139" s="209"/>
      <c r="EE139" s="209"/>
      <c r="EF139" s="209"/>
      <c r="EG139" s="209"/>
      <c r="EH139" s="209"/>
      <c r="EI139" s="209"/>
      <c r="EJ139" s="209"/>
      <c r="EK139" s="209"/>
      <c r="EL139" s="209"/>
      <c r="EM139" s="209"/>
      <c r="EN139" s="209"/>
      <c r="EO139" s="209"/>
      <c r="EP139" s="468"/>
      <c r="EQ139" s="469"/>
      <c r="ER139" s="469"/>
      <c r="ES139" s="469"/>
      <c r="ET139" s="469"/>
      <c r="EU139" s="469"/>
      <c r="EV139" s="469"/>
      <c r="EW139" s="469"/>
      <c r="EX139" s="469"/>
      <c r="EY139" s="469"/>
      <c r="EZ139" s="469"/>
      <c r="FA139" s="469"/>
      <c r="FB139" s="469"/>
      <c r="FC139" s="469"/>
      <c r="FD139" s="469"/>
      <c r="FE139" s="469"/>
      <c r="FF139" s="469"/>
      <c r="FG139" s="469"/>
      <c r="FH139" s="469"/>
      <c r="FI139" s="469"/>
      <c r="FJ139" s="469"/>
      <c r="FK139" s="469"/>
      <c r="FL139" s="469"/>
      <c r="FM139" s="469"/>
      <c r="FN139" s="469"/>
      <c r="FO139" s="469"/>
      <c r="FP139" s="469"/>
      <c r="FQ139" s="469"/>
      <c r="FR139" s="469"/>
      <c r="FS139" s="469"/>
      <c r="FT139" s="469"/>
      <c r="FU139" s="469"/>
      <c r="FV139" s="469"/>
      <c r="FW139" s="469"/>
      <c r="FX139" s="469"/>
      <c r="FY139" s="469"/>
      <c r="FZ139" s="469"/>
      <c r="GA139" s="469"/>
      <c r="GB139" s="469"/>
      <c r="GC139" s="469"/>
      <c r="GD139" s="469"/>
      <c r="GE139" s="469"/>
      <c r="GF139" s="469"/>
      <c r="GG139" s="469"/>
      <c r="GH139" s="469"/>
      <c r="GI139" s="469"/>
      <c r="GJ139" s="469"/>
      <c r="GK139" s="469"/>
      <c r="GL139" s="469"/>
      <c r="GM139" s="469"/>
      <c r="GN139" s="469"/>
      <c r="GO139" s="469"/>
      <c r="GP139" s="469"/>
      <c r="GQ139" s="469"/>
      <c r="GR139" s="469"/>
      <c r="GS139" s="469"/>
      <c r="GT139" s="469"/>
      <c r="GU139" s="469"/>
      <c r="GV139" s="469"/>
      <c r="GW139" s="469"/>
      <c r="GX139" s="469"/>
      <c r="GY139" s="469"/>
      <c r="GZ139" s="469"/>
      <c r="HA139" s="469"/>
      <c r="HB139" s="469"/>
      <c r="HC139" s="469"/>
      <c r="HD139" s="469"/>
      <c r="HE139" s="469"/>
      <c r="HF139" s="469"/>
      <c r="HG139" s="469"/>
      <c r="HH139" s="469"/>
      <c r="HI139" s="469"/>
      <c r="HJ139" s="469"/>
      <c r="HK139" s="469"/>
      <c r="HL139" s="469"/>
      <c r="HM139" s="469"/>
      <c r="HN139" s="469"/>
      <c r="HO139" s="469"/>
      <c r="HP139" s="469"/>
      <c r="HQ139" s="469"/>
      <c r="HR139" s="469"/>
      <c r="HS139" s="469"/>
      <c r="HT139" s="469"/>
      <c r="HU139" s="469"/>
      <c r="HV139" s="469"/>
      <c r="HW139" s="469"/>
      <c r="HX139" s="469"/>
      <c r="HY139" s="469"/>
      <c r="HZ139" s="469"/>
      <c r="IA139" s="469"/>
      <c r="IB139" s="469"/>
      <c r="IC139" s="469"/>
      <c r="ID139" s="469"/>
      <c r="IE139" s="469"/>
      <c r="IF139" s="469"/>
      <c r="IG139" s="469"/>
      <c r="IH139" s="469"/>
      <c r="II139" s="469"/>
      <c r="IJ139" s="469"/>
      <c r="IK139" s="469"/>
      <c r="IL139" s="469"/>
      <c r="IM139" s="469"/>
      <c r="IN139" s="469"/>
      <c r="IO139" s="469"/>
      <c r="IP139" s="469"/>
      <c r="IQ139" s="469"/>
      <c r="IR139" s="469"/>
      <c r="IS139" s="469"/>
      <c r="IT139" s="469"/>
      <c r="IU139" s="469"/>
      <c r="IV139" s="469"/>
      <c r="IW139" s="469"/>
      <c r="IX139" s="469"/>
      <c r="IY139" s="469"/>
      <c r="IZ139" s="469"/>
      <c r="JA139" s="469"/>
      <c r="JB139" s="469"/>
      <c r="JC139" s="469"/>
      <c r="JD139" s="469"/>
      <c r="JE139" s="469"/>
      <c r="JF139" s="469"/>
      <c r="JG139" s="469"/>
      <c r="JH139" s="469"/>
      <c r="JI139" s="469"/>
      <c r="JJ139" s="469"/>
      <c r="JK139" s="469"/>
      <c r="JL139" s="469"/>
      <c r="JM139" s="469"/>
      <c r="JN139" s="469"/>
      <c r="JO139" s="469"/>
      <c r="JP139" s="469"/>
      <c r="JQ139" s="469"/>
      <c r="JR139" s="469"/>
      <c r="JS139" s="469"/>
      <c r="JT139" s="469"/>
      <c r="JU139" s="469"/>
      <c r="JV139" s="469"/>
      <c r="JW139" s="469"/>
      <c r="JX139" s="20"/>
      <c r="JZ139" s="470"/>
      <c r="KA139" s="470"/>
      <c r="KB139" s="470"/>
      <c r="KC139" s="470"/>
      <c r="KD139" s="470"/>
      <c r="KE139" s="470"/>
      <c r="KF139" s="470"/>
      <c r="KG139" s="470"/>
      <c r="KH139" s="470"/>
      <c r="KI139" s="470"/>
      <c r="KJ139" s="470"/>
      <c r="KK139" s="470"/>
      <c r="KL139" s="470"/>
      <c r="KM139" s="470"/>
      <c r="KN139" s="470"/>
      <c r="KO139" s="470"/>
      <c r="KP139" s="470"/>
      <c r="KQ139" s="470"/>
      <c r="KR139" s="470"/>
      <c r="KS139" s="470"/>
      <c r="KT139" s="470"/>
      <c r="KU139" s="470"/>
      <c r="KV139" s="470"/>
      <c r="KW139" s="470"/>
      <c r="KX139" s="470"/>
      <c r="KY139" s="470"/>
      <c r="KZ139" s="470"/>
      <c r="LA139" s="470"/>
      <c r="LB139" s="470"/>
      <c r="LC139" s="470"/>
      <c r="LD139" s="470"/>
      <c r="LE139" s="470"/>
      <c r="LF139" s="470"/>
      <c r="LG139" s="470"/>
      <c r="LH139" s="470"/>
      <c r="LI139" s="470"/>
      <c r="LJ139" s="470"/>
      <c r="LK139" s="470"/>
      <c r="LL139" s="470"/>
      <c r="LM139" s="470"/>
      <c r="LN139" s="470"/>
      <c r="LO139" s="470"/>
      <c r="LP139" s="470"/>
      <c r="LQ139" s="470"/>
      <c r="LR139" s="470"/>
      <c r="LS139" s="470"/>
      <c r="LT139" s="470"/>
      <c r="LU139" s="470"/>
      <c r="LV139" s="470"/>
      <c r="LW139" s="470"/>
      <c r="LX139" s="470"/>
      <c r="LY139" s="470"/>
      <c r="LZ139" s="470"/>
      <c r="MA139" s="470"/>
      <c r="MB139" s="470"/>
      <c r="MC139" s="470"/>
      <c r="MD139" s="470"/>
      <c r="ME139" s="470"/>
      <c r="MF139" s="470"/>
      <c r="MG139" s="470"/>
      <c r="MH139" s="470"/>
      <c r="MI139" s="470"/>
      <c r="MJ139" s="470"/>
      <c r="MK139" s="470"/>
      <c r="ML139" s="470"/>
      <c r="MM139" s="470"/>
      <c r="MN139" s="470"/>
      <c r="MO139" s="470"/>
      <c r="MP139" s="470"/>
      <c r="MQ139" s="470"/>
      <c r="MR139" s="470"/>
      <c r="MS139" s="470"/>
      <c r="MT139" s="470"/>
      <c r="MU139" s="470"/>
      <c r="MV139" s="470"/>
      <c r="MW139" s="470"/>
      <c r="MX139" s="470"/>
      <c r="MY139" s="470"/>
      <c r="MZ139" s="470"/>
      <c r="NA139" s="470"/>
      <c r="NB139" s="470"/>
      <c r="NC139" s="470"/>
      <c r="ND139" s="470"/>
      <c r="NE139" s="470"/>
      <c r="NF139" s="470"/>
      <c r="NG139" s="470"/>
      <c r="NH139" s="470"/>
      <c r="NI139" s="470"/>
      <c r="NJ139" s="470"/>
      <c r="NK139" s="470"/>
      <c r="NL139" s="470"/>
      <c r="NM139" s="470"/>
      <c r="NN139" s="470"/>
      <c r="NO139" s="470"/>
      <c r="NP139" s="470"/>
      <c r="NQ139" s="470"/>
      <c r="NR139" s="470"/>
      <c r="NS139" s="470"/>
      <c r="NT139" s="470"/>
      <c r="NU139" s="470"/>
      <c r="NV139" s="470"/>
      <c r="NW139" s="470"/>
      <c r="NX139" s="470"/>
      <c r="NY139" s="470"/>
      <c r="NZ139" s="470"/>
      <c r="OA139" s="470"/>
      <c r="OB139" s="470"/>
      <c r="OC139" s="470"/>
      <c r="OD139" s="470"/>
      <c r="OE139" s="470"/>
      <c r="OF139" s="470"/>
      <c r="OG139" s="470"/>
      <c r="OH139" s="470"/>
      <c r="OI139" s="470"/>
      <c r="OJ139" s="470"/>
      <c r="OK139" s="470"/>
      <c r="OL139" s="470"/>
      <c r="OM139" s="470"/>
      <c r="ON139" s="470"/>
      <c r="OO139" s="470"/>
      <c r="OP139" s="470"/>
      <c r="OQ139" s="470"/>
      <c r="OR139" s="470"/>
      <c r="OS139" s="470"/>
      <c r="OT139" s="470"/>
      <c r="OU139" s="470"/>
      <c r="OV139" s="470"/>
      <c r="OW139" s="470"/>
      <c r="OX139" s="470"/>
      <c r="OY139" s="470"/>
      <c r="OZ139" s="470"/>
      <c r="PA139" s="470"/>
      <c r="PB139" s="470"/>
      <c r="PC139" s="470"/>
      <c r="PD139" s="470"/>
      <c r="PE139" s="470"/>
      <c r="PF139" s="470"/>
      <c r="PG139" s="470"/>
      <c r="PH139" s="470"/>
    </row>
    <row r="140" s="25" customFormat="1">
      <c r="A140" s="441"/>
      <c r="B140" s="494"/>
      <c r="C140" s="154" t="n">
        <f t="array" ref="C140">I140/Units_Ind</f>
        <v>581.5417913157003</v>
      </c>
      <c r="D140" s="154"/>
      <c r="E140" s="154"/>
      <c r="F140" s="154"/>
      <c r="G140" s="137"/>
      <c r="H140" s="155"/>
      <c r="I140" s="495" t="n">
        <f>I130-I138</f>
        <v>45541921.74739582</v>
      </c>
      <c r="K140" s="224" t="s">
        <v>64</v>
      </c>
      <c r="L140" s="205" t="n">
        <f>M130-M138</f>
        <v>0</v>
      </c>
      <c r="M140" s="445"/>
      <c r="N140" s="445" t="n">
        <f t="shared" ref="N140:AR140" si="837">O130-O138</f>
        <v>0</v>
      </c>
      <c r="O140" s="445">
        <f t="shared" si="837"/>
        <v>0</v>
      </c>
      <c r="P140" s="445">
        <f t="shared" si="837"/>
        <v>0</v>
      </c>
      <c r="Q140" s="445">
        <f t="shared" si="837"/>
        <v>-114338.88963590557</v>
      </c>
      <c r="R140" s="445">
        <f t="shared" si="837"/>
        <v>585807.05234234873</v>
      </c>
      <c r="S140" s="445">
        <f t="shared" si="837"/>
        <v>585807.05234234873</v>
      </c>
      <c r="T140" s="445">
        <f t="shared" si="837"/>
        <v>585807.05234234873</v>
      </c>
      <c r="U140" s="445">
        <f t="shared" si="837"/>
        <v>585807.05234234873</v>
      </c>
      <c r="V140" s="445">
        <f t="shared" si="837"/>
        <v>585807.05234234873</v>
      </c>
      <c r="W140" s="445">
        <f t="shared" si="837"/>
        <v>585807.05234234873</v>
      </c>
      <c r="X140" s="445">
        <f t="shared" si="837"/>
        <v>585807.05234234873</v>
      </c>
      <c r="Y140" s="445">
        <f t="shared" si="837"/>
        <v>585807.05234234873</v>
      </c>
      <c r="Z140" s="445">
        <f t="shared" si="837"/>
        <v>585807.05234234873</v>
      </c>
      <c r="AA140" s="445">
        <f t="shared" si="837"/>
        <v>585807.05234234873</v>
      </c>
      <c r="AB140" s="445">
        <f t="shared" si="837"/>
        <v>585807.05234234873</v>
      </c>
      <c r="AC140" s="445">
        <f t="shared" si="837"/>
        <v>437542.19079168688</v>
      </c>
      <c r="AD140" s="445">
        <f t="shared" si="837"/>
        <v>3493551.9779534517</v>
      </c>
      <c r="AE140" s="445">
        <f t="shared" si="837"/>
        <v>3493551.9779534517</v>
      </c>
      <c r="AF140" s="445">
        <f t="shared" si="837"/>
        <v>3493551.9779534517</v>
      </c>
      <c r="AG140" s="445">
        <f t="shared" si="837"/>
        <v>4282314.2781650471</v>
      </c>
      <c r="AH140" s="445">
        <f t="shared" si="837"/>
        <v>4282314.2781650471</v>
      </c>
      <c r="AI140" s="445">
        <f t="shared" si="837"/>
        <v>4282314.2781650471</v>
      </c>
      <c r="AJ140" s="445">
        <f t="shared" si="837"/>
        <v>4587843.0047824392</v>
      </c>
      <c r="AK140" s="445">
        <f t="shared" si="837"/>
        <v>4587843.0047824392</v>
      </c>
      <c r="AL140" s="445">
        <f t="shared" si="837"/>
        <v>4587843.0047824392</v>
      </c>
      <c r="AM140" s="445">
        <f t="shared" si="837"/>
        <v>4775925.8053659182</v>
      </c>
      <c r="AN140" s="445">
        <f t="shared" si="837"/>
        <v>4775925.8053659182</v>
      </c>
      <c r="AO140" s="445">
        <f t="shared" si="837"/>
        <v>4772110.8218239592</v>
      </c>
      <c r="AP140" s="445">
        <f t="shared" si="837"/>
        <v>5325002.2596516162</v>
      </c>
      <c r="AQ140" s="445">
        <f t="shared" si="837"/>
        <v>5325002.2596516162</v>
      </c>
      <c r="AR140" s="445">
        <f t="shared" si="837"/>
        <v>5325002.2596516162</v>
      </c>
      <c r="AS140" s="445" t="n">
        <f t="shared" ref="AS140:BX140" si="838">AS130-AS138</f>
        <v>5325002.259651616</v>
      </c>
      <c r="AT140" s="445">
        <f t="shared" si="838"/>
        <v>5450541.4642952997</v>
      </c>
      <c r="AU140" s="445">
        <f t="shared" si="838"/>
        <v>5450541.4642952997</v>
      </c>
      <c r="AV140" s="445">
        <f t="shared" si="838"/>
        <v>5450541.4642952997</v>
      </c>
      <c r="AW140" s="445">
        <f t="shared" si="838"/>
        <v>5458124.7976286337</v>
      </c>
      <c r="AX140" s="445">
        <f t="shared" si="838"/>
        <v>5458124.7976286337</v>
      </c>
      <c r="AY140" s="445">
        <f t="shared" si="838"/>
        <v>5458124.7976286337</v>
      </c>
      <c r="AZ140" s="445">
        <f t="shared" si="838"/>
        <v>5464444.573663977</v>
      </c>
      <c r="BA140" s="445">
        <f t="shared" si="838"/>
        <v>5464444.573663977</v>
      </c>
      <c r="BB140" s="445">
        <f t="shared" si="838"/>
        <v>5464444.573663977</v>
      </c>
      <c r="BC140" s="445">
        <f t="shared" si="838"/>
        <v>5628566.581746445</v>
      </c>
      <c r="BD140" s="445">
        <f t="shared" si="838"/>
        <v>5628566.581746445</v>
      </c>
      <c r="BE140" s="445">
        <f t="shared" si="838"/>
        <v>5628566.581746445</v>
      </c>
      <c r="BF140" s="445">
        <f t="shared" si="838"/>
        <v>5657706.998413112</v>
      </c>
      <c r="BG140" s="445">
        <f t="shared" si="838"/>
        <v>5657706.998413112</v>
      </c>
      <c r="BH140" s="445">
        <f t="shared" si="838"/>
        <v>5657706.998413112</v>
      </c>
      <c r="BI140" s="445">
        <f t="shared" si="838"/>
        <v>5665555.748413112</v>
      </c>
      <c r="BJ140" s="445">
        <f t="shared" si="838"/>
        <v>5665555.748413112</v>
      </c>
      <c r="BK140" s="445">
        <f t="shared" si="838"/>
        <v>5665555.748413112</v>
      </c>
      <c r="BL140" s="445">
        <f t="shared" si="838"/>
        <v>5671864.935913112</v>
      </c>
      <c r="BM140" s="445">
        <f t="shared" si="838"/>
        <v>5671864.935913112</v>
      </c>
      <c r="BN140" s="445">
        <f t="shared" si="838"/>
        <v>5671864.935913112</v>
      </c>
      <c r="BO140" s="445">
        <f t="shared" si="838"/>
        <v>5820410.1917853737</v>
      </c>
      <c r="BP140" s="445">
        <f t="shared" si="838"/>
        <v>5820410.1917853737</v>
      </c>
      <c r="BQ140" s="445">
        <f t="shared" si="838"/>
        <v>5820410.1917853737</v>
      </c>
      <c r="BR140" s="445">
        <f t="shared" si="838"/>
        <v>5850570.5230353735</v>
      </c>
      <c r="BS140" s="445">
        <f t="shared" si="838"/>
        <v>5850570.5230353735</v>
      </c>
      <c r="BT140" s="445">
        <f t="shared" si="838"/>
        <v>5850570.5230353735</v>
      </c>
      <c r="BU140" s="445">
        <f t="shared" si="838"/>
        <v>5858693.9792853734</v>
      </c>
      <c r="BV140" s="445">
        <f t="shared" si="838"/>
        <v>5858693.9792853734</v>
      </c>
      <c r="BW140" s="445">
        <f t="shared" si="838"/>
        <v>5858693.9792853734</v>
      </c>
      <c r="BX140" s="445">
        <f t="shared" si="838"/>
        <v>5865223.988347874</v>
      </c>
      <c r="BY140" s="445" t="n">
        <f t="shared" ref="BY140:DD140" si="839">BY130-BY138</f>
        <v>5865223.988347874</v>
      </c>
      <c r="BZ140" s="445">
        <f t="shared" si="839"/>
        <v>5865223.988347874</v>
      </c>
      <c r="CA140" s="445">
        <f t="shared" si="839"/>
        <v>6015806.4642172195</v>
      </c>
      <c r="CB140" s="445">
        <f t="shared" si="839"/>
        <v>6015806.4642172195</v>
      </c>
      <c r="CC140" s="445">
        <f t="shared" si="839"/>
        <v>6015806.4642172195</v>
      </c>
      <c r="CD140" s="445">
        <f t="shared" si="839"/>
        <v>6047022.4070609696</v>
      </c>
      <c r="CE140" s="445">
        <f t="shared" si="839"/>
        <v>6047022.4070609696</v>
      </c>
      <c r="CF140" s="445">
        <f t="shared" si="839"/>
        <v>6047022.4070609696</v>
      </c>
      <c r="CG140" s="445">
        <f t="shared" si="839"/>
        <v>6055430.1842797194</v>
      </c>
      <c r="CH140" s="445">
        <f t="shared" si="839"/>
        <v>6055430.1842797194</v>
      </c>
      <c r="CI140" s="445">
        <f t="shared" si="839"/>
        <v>6055430.1842797194</v>
      </c>
      <c r="CJ140" s="445">
        <f t="shared" si="839"/>
        <v>6062188.7436594069</v>
      </c>
      <c r="CK140" s="445">
        <f t="shared" si="839"/>
        <v>6062188.7436594069</v>
      </c>
      <c r="CL140" s="445">
        <f t="shared" si="839"/>
        <v>6062188.7436594069</v>
      </c>
      <c r="CM140" s="445">
        <f t="shared" si="839"/>
        <v>5961832.2531533474</v>
      </c>
      <c r="CN140" s="445">
        <f t="shared" si="839"/>
        <v>5961832.2531533474</v>
      </c>
      <c r="CO140" s="445">
        <f t="shared" si="839"/>
        <v>5961832.2531533474</v>
      </c>
      <c r="CP140" s="445">
        <f t="shared" si="839"/>
        <v>5994140.7539966283</v>
      </c>
      <c r="CQ140" s="445">
        <f t="shared" si="839"/>
        <v>5994140.7539966283</v>
      </c>
      <c r="CR140" s="445">
        <f t="shared" si="839"/>
        <v>5994140.7539966283</v>
      </c>
      <c r="CS140" s="445">
        <f t="shared" si="839"/>
        <v>6002842.8034180338</v>
      </c>
      <c r="CT140" s="445">
        <f t="shared" si="839"/>
        <v>6002842.8034180338</v>
      </c>
      <c r="CU140" s="445">
        <f t="shared" si="839"/>
        <v>6002842.8034180338</v>
      </c>
      <c r="CV140" s="445">
        <f t="shared" si="839"/>
        <v>6009837.9123760108</v>
      </c>
      <c r="CW140" s="445">
        <f t="shared" si="839"/>
        <v>6009837.9123760108</v>
      </c>
      <c r="CX140" s="445">
        <f t="shared" si="839"/>
        <v>6009837.9123760108</v>
      </c>
      <c r="CY140" s="445">
        <f t="shared" si="839"/>
        <v>6166426.8140288955</v>
      </c>
      <c r="CZ140" s="445">
        <f t="shared" si="839"/>
        <v>6166426.8140288955</v>
      </c>
      <c r="DA140" s="445">
        <f t="shared" si="839"/>
        <v>6166426.8140288955</v>
      </c>
      <c r="DB140" s="445">
        <f t="shared" si="839"/>
        <v>6199866.1124016913</v>
      </c>
      <c r="DC140" s="445">
        <f t="shared" si="839"/>
        <v>6199866.1124016913</v>
      </c>
      <c r="DD140" s="445">
        <f t="shared" si="839"/>
        <v>6199866.1124016913</v>
      </c>
      <c r="DE140" s="445" t="n">
        <f t="shared" ref="DE140:EN140" si="840">DE130-DE138</f>
        <v>6208872.733552847</v>
      </c>
      <c r="DF140" s="445">
        <f t="shared" si="840"/>
        <v>6208872.7335528471</v>
      </c>
      <c r="DG140" s="445">
        <f t="shared" si="840"/>
        <v>6208872.7335528471</v>
      </c>
      <c r="DH140" s="445">
        <f t="shared" si="840"/>
        <v>6216112.6713243527</v>
      </c>
      <c r="DI140" s="445">
        <f t="shared" si="840"/>
        <v>6216112.6713243527</v>
      </c>
      <c r="DJ140" s="445">
        <f t="shared" si="840"/>
        <v>6216112.6713243527</v>
      </c>
      <c r="DK140" s="445">
        <f t="shared" si="840"/>
        <v>6378296.3155073235</v>
      </c>
      <c r="DL140" s="445">
        <f t="shared" si="840"/>
        <v>6378296.3155073235</v>
      </c>
      <c r="DM140" s="445">
        <f t="shared" si="840"/>
        <v>6378296.3155073235</v>
      </c>
      <c r="DN140" s="445">
        <f t="shared" si="840"/>
        <v>6412905.9893231671</v>
      </c>
      <c r="DO140" s="445">
        <f t="shared" si="840"/>
        <v>6412905.9893231671</v>
      </c>
      <c r="DP140" s="445">
        <f t="shared" si="840"/>
        <v>6412905.9893231671</v>
      </c>
      <c r="DQ140" s="445">
        <f t="shared" si="840"/>
        <v>6422227.8422146132</v>
      </c>
      <c r="DR140" s="445">
        <f t="shared" si="840"/>
        <v>6422227.8422146132</v>
      </c>
      <c r="DS140" s="445">
        <f t="shared" si="840"/>
        <v>6422227.8422146132</v>
      </c>
      <c r="DT140" s="445">
        <f t="shared" si="840"/>
        <v>6429721.1778081218</v>
      </c>
      <c r="DU140" s="445">
        <f t="shared" si="840"/>
        <v>6429721.1778081218</v>
      </c>
      <c r="DV140" s="445">
        <f t="shared" si="840"/>
        <v>6429721.1778081218</v>
      </c>
      <c r="DW140" s="445">
        <f t="shared" si="840"/>
        <v>6597748.8519808594</v>
      </c>
      <c r="DX140" s="445">
        <f t="shared" si="840"/>
        <v>6597748.8519808594</v>
      </c>
      <c r="DY140" s="445">
        <f t="shared" si="840"/>
        <v>6597748.8519808594</v>
      </c>
      <c r="DZ140" s="445">
        <f t="shared" si="840"/>
        <v>6633569.8643802572</v>
      </c>
      <c r="EA140" s="445">
        <f t="shared" si="840"/>
        <v>6633569.8643802572</v>
      </c>
      <c r="EB140" s="445">
        <f t="shared" si="840"/>
        <v>6633569.8643802572</v>
      </c>
      <c r="EC140" s="445">
        <f t="shared" si="840"/>
        <v>6643217.9821229037</v>
      </c>
      <c r="ED140" s="445">
        <f t="shared" si="840"/>
        <v>6643217.9821229037</v>
      </c>
      <c r="EE140" s="445">
        <f t="shared" si="840"/>
        <v>6643217.9821229037</v>
      </c>
      <c r="EF140" s="445">
        <f t="shared" si="840"/>
        <v>6650973.5844621845</v>
      </c>
      <c r="EG140" s="445">
        <f t="shared" si="840"/>
        <v>6650973.5844621845</v>
      </c>
      <c r="EH140" s="445">
        <f t="shared" si="840"/>
        <v>6650973.5844621845</v>
      </c>
      <c r="EI140" s="445">
        <f t="shared" si="840"/>
        <v>6824991.7649392262</v>
      </c>
      <c r="EJ140" s="445">
        <f t="shared" si="840"/>
        <v>6824991.7649392262</v>
      </c>
      <c r="EK140" s="445">
        <f t="shared" si="840"/>
        <v>6824991.7649392262</v>
      </c>
      <c r="EL140" s="445">
        <f t="shared" si="840"/>
        <v>6862066.5127726039</v>
      </c>
      <c r="EM140" s="445">
        <f t="shared" si="840"/>
        <v>6862066.5127726039</v>
      </c>
      <c r="EN140" s="445">
        <f t="shared" si="840"/>
        <v>6862066.5127726039</v>
      </c>
      <c r="EO140" s="496"/>
      <c r="EP140" s="497"/>
      <c r="EQ140" s="498"/>
      <c r="ER140" s="498"/>
      <c r="ES140" s="498"/>
      <c r="ET140" s="498"/>
      <c r="EU140" s="498"/>
      <c r="EV140" s="498"/>
      <c r="EW140" s="498"/>
      <c r="EX140" s="498"/>
      <c r="EY140" s="498"/>
      <c r="EZ140" s="498"/>
      <c r="FA140" s="498"/>
      <c r="FB140" s="498"/>
      <c r="FC140" s="498"/>
      <c r="FD140" s="498"/>
      <c r="FE140" s="498"/>
      <c r="FF140" s="498"/>
      <c r="FG140" s="498"/>
      <c r="FH140" s="498"/>
      <c r="FI140" s="498"/>
      <c r="FJ140" s="498"/>
      <c r="FK140" s="498"/>
      <c r="FL140" s="498"/>
      <c r="FM140" s="498"/>
      <c r="FN140" s="498"/>
      <c r="FO140" s="498"/>
      <c r="FP140" s="498"/>
      <c r="FQ140" s="498"/>
      <c r="FR140" s="498"/>
      <c r="FS140" s="498"/>
      <c r="FT140" s="498"/>
      <c r="FU140" s="498"/>
      <c r="FV140" s="498"/>
      <c r="FW140" s="498"/>
      <c r="FX140" s="498"/>
      <c r="FY140" s="498"/>
      <c r="FZ140" s="498"/>
      <c r="GA140" s="498"/>
      <c r="GB140" s="498"/>
      <c r="GC140" s="498"/>
      <c r="GD140" s="498"/>
      <c r="GE140" s="498"/>
      <c r="GF140" s="498"/>
      <c r="GG140" s="498"/>
      <c r="GH140" s="498"/>
      <c r="GI140" s="498"/>
      <c r="GJ140" s="498"/>
      <c r="GK140" s="498"/>
      <c r="GL140" s="498"/>
      <c r="GM140" s="498"/>
      <c r="GN140" s="498"/>
      <c r="GO140" s="498"/>
      <c r="GP140" s="498"/>
      <c r="GQ140" s="498"/>
      <c r="GR140" s="498"/>
      <c r="GS140" s="498"/>
      <c r="GT140" s="498"/>
      <c r="GU140" s="498"/>
      <c r="GV140" s="498"/>
      <c r="GW140" s="498"/>
      <c r="GX140" s="498"/>
      <c r="GY140" s="498"/>
      <c r="GZ140" s="498"/>
      <c r="HA140" s="498"/>
      <c r="HB140" s="498"/>
      <c r="HC140" s="498"/>
      <c r="HD140" s="498"/>
      <c r="HE140" s="498"/>
      <c r="HF140" s="498"/>
      <c r="HG140" s="498"/>
      <c r="HH140" s="498"/>
      <c r="HI140" s="498"/>
      <c r="HJ140" s="498"/>
      <c r="HK140" s="498"/>
      <c r="HL140" s="498"/>
      <c r="HM140" s="498"/>
      <c r="HN140" s="498"/>
      <c r="HO140" s="498"/>
      <c r="HP140" s="498"/>
      <c r="HQ140" s="498"/>
      <c r="HR140" s="498"/>
      <c r="HS140" s="498"/>
      <c r="HT140" s="498"/>
      <c r="HU140" s="498"/>
      <c r="HV140" s="498"/>
      <c r="HW140" s="498"/>
      <c r="HX140" s="498"/>
      <c r="HY140" s="498"/>
      <c r="HZ140" s="498"/>
      <c r="IA140" s="498"/>
      <c r="IB140" s="498"/>
      <c r="IC140" s="498"/>
      <c r="ID140" s="498"/>
      <c r="IE140" s="498"/>
      <c r="IF140" s="498"/>
      <c r="IG140" s="498"/>
      <c r="IH140" s="498"/>
      <c r="II140" s="498"/>
      <c r="IJ140" s="498"/>
      <c r="IK140" s="498"/>
      <c r="IL140" s="498"/>
      <c r="IM140" s="498"/>
      <c r="IN140" s="498"/>
      <c r="IO140" s="498"/>
      <c r="IP140" s="498"/>
      <c r="IQ140" s="498"/>
      <c r="IR140" s="498"/>
      <c r="IS140" s="498"/>
      <c r="IT140" s="498"/>
      <c r="IU140" s="498"/>
      <c r="IV140" s="498"/>
      <c r="IW140" s="498"/>
      <c r="IX140" s="498"/>
      <c r="IY140" s="498"/>
      <c r="IZ140" s="498"/>
      <c r="JA140" s="498"/>
      <c r="JB140" s="498"/>
      <c r="JC140" s="498"/>
      <c r="JD140" s="498"/>
      <c r="JE140" s="498"/>
      <c r="JF140" s="498"/>
      <c r="JG140" s="498"/>
      <c r="JH140" s="498"/>
      <c r="JI140" s="498"/>
      <c r="JJ140" s="498"/>
      <c r="JK140" s="498"/>
      <c r="JL140" s="498"/>
      <c r="JM140" s="498"/>
      <c r="JN140" s="498"/>
      <c r="JO140" s="498"/>
      <c r="JP140" s="498"/>
      <c r="JQ140" s="498"/>
      <c r="JR140" s="498"/>
      <c r="JS140" s="498"/>
      <c r="JT140" s="498"/>
      <c r="JU140" s="498"/>
      <c r="JV140" s="498"/>
      <c r="JW140" s="498"/>
      <c r="JX140" s="20"/>
      <c r="JZ140" s="499"/>
      <c r="KA140" s="499"/>
      <c r="KB140" s="499"/>
      <c r="KC140" s="499"/>
      <c r="KD140" s="499"/>
      <c r="KE140" s="499"/>
      <c r="KF140" s="499"/>
      <c r="KG140" s="499"/>
      <c r="KH140" s="499"/>
      <c r="KI140" s="499"/>
      <c r="KJ140" s="499"/>
      <c r="KK140" s="499"/>
      <c r="KL140" s="499"/>
      <c r="KM140" s="499"/>
      <c r="KN140" s="499"/>
      <c r="KO140" s="499"/>
      <c r="KP140" s="499"/>
      <c r="KQ140" s="499"/>
      <c r="KR140" s="499"/>
      <c r="KS140" s="499"/>
      <c r="KT140" s="499"/>
      <c r="KU140" s="499"/>
      <c r="KV140" s="499"/>
      <c r="KW140" s="499"/>
      <c r="KX140" s="499"/>
      <c r="KY140" s="499"/>
      <c r="KZ140" s="499"/>
      <c r="LA140" s="499"/>
      <c r="LB140" s="499"/>
      <c r="LC140" s="499"/>
      <c r="LD140" s="499"/>
      <c r="LE140" s="499"/>
      <c r="LF140" s="499"/>
      <c r="LG140" s="499"/>
      <c r="LH140" s="499"/>
      <c r="LI140" s="499"/>
      <c r="LJ140" s="499"/>
      <c r="LK140" s="499"/>
      <c r="LL140" s="499"/>
      <c r="LM140" s="499"/>
      <c r="LN140" s="499"/>
      <c r="LO140" s="499"/>
      <c r="LP140" s="499"/>
      <c r="LQ140" s="499"/>
      <c r="LR140" s="499"/>
      <c r="LS140" s="499"/>
      <c r="LT140" s="499"/>
      <c r="LU140" s="499"/>
      <c r="LV140" s="499"/>
      <c r="LW140" s="499"/>
      <c r="LX140" s="499"/>
      <c r="LY140" s="499"/>
      <c r="LZ140" s="499"/>
      <c r="MA140" s="499"/>
      <c r="MB140" s="499"/>
      <c r="MC140" s="499"/>
      <c r="MD140" s="499"/>
      <c r="ME140" s="499"/>
      <c r="MF140" s="499"/>
      <c r="MG140" s="499"/>
      <c r="MH140" s="499"/>
      <c r="MI140" s="499"/>
      <c r="MJ140" s="499"/>
      <c r="MK140" s="499"/>
      <c r="ML140" s="499"/>
      <c r="MM140" s="499"/>
      <c r="MN140" s="499"/>
      <c r="MO140" s="499"/>
      <c r="MP140" s="499"/>
      <c r="MQ140" s="499"/>
      <c r="MR140" s="499"/>
      <c r="MS140" s="499"/>
      <c r="MT140" s="499"/>
      <c r="MU140" s="499"/>
      <c r="MV140" s="499"/>
      <c r="MW140" s="499"/>
      <c r="MX140" s="499"/>
      <c r="MY140" s="499"/>
      <c r="MZ140" s="499"/>
      <c r="NA140" s="499"/>
      <c r="NB140" s="499"/>
      <c r="NC140" s="499"/>
      <c r="ND140" s="499"/>
      <c r="NE140" s="499"/>
      <c r="NF140" s="499"/>
      <c r="NG140" s="499"/>
      <c r="NH140" s="499"/>
      <c r="NI140" s="499"/>
      <c r="NJ140" s="499"/>
      <c r="NK140" s="499"/>
      <c r="NL140" s="499"/>
      <c r="NM140" s="499"/>
      <c r="NN140" s="499"/>
      <c r="NO140" s="499"/>
      <c r="NP140" s="499"/>
      <c r="NQ140" s="499"/>
      <c r="NR140" s="499"/>
      <c r="NS140" s="499"/>
      <c r="NT140" s="499"/>
      <c r="NU140" s="499"/>
      <c r="NV140" s="499"/>
      <c r="NW140" s="499"/>
      <c r="NX140" s="499"/>
      <c r="NY140" s="499"/>
      <c r="NZ140" s="499"/>
      <c r="OA140" s="499"/>
      <c r="OB140" s="499"/>
      <c r="OC140" s="499"/>
      <c r="OD140" s="499"/>
      <c r="OE140" s="499"/>
      <c r="OF140" s="499"/>
      <c r="OG140" s="499"/>
      <c r="OH140" s="499"/>
      <c r="OI140" s="499"/>
      <c r="OJ140" s="499"/>
      <c r="OK140" s="499"/>
      <c r="OL140" s="499"/>
      <c r="OM140" s="499"/>
      <c r="ON140" s="499"/>
      <c r="OO140" s="499"/>
      <c r="OP140" s="499"/>
      <c r="OQ140" s="499"/>
      <c r="OR140" s="499"/>
      <c r="OS140" s="499"/>
      <c r="OT140" s="499"/>
      <c r="OU140" s="499"/>
      <c r="OV140" s="499"/>
      <c r="OW140" s="499"/>
      <c r="OX140" s="499"/>
      <c r="OY140" s="499"/>
      <c r="OZ140" s="499"/>
      <c r="PA140" s="499"/>
      <c r="PB140" s="499"/>
      <c r="PC140" s="499"/>
      <c r="PD140" s="499"/>
      <c r="PE140" s="499"/>
      <c r="PF140" s="499"/>
      <c r="PG140" s="499"/>
      <c r="PH140" s="499"/>
    </row>
    <row r="141">
      <c r="B141" s="473"/>
      <c r="C141" s="42"/>
      <c r="D141" s="42"/>
      <c r="E141" s="42"/>
      <c r="F141" s="42"/>
      <c r="G141" s="135"/>
      <c r="H141" s="135"/>
      <c r="I141" s="135"/>
      <c r="K141" s="500"/>
      <c r="L141" s="209"/>
      <c r="M141" s="209"/>
      <c r="N141" s="209"/>
      <c r="O141" s="209"/>
      <c r="P141" s="209"/>
      <c r="Q141" s="209"/>
      <c r="R141" s="209"/>
      <c r="S141" s="209"/>
      <c r="T141" s="209"/>
      <c r="U141" s="209"/>
      <c r="V141" s="209"/>
      <c r="W141" s="209"/>
      <c r="X141" s="209"/>
      <c r="Y141" s="209"/>
      <c r="Z141" s="209"/>
      <c r="AA141" s="209"/>
      <c r="AB141" s="209"/>
      <c r="AC141" s="209"/>
      <c r="AD141" s="209"/>
      <c r="AE141" s="209"/>
      <c r="AF141" s="209"/>
      <c r="AG141" s="209"/>
      <c r="AH141" s="209"/>
      <c r="AI141" s="209"/>
      <c r="AJ141" s="209"/>
      <c r="AK141" s="209"/>
      <c r="AL141" s="209"/>
      <c r="AM141" s="209"/>
      <c r="AN141" s="209"/>
      <c r="AO141" s="211"/>
      <c r="AP141" s="209"/>
      <c r="AQ141" s="209"/>
      <c r="AR141" s="209"/>
      <c r="AS141" s="209"/>
      <c r="AT141" s="209"/>
      <c r="AU141" s="209"/>
      <c r="AV141" s="209"/>
      <c r="AW141" s="209"/>
      <c r="AX141" s="209"/>
      <c r="AY141" s="209"/>
      <c r="AZ141" s="209"/>
      <c r="BA141" s="209"/>
      <c r="BB141" s="209"/>
      <c r="BC141" s="209"/>
      <c r="BD141" s="209"/>
      <c r="BE141" s="209"/>
      <c r="BF141" s="209"/>
      <c r="BG141" s="209"/>
      <c r="BH141" s="209"/>
      <c r="BI141" s="209"/>
      <c r="BJ141" s="209"/>
      <c r="BK141" s="209"/>
      <c r="BL141" s="209"/>
      <c r="BM141" s="209"/>
      <c r="BN141" s="209"/>
      <c r="BO141" s="209"/>
      <c r="BP141" s="209"/>
      <c r="BQ141" s="209"/>
      <c r="BR141" s="209"/>
      <c r="BS141" s="209"/>
      <c r="BT141" s="209"/>
      <c r="BU141" s="209"/>
      <c r="BV141" s="209"/>
      <c r="BW141" s="209"/>
      <c r="BX141" s="209"/>
      <c r="BY141" s="209"/>
      <c r="BZ141" s="209"/>
      <c r="CA141" s="209"/>
      <c r="CB141" s="209"/>
      <c r="CC141" s="209"/>
      <c r="CD141" s="209"/>
      <c r="CE141" s="209"/>
      <c r="CF141" s="209"/>
      <c r="CG141" s="209"/>
      <c r="CH141" s="209"/>
      <c r="CI141" s="209"/>
      <c r="CJ141" s="209"/>
      <c r="CK141" s="209"/>
      <c r="CL141" s="209"/>
      <c r="CM141" s="209"/>
      <c r="CN141" s="209"/>
      <c r="CO141" s="209"/>
      <c r="CP141" s="209"/>
      <c r="CQ141" s="209"/>
      <c r="CR141" s="209"/>
      <c r="CS141" s="209"/>
      <c r="CT141" s="209"/>
      <c r="CU141" s="209"/>
      <c r="CV141" s="209"/>
      <c r="CW141" s="209"/>
      <c r="CX141" s="209"/>
      <c r="CY141" s="209"/>
      <c r="CZ141" s="209"/>
      <c r="DA141" s="209"/>
      <c r="DB141" s="209"/>
      <c r="DC141" s="209"/>
      <c r="DD141" s="209"/>
      <c r="DE141" s="209"/>
      <c r="DF141" s="209"/>
      <c r="DG141" s="209"/>
      <c r="DH141" s="209"/>
      <c r="DI141" s="209"/>
      <c r="DJ141" s="209"/>
      <c r="DK141" s="209"/>
      <c r="DL141" s="209"/>
      <c r="DM141" s="209"/>
      <c r="DN141" s="209"/>
      <c r="DO141" s="209"/>
      <c r="DP141" s="209"/>
      <c r="DQ141" s="209"/>
      <c r="DR141" s="209"/>
      <c r="DS141" s="209"/>
      <c r="DT141" s="209"/>
      <c r="DU141" s="209"/>
      <c r="DV141" s="209"/>
      <c r="DW141" s="209"/>
      <c r="DX141" s="209"/>
      <c r="DY141" s="209"/>
      <c r="DZ141" s="209"/>
      <c r="EA141" s="209"/>
      <c r="EB141" s="209"/>
      <c r="EC141" s="209"/>
      <c r="ED141" s="209"/>
      <c r="EE141" s="209"/>
      <c r="EF141" s="209"/>
      <c r="EG141" s="209"/>
      <c r="EH141" s="209"/>
      <c r="EI141" s="209"/>
      <c r="EJ141" s="209"/>
      <c r="EK141" s="209"/>
      <c r="EL141" s="209"/>
      <c r="EM141" s="209"/>
      <c r="EN141" s="209"/>
      <c r="EO141" s="209"/>
      <c r="EP141" s="468"/>
      <c r="EQ141" s="469"/>
      <c r="ER141" s="469"/>
      <c r="ES141" s="469"/>
      <c r="ET141" s="469"/>
      <c r="EU141" s="469"/>
      <c r="EV141" s="469"/>
      <c r="EW141" s="469"/>
      <c r="EX141" s="469"/>
      <c r="EY141" s="469"/>
      <c r="EZ141" s="469"/>
      <c r="FA141" s="469"/>
      <c r="FB141" s="469"/>
      <c r="FC141" s="469"/>
      <c r="FD141" s="469"/>
      <c r="FE141" s="469"/>
      <c r="FF141" s="469"/>
      <c r="FG141" s="469"/>
      <c r="FH141" s="469"/>
      <c r="FI141" s="469"/>
      <c r="FJ141" s="469"/>
      <c r="FK141" s="469"/>
      <c r="FL141" s="469"/>
      <c r="FM141" s="469"/>
      <c r="FN141" s="469"/>
      <c r="FO141" s="469"/>
      <c r="FP141" s="469"/>
      <c r="FQ141" s="469"/>
      <c r="FR141" s="469"/>
      <c r="FS141" s="469"/>
      <c r="FT141" s="469"/>
      <c r="FU141" s="469"/>
      <c r="FV141" s="469"/>
      <c r="FW141" s="469"/>
      <c r="FX141" s="469"/>
      <c r="FY141" s="469"/>
      <c r="FZ141" s="469"/>
      <c r="GA141" s="469"/>
      <c r="GB141" s="469"/>
      <c r="GC141" s="469"/>
      <c r="GD141" s="469"/>
      <c r="GE141" s="469"/>
      <c r="GF141" s="469"/>
      <c r="GG141" s="469"/>
      <c r="GH141" s="469"/>
      <c r="GI141" s="469"/>
      <c r="GJ141" s="469"/>
      <c r="GK141" s="469"/>
      <c r="GL141" s="469"/>
      <c r="GM141" s="469"/>
      <c r="GN141" s="469"/>
      <c r="GO141" s="469"/>
      <c r="GP141" s="469"/>
      <c r="GQ141" s="469"/>
      <c r="GR141" s="469"/>
      <c r="GS141" s="469"/>
      <c r="GT141" s="469"/>
      <c r="GU141" s="469"/>
      <c r="GV141" s="469"/>
      <c r="GW141" s="469"/>
      <c r="GX141" s="469"/>
      <c r="GY141" s="469"/>
      <c r="GZ141" s="469"/>
      <c r="HA141" s="469"/>
      <c r="HB141" s="469"/>
      <c r="HC141" s="469"/>
      <c r="HD141" s="469"/>
      <c r="HE141" s="469"/>
      <c r="HF141" s="469"/>
      <c r="HG141" s="469"/>
      <c r="HH141" s="469"/>
      <c r="HI141" s="469"/>
      <c r="HJ141" s="469"/>
      <c r="HK141" s="469"/>
      <c r="HL141" s="469"/>
      <c r="HM141" s="469"/>
      <c r="HN141" s="469"/>
      <c r="HO141" s="469"/>
      <c r="HP141" s="469"/>
      <c r="HQ141" s="469"/>
      <c r="HR141" s="469"/>
      <c r="HS141" s="469"/>
      <c r="HT141" s="469"/>
      <c r="HU141" s="469"/>
      <c r="HV141" s="469"/>
      <c r="HW141" s="469"/>
      <c r="HX141" s="469"/>
      <c r="HY141" s="469"/>
      <c r="HZ141" s="469"/>
      <c r="IA141" s="469"/>
      <c r="IB141" s="469"/>
      <c r="IC141" s="469"/>
      <c r="ID141" s="469"/>
      <c r="IE141" s="469"/>
      <c r="IF141" s="469"/>
      <c r="IG141" s="469"/>
      <c r="IH141" s="469"/>
      <c r="II141" s="469"/>
      <c r="IJ141" s="469"/>
      <c r="IK141" s="469"/>
      <c r="IL141" s="469"/>
      <c r="IM141" s="469"/>
      <c r="IN141" s="469"/>
      <c r="IO141" s="469"/>
      <c r="IP141" s="469"/>
      <c r="IQ141" s="469"/>
      <c r="IR141" s="469"/>
      <c r="IS141" s="469"/>
      <c r="IT141" s="469"/>
      <c r="IU141" s="469"/>
      <c r="IV141" s="469"/>
      <c r="IW141" s="469"/>
      <c r="IX141" s="469"/>
      <c r="IY141" s="469"/>
      <c r="IZ141" s="469"/>
      <c r="JA141" s="469"/>
      <c r="JB141" s="469"/>
      <c r="JC141" s="469"/>
      <c r="JD141" s="469"/>
      <c r="JE141" s="469"/>
      <c r="JF141" s="469"/>
      <c r="JG141" s="469"/>
      <c r="JH141" s="469"/>
      <c r="JI141" s="469"/>
      <c r="JJ141" s="469"/>
      <c r="JK141" s="469"/>
      <c r="JL141" s="469"/>
      <c r="JM141" s="469"/>
      <c r="JN141" s="469"/>
      <c r="JO141" s="469"/>
      <c r="JP141" s="469"/>
      <c r="JQ141" s="469"/>
      <c r="JR141" s="469"/>
      <c r="JS141" s="469"/>
      <c r="JT141" s="469"/>
      <c r="JU141" s="469"/>
      <c r="JV141" s="469"/>
      <c r="JW141" s="469"/>
      <c r="JX141" s="20"/>
      <c r="JZ141" s="470"/>
      <c r="KA141" s="470"/>
      <c r="KB141" s="470"/>
      <c r="KC141" s="470"/>
      <c r="KD141" s="470"/>
      <c r="KE141" s="470"/>
      <c r="KF141" s="470"/>
      <c r="KG141" s="470"/>
      <c r="KH141" s="470"/>
      <c r="KI141" s="470"/>
      <c r="KJ141" s="470"/>
      <c r="KK141" s="470"/>
      <c r="KL141" s="470"/>
      <c r="KM141" s="470"/>
      <c r="KN141" s="470"/>
      <c r="KO141" s="470"/>
      <c r="KP141" s="470"/>
      <c r="KQ141" s="470"/>
      <c r="KR141" s="470"/>
      <c r="KS141" s="470"/>
      <c r="KT141" s="470"/>
      <c r="KU141" s="470"/>
      <c r="KV141" s="470"/>
      <c r="KW141" s="470"/>
      <c r="KX141" s="470"/>
      <c r="KY141" s="470"/>
      <c r="KZ141" s="470"/>
      <c r="LA141" s="470"/>
      <c r="LB141" s="470"/>
      <c r="LC141" s="470"/>
      <c r="LD141" s="470"/>
      <c r="LE141" s="470"/>
      <c r="LF141" s="470"/>
      <c r="LG141" s="470"/>
      <c r="LH141" s="470"/>
      <c r="LI141" s="470"/>
      <c r="LJ141" s="470"/>
      <c r="LK141" s="470"/>
      <c r="LL141" s="470"/>
      <c r="LM141" s="470"/>
      <c r="LN141" s="470"/>
      <c r="LO141" s="470"/>
      <c r="LP141" s="470"/>
      <c r="LQ141" s="470"/>
      <c r="LR141" s="470"/>
      <c r="LS141" s="470"/>
      <c r="LT141" s="470"/>
      <c r="LU141" s="470"/>
      <c r="LV141" s="470"/>
      <c r="LW141" s="470"/>
      <c r="LX141" s="470"/>
      <c r="LY141" s="470"/>
      <c r="LZ141" s="470"/>
      <c r="MA141" s="470"/>
      <c r="MB141" s="470"/>
      <c r="MC141" s="470"/>
      <c r="MD141" s="470"/>
      <c r="ME141" s="470"/>
      <c r="MF141" s="470"/>
      <c r="MG141" s="470"/>
      <c r="MH141" s="470"/>
      <c r="MI141" s="470"/>
      <c r="MJ141" s="470"/>
      <c r="MK141" s="470"/>
      <c r="ML141" s="470"/>
      <c r="MM141" s="470"/>
      <c r="MN141" s="470"/>
      <c r="MO141" s="470"/>
      <c r="MP141" s="470"/>
      <c r="MQ141" s="470"/>
      <c r="MR141" s="470"/>
      <c r="MS141" s="470"/>
      <c r="MT141" s="470"/>
      <c r="MU141" s="470"/>
      <c r="MV141" s="470"/>
      <c r="MW141" s="470"/>
      <c r="MX141" s="470"/>
      <c r="MY141" s="470"/>
      <c r="MZ141" s="470"/>
      <c r="NA141" s="470"/>
      <c r="NB141" s="470"/>
      <c r="NC141" s="470"/>
      <c r="ND141" s="470"/>
      <c r="NE141" s="470"/>
      <c r="NF141" s="470"/>
      <c r="NG141" s="470"/>
      <c r="NH141" s="470"/>
      <c r="NI141" s="470"/>
      <c r="NJ141" s="470"/>
      <c r="NK141" s="470"/>
      <c r="NL141" s="470"/>
      <c r="NM141" s="470"/>
      <c r="NN141" s="470"/>
      <c r="NO141" s="470"/>
      <c r="NP141" s="470"/>
      <c r="NQ141" s="470"/>
      <c r="NR141" s="470"/>
      <c r="NS141" s="470"/>
      <c r="NT141" s="470"/>
      <c r="NU141" s="470"/>
      <c r="NV141" s="470"/>
      <c r="NW141" s="470"/>
      <c r="NX141" s="470"/>
      <c r="NY141" s="470"/>
      <c r="NZ141" s="470"/>
      <c r="OA141" s="470"/>
      <c r="OB141" s="470"/>
      <c r="OC141" s="470"/>
      <c r="OD141" s="470"/>
      <c r="OE141" s="470"/>
      <c r="OF141" s="470"/>
      <c r="OG141" s="470"/>
      <c r="OH141" s="470"/>
      <c r="OI141" s="470"/>
      <c r="OJ141" s="470"/>
      <c r="OK141" s="470"/>
      <c r="OL141" s="470"/>
      <c r="OM141" s="470"/>
      <c r="ON141" s="470"/>
      <c r="OO141" s="470"/>
      <c r="OP141" s="470"/>
      <c r="OQ141" s="470"/>
      <c r="OR141" s="470"/>
      <c r="OS141" s="470"/>
      <c r="OT141" s="470"/>
      <c r="OU141" s="470"/>
      <c r="OV141" s="470"/>
      <c r="OW141" s="470"/>
      <c r="OX141" s="470"/>
      <c r="OY141" s="470"/>
      <c r="OZ141" s="470"/>
      <c r="PA141" s="470"/>
      <c r="PB141" s="470"/>
      <c r="PC141" s="470"/>
      <c r="PD141" s="470"/>
      <c r="PE141" s="470"/>
      <c r="PF141" s="470"/>
      <c r="PG141" s="470"/>
      <c r="PH141" s="470"/>
    </row>
    <row r="142">
      <c r="B142" s="410" t="s">
        <v>293</v>
      </c>
      <c r="C142" s="77"/>
      <c r="D142" s="79"/>
      <c r="E142" s="79"/>
      <c r="F142" s="78"/>
      <c r="G142" s="78"/>
      <c r="H142" s="79"/>
      <c r="I142" s="79"/>
      <c r="K142" s="500"/>
      <c r="L142" s="209"/>
      <c r="M142" s="209"/>
      <c r="N142" s="209"/>
      <c r="O142" s="209"/>
      <c r="P142" s="209"/>
      <c r="Q142" s="209"/>
      <c r="R142" s="209"/>
      <c r="S142" s="209"/>
      <c r="T142" s="209"/>
      <c r="U142" s="209"/>
      <c r="V142" s="209"/>
      <c r="W142" s="209"/>
      <c r="X142" s="209"/>
      <c r="Y142" s="209"/>
      <c r="Z142" s="209"/>
      <c r="AA142" s="209"/>
      <c r="AB142" s="209"/>
      <c r="AC142" s="209"/>
      <c r="AD142" s="209"/>
      <c r="AE142" s="209"/>
      <c r="AF142" s="209"/>
      <c r="AG142" s="209"/>
      <c r="AH142" s="209"/>
      <c r="AI142" s="209"/>
      <c r="AJ142" s="209"/>
      <c r="AK142" s="209"/>
      <c r="AL142" s="209"/>
      <c r="AM142" s="209"/>
      <c r="AN142" s="209"/>
      <c r="AO142" s="209"/>
      <c r="AP142" s="209"/>
      <c r="AQ142" s="209"/>
      <c r="AR142" s="209"/>
      <c r="AS142" s="209"/>
      <c r="AT142" s="209"/>
      <c r="AU142" s="209"/>
      <c r="AV142" s="209"/>
      <c r="AW142" s="209"/>
      <c r="AX142" s="209"/>
      <c r="AY142" s="209"/>
      <c r="AZ142" s="209"/>
      <c r="BA142" s="209"/>
      <c r="BB142" s="209"/>
      <c r="BC142" s="209"/>
      <c r="BD142" s="209"/>
      <c r="BE142" s="209"/>
      <c r="BF142" s="209"/>
      <c r="BG142" s="209"/>
      <c r="BH142" s="209"/>
      <c r="BI142" s="209"/>
      <c r="BJ142" s="209"/>
      <c r="BK142" s="209"/>
      <c r="BL142" s="209"/>
      <c r="BM142" s="209"/>
      <c r="BN142" s="209"/>
      <c r="BO142" s="209"/>
      <c r="BP142" s="209"/>
      <c r="BQ142" s="209"/>
      <c r="BR142" s="209"/>
      <c r="BS142" s="209"/>
      <c r="BT142" s="209"/>
      <c r="BU142" s="209"/>
      <c r="BV142" s="209"/>
      <c r="BW142" s="209"/>
      <c r="BX142" s="209"/>
      <c r="BY142" s="209"/>
      <c r="BZ142" s="209"/>
      <c r="CA142" s="209"/>
      <c r="CB142" s="209"/>
      <c r="CC142" s="209"/>
      <c r="CD142" s="209"/>
      <c r="CE142" s="209"/>
      <c r="CF142" s="209"/>
      <c r="CG142" s="209"/>
      <c r="CH142" s="209"/>
      <c r="CI142" s="209"/>
      <c r="CJ142" s="209"/>
      <c r="CK142" s="209"/>
      <c r="CL142" s="209"/>
      <c r="CM142" s="209"/>
      <c r="CN142" s="209"/>
      <c r="CO142" s="209"/>
      <c r="CP142" s="209"/>
      <c r="CQ142" s="209"/>
      <c r="CR142" s="209"/>
      <c r="CS142" s="209"/>
      <c r="CT142" s="209"/>
      <c r="CU142" s="209"/>
      <c r="CV142" s="209"/>
      <c r="CW142" s="209"/>
      <c r="CX142" s="209"/>
      <c r="CY142" s="209"/>
      <c r="CZ142" s="209"/>
      <c r="DA142" s="209"/>
      <c r="DB142" s="209"/>
      <c r="DC142" s="209"/>
      <c r="DD142" s="209"/>
      <c r="DE142" s="209"/>
      <c r="DF142" s="209"/>
      <c r="DG142" s="209"/>
      <c r="DH142" s="209"/>
      <c r="DI142" s="209"/>
      <c r="DJ142" s="209"/>
      <c r="DK142" s="209"/>
      <c r="DL142" s="209"/>
      <c r="DM142" s="209"/>
      <c r="DN142" s="209"/>
      <c r="DO142" s="209"/>
      <c r="DP142" s="209"/>
      <c r="DQ142" s="209"/>
      <c r="DR142" s="209"/>
      <c r="DS142" s="209"/>
      <c r="DT142" s="209"/>
      <c r="DU142" s="209"/>
      <c r="DV142" s="209"/>
      <c r="DW142" s="209"/>
      <c r="DX142" s="209"/>
      <c r="DY142" s="209"/>
      <c r="DZ142" s="209"/>
      <c r="EA142" s="209"/>
      <c r="EB142" s="209"/>
      <c r="EC142" s="209"/>
      <c r="ED142" s="209"/>
      <c r="EE142" s="209"/>
      <c r="EF142" s="209"/>
      <c r="EG142" s="209"/>
      <c r="EH142" s="209"/>
      <c r="EI142" s="209"/>
      <c r="EJ142" s="209"/>
      <c r="EK142" s="209"/>
      <c r="EL142" s="209"/>
      <c r="EM142" s="209"/>
      <c r="EN142" s="209"/>
      <c r="EO142" s="209"/>
      <c r="EP142" s="468"/>
      <c r="EQ142" s="469"/>
      <c r="ER142" s="469"/>
      <c r="ES142" s="469"/>
      <c r="ET142" s="469"/>
      <c r="EU142" s="469"/>
      <c r="EV142" s="469"/>
      <c r="EW142" s="469"/>
      <c r="EX142" s="469"/>
      <c r="EY142" s="469"/>
      <c r="EZ142" s="469"/>
      <c r="FA142" s="469"/>
      <c r="FB142" s="469"/>
      <c r="FC142" s="469"/>
      <c r="FD142" s="469"/>
      <c r="FE142" s="469"/>
      <c r="FF142" s="469"/>
      <c r="FG142" s="469"/>
      <c r="FH142" s="469"/>
      <c r="FI142" s="469"/>
      <c r="FJ142" s="469"/>
      <c r="FK142" s="469"/>
      <c r="FL142" s="469"/>
      <c r="FM142" s="469"/>
      <c r="FN142" s="469"/>
      <c r="FO142" s="469"/>
      <c r="FP142" s="469"/>
      <c r="FQ142" s="469"/>
      <c r="FR142" s="469"/>
      <c r="FS142" s="469"/>
      <c r="FT142" s="469"/>
      <c r="FU142" s="469"/>
      <c r="FV142" s="469"/>
      <c r="FW142" s="469"/>
      <c r="FX142" s="469"/>
      <c r="FY142" s="469"/>
      <c r="FZ142" s="469"/>
      <c r="GA142" s="469"/>
      <c r="GB142" s="469"/>
      <c r="GC142" s="469"/>
      <c r="GD142" s="469"/>
      <c r="GE142" s="469"/>
      <c r="GF142" s="469"/>
      <c r="GG142" s="469"/>
      <c r="GH142" s="469"/>
      <c r="GI142" s="469"/>
      <c r="GJ142" s="469"/>
      <c r="GK142" s="469"/>
      <c r="GL142" s="469"/>
      <c r="GM142" s="469"/>
      <c r="GN142" s="469"/>
      <c r="GO142" s="469"/>
      <c r="GP142" s="469"/>
      <c r="GQ142" s="469"/>
      <c r="GR142" s="469"/>
      <c r="GS142" s="469"/>
      <c r="GT142" s="469"/>
      <c r="GU142" s="469"/>
      <c r="GV142" s="469"/>
      <c r="GW142" s="469"/>
      <c r="GX142" s="469"/>
      <c r="GY142" s="469"/>
      <c r="GZ142" s="469"/>
      <c r="HA142" s="469"/>
      <c r="HB142" s="469"/>
      <c r="HC142" s="469"/>
      <c r="HD142" s="469"/>
      <c r="HE142" s="469"/>
      <c r="HF142" s="469"/>
      <c r="HG142" s="469"/>
      <c r="HH142" s="469"/>
      <c r="HI142" s="469"/>
      <c r="HJ142" s="469"/>
      <c r="HK142" s="469"/>
      <c r="HL142" s="469"/>
      <c r="HM142" s="469"/>
      <c r="HN142" s="469"/>
      <c r="HO142" s="469"/>
      <c r="HP142" s="469"/>
      <c r="HQ142" s="469"/>
      <c r="HR142" s="469"/>
      <c r="HS142" s="469"/>
      <c r="HT142" s="469"/>
      <c r="HU142" s="469"/>
      <c r="HV142" s="469"/>
      <c r="HW142" s="469"/>
      <c r="HX142" s="469"/>
      <c r="HY142" s="469"/>
      <c r="HZ142" s="469"/>
      <c r="IA142" s="469"/>
      <c r="IB142" s="469"/>
      <c r="IC142" s="469"/>
      <c r="ID142" s="469"/>
      <c r="IE142" s="469"/>
      <c r="IF142" s="469"/>
      <c r="IG142" s="469"/>
      <c r="IH142" s="469"/>
      <c r="II142" s="469"/>
      <c r="IJ142" s="469"/>
      <c r="IK142" s="469"/>
      <c r="IL142" s="469"/>
      <c r="IM142" s="469"/>
      <c r="IN142" s="469"/>
      <c r="IO142" s="469"/>
      <c r="IP142" s="469"/>
      <c r="IQ142" s="469"/>
      <c r="IR142" s="469"/>
      <c r="IS142" s="469"/>
      <c r="IT142" s="469"/>
      <c r="IU142" s="469"/>
      <c r="IV142" s="469"/>
      <c r="IW142" s="469"/>
      <c r="IX142" s="469"/>
      <c r="IY142" s="469"/>
      <c r="IZ142" s="469"/>
      <c r="JA142" s="469"/>
      <c r="JB142" s="469"/>
      <c r="JC142" s="469"/>
      <c r="JD142" s="469"/>
      <c r="JE142" s="469"/>
      <c r="JF142" s="469"/>
      <c r="JG142" s="469"/>
      <c r="JH142" s="469"/>
      <c r="JI142" s="469"/>
      <c r="JJ142" s="469"/>
      <c r="JK142" s="469"/>
      <c r="JL142" s="469"/>
      <c r="JM142" s="469"/>
      <c r="JN142" s="469"/>
      <c r="JO142" s="469"/>
      <c r="JP142" s="469"/>
      <c r="JQ142" s="469"/>
      <c r="JR142" s="469"/>
      <c r="JS142" s="469"/>
      <c r="JT142" s="469"/>
      <c r="JU142" s="469"/>
      <c r="JV142" s="469"/>
      <c r="JW142" s="469"/>
      <c r="JX142" s="20"/>
      <c r="JZ142" s="470"/>
      <c r="KA142" s="470"/>
      <c r="KB142" s="470"/>
      <c r="KC142" s="470"/>
      <c r="KD142" s="470"/>
      <c r="KE142" s="470"/>
      <c r="KF142" s="470"/>
      <c r="KG142" s="470"/>
      <c r="KH142" s="470"/>
      <c r="KI142" s="470"/>
      <c r="KJ142" s="470"/>
      <c r="KK142" s="470"/>
      <c r="KL142" s="470"/>
      <c r="KM142" s="470"/>
      <c r="KN142" s="470"/>
      <c r="KO142" s="470"/>
      <c r="KP142" s="470"/>
      <c r="KQ142" s="470"/>
      <c r="KR142" s="470"/>
      <c r="KS142" s="470"/>
      <c r="KT142" s="470"/>
      <c r="KU142" s="470"/>
      <c r="KV142" s="470"/>
      <c r="KW142" s="470"/>
      <c r="KX142" s="470"/>
      <c r="KY142" s="470"/>
      <c r="KZ142" s="470"/>
      <c r="LA142" s="470"/>
      <c r="LB142" s="470"/>
      <c r="LC142" s="470"/>
      <c r="LD142" s="470"/>
      <c r="LE142" s="470"/>
      <c r="LF142" s="470"/>
      <c r="LG142" s="470"/>
      <c r="LH142" s="470"/>
      <c r="LI142" s="470"/>
      <c r="LJ142" s="470"/>
      <c r="LK142" s="470"/>
      <c r="LL142" s="470"/>
      <c r="LM142" s="470"/>
      <c r="LN142" s="470"/>
      <c r="LO142" s="470"/>
      <c r="LP142" s="470"/>
      <c r="LQ142" s="470"/>
      <c r="LR142" s="470"/>
      <c r="LS142" s="470"/>
      <c r="LT142" s="470"/>
      <c r="LU142" s="470"/>
      <c r="LV142" s="470"/>
      <c r="LW142" s="470"/>
      <c r="LX142" s="470"/>
      <c r="LY142" s="470"/>
      <c r="LZ142" s="470"/>
      <c r="MA142" s="470"/>
      <c r="MB142" s="470"/>
      <c r="MC142" s="470"/>
      <c r="MD142" s="470"/>
      <c r="ME142" s="470"/>
      <c r="MF142" s="470"/>
      <c r="MG142" s="470"/>
      <c r="MH142" s="470"/>
      <c r="MI142" s="470"/>
      <c r="MJ142" s="470"/>
      <c r="MK142" s="470"/>
      <c r="ML142" s="470"/>
      <c r="MM142" s="470"/>
      <c r="MN142" s="470"/>
      <c r="MO142" s="470"/>
      <c r="MP142" s="470"/>
      <c r="MQ142" s="470"/>
      <c r="MR142" s="470"/>
      <c r="MS142" s="470"/>
      <c r="MT142" s="470"/>
      <c r="MU142" s="470"/>
      <c r="MV142" s="470"/>
      <c r="MW142" s="470"/>
      <c r="MX142" s="470"/>
      <c r="MY142" s="470"/>
      <c r="MZ142" s="470"/>
      <c r="NA142" s="470"/>
      <c r="NB142" s="470"/>
      <c r="NC142" s="470"/>
      <c r="ND142" s="470"/>
      <c r="NE142" s="470"/>
      <c r="NF142" s="470"/>
      <c r="NG142" s="470"/>
      <c r="NH142" s="470"/>
      <c r="NI142" s="470"/>
      <c r="NJ142" s="470"/>
      <c r="NK142" s="470"/>
      <c r="NL142" s="470"/>
      <c r="NM142" s="470"/>
      <c r="NN142" s="470"/>
      <c r="NO142" s="470"/>
      <c r="NP142" s="470"/>
      <c r="NQ142" s="470"/>
      <c r="NR142" s="470"/>
      <c r="NS142" s="470"/>
      <c r="NT142" s="470"/>
      <c r="NU142" s="470"/>
      <c r="NV142" s="470"/>
      <c r="NW142" s="470"/>
      <c r="NX142" s="470"/>
      <c r="NY142" s="470"/>
      <c r="NZ142" s="470"/>
      <c r="OA142" s="470"/>
      <c r="OB142" s="470"/>
      <c r="OC142" s="470"/>
      <c r="OD142" s="470"/>
      <c r="OE142" s="470"/>
      <c r="OF142" s="470"/>
      <c r="OG142" s="470"/>
      <c r="OH142" s="470"/>
      <c r="OI142" s="470"/>
      <c r="OJ142" s="470"/>
      <c r="OK142" s="470"/>
      <c r="OL142" s="470"/>
      <c r="OM142" s="470"/>
      <c r="ON142" s="470"/>
      <c r="OO142" s="470"/>
      <c r="OP142" s="470"/>
      <c r="OQ142" s="470"/>
      <c r="OR142" s="470"/>
      <c r="OS142" s="470"/>
      <c r="OT142" s="470"/>
      <c r="OU142" s="470"/>
      <c r="OV142" s="470"/>
      <c r="OW142" s="470"/>
      <c r="OX142" s="470"/>
      <c r="OY142" s="470"/>
      <c r="OZ142" s="470"/>
      <c r="PA142" s="470"/>
      <c r="PB142" s="470"/>
      <c r="PC142" s="470"/>
      <c r="PD142" s="470"/>
      <c r="PE142" s="470"/>
      <c r="PF142" s="470"/>
      <c r="PG142" s="470"/>
      <c r="PH142" s="470"/>
    </row>
    <row r="143">
      <c r="B143" s="156" t="s">
        <v>294</v>
      </c>
      <c r="C143" s="42"/>
      <c r="D143" s="150" t="s">
        <v>295</v>
      </c>
      <c r="E143" s="150" t="s">
        <v>296</v>
      </c>
      <c r="F143" s="157"/>
      <c r="G143" s="501" t="s">
        <v>297</v>
      </c>
      <c r="H143" s="150" t="s">
        <v>295</v>
      </c>
      <c r="I143" s="150" t="s">
        <v>296</v>
      </c>
      <c r="K143" s="500"/>
      <c r="L143" s="209"/>
      <c r="M143" s="209"/>
      <c r="N143" s="209"/>
      <c r="O143" s="209"/>
      <c r="P143" s="209"/>
      <c r="Q143" s="209"/>
      <c r="R143" s="209"/>
      <c r="S143" s="209"/>
      <c r="T143" s="209"/>
      <c r="U143" s="209"/>
      <c r="V143" s="209"/>
      <c r="W143" s="209"/>
      <c r="X143" s="209"/>
      <c r="Y143" s="209"/>
      <c r="Z143" s="209"/>
      <c r="AA143" s="209"/>
      <c r="AB143" s="209"/>
      <c r="AC143" s="209"/>
      <c r="AD143" s="209"/>
      <c r="AE143" s="209"/>
      <c r="AF143" s="209"/>
      <c r="AG143" s="209"/>
      <c r="AH143" s="209"/>
      <c r="AI143" s="209"/>
      <c r="AJ143" s="209"/>
      <c r="AK143" s="209"/>
      <c r="AL143" s="209"/>
      <c r="AM143" s="209"/>
      <c r="AN143" s="209"/>
      <c r="AO143" s="209"/>
      <c r="AP143" s="209"/>
      <c r="AQ143" s="209"/>
      <c r="AR143" s="209"/>
      <c r="AS143" s="209"/>
      <c r="AT143" s="209"/>
      <c r="AU143" s="209"/>
      <c r="AV143" s="209"/>
      <c r="AW143" s="209"/>
      <c r="AX143" s="209"/>
      <c r="AY143" s="209"/>
      <c r="AZ143" s="209"/>
      <c r="BA143" s="209"/>
      <c r="BB143" s="209"/>
      <c r="BC143" s="209"/>
      <c r="BD143" s="209"/>
      <c r="BE143" s="209"/>
      <c r="BF143" s="209"/>
      <c r="BG143" s="209"/>
      <c r="BH143" s="209"/>
      <c r="BI143" s="209"/>
      <c r="BJ143" s="209"/>
      <c r="BK143" s="209"/>
      <c r="BL143" s="209"/>
      <c r="BM143" s="209"/>
      <c r="BN143" s="209"/>
      <c r="BO143" s="209"/>
      <c r="BP143" s="209"/>
      <c r="BQ143" s="209"/>
      <c r="BR143" s="209"/>
      <c r="BS143" s="209"/>
      <c r="BT143" s="209"/>
      <c r="BU143" s="209"/>
      <c r="BV143" s="209"/>
      <c r="BW143" s="209"/>
      <c r="BX143" s="209"/>
      <c r="BY143" s="209"/>
      <c r="BZ143" s="209"/>
      <c r="CA143" s="209"/>
      <c r="CB143" s="209"/>
      <c r="CC143" s="209"/>
      <c r="CD143" s="209"/>
      <c r="CE143" s="209"/>
      <c r="CF143" s="209"/>
      <c r="CG143" s="209"/>
      <c r="CH143" s="209"/>
      <c r="CI143" s="209"/>
      <c r="CJ143" s="209"/>
      <c r="CK143" s="209"/>
      <c r="CL143" s="209"/>
      <c r="CM143" s="209"/>
      <c r="CN143" s="209"/>
      <c r="CO143" s="209"/>
      <c r="CP143" s="209"/>
      <c r="CQ143" s="209"/>
      <c r="CR143" s="209"/>
      <c r="CS143" s="209"/>
      <c r="CT143" s="209"/>
      <c r="CU143" s="209"/>
      <c r="CV143" s="209"/>
      <c r="CW143" s="209"/>
      <c r="CX143" s="209"/>
      <c r="CY143" s="209"/>
      <c r="CZ143" s="209"/>
      <c r="DA143" s="209"/>
      <c r="DB143" s="209"/>
      <c r="DC143" s="209"/>
      <c r="DD143" s="209"/>
      <c r="DE143" s="209"/>
      <c r="DF143" s="209"/>
      <c r="DG143" s="209"/>
      <c r="DH143" s="209"/>
      <c r="DI143" s="209"/>
      <c r="DJ143" s="209"/>
      <c r="DK143" s="209"/>
      <c r="DL143" s="209"/>
      <c r="DM143" s="209"/>
      <c r="DN143" s="209"/>
      <c r="DO143" s="209"/>
      <c r="DP143" s="209"/>
      <c r="DQ143" s="209"/>
      <c r="DR143" s="209"/>
      <c r="DS143" s="209"/>
      <c r="DT143" s="209"/>
      <c r="DU143" s="209"/>
      <c r="DV143" s="209"/>
      <c r="DW143" s="209"/>
      <c r="DX143" s="209"/>
      <c r="DY143" s="209"/>
      <c r="DZ143" s="209"/>
      <c r="EA143" s="209"/>
      <c r="EB143" s="209"/>
      <c r="EC143" s="209"/>
      <c r="ED143" s="209"/>
      <c r="EE143" s="209"/>
      <c r="EF143" s="209"/>
      <c r="EG143" s="209"/>
      <c r="EH143" s="209"/>
      <c r="EI143" s="209"/>
      <c r="EJ143" s="209"/>
      <c r="EK143" s="209"/>
      <c r="EL143" s="209"/>
      <c r="EM143" s="209"/>
      <c r="EN143" s="209"/>
      <c r="EO143" s="209"/>
      <c r="EP143" s="468"/>
      <c r="EQ143" s="469"/>
      <c r="ER143" s="469"/>
      <c r="ES143" s="469"/>
      <c r="ET143" s="469"/>
      <c r="EU143" s="469"/>
      <c r="EV143" s="469"/>
      <c r="EW143" s="469"/>
      <c r="EX143" s="469"/>
      <c r="EY143" s="469"/>
      <c r="EZ143" s="469"/>
      <c r="FA143" s="469"/>
      <c r="FB143" s="469"/>
      <c r="FC143" s="469"/>
      <c r="FD143" s="469"/>
      <c r="FE143" s="469"/>
      <c r="FF143" s="469"/>
      <c r="FG143" s="469"/>
      <c r="FH143" s="469"/>
      <c r="FI143" s="469"/>
      <c r="FJ143" s="469"/>
      <c r="FK143" s="469"/>
      <c r="FL143" s="469"/>
      <c r="FM143" s="469"/>
      <c r="FN143" s="469"/>
      <c r="FO143" s="469"/>
      <c r="FP143" s="469"/>
      <c r="FQ143" s="469"/>
      <c r="FR143" s="469"/>
      <c r="FS143" s="469"/>
      <c r="FT143" s="469"/>
      <c r="FU143" s="469"/>
      <c r="FV143" s="469"/>
      <c r="FW143" s="469"/>
      <c r="FX143" s="469"/>
      <c r="FY143" s="469"/>
      <c r="FZ143" s="469"/>
      <c r="GA143" s="469"/>
      <c r="GB143" s="469"/>
      <c r="GC143" s="469"/>
      <c r="GD143" s="469"/>
      <c r="GE143" s="469"/>
      <c r="GF143" s="469"/>
      <c r="GG143" s="469"/>
      <c r="GH143" s="469"/>
      <c r="GI143" s="469"/>
      <c r="GJ143" s="469"/>
      <c r="GK143" s="469"/>
      <c r="GL143" s="469"/>
      <c r="GM143" s="469"/>
      <c r="GN143" s="469"/>
      <c r="GO143" s="469"/>
      <c r="GP143" s="469"/>
      <c r="GQ143" s="469"/>
      <c r="GR143" s="469"/>
      <c r="GS143" s="469"/>
      <c r="GT143" s="469"/>
      <c r="GU143" s="469"/>
      <c r="GV143" s="469"/>
      <c r="GW143" s="469"/>
      <c r="GX143" s="469"/>
      <c r="GY143" s="469"/>
      <c r="GZ143" s="469"/>
      <c r="HA143" s="469"/>
      <c r="HB143" s="469"/>
      <c r="HC143" s="469"/>
      <c r="HD143" s="469"/>
      <c r="HE143" s="469"/>
      <c r="HF143" s="469"/>
      <c r="HG143" s="469"/>
      <c r="HH143" s="469"/>
      <c r="HI143" s="469"/>
      <c r="HJ143" s="469"/>
      <c r="HK143" s="469"/>
      <c r="HL143" s="469"/>
      <c r="HM143" s="469"/>
      <c r="HN143" s="469"/>
      <c r="HO143" s="469"/>
      <c r="HP143" s="469"/>
      <c r="HQ143" s="469"/>
      <c r="HR143" s="469"/>
      <c r="HS143" s="469"/>
      <c r="HT143" s="469"/>
      <c r="HU143" s="469"/>
      <c r="HV143" s="469"/>
      <c r="HW143" s="469"/>
      <c r="HX143" s="469"/>
      <c r="HY143" s="469"/>
      <c r="HZ143" s="469"/>
      <c r="IA143" s="469"/>
      <c r="IB143" s="469"/>
      <c r="IC143" s="469"/>
      <c r="ID143" s="469"/>
      <c r="IE143" s="469"/>
      <c r="IF143" s="469"/>
      <c r="IG143" s="469"/>
      <c r="IH143" s="469"/>
      <c r="II143" s="469"/>
      <c r="IJ143" s="469"/>
      <c r="IK143" s="469"/>
      <c r="IL143" s="469"/>
      <c r="IM143" s="469"/>
      <c r="IN143" s="469"/>
      <c r="IO143" s="469"/>
      <c r="IP143" s="469"/>
      <c r="IQ143" s="469"/>
      <c r="IR143" s="469"/>
      <c r="IS143" s="469"/>
      <c r="IT143" s="469"/>
      <c r="IU143" s="469"/>
      <c r="IV143" s="469"/>
      <c r="IW143" s="469"/>
      <c r="IX143" s="469"/>
      <c r="IY143" s="469"/>
      <c r="IZ143" s="469"/>
      <c r="JA143" s="469"/>
      <c r="JB143" s="469"/>
      <c r="JC143" s="469"/>
      <c r="JD143" s="469"/>
      <c r="JE143" s="469"/>
      <c r="JF143" s="469"/>
      <c r="JG143" s="469"/>
      <c r="JH143" s="469"/>
      <c r="JI143" s="469"/>
      <c r="JJ143" s="469"/>
      <c r="JK143" s="469"/>
      <c r="JL143" s="469"/>
      <c r="JM143" s="469"/>
      <c r="JN143" s="469"/>
      <c r="JO143" s="469"/>
      <c r="JP143" s="469"/>
      <c r="JQ143" s="469"/>
      <c r="JR143" s="469"/>
      <c r="JS143" s="469"/>
      <c r="JT143" s="469"/>
      <c r="JU143" s="469"/>
      <c r="JV143" s="469"/>
      <c r="JW143" s="469"/>
      <c r="JX143" s="20"/>
      <c r="JZ143" s="470"/>
      <c r="KA143" s="470"/>
      <c r="KB143" s="470"/>
      <c r="KC143" s="470"/>
      <c r="KD143" s="470"/>
      <c r="KE143" s="470"/>
      <c r="KF143" s="470"/>
      <c r="KG143" s="470"/>
      <c r="KH143" s="470"/>
      <c r="KI143" s="470"/>
      <c r="KJ143" s="470"/>
      <c r="KK143" s="470"/>
      <c r="KL143" s="470"/>
      <c r="KM143" s="470"/>
      <c r="KN143" s="470"/>
      <c r="KO143" s="470"/>
      <c r="KP143" s="470"/>
      <c r="KQ143" s="470"/>
      <c r="KR143" s="470"/>
      <c r="KS143" s="470"/>
      <c r="KT143" s="470"/>
      <c r="KU143" s="470"/>
      <c r="KV143" s="470"/>
      <c r="KW143" s="470"/>
      <c r="KX143" s="470"/>
      <c r="KY143" s="470"/>
      <c r="KZ143" s="470"/>
      <c r="LA143" s="470"/>
      <c r="LB143" s="470"/>
      <c r="LC143" s="470"/>
      <c r="LD143" s="470"/>
      <c r="LE143" s="470"/>
      <c r="LF143" s="470"/>
      <c r="LG143" s="470"/>
      <c r="LH143" s="470"/>
      <c r="LI143" s="470"/>
      <c r="LJ143" s="470"/>
      <c r="LK143" s="470"/>
      <c r="LL143" s="470"/>
      <c r="LM143" s="470"/>
      <c r="LN143" s="470"/>
      <c r="LO143" s="470"/>
      <c r="LP143" s="470"/>
      <c r="LQ143" s="470"/>
      <c r="LR143" s="470"/>
      <c r="LS143" s="470"/>
      <c r="LT143" s="470"/>
      <c r="LU143" s="470"/>
      <c r="LV143" s="470"/>
      <c r="LW143" s="470"/>
      <c r="LX143" s="470"/>
      <c r="LY143" s="470"/>
      <c r="LZ143" s="470"/>
      <c r="MA143" s="470"/>
      <c r="MB143" s="470"/>
      <c r="MC143" s="470"/>
      <c r="MD143" s="470"/>
      <c r="ME143" s="470"/>
      <c r="MF143" s="470"/>
      <c r="MG143" s="470"/>
      <c r="MH143" s="470"/>
      <c r="MI143" s="470"/>
      <c r="MJ143" s="470"/>
      <c r="MK143" s="470"/>
      <c r="ML143" s="470"/>
      <c r="MM143" s="470"/>
      <c r="MN143" s="470"/>
      <c r="MO143" s="470"/>
      <c r="MP143" s="470"/>
      <c r="MQ143" s="470"/>
      <c r="MR143" s="470"/>
      <c r="MS143" s="470"/>
      <c r="MT143" s="470"/>
      <c r="MU143" s="470"/>
      <c r="MV143" s="470"/>
      <c r="MW143" s="470"/>
      <c r="MX143" s="470"/>
      <c r="MY143" s="470"/>
      <c r="MZ143" s="470"/>
      <c r="NA143" s="470"/>
      <c r="NB143" s="470"/>
      <c r="NC143" s="470"/>
      <c r="ND143" s="470"/>
      <c r="NE143" s="470"/>
      <c r="NF143" s="470"/>
      <c r="NG143" s="470"/>
      <c r="NH143" s="470"/>
      <c r="NI143" s="470"/>
      <c r="NJ143" s="470"/>
      <c r="NK143" s="470"/>
      <c r="NL143" s="470"/>
      <c r="NM143" s="470"/>
      <c r="NN143" s="470"/>
      <c r="NO143" s="470"/>
      <c r="NP143" s="470"/>
      <c r="NQ143" s="470"/>
      <c r="NR143" s="470"/>
      <c r="NS143" s="470"/>
      <c r="NT143" s="470"/>
      <c r="NU143" s="470"/>
      <c r="NV143" s="470"/>
      <c r="NW143" s="470"/>
      <c r="NX143" s="470"/>
      <c r="NY143" s="470"/>
      <c r="NZ143" s="470"/>
      <c r="OA143" s="470"/>
      <c r="OB143" s="470"/>
      <c r="OC143" s="470"/>
      <c r="OD143" s="470"/>
      <c r="OE143" s="470"/>
      <c r="OF143" s="470"/>
      <c r="OG143" s="470"/>
      <c r="OH143" s="470"/>
      <c r="OI143" s="470"/>
      <c r="OJ143" s="470"/>
      <c r="OK143" s="470"/>
      <c r="OL143" s="470"/>
      <c r="OM143" s="470"/>
      <c r="ON143" s="470"/>
      <c r="OO143" s="470"/>
      <c r="OP143" s="470"/>
      <c r="OQ143" s="470"/>
      <c r="OR143" s="470"/>
      <c r="OS143" s="470"/>
      <c r="OT143" s="470"/>
      <c r="OU143" s="470"/>
      <c r="OV143" s="470"/>
      <c r="OW143" s="470"/>
      <c r="OX143" s="470"/>
      <c r="OY143" s="470"/>
      <c r="OZ143" s="470"/>
      <c r="PA143" s="470"/>
      <c r="PB143" s="470"/>
      <c r="PC143" s="470"/>
      <c r="PD143" s="470"/>
      <c r="PE143" s="470"/>
      <c r="PF143" s="470"/>
      <c r="PG143" s="470"/>
      <c r="PH143" s="470"/>
    </row>
    <row r="144">
      <c r="B144" s="92" t="s">
        <v>298</v>
      </c>
      <c r="C144" s="42"/>
      <c r="D144" s="53" t="n">
        <f>1-E144</f>
        <v>0.25</v>
      </c>
      <c r="E144" s="54">
        <v>0.75</v>
      </c>
      <c r="F144" s="157"/>
      <c r="G144" s="49" t="str">
        <f>+B149</f>
        <v>Downtime + Free Rent</v>
      </c>
      <c r="H144" s="428" t="n">
        <f>D145*Units*(D149/12)*D144</f>
        <v>2035000</v>
      </c>
      <c r="I144" s="428" t="n">
        <f>E145*Units*(E149/12)*E144</f>
        <v>0</v>
      </c>
      <c r="K144" s="500"/>
      <c r="L144" s="209"/>
      <c r="M144" s="209"/>
      <c r="N144" s="209"/>
      <c r="O144" s="209"/>
      <c r="P144" s="209"/>
      <c r="Q144" s="209"/>
      <c r="R144" s="209"/>
      <c r="S144" s="209"/>
      <c r="T144" s="209"/>
      <c r="U144" s="209"/>
      <c r="V144" s="209"/>
      <c r="W144" s="209"/>
      <c r="X144" s="209"/>
      <c r="Y144" s="209"/>
      <c r="Z144" s="209"/>
      <c r="AA144" s="209"/>
      <c r="AB144" s="209"/>
      <c r="AC144" s="209"/>
      <c r="AD144" s="209"/>
      <c r="AE144" s="209"/>
      <c r="AF144" s="209"/>
      <c r="AG144" s="209"/>
      <c r="AH144" s="209"/>
      <c r="AI144" s="209"/>
      <c r="AJ144" s="209"/>
      <c r="AK144" s="209"/>
      <c r="AL144" s="209"/>
      <c r="AM144" s="209"/>
      <c r="AN144" s="209"/>
      <c r="AO144" s="209"/>
      <c r="AP144" s="209"/>
      <c r="AQ144" s="209"/>
      <c r="AR144" s="209"/>
      <c r="AS144" s="209"/>
      <c r="AT144" s="209"/>
      <c r="AU144" s="209"/>
      <c r="AV144" s="209"/>
      <c r="AW144" s="209"/>
      <c r="AX144" s="209"/>
      <c r="AY144" s="209"/>
      <c r="AZ144" s="209"/>
      <c r="BA144" s="209"/>
      <c r="BB144" s="209"/>
      <c r="BC144" s="209"/>
      <c r="BD144" s="209"/>
      <c r="BE144" s="209"/>
      <c r="BF144" s="209"/>
      <c r="BG144" s="209"/>
      <c r="BH144" s="209"/>
      <c r="BI144" s="209"/>
      <c r="BJ144" s="209"/>
      <c r="BK144" s="209"/>
      <c r="BL144" s="209"/>
      <c r="BM144" s="209"/>
      <c r="BN144" s="209"/>
      <c r="BO144" s="209"/>
      <c r="BP144" s="209"/>
      <c r="BQ144" s="209"/>
      <c r="BR144" s="209"/>
      <c r="BS144" s="209"/>
      <c r="BT144" s="209"/>
      <c r="BU144" s="209"/>
      <c r="BV144" s="209"/>
      <c r="BW144" s="209"/>
      <c r="BX144" s="209"/>
      <c r="BY144" s="209"/>
      <c r="BZ144" s="209"/>
      <c r="CA144" s="209"/>
      <c r="CB144" s="209"/>
      <c r="CC144" s="209"/>
      <c r="CD144" s="209"/>
      <c r="CE144" s="209"/>
      <c r="CF144" s="209"/>
      <c r="CG144" s="209"/>
      <c r="CH144" s="209"/>
      <c r="CI144" s="209"/>
      <c r="CJ144" s="209"/>
      <c r="CK144" s="209"/>
      <c r="CL144" s="209"/>
      <c r="CM144" s="209"/>
      <c r="CN144" s="209"/>
      <c r="CO144" s="209"/>
      <c r="CP144" s="209"/>
      <c r="CQ144" s="209"/>
      <c r="CR144" s="209"/>
      <c r="CS144" s="209"/>
      <c r="CT144" s="209"/>
      <c r="CU144" s="209"/>
      <c r="CV144" s="209"/>
      <c r="CW144" s="209"/>
      <c r="CX144" s="209"/>
      <c r="CY144" s="209"/>
      <c r="CZ144" s="209"/>
      <c r="DA144" s="209"/>
      <c r="DB144" s="209"/>
      <c r="DC144" s="209"/>
      <c r="DD144" s="209"/>
      <c r="DE144" s="209"/>
      <c r="DF144" s="209"/>
      <c r="DG144" s="209"/>
      <c r="DH144" s="209"/>
      <c r="DI144" s="209"/>
      <c r="DJ144" s="209"/>
      <c r="DK144" s="209"/>
      <c r="DL144" s="209"/>
      <c r="DM144" s="209"/>
      <c r="DN144" s="209"/>
      <c r="DO144" s="209"/>
      <c r="DP144" s="209"/>
      <c r="DQ144" s="209"/>
      <c r="DR144" s="209"/>
      <c r="DS144" s="209"/>
      <c r="DT144" s="209"/>
      <c r="DU144" s="209"/>
      <c r="DV144" s="209"/>
      <c r="DW144" s="209"/>
      <c r="DX144" s="209"/>
      <c r="DY144" s="209"/>
      <c r="DZ144" s="209"/>
      <c r="EA144" s="209"/>
      <c r="EB144" s="209"/>
      <c r="EC144" s="209"/>
      <c r="ED144" s="209"/>
      <c r="EE144" s="209"/>
      <c r="EF144" s="209"/>
      <c r="EG144" s="209"/>
      <c r="EH144" s="209"/>
      <c r="EI144" s="209"/>
      <c r="EJ144" s="209"/>
      <c r="EK144" s="209"/>
      <c r="EL144" s="209"/>
      <c r="EM144" s="209"/>
      <c r="EN144" s="209"/>
      <c r="EO144" s="209"/>
      <c r="EP144" s="468"/>
      <c r="EQ144" s="469"/>
      <c r="ER144" s="469"/>
      <c r="ES144" s="469"/>
      <c r="ET144" s="469"/>
      <c r="EU144" s="469"/>
      <c r="EV144" s="469"/>
      <c r="EW144" s="469"/>
      <c r="EX144" s="469"/>
      <c r="EY144" s="469"/>
      <c r="EZ144" s="469"/>
      <c r="FA144" s="469"/>
      <c r="FB144" s="469"/>
      <c r="FC144" s="469"/>
      <c r="FD144" s="469"/>
      <c r="FE144" s="469"/>
      <c r="FF144" s="469"/>
      <c r="FG144" s="469"/>
      <c r="FH144" s="469"/>
      <c r="FI144" s="469"/>
      <c r="FJ144" s="469"/>
      <c r="FK144" s="469"/>
      <c r="FL144" s="469"/>
      <c r="FM144" s="469"/>
      <c r="FN144" s="469"/>
      <c r="FO144" s="469"/>
      <c r="FP144" s="469"/>
      <c r="FQ144" s="469"/>
      <c r="FR144" s="469"/>
      <c r="FS144" s="469"/>
      <c r="FT144" s="469"/>
      <c r="FU144" s="469"/>
      <c r="FV144" s="469"/>
      <c r="FW144" s="469"/>
      <c r="FX144" s="469"/>
      <c r="FY144" s="469"/>
      <c r="FZ144" s="469"/>
      <c r="GA144" s="469"/>
      <c r="GB144" s="469"/>
      <c r="GC144" s="469"/>
      <c r="GD144" s="469"/>
      <c r="GE144" s="469"/>
      <c r="GF144" s="469"/>
      <c r="GG144" s="469"/>
      <c r="GH144" s="469"/>
      <c r="GI144" s="469"/>
      <c r="GJ144" s="469"/>
      <c r="GK144" s="469"/>
      <c r="GL144" s="469"/>
      <c r="GM144" s="469"/>
      <c r="GN144" s="469"/>
      <c r="GO144" s="469"/>
      <c r="GP144" s="469"/>
      <c r="GQ144" s="469"/>
      <c r="GR144" s="469"/>
      <c r="GS144" s="469"/>
      <c r="GT144" s="469"/>
      <c r="GU144" s="469"/>
      <c r="GV144" s="469"/>
      <c r="GW144" s="469"/>
      <c r="GX144" s="469"/>
      <c r="GY144" s="469"/>
      <c r="GZ144" s="469"/>
      <c r="HA144" s="469"/>
      <c r="HB144" s="469"/>
      <c r="HC144" s="469"/>
      <c r="HD144" s="469"/>
      <c r="HE144" s="469"/>
      <c r="HF144" s="469"/>
      <c r="HG144" s="469"/>
      <c r="HH144" s="469"/>
      <c r="HI144" s="469"/>
      <c r="HJ144" s="469"/>
      <c r="HK144" s="469"/>
      <c r="HL144" s="469"/>
      <c r="HM144" s="469"/>
      <c r="HN144" s="469"/>
      <c r="HO144" s="469"/>
      <c r="HP144" s="469"/>
      <c r="HQ144" s="469"/>
      <c r="HR144" s="469"/>
      <c r="HS144" s="469"/>
      <c r="HT144" s="469"/>
      <c r="HU144" s="469"/>
      <c r="HV144" s="469"/>
      <c r="HW144" s="469"/>
      <c r="HX144" s="469"/>
      <c r="HY144" s="469"/>
      <c r="HZ144" s="469"/>
      <c r="IA144" s="469"/>
      <c r="IB144" s="469"/>
      <c r="IC144" s="469"/>
      <c r="ID144" s="469"/>
      <c r="IE144" s="469"/>
      <c r="IF144" s="469"/>
      <c r="IG144" s="469"/>
      <c r="IH144" s="469"/>
      <c r="II144" s="469"/>
      <c r="IJ144" s="469"/>
      <c r="IK144" s="469"/>
      <c r="IL144" s="469"/>
      <c r="IM144" s="469"/>
      <c r="IN144" s="469"/>
      <c r="IO144" s="469"/>
      <c r="IP144" s="469"/>
      <c r="IQ144" s="469"/>
      <c r="IR144" s="469"/>
      <c r="IS144" s="469"/>
      <c r="IT144" s="469"/>
      <c r="IU144" s="469"/>
      <c r="IV144" s="469"/>
      <c r="IW144" s="469"/>
      <c r="IX144" s="469"/>
      <c r="IY144" s="469"/>
      <c r="IZ144" s="469"/>
      <c r="JA144" s="469"/>
      <c r="JB144" s="469"/>
      <c r="JC144" s="469"/>
      <c r="JD144" s="469"/>
      <c r="JE144" s="469"/>
      <c r="JF144" s="469"/>
      <c r="JG144" s="469"/>
      <c r="JH144" s="469"/>
      <c r="JI144" s="469"/>
      <c r="JJ144" s="469"/>
      <c r="JK144" s="469"/>
      <c r="JL144" s="469"/>
      <c r="JM144" s="469"/>
      <c r="JN144" s="469"/>
      <c r="JO144" s="469"/>
      <c r="JP144" s="469"/>
      <c r="JQ144" s="469"/>
      <c r="JR144" s="469"/>
      <c r="JS144" s="469"/>
      <c r="JT144" s="469"/>
      <c r="JU144" s="469"/>
      <c r="JV144" s="469"/>
      <c r="JW144" s="469"/>
      <c r="JX144" s="20"/>
      <c r="JZ144" s="470"/>
      <c r="KA144" s="470"/>
      <c r="KB144" s="470"/>
      <c r="KC144" s="470"/>
      <c r="KD144" s="470"/>
      <c r="KE144" s="470"/>
      <c r="KF144" s="470"/>
      <c r="KG144" s="470"/>
      <c r="KH144" s="470"/>
      <c r="KI144" s="470"/>
      <c r="KJ144" s="470"/>
      <c r="KK144" s="470"/>
      <c r="KL144" s="470"/>
      <c r="KM144" s="470"/>
      <c r="KN144" s="470"/>
      <c r="KO144" s="470"/>
      <c r="KP144" s="470"/>
      <c r="KQ144" s="470"/>
      <c r="KR144" s="470"/>
      <c r="KS144" s="470"/>
      <c r="KT144" s="470"/>
      <c r="KU144" s="470"/>
      <c r="KV144" s="470"/>
      <c r="KW144" s="470"/>
      <c r="KX144" s="470"/>
      <c r="KY144" s="470"/>
      <c r="KZ144" s="470"/>
      <c r="LA144" s="470"/>
      <c r="LB144" s="470"/>
      <c r="LC144" s="470"/>
      <c r="LD144" s="470"/>
      <c r="LE144" s="470"/>
      <c r="LF144" s="470"/>
      <c r="LG144" s="470"/>
      <c r="LH144" s="470"/>
      <c r="LI144" s="470"/>
      <c r="LJ144" s="470"/>
      <c r="LK144" s="470"/>
      <c r="LL144" s="470"/>
      <c r="LM144" s="470"/>
      <c r="LN144" s="470"/>
      <c r="LO144" s="470"/>
      <c r="LP144" s="470"/>
      <c r="LQ144" s="470"/>
      <c r="LR144" s="470"/>
      <c r="LS144" s="470"/>
      <c r="LT144" s="470"/>
      <c r="LU144" s="470"/>
      <c r="LV144" s="470"/>
      <c r="LW144" s="470"/>
      <c r="LX144" s="470"/>
      <c r="LY144" s="470"/>
      <c r="LZ144" s="470"/>
      <c r="MA144" s="470"/>
      <c r="MB144" s="470"/>
      <c r="MC144" s="470"/>
      <c r="MD144" s="470"/>
      <c r="ME144" s="470"/>
      <c r="MF144" s="470"/>
      <c r="MG144" s="470"/>
      <c r="MH144" s="470"/>
      <c r="MI144" s="470"/>
      <c r="MJ144" s="470"/>
      <c r="MK144" s="470"/>
      <c r="ML144" s="470"/>
      <c r="MM144" s="470"/>
      <c r="MN144" s="470"/>
      <c r="MO144" s="470"/>
      <c r="MP144" s="470"/>
      <c r="MQ144" s="470"/>
      <c r="MR144" s="470"/>
      <c r="MS144" s="470"/>
      <c r="MT144" s="470"/>
      <c r="MU144" s="470"/>
      <c r="MV144" s="470"/>
      <c r="MW144" s="470"/>
      <c r="MX144" s="470"/>
      <c r="MY144" s="470"/>
      <c r="MZ144" s="470"/>
      <c r="NA144" s="470"/>
      <c r="NB144" s="470"/>
      <c r="NC144" s="470"/>
      <c r="ND144" s="470"/>
      <c r="NE144" s="470"/>
      <c r="NF144" s="470"/>
      <c r="NG144" s="470"/>
      <c r="NH144" s="470"/>
      <c r="NI144" s="470"/>
      <c r="NJ144" s="470"/>
      <c r="NK144" s="470"/>
      <c r="NL144" s="470"/>
      <c r="NM144" s="470"/>
      <c r="NN144" s="470"/>
      <c r="NO144" s="470"/>
      <c r="NP144" s="470"/>
      <c r="NQ144" s="470"/>
      <c r="NR144" s="470"/>
      <c r="NS144" s="470"/>
      <c r="NT144" s="470"/>
      <c r="NU144" s="470"/>
      <c r="NV144" s="470"/>
      <c r="NW144" s="470"/>
      <c r="NX144" s="470"/>
      <c r="NY144" s="470"/>
      <c r="NZ144" s="470"/>
      <c r="OA144" s="470"/>
      <c r="OB144" s="470"/>
      <c r="OC144" s="470"/>
      <c r="OD144" s="470"/>
      <c r="OE144" s="470"/>
      <c r="OF144" s="470"/>
      <c r="OG144" s="470"/>
      <c r="OH144" s="470"/>
      <c r="OI144" s="470"/>
      <c r="OJ144" s="470"/>
      <c r="OK144" s="470"/>
      <c r="OL144" s="470"/>
      <c r="OM144" s="470"/>
      <c r="ON144" s="470"/>
      <c r="OO144" s="470"/>
      <c r="OP144" s="470"/>
      <c r="OQ144" s="470"/>
      <c r="OR144" s="470"/>
      <c r="OS144" s="470"/>
      <c r="OT144" s="470"/>
      <c r="OU144" s="470"/>
      <c r="OV144" s="470"/>
      <c r="OW144" s="470"/>
      <c r="OX144" s="470"/>
      <c r="OY144" s="470"/>
      <c r="OZ144" s="470"/>
      <c r="PA144" s="470"/>
      <c r="PB144" s="470"/>
      <c r="PC144" s="470"/>
      <c r="PD144" s="470"/>
      <c r="PE144" s="470"/>
      <c r="PF144" s="470"/>
      <c r="PG144" s="470"/>
      <c r="PH144" s="470"/>
    </row>
    <row r="145">
      <c r="B145" s="92" t="s">
        <v>299</v>
      </c>
      <c r="C145" s="418"/>
      <c r="D145" s="144" t="n">
        <f t="shared" ref="D145:E145" si="841">$H$105</f>
        <v>207.88539436548857</v>
      </c>
      <c r="E145" s="144">
        <f t="shared" si="841"/>
        <v>207.88539436548857</v>
      </c>
      <c r="F145" s="157" t="str">
        <f>"/"&amp;Unit_Type</f>
        <v>/M2</v>
      </c>
      <c r="G145" s="49" t="s">
        <v>300</v>
      </c>
      <c r="H145" s="428" t="n">
        <f>D146*Units_Ind*D144</f>
        <v>195780.95</v>
      </c>
      <c r="I145" s="428" t="n">
        <f>E146*Units_Ind*E144</f>
        <v>293671.42500000005</v>
      </c>
      <c r="K145" s="500"/>
      <c r="L145" s="209"/>
      <c r="M145" s="209"/>
      <c r="N145" s="209"/>
      <c r="O145" s="209"/>
      <c r="P145" s="209"/>
      <c r="Q145" s="209"/>
      <c r="R145" s="209"/>
      <c r="S145" s="209"/>
      <c r="T145" s="209"/>
      <c r="U145" s="209"/>
      <c r="V145" s="209"/>
      <c r="W145" s="209"/>
      <c r="X145" s="209"/>
      <c r="Y145" s="209"/>
      <c r="Z145" s="209"/>
      <c r="AA145" s="209"/>
      <c r="AB145" s="209"/>
      <c r="AC145" s="209"/>
      <c r="AD145" s="209"/>
      <c r="AE145" s="209"/>
      <c r="AF145" s="209"/>
      <c r="AG145" s="209"/>
      <c r="AH145" s="209"/>
      <c r="AI145" s="209"/>
      <c r="AJ145" s="209"/>
      <c r="AK145" s="209"/>
      <c r="AL145" s="209"/>
      <c r="AM145" s="209"/>
      <c r="AN145" s="209"/>
      <c r="AO145" s="209"/>
      <c r="AP145" s="209"/>
      <c r="AQ145" s="209"/>
      <c r="AR145" s="209"/>
      <c r="AS145" s="209"/>
      <c r="AT145" s="209"/>
      <c r="AU145" s="209"/>
      <c r="AV145" s="209"/>
      <c r="AW145" s="209"/>
      <c r="AX145" s="209"/>
      <c r="AY145" s="209"/>
      <c r="AZ145" s="209"/>
      <c r="BA145" s="209"/>
      <c r="BB145" s="209"/>
      <c r="BC145" s="209"/>
      <c r="BD145" s="209"/>
      <c r="BE145" s="209"/>
      <c r="BF145" s="209"/>
      <c r="BG145" s="209"/>
      <c r="BH145" s="209"/>
      <c r="BI145" s="209"/>
      <c r="BJ145" s="209"/>
      <c r="BK145" s="209"/>
      <c r="BL145" s="209"/>
      <c r="BM145" s="209"/>
      <c r="BN145" s="209"/>
      <c r="BO145" s="209"/>
      <c r="BP145" s="209"/>
      <c r="BQ145" s="209"/>
      <c r="BR145" s="209"/>
      <c r="BS145" s="209"/>
      <c r="BT145" s="209"/>
      <c r="BU145" s="209"/>
      <c r="BV145" s="209"/>
      <c r="BW145" s="209"/>
      <c r="BX145" s="209"/>
      <c r="BY145" s="209"/>
      <c r="BZ145" s="209"/>
      <c r="CA145" s="209"/>
      <c r="CB145" s="209"/>
      <c r="CC145" s="209"/>
      <c r="CD145" s="209"/>
      <c r="CE145" s="209"/>
      <c r="CF145" s="209"/>
      <c r="CG145" s="209"/>
      <c r="CH145" s="209"/>
      <c r="CI145" s="209"/>
      <c r="CJ145" s="209"/>
      <c r="CK145" s="209"/>
      <c r="CL145" s="209"/>
      <c r="CM145" s="209"/>
      <c r="CN145" s="209"/>
      <c r="CO145" s="209"/>
      <c r="CP145" s="209"/>
      <c r="CQ145" s="209"/>
      <c r="CR145" s="209"/>
      <c r="CS145" s="209"/>
      <c r="CT145" s="209"/>
      <c r="CU145" s="209"/>
      <c r="CV145" s="209"/>
      <c r="CW145" s="209"/>
      <c r="CX145" s="209"/>
      <c r="CY145" s="209"/>
      <c r="CZ145" s="209"/>
      <c r="DA145" s="209"/>
      <c r="DB145" s="209"/>
      <c r="DC145" s="209"/>
      <c r="DD145" s="209"/>
      <c r="DE145" s="209"/>
      <c r="DF145" s="209"/>
      <c r="DG145" s="209"/>
      <c r="DH145" s="209"/>
      <c r="DI145" s="209"/>
      <c r="DJ145" s="209"/>
      <c r="DK145" s="209"/>
      <c r="DL145" s="209"/>
      <c r="DM145" s="209"/>
      <c r="DN145" s="209"/>
      <c r="DO145" s="209"/>
      <c r="DP145" s="209"/>
      <c r="DQ145" s="209"/>
      <c r="DR145" s="209"/>
      <c r="DS145" s="209"/>
      <c r="DT145" s="209"/>
      <c r="DU145" s="209"/>
      <c r="DV145" s="209"/>
      <c r="DW145" s="209"/>
      <c r="DX145" s="209"/>
      <c r="DY145" s="209"/>
      <c r="DZ145" s="209"/>
      <c r="EA145" s="209"/>
      <c r="EB145" s="209"/>
      <c r="EC145" s="209"/>
      <c r="ED145" s="209"/>
      <c r="EE145" s="209"/>
      <c r="EF145" s="209"/>
      <c r="EG145" s="209"/>
      <c r="EH145" s="209"/>
      <c r="EI145" s="209"/>
      <c r="EJ145" s="209"/>
      <c r="EK145" s="209"/>
      <c r="EL145" s="209"/>
      <c r="EM145" s="209"/>
      <c r="EN145" s="209"/>
      <c r="EO145" s="209"/>
      <c r="EP145" s="468"/>
      <c r="EQ145" s="469"/>
      <c r="ER145" s="469"/>
      <c r="ES145" s="469"/>
      <c r="ET145" s="469"/>
      <c r="EU145" s="469"/>
      <c r="EV145" s="469"/>
      <c r="EW145" s="469"/>
      <c r="EX145" s="469"/>
      <c r="EY145" s="469"/>
      <c r="EZ145" s="469"/>
      <c r="FA145" s="469"/>
      <c r="FB145" s="469"/>
      <c r="FC145" s="469"/>
      <c r="FD145" s="469"/>
      <c r="FE145" s="469"/>
      <c r="FF145" s="469"/>
      <c r="FG145" s="469"/>
      <c r="FH145" s="469"/>
      <c r="FI145" s="469"/>
      <c r="FJ145" s="469"/>
      <c r="FK145" s="469"/>
      <c r="FL145" s="469"/>
      <c r="FM145" s="469"/>
      <c r="FN145" s="469"/>
      <c r="FO145" s="469"/>
      <c r="FP145" s="469"/>
      <c r="FQ145" s="469"/>
      <c r="FR145" s="469"/>
      <c r="FS145" s="469"/>
      <c r="FT145" s="469"/>
      <c r="FU145" s="469"/>
      <c r="FV145" s="469"/>
      <c r="FW145" s="469"/>
      <c r="FX145" s="469"/>
      <c r="FY145" s="469"/>
      <c r="FZ145" s="469"/>
      <c r="GA145" s="469"/>
      <c r="GB145" s="469"/>
      <c r="GC145" s="469"/>
      <c r="GD145" s="469"/>
      <c r="GE145" s="469"/>
      <c r="GF145" s="469"/>
      <c r="GG145" s="469"/>
      <c r="GH145" s="469"/>
      <c r="GI145" s="469"/>
      <c r="GJ145" s="469"/>
      <c r="GK145" s="469"/>
      <c r="GL145" s="469"/>
      <c r="GM145" s="469"/>
      <c r="GN145" s="469"/>
      <c r="GO145" s="469"/>
      <c r="GP145" s="469"/>
      <c r="GQ145" s="469"/>
      <c r="GR145" s="469"/>
      <c r="GS145" s="469"/>
      <c r="GT145" s="469"/>
      <c r="GU145" s="469"/>
      <c r="GV145" s="469"/>
      <c r="GW145" s="469"/>
      <c r="GX145" s="469"/>
      <c r="GY145" s="469"/>
      <c r="GZ145" s="469"/>
      <c r="HA145" s="469"/>
      <c r="HB145" s="469"/>
      <c r="HC145" s="469"/>
      <c r="HD145" s="469"/>
      <c r="HE145" s="469"/>
      <c r="HF145" s="469"/>
      <c r="HG145" s="469"/>
      <c r="HH145" s="469"/>
      <c r="HI145" s="469"/>
      <c r="HJ145" s="469"/>
      <c r="HK145" s="469"/>
      <c r="HL145" s="469"/>
      <c r="HM145" s="469"/>
      <c r="HN145" s="469"/>
      <c r="HO145" s="469"/>
      <c r="HP145" s="469"/>
      <c r="HQ145" s="469"/>
      <c r="HR145" s="469"/>
      <c r="HS145" s="469"/>
      <c r="HT145" s="469"/>
      <c r="HU145" s="469"/>
      <c r="HV145" s="469"/>
      <c r="HW145" s="469"/>
      <c r="HX145" s="469"/>
      <c r="HY145" s="469"/>
      <c r="HZ145" s="469"/>
      <c r="IA145" s="469"/>
      <c r="IB145" s="469"/>
      <c r="IC145" s="469"/>
      <c r="ID145" s="469"/>
      <c r="IE145" s="469"/>
      <c r="IF145" s="469"/>
      <c r="IG145" s="469"/>
      <c r="IH145" s="469"/>
      <c r="II145" s="469"/>
      <c r="IJ145" s="469"/>
      <c r="IK145" s="469"/>
      <c r="IL145" s="469"/>
      <c r="IM145" s="469"/>
      <c r="IN145" s="469"/>
      <c r="IO145" s="469"/>
      <c r="IP145" s="469"/>
      <c r="IQ145" s="469"/>
      <c r="IR145" s="469"/>
      <c r="IS145" s="469"/>
      <c r="IT145" s="469"/>
      <c r="IU145" s="469"/>
      <c r="IV145" s="469"/>
      <c r="IW145" s="469"/>
      <c r="IX145" s="469"/>
      <c r="IY145" s="469"/>
      <c r="IZ145" s="469"/>
      <c r="JA145" s="469"/>
      <c r="JB145" s="469"/>
      <c r="JC145" s="469"/>
      <c r="JD145" s="469"/>
      <c r="JE145" s="469"/>
      <c r="JF145" s="469"/>
      <c r="JG145" s="469"/>
      <c r="JH145" s="469"/>
      <c r="JI145" s="469"/>
      <c r="JJ145" s="469"/>
      <c r="JK145" s="469"/>
      <c r="JL145" s="469"/>
      <c r="JM145" s="469"/>
      <c r="JN145" s="469"/>
      <c r="JO145" s="469"/>
      <c r="JP145" s="469"/>
      <c r="JQ145" s="469"/>
      <c r="JR145" s="469"/>
      <c r="JS145" s="469"/>
      <c r="JT145" s="469"/>
      <c r="JU145" s="469"/>
      <c r="JV145" s="469"/>
      <c r="JW145" s="469"/>
      <c r="JX145" s="20"/>
      <c r="JZ145" s="470"/>
      <c r="KA145" s="470"/>
      <c r="KB145" s="470"/>
      <c r="KC145" s="470"/>
      <c r="KD145" s="470"/>
      <c r="KE145" s="470"/>
      <c r="KF145" s="470"/>
      <c r="KG145" s="470"/>
      <c r="KH145" s="470"/>
      <c r="KI145" s="470"/>
      <c r="KJ145" s="470"/>
      <c r="KK145" s="470"/>
      <c r="KL145" s="470"/>
      <c r="KM145" s="470"/>
      <c r="KN145" s="470"/>
      <c r="KO145" s="470"/>
      <c r="KP145" s="470"/>
      <c r="KQ145" s="470"/>
      <c r="KR145" s="470"/>
      <c r="KS145" s="470"/>
      <c r="KT145" s="470"/>
      <c r="KU145" s="470"/>
      <c r="KV145" s="470"/>
      <c r="KW145" s="470"/>
      <c r="KX145" s="470"/>
      <c r="KY145" s="470"/>
      <c r="KZ145" s="470"/>
      <c r="LA145" s="470"/>
      <c r="LB145" s="470"/>
      <c r="LC145" s="470"/>
      <c r="LD145" s="470"/>
      <c r="LE145" s="470"/>
      <c r="LF145" s="470"/>
      <c r="LG145" s="470"/>
      <c r="LH145" s="470"/>
      <c r="LI145" s="470"/>
      <c r="LJ145" s="470"/>
      <c r="LK145" s="470"/>
      <c r="LL145" s="470"/>
      <c r="LM145" s="470"/>
      <c r="LN145" s="470"/>
      <c r="LO145" s="470"/>
      <c r="LP145" s="470"/>
      <c r="LQ145" s="470"/>
      <c r="LR145" s="470"/>
      <c r="LS145" s="470"/>
      <c r="LT145" s="470"/>
      <c r="LU145" s="470"/>
      <c r="LV145" s="470"/>
      <c r="LW145" s="470"/>
      <c r="LX145" s="470"/>
      <c r="LY145" s="470"/>
      <c r="LZ145" s="470"/>
      <c r="MA145" s="470"/>
      <c r="MB145" s="470"/>
      <c r="MC145" s="470"/>
      <c r="MD145" s="470"/>
      <c r="ME145" s="470"/>
      <c r="MF145" s="470"/>
      <c r="MG145" s="470"/>
      <c r="MH145" s="470"/>
      <c r="MI145" s="470"/>
      <c r="MJ145" s="470"/>
      <c r="MK145" s="470"/>
      <c r="ML145" s="470"/>
      <c r="MM145" s="470"/>
      <c r="MN145" s="470"/>
      <c r="MO145" s="470"/>
      <c r="MP145" s="470"/>
      <c r="MQ145" s="470"/>
      <c r="MR145" s="470"/>
      <c r="MS145" s="470"/>
      <c r="MT145" s="470"/>
      <c r="MU145" s="470"/>
      <c r="MV145" s="470"/>
      <c r="MW145" s="470"/>
      <c r="MX145" s="470"/>
      <c r="MY145" s="470"/>
      <c r="MZ145" s="470"/>
      <c r="NA145" s="470"/>
      <c r="NB145" s="470"/>
      <c r="NC145" s="470"/>
      <c r="ND145" s="470"/>
      <c r="NE145" s="470"/>
      <c r="NF145" s="470"/>
      <c r="NG145" s="470"/>
      <c r="NH145" s="470"/>
      <c r="NI145" s="470"/>
      <c r="NJ145" s="470"/>
      <c r="NK145" s="470"/>
      <c r="NL145" s="470"/>
      <c r="NM145" s="470"/>
      <c r="NN145" s="470"/>
      <c r="NO145" s="470"/>
      <c r="NP145" s="470"/>
      <c r="NQ145" s="470"/>
      <c r="NR145" s="470"/>
      <c r="NS145" s="470"/>
      <c r="NT145" s="470"/>
      <c r="NU145" s="470"/>
      <c r="NV145" s="470"/>
      <c r="NW145" s="470"/>
      <c r="NX145" s="470"/>
      <c r="NY145" s="470"/>
      <c r="NZ145" s="470"/>
      <c r="OA145" s="470"/>
      <c r="OB145" s="470"/>
      <c r="OC145" s="470"/>
      <c r="OD145" s="470"/>
      <c r="OE145" s="470"/>
      <c r="OF145" s="470"/>
      <c r="OG145" s="470"/>
      <c r="OH145" s="470"/>
      <c r="OI145" s="470"/>
      <c r="OJ145" s="470"/>
      <c r="OK145" s="470"/>
      <c r="OL145" s="470"/>
      <c r="OM145" s="470"/>
      <c r="ON145" s="470"/>
      <c r="OO145" s="470"/>
      <c r="OP145" s="470"/>
      <c r="OQ145" s="470"/>
      <c r="OR145" s="470"/>
      <c r="OS145" s="470"/>
      <c r="OT145" s="470"/>
      <c r="OU145" s="470"/>
      <c r="OV145" s="470"/>
      <c r="OW145" s="470"/>
      <c r="OX145" s="470"/>
      <c r="OY145" s="470"/>
      <c r="OZ145" s="470"/>
      <c r="PA145" s="470"/>
      <c r="PB145" s="470"/>
      <c r="PC145" s="470"/>
      <c r="PD145" s="470"/>
      <c r="PE145" s="470"/>
      <c r="PF145" s="470"/>
      <c r="PG145" s="470"/>
      <c r="PH145" s="470"/>
    </row>
    <row r="146">
      <c r="B146" s="92" t="s">
        <v>300</v>
      </c>
      <c r="C146" s="158"/>
      <c r="D146" s="144">
        <v>10</v>
      </c>
      <c r="E146" s="144">
        <v>5</v>
      </c>
      <c r="F146" s="157" t="str">
        <f>"/"&amp;Unit_Type</f>
        <v>/M2</v>
      </c>
      <c r="G146" s="49" t="s">
        <v>301</v>
      </c>
      <c r="H146" s="483" t="n">
        <f>(D145*Units_Ind*D148*D147)*D144</f>
        <v>2442000</v>
      </c>
      <c r="I146" s="483" t="n">
        <f>(E145*Units_Ind*E148*E147)*E144</f>
        <v>4884000</v>
      </c>
      <c r="K146" s="500"/>
      <c r="L146" s="209"/>
      <c r="M146" s="209"/>
      <c r="N146" s="209"/>
      <c r="O146" s="209"/>
      <c r="P146" s="209"/>
      <c r="Q146" s="209"/>
      <c r="R146" s="209"/>
      <c r="S146" s="209"/>
      <c r="T146" s="209"/>
      <c r="U146" s="209"/>
      <c r="V146" s="209"/>
      <c r="W146" s="209"/>
      <c r="X146" s="209"/>
      <c r="Y146" s="209"/>
      <c r="Z146" s="209"/>
      <c r="AA146" s="209"/>
      <c r="AB146" s="209"/>
      <c r="AC146" s="209"/>
      <c r="AD146" s="209"/>
      <c r="AE146" s="209"/>
      <c r="AF146" s="209"/>
      <c r="AG146" s="209"/>
      <c r="AH146" s="209"/>
      <c r="AI146" s="209"/>
      <c r="AJ146" s="209"/>
      <c r="AK146" s="209"/>
      <c r="AL146" s="209"/>
      <c r="AM146" s="209"/>
      <c r="AN146" s="209"/>
      <c r="AO146" s="209"/>
      <c r="AP146" s="209"/>
      <c r="AQ146" s="209"/>
      <c r="AR146" s="209"/>
      <c r="AS146" s="209"/>
      <c r="AT146" s="209"/>
      <c r="AU146" s="209"/>
      <c r="AV146" s="209"/>
      <c r="AW146" s="209"/>
      <c r="AX146" s="209"/>
      <c r="AY146" s="209"/>
      <c r="AZ146" s="209"/>
      <c r="BA146" s="209"/>
      <c r="BB146" s="209"/>
      <c r="BC146" s="209"/>
      <c r="BD146" s="209"/>
      <c r="BE146" s="209"/>
      <c r="BF146" s="209"/>
      <c r="BG146" s="209"/>
      <c r="BH146" s="209"/>
      <c r="BI146" s="209"/>
      <c r="BJ146" s="209"/>
      <c r="BK146" s="209"/>
      <c r="BL146" s="209"/>
      <c r="BM146" s="209"/>
      <c r="BN146" s="209"/>
      <c r="BO146" s="209"/>
      <c r="BP146" s="209"/>
      <c r="BQ146" s="209"/>
      <c r="BR146" s="209"/>
      <c r="BS146" s="209"/>
      <c r="BT146" s="209"/>
      <c r="BU146" s="209"/>
      <c r="BV146" s="209"/>
      <c r="BW146" s="209"/>
      <c r="BX146" s="209"/>
      <c r="BY146" s="209"/>
      <c r="BZ146" s="209"/>
      <c r="CA146" s="209"/>
      <c r="CB146" s="209"/>
      <c r="CC146" s="209"/>
      <c r="CD146" s="209"/>
      <c r="CE146" s="209"/>
      <c r="CF146" s="209"/>
      <c r="CG146" s="209"/>
      <c r="CH146" s="209"/>
      <c r="CI146" s="209"/>
      <c r="CJ146" s="209"/>
      <c r="CK146" s="209"/>
      <c r="CL146" s="209"/>
      <c r="CM146" s="209"/>
      <c r="CN146" s="209"/>
      <c r="CO146" s="209"/>
      <c r="CP146" s="209"/>
      <c r="CQ146" s="209"/>
      <c r="CR146" s="209"/>
      <c r="CS146" s="209"/>
      <c r="CT146" s="209"/>
      <c r="CU146" s="209"/>
      <c r="CV146" s="209"/>
      <c r="CW146" s="209"/>
      <c r="CX146" s="209"/>
      <c r="CY146" s="209"/>
      <c r="CZ146" s="209"/>
      <c r="DA146" s="209"/>
      <c r="DB146" s="209"/>
      <c r="DC146" s="209"/>
      <c r="DD146" s="209"/>
      <c r="DE146" s="209"/>
      <c r="DF146" s="209"/>
      <c r="DG146" s="209"/>
      <c r="DH146" s="209"/>
      <c r="DI146" s="209"/>
      <c r="DJ146" s="209"/>
      <c r="DK146" s="209"/>
      <c r="DL146" s="209"/>
      <c r="DM146" s="209"/>
      <c r="DN146" s="209"/>
      <c r="DO146" s="209"/>
      <c r="DP146" s="209"/>
      <c r="DQ146" s="209"/>
      <c r="DR146" s="209"/>
      <c r="DS146" s="209"/>
      <c r="DT146" s="209"/>
      <c r="DU146" s="209"/>
      <c r="DV146" s="209"/>
      <c r="DW146" s="209"/>
      <c r="DX146" s="209"/>
      <c r="DY146" s="209"/>
      <c r="DZ146" s="209"/>
      <c r="EA146" s="209"/>
      <c r="EB146" s="209"/>
      <c r="EC146" s="209"/>
      <c r="ED146" s="209"/>
      <c r="EE146" s="209"/>
      <c r="EF146" s="209"/>
      <c r="EG146" s="209"/>
      <c r="EH146" s="209"/>
      <c r="EI146" s="209"/>
      <c r="EJ146" s="209"/>
      <c r="EK146" s="209"/>
      <c r="EL146" s="209"/>
      <c r="EM146" s="209"/>
      <c r="EN146" s="209"/>
      <c r="EO146" s="209"/>
      <c r="EP146" s="468"/>
      <c r="EQ146" s="469"/>
      <c r="ER146" s="469"/>
      <c r="ES146" s="469"/>
      <c r="ET146" s="469"/>
      <c r="EU146" s="469"/>
      <c r="EV146" s="469"/>
      <c r="EW146" s="469"/>
      <c r="EX146" s="469"/>
      <c r="EY146" s="469"/>
      <c r="EZ146" s="469"/>
      <c r="FA146" s="469"/>
      <c r="FB146" s="469"/>
      <c r="FC146" s="469"/>
      <c r="FD146" s="469"/>
      <c r="FE146" s="469"/>
      <c r="FF146" s="469"/>
      <c r="FG146" s="469"/>
      <c r="FH146" s="469"/>
      <c r="FI146" s="469"/>
      <c r="FJ146" s="469"/>
      <c r="FK146" s="469"/>
      <c r="FL146" s="469"/>
      <c r="FM146" s="469"/>
      <c r="FN146" s="469"/>
      <c r="FO146" s="469"/>
      <c r="FP146" s="469"/>
      <c r="FQ146" s="469"/>
      <c r="FR146" s="469"/>
      <c r="FS146" s="469"/>
      <c r="FT146" s="469"/>
      <c r="FU146" s="469"/>
      <c r="FV146" s="469"/>
      <c r="FW146" s="469"/>
      <c r="FX146" s="469"/>
      <c r="FY146" s="469"/>
      <c r="FZ146" s="469"/>
      <c r="GA146" s="469"/>
      <c r="GB146" s="469"/>
      <c r="GC146" s="469"/>
      <c r="GD146" s="469"/>
      <c r="GE146" s="469"/>
      <c r="GF146" s="469"/>
      <c r="GG146" s="469"/>
      <c r="GH146" s="469"/>
      <c r="GI146" s="469"/>
      <c r="GJ146" s="469"/>
      <c r="GK146" s="469"/>
      <c r="GL146" s="469"/>
      <c r="GM146" s="469"/>
      <c r="GN146" s="469"/>
      <c r="GO146" s="469"/>
      <c r="GP146" s="469"/>
      <c r="GQ146" s="469"/>
      <c r="GR146" s="469"/>
      <c r="GS146" s="469"/>
      <c r="GT146" s="469"/>
      <c r="GU146" s="469"/>
      <c r="GV146" s="469"/>
      <c r="GW146" s="469"/>
      <c r="GX146" s="469"/>
      <c r="GY146" s="469"/>
      <c r="GZ146" s="469"/>
      <c r="HA146" s="469"/>
      <c r="HB146" s="469"/>
      <c r="HC146" s="469"/>
      <c r="HD146" s="469"/>
      <c r="HE146" s="469"/>
      <c r="HF146" s="469"/>
      <c r="HG146" s="469"/>
      <c r="HH146" s="469"/>
      <c r="HI146" s="469"/>
      <c r="HJ146" s="469"/>
      <c r="HK146" s="469"/>
      <c r="HL146" s="469"/>
      <c r="HM146" s="469"/>
      <c r="HN146" s="469"/>
      <c r="HO146" s="469"/>
      <c r="HP146" s="469"/>
      <c r="HQ146" s="469"/>
      <c r="HR146" s="469"/>
      <c r="HS146" s="469"/>
      <c r="HT146" s="469"/>
      <c r="HU146" s="469"/>
      <c r="HV146" s="469"/>
      <c r="HW146" s="469"/>
      <c r="HX146" s="469"/>
      <c r="HY146" s="469"/>
      <c r="HZ146" s="469"/>
      <c r="IA146" s="469"/>
      <c r="IB146" s="469"/>
      <c r="IC146" s="469"/>
      <c r="ID146" s="469"/>
      <c r="IE146" s="469"/>
      <c r="IF146" s="469"/>
      <c r="IG146" s="469"/>
      <c r="IH146" s="469"/>
      <c r="II146" s="469"/>
      <c r="IJ146" s="469"/>
      <c r="IK146" s="469"/>
      <c r="IL146" s="469"/>
      <c r="IM146" s="469"/>
      <c r="IN146" s="469"/>
      <c r="IO146" s="469"/>
      <c r="IP146" s="469"/>
      <c r="IQ146" s="469"/>
      <c r="IR146" s="469"/>
      <c r="IS146" s="469"/>
      <c r="IT146" s="469"/>
      <c r="IU146" s="469"/>
      <c r="IV146" s="469"/>
      <c r="IW146" s="469"/>
      <c r="IX146" s="469"/>
      <c r="IY146" s="469"/>
      <c r="IZ146" s="469"/>
      <c r="JA146" s="469"/>
      <c r="JB146" s="469"/>
      <c r="JC146" s="469"/>
      <c r="JD146" s="469"/>
      <c r="JE146" s="469"/>
      <c r="JF146" s="469"/>
      <c r="JG146" s="469"/>
      <c r="JH146" s="469"/>
      <c r="JI146" s="469"/>
      <c r="JJ146" s="469"/>
      <c r="JK146" s="469"/>
      <c r="JL146" s="469"/>
      <c r="JM146" s="469"/>
      <c r="JN146" s="469"/>
      <c r="JO146" s="469"/>
      <c r="JP146" s="469"/>
      <c r="JQ146" s="469"/>
      <c r="JR146" s="469"/>
      <c r="JS146" s="469"/>
      <c r="JT146" s="469"/>
      <c r="JU146" s="469"/>
      <c r="JV146" s="469"/>
      <c r="JW146" s="469"/>
      <c r="JX146" s="20"/>
      <c r="JZ146" s="470"/>
      <c r="KA146" s="470"/>
      <c r="KB146" s="470"/>
      <c r="KC146" s="470"/>
      <c r="KD146" s="470"/>
      <c r="KE146" s="470"/>
      <c r="KF146" s="470"/>
      <c r="KG146" s="470"/>
      <c r="KH146" s="470"/>
      <c r="KI146" s="470"/>
      <c r="KJ146" s="470"/>
      <c r="KK146" s="470"/>
      <c r="KL146" s="470"/>
      <c r="KM146" s="470"/>
      <c r="KN146" s="470"/>
      <c r="KO146" s="470"/>
      <c r="KP146" s="470"/>
      <c r="KQ146" s="470"/>
      <c r="KR146" s="470"/>
      <c r="KS146" s="470"/>
      <c r="KT146" s="470"/>
      <c r="KU146" s="470"/>
      <c r="KV146" s="470"/>
      <c r="KW146" s="470"/>
      <c r="KX146" s="470"/>
      <c r="KY146" s="470"/>
      <c r="KZ146" s="470"/>
      <c r="LA146" s="470"/>
      <c r="LB146" s="470"/>
      <c r="LC146" s="470"/>
      <c r="LD146" s="470"/>
      <c r="LE146" s="470"/>
      <c r="LF146" s="470"/>
      <c r="LG146" s="470"/>
      <c r="LH146" s="470"/>
      <c r="LI146" s="470"/>
      <c r="LJ146" s="470"/>
      <c r="LK146" s="470"/>
      <c r="LL146" s="470"/>
      <c r="LM146" s="470"/>
      <c r="LN146" s="470"/>
      <c r="LO146" s="470"/>
      <c r="LP146" s="470"/>
      <c r="LQ146" s="470"/>
      <c r="LR146" s="470"/>
      <c r="LS146" s="470"/>
      <c r="LT146" s="470"/>
      <c r="LU146" s="470"/>
      <c r="LV146" s="470"/>
      <c r="LW146" s="470"/>
      <c r="LX146" s="470"/>
      <c r="LY146" s="470"/>
      <c r="LZ146" s="470"/>
      <c r="MA146" s="470"/>
      <c r="MB146" s="470"/>
      <c r="MC146" s="470"/>
      <c r="MD146" s="470"/>
      <c r="ME146" s="470"/>
      <c r="MF146" s="470"/>
      <c r="MG146" s="470"/>
      <c r="MH146" s="470"/>
      <c r="MI146" s="470"/>
      <c r="MJ146" s="470"/>
      <c r="MK146" s="470"/>
      <c r="ML146" s="470"/>
      <c r="MM146" s="470"/>
      <c r="MN146" s="470"/>
      <c r="MO146" s="470"/>
      <c r="MP146" s="470"/>
      <c r="MQ146" s="470"/>
      <c r="MR146" s="470"/>
      <c r="MS146" s="470"/>
      <c r="MT146" s="470"/>
      <c r="MU146" s="470"/>
      <c r="MV146" s="470"/>
      <c r="MW146" s="470"/>
      <c r="MX146" s="470"/>
      <c r="MY146" s="470"/>
      <c r="MZ146" s="470"/>
      <c r="NA146" s="470"/>
      <c r="NB146" s="470"/>
      <c r="NC146" s="470"/>
      <c r="ND146" s="470"/>
      <c r="NE146" s="470"/>
      <c r="NF146" s="470"/>
      <c r="NG146" s="470"/>
      <c r="NH146" s="470"/>
      <c r="NI146" s="470"/>
      <c r="NJ146" s="470"/>
      <c r="NK146" s="470"/>
      <c r="NL146" s="470"/>
      <c r="NM146" s="470"/>
      <c r="NN146" s="470"/>
      <c r="NO146" s="470"/>
      <c r="NP146" s="470"/>
      <c r="NQ146" s="470"/>
      <c r="NR146" s="470"/>
      <c r="NS146" s="470"/>
      <c r="NT146" s="470"/>
      <c r="NU146" s="470"/>
      <c r="NV146" s="470"/>
      <c r="NW146" s="470"/>
      <c r="NX146" s="470"/>
      <c r="NY146" s="470"/>
      <c r="NZ146" s="470"/>
      <c r="OA146" s="470"/>
      <c r="OB146" s="470"/>
      <c r="OC146" s="470"/>
      <c r="OD146" s="470"/>
      <c r="OE146" s="470"/>
      <c r="OF146" s="470"/>
      <c r="OG146" s="470"/>
      <c r="OH146" s="470"/>
      <c r="OI146" s="470"/>
      <c r="OJ146" s="470"/>
      <c r="OK146" s="470"/>
      <c r="OL146" s="470"/>
      <c r="OM146" s="470"/>
      <c r="ON146" s="470"/>
      <c r="OO146" s="470"/>
      <c r="OP146" s="470"/>
      <c r="OQ146" s="470"/>
      <c r="OR146" s="470"/>
      <c r="OS146" s="470"/>
      <c r="OT146" s="470"/>
      <c r="OU146" s="470"/>
      <c r="OV146" s="470"/>
      <c r="OW146" s="470"/>
      <c r="OX146" s="470"/>
      <c r="OY146" s="470"/>
      <c r="OZ146" s="470"/>
      <c r="PA146" s="470"/>
      <c r="PB146" s="470"/>
      <c r="PC146" s="470"/>
      <c r="PD146" s="470"/>
      <c r="PE146" s="470"/>
      <c r="PF146" s="470"/>
      <c r="PG146" s="470"/>
      <c r="PH146" s="470"/>
    </row>
    <row r="147">
      <c r="B147" s="92" t="s">
        <v>301</v>
      </c>
      <c r="C147" s="54"/>
      <c r="D147" s="54">
        <v>0.06</v>
      </c>
      <c r="E147" s="54">
        <v>0.04</v>
      </c>
      <c r="F147" s="157"/>
      <c r="G147" s="49" t="s">
        <v>302</v>
      </c>
      <c r="H147" s="428" t="n">
        <f>SUM(H144:H146)</f>
        <v>4672780.95</v>
      </c>
      <c r="I147" s="428" t="n">
        <f>SUM(I144:I146)</f>
        <v>5177671.425</v>
      </c>
      <c r="K147" s="500"/>
      <c r="L147" s="209"/>
      <c r="M147" s="209"/>
      <c r="N147" s="209"/>
      <c r="O147" s="209"/>
      <c r="P147" s="209"/>
      <c r="Q147" s="209"/>
      <c r="R147" s="209"/>
      <c r="S147" s="209"/>
      <c r="T147" s="209"/>
      <c r="U147" s="209"/>
      <c r="V147" s="209"/>
      <c r="W147" s="209"/>
      <c r="X147" s="209"/>
      <c r="Y147" s="209"/>
      <c r="Z147" s="209"/>
      <c r="AA147" s="209"/>
      <c r="AB147" s="209"/>
      <c r="AC147" s="209"/>
      <c r="AD147" s="209"/>
      <c r="AE147" s="209"/>
      <c r="AF147" s="209"/>
      <c r="AG147" s="209"/>
      <c r="AH147" s="209"/>
      <c r="AI147" s="209"/>
      <c r="AJ147" s="209"/>
      <c r="AK147" s="209"/>
      <c r="AL147" s="209"/>
      <c r="AM147" s="209"/>
      <c r="AN147" s="209"/>
      <c r="AO147" s="209"/>
      <c r="AP147" s="209"/>
      <c r="AQ147" s="209"/>
      <c r="AR147" s="209"/>
      <c r="AS147" s="209"/>
      <c r="AT147" s="209"/>
      <c r="AU147" s="209"/>
      <c r="AV147" s="209"/>
      <c r="AW147" s="209"/>
      <c r="AX147" s="209"/>
      <c r="AY147" s="209"/>
      <c r="AZ147" s="209"/>
      <c r="BA147" s="209"/>
      <c r="BB147" s="209"/>
      <c r="BC147" s="209"/>
      <c r="BD147" s="209"/>
      <c r="BE147" s="209"/>
      <c r="BF147" s="209"/>
      <c r="BG147" s="209"/>
      <c r="BH147" s="209"/>
      <c r="BI147" s="209"/>
      <c r="BJ147" s="209"/>
      <c r="BK147" s="209"/>
      <c r="BL147" s="209"/>
      <c r="BM147" s="209"/>
      <c r="BN147" s="209"/>
      <c r="BO147" s="209"/>
      <c r="BP147" s="209"/>
      <c r="BQ147" s="209"/>
      <c r="BR147" s="209"/>
      <c r="BS147" s="209"/>
      <c r="BT147" s="209"/>
      <c r="BU147" s="209"/>
      <c r="BV147" s="209"/>
      <c r="BW147" s="209"/>
      <c r="BX147" s="209"/>
      <c r="BY147" s="209"/>
      <c r="BZ147" s="209"/>
      <c r="CA147" s="209"/>
      <c r="CB147" s="209"/>
      <c r="CC147" s="209"/>
      <c r="CD147" s="209"/>
      <c r="CE147" s="209"/>
      <c r="CF147" s="209"/>
      <c r="CG147" s="209"/>
      <c r="CH147" s="209"/>
      <c r="CI147" s="209"/>
      <c r="CJ147" s="209"/>
      <c r="CK147" s="209"/>
      <c r="CL147" s="209"/>
      <c r="CM147" s="209"/>
      <c r="CN147" s="209"/>
      <c r="CO147" s="209"/>
      <c r="CP147" s="209"/>
      <c r="CQ147" s="209"/>
      <c r="CR147" s="209"/>
      <c r="CS147" s="209"/>
      <c r="CT147" s="209"/>
      <c r="CU147" s="209"/>
      <c r="CV147" s="209"/>
      <c r="CW147" s="209"/>
      <c r="CX147" s="209"/>
      <c r="CY147" s="209"/>
      <c r="CZ147" s="209"/>
      <c r="DA147" s="209"/>
      <c r="DB147" s="209"/>
      <c r="DC147" s="209"/>
      <c r="DD147" s="209"/>
      <c r="DE147" s="209"/>
      <c r="DF147" s="209"/>
      <c r="DG147" s="209"/>
      <c r="DH147" s="209"/>
      <c r="DI147" s="209"/>
      <c r="DJ147" s="209"/>
      <c r="DK147" s="209"/>
      <c r="DL147" s="209"/>
      <c r="DM147" s="209"/>
      <c r="DN147" s="209"/>
      <c r="DO147" s="209"/>
      <c r="DP147" s="209"/>
      <c r="DQ147" s="209"/>
      <c r="DR147" s="209"/>
      <c r="DS147" s="209"/>
      <c r="DT147" s="209"/>
      <c r="DU147" s="209"/>
      <c r="DV147" s="209"/>
      <c r="DW147" s="209"/>
      <c r="DX147" s="209"/>
      <c r="DY147" s="209"/>
      <c r="DZ147" s="209"/>
      <c r="EA147" s="209"/>
      <c r="EB147" s="209"/>
      <c r="EC147" s="209"/>
      <c r="ED147" s="209"/>
      <c r="EE147" s="209"/>
      <c r="EF147" s="209"/>
      <c r="EG147" s="209"/>
      <c r="EH147" s="209"/>
      <c r="EI147" s="209"/>
      <c r="EJ147" s="209"/>
      <c r="EK147" s="209"/>
      <c r="EL147" s="209"/>
      <c r="EM147" s="209"/>
      <c r="EN147" s="209"/>
      <c r="EO147" s="209"/>
      <c r="EP147" s="468"/>
      <c r="EQ147" s="469"/>
      <c r="ER147" s="469"/>
      <c r="ES147" s="469"/>
      <c r="ET147" s="469"/>
      <c r="EU147" s="469"/>
      <c r="EV147" s="469"/>
      <c r="EW147" s="469"/>
      <c r="EX147" s="469"/>
      <c r="EY147" s="469"/>
      <c r="EZ147" s="469"/>
      <c r="FA147" s="469"/>
      <c r="FB147" s="469"/>
      <c r="FC147" s="469"/>
      <c r="FD147" s="469"/>
      <c r="FE147" s="469"/>
      <c r="FF147" s="469"/>
      <c r="FG147" s="469"/>
      <c r="FH147" s="469"/>
      <c r="FI147" s="469"/>
      <c r="FJ147" s="469"/>
      <c r="FK147" s="469"/>
      <c r="FL147" s="469"/>
      <c r="FM147" s="469"/>
      <c r="FN147" s="469"/>
      <c r="FO147" s="469"/>
      <c r="FP147" s="469"/>
      <c r="FQ147" s="469"/>
      <c r="FR147" s="469"/>
      <c r="FS147" s="469"/>
      <c r="FT147" s="469"/>
      <c r="FU147" s="469"/>
      <c r="FV147" s="469"/>
      <c r="FW147" s="469"/>
      <c r="FX147" s="469"/>
      <c r="FY147" s="469"/>
      <c r="FZ147" s="469"/>
      <c r="GA147" s="469"/>
      <c r="GB147" s="469"/>
      <c r="GC147" s="469"/>
      <c r="GD147" s="469"/>
      <c r="GE147" s="469"/>
      <c r="GF147" s="469"/>
      <c r="GG147" s="469"/>
      <c r="GH147" s="469"/>
      <c r="GI147" s="469"/>
      <c r="GJ147" s="469"/>
      <c r="GK147" s="469"/>
      <c r="GL147" s="469"/>
      <c r="GM147" s="469"/>
      <c r="GN147" s="469"/>
      <c r="GO147" s="469"/>
      <c r="GP147" s="469"/>
      <c r="GQ147" s="469"/>
      <c r="GR147" s="469"/>
      <c r="GS147" s="469"/>
      <c r="GT147" s="469"/>
      <c r="GU147" s="469"/>
      <c r="GV147" s="469"/>
      <c r="GW147" s="469"/>
      <c r="GX147" s="469"/>
      <c r="GY147" s="469"/>
      <c r="GZ147" s="469"/>
      <c r="HA147" s="469"/>
      <c r="HB147" s="469"/>
      <c r="HC147" s="469"/>
      <c r="HD147" s="469"/>
      <c r="HE147" s="469"/>
      <c r="HF147" s="469"/>
      <c r="HG147" s="469"/>
      <c r="HH147" s="469"/>
      <c r="HI147" s="469"/>
      <c r="HJ147" s="469"/>
      <c r="HK147" s="469"/>
      <c r="HL147" s="469"/>
      <c r="HM147" s="469"/>
      <c r="HN147" s="469"/>
      <c r="HO147" s="469"/>
      <c r="HP147" s="469"/>
      <c r="HQ147" s="469"/>
      <c r="HR147" s="469"/>
      <c r="HS147" s="469"/>
      <c r="HT147" s="469"/>
      <c r="HU147" s="469"/>
      <c r="HV147" s="469"/>
      <c r="HW147" s="469"/>
      <c r="HX147" s="469"/>
      <c r="HY147" s="469"/>
      <c r="HZ147" s="469"/>
      <c r="IA147" s="469"/>
      <c r="IB147" s="469"/>
      <c r="IC147" s="469"/>
      <c r="ID147" s="469"/>
      <c r="IE147" s="469"/>
      <c r="IF147" s="469"/>
      <c r="IG147" s="469"/>
      <c r="IH147" s="469"/>
      <c r="II147" s="469"/>
      <c r="IJ147" s="469"/>
      <c r="IK147" s="469"/>
      <c r="IL147" s="469"/>
      <c r="IM147" s="469"/>
      <c r="IN147" s="469"/>
      <c r="IO147" s="469"/>
      <c r="IP147" s="469"/>
      <c r="IQ147" s="469"/>
      <c r="IR147" s="469"/>
      <c r="IS147" s="469"/>
      <c r="IT147" s="469"/>
      <c r="IU147" s="469"/>
      <c r="IV147" s="469"/>
      <c r="IW147" s="469"/>
      <c r="IX147" s="469"/>
      <c r="IY147" s="469"/>
      <c r="IZ147" s="469"/>
      <c r="JA147" s="469"/>
      <c r="JB147" s="469"/>
      <c r="JC147" s="469"/>
      <c r="JD147" s="469"/>
      <c r="JE147" s="469"/>
      <c r="JF147" s="469"/>
      <c r="JG147" s="469"/>
      <c r="JH147" s="469"/>
      <c r="JI147" s="469"/>
      <c r="JJ147" s="469"/>
      <c r="JK147" s="469"/>
      <c r="JL147" s="469"/>
      <c r="JM147" s="469"/>
      <c r="JN147" s="469"/>
      <c r="JO147" s="469"/>
      <c r="JP147" s="469"/>
      <c r="JQ147" s="469"/>
      <c r="JR147" s="469"/>
      <c r="JS147" s="469"/>
      <c r="JT147" s="469"/>
      <c r="JU147" s="469"/>
      <c r="JV147" s="469"/>
      <c r="JW147" s="469"/>
      <c r="JX147" s="20"/>
      <c r="JZ147" s="470"/>
      <c r="KA147" s="470"/>
      <c r="KB147" s="470"/>
      <c r="KC147" s="470"/>
      <c r="KD147" s="470"/>
      <c r="KE147" s="470"/>
      <c r="KF147" s="470"/>
      <c r="KG147" s="470"/>
      <c r="KH147" s="470"/>
      <c r="KI147" s="470"/>
      <c r="KJ147" s="470"/>
      <c r="KK147" s="470"/>
      <c r="KL147" s="470"/>
      <c r="KM147" s="470"/>
      <c r="KN147" s="470"/>
      <c r="KO147" s="470"/>
      <c r="KP147" s="470"/>
      <c r="KQ147" s="470"/>
      <c r="KR147" s="470"/>
      <c r="KS147" s="470"/>
      <c r="KT147" s="470"/>
      <c r="KU147" s="470"/>
      <c r="KV147" s="470"/>
      <c r="KW147" s="470"/>
      <c r="KX147" s="470"/>
      <c r="KY147" s="470"/>
      <c r="KZ147" s="470"/>
      <c r="LA147" s="470"/>
      <c r="LB147" s="470"/>
      <c r="LC147" s="470"/>
      <c r="LD147" s="470"/>
      <c r="LE147" s="470"/>
      <c r="LF147" s="470"/>
      <c r="LG147" s="470"/>
      <c r="LH147" s="470"/>
      <c r="LI147" s="470"/>
      <c r="LJ147" s="470"/>
      <c r="LK147" s="470"/>
      <c r="LL147" s="470"/>
      <c r="LM147" s="470"/>
      <c r="LN147" s="470"/>
      <c r="LO147" s="470"/>
      <c r="LP147" s="470"/>
      <c r="LQ147" s="470"/>
      <c r="LR147" s="470"/>
      <c r="LS147" s="470"/>
      <c r="LT147" s="470"/>
      <c r="LU147" s="470"/>
      <c r="LV147" s="470"/>
      <c r="LW147" s="470"/>
      <c r="LX147" s="470"/>
      <c r="LY147" s="470"/>
      <c r="LZ147" s="470"/>
      <c r="MA147" s="470"/>
      <c r="MB147" s="470"/>
      <c r="MC147" s="470"/>
      <c r="MD147" s="470"/>
      <c r="ME147" s="470"/>
      <c r="MF147" s="470"/>
      <c r="MG147" s="470"/>
      <c r="MH147" s="470"/>
      <c r="MI147" s="470"/>
      <c r="MJ147" s="470"/>
      <c r="MK147" s="470"/>
      <c r="ML147" s="470"/>
      <c r="MM147" s="470"/>
      <c r="MN147" s="470"/>
      <c r="MO147" s="470"/>
      <c r="MP147" s="470"/>
      <c r="MQ147" s="470"/>
      <c r="MR147" s="470"/>
      <c r="MS147" s="470"/>
      <c r="MT147" s="470"/>
      <c r="MU147" s="470"/>
      <c r="MV147" s="470"/>
      <c r="MW147" s="470"/>
      <c r="MX147" s="470"/>
      <c r="MY147" s="470"/>
      <c r="MZ147" s="470"/>
      <c r="NA147" s="470"/>
      <c r="NB147" s="470"/>
      <c r="NC147" s="470"/>
      <c r="ND147" s="470"/>
      <c r="NE147" s="470"/>
      <c r="NF147" s="470"/>
      <c r="NG147" s="470"/>
      <c r="NH147" s="470"/>
      <c r="NI147" s="470"/>
      <c r="NJ147" s="470"/>
      <c r="NK147" s="470"/>
      <c r="NL147" s="470"/>
      <c r="NM147" s="470"/>
      <c r="NN147" s="470"/>
      <c r="NO147" s="470"/>
      <c r="NP147" s="470"/>
      <c r="NQ147" s="470"/>
      <c r="NR147" s="470"/>
      <c r="NS147" s="470"/>
      <c r="NT147" s="470"/>
      <c r="NU147" s="470"/>
      <c r="NV147" s="470"/>
      <c r="NW147" s="470"/>
      <c r="NX147" s="470"/>
      <c r="NY147" s="470"/>
      <c r="NZ147" s="470"/>
      <c r="OA147" s="470"/>
      <c r="OB147" s="470"/>
      <c r="OC147" s="470"/>
      <c r="OD147" s="470"/>
      <c r="OE147" s="470"/>
      <c r="OF147" s="470"/>
      <c r="OG147" s="470"/>
      <c r="OH147" s="470"/>
      <c r="OI147" s="470"/>
      <c r="OJ147" s="470"/>
      <c r="OK147" s="470"/>
      <c r="OL147" s="470"/>
      <c r="OM147" s="470"/>
      <c r="ON147" s="470"/>
      <c r="OO147" s="470"/>
      <c r="OP147" s="470"/>
      <c r="OQ147" s="470"/>
      <c r="OR147" s="470"/>
      <c r="OS147" s="470"/>
      <c r="OT147" s="470"/>
      <c r="OU147" s="470"/>
      <c r="OV147" s="470"/>
      <c r="OW147" s="470"/>
      <c r="OX147" s="470"/>
      <c r="OY147" s="470"/>
      <c r="OZ147" s="470"/>
      <c r="PA147" s="470"/>
      <c r="PB147" s="470"/>
      <c r="PC147" s="470"/>
      <c r="PD147" s="470"/>
      <c r="PE147" s="470"/>
      <c r="PF147" s="470"/>
      <c r="PG147" s="470"/>
      <c r="PH147" s="470"/>
    </row>
    <row r="148">
      <c r="B148" s="159" t="s">
        <v>303</v>
      </c>
      <c r="C148" s="160"/>
      <c r="D148" s="160">
        <v>10</v>
      </c>
      <c r="E148" s="160">
        <v>10</v>
      </c>
      <c r="F148" s="157"/>
      <c r="G148" s="49" t="s">
        <v>304</v>
      </c>
      <c r="H148" s="428" t="n">
        <f>H147/D148</f>
        <v>467278.09500000003</v>
      </c>
      <c r="I148" s="428" t="n">
        <f>I147/E148</f>
        <v>517767.14249999996</v>
      </c>
      <c r="K148" s="500"/>
      <c r="L148" s="209"/>
      <c r="M148" s="209"/>
      <c r="N148" s="209"/>
      <c r="O148" s="209"/>
      <c r="P148" s="209"/>
      <c r="Q148" s="209"/>
      <c r="R148" s="209"/>
      <c r="S148" s="209"/>
      <c r="T148" s="209"/>
      <c r="U148" s="209"/>
      <c r="V148" s="209"/>
      <c r="W148" s="209"/>
      <c r="X148" s="209"/>
      <c r="Y148" s="209"/>
      <c r="Z148" s="209"/>
      <c r="AA148" s="209"/>
      <c r="AB148" s="209"/>
      <c r="AC148" s="209"/>
      <c r="AD148" s="209"/>
      <c r="AE148" s="209"/>
      <c r="AF148" s="209"/>
      <c r="AG148" s="209"/>
      <c r="AH148" s="209"/>
      <c r="AI148" s="209"/>
      <c r="AJ148" s="209"/>
      <c r="AK148" s="209"/>
      <c r="AL148" s="209"/>
      <c r="AM148" s="209"/>
      <c r="AN148" s="209"/>
      <c r="AO148" s="209"/>
      <c r="AP148" s="209"/>
      <c r="AQ148" s="209"/>
      <c r="AR148" s="209"/>
      <c r="AS148" s="209"/>
      <c r="AT148" s="209"/>
      <c r="AU148" s="209"/>
      <c r="AV148" s="209"/>
      <c r="AW148" s="209"/>
      <c r="AX148" s="209"/>
      <c r="AY148" s="209"/>
      <c r="AZ148" s="209"/>
      <c r="BA148" s="209"/>
      <c r="BB148" s="209"/>
      <c r="BC148" s="209"/>
      <c r="BD148" s="209"/>
      <c r="BE148" s="209"/>
      <c r="BF148" s="209"/>
      <c r="BG148" s="209"/>
      <c r="BH148" s="209"/>
      <c r="BI148" s="209"/>
      <c r="BJ148" s="209"/>
      <c r="BK148" s="209"/>
      <c r="BL148" s="209"/>
      <c r="BM148" s="209"/>
      <c r="BN148" s="209"/>
      <c r="BO148" s="209"/>
      <c r="BP148" s="209"/>
      <c r="BQ148" s="209"/>
      <c r="BR148" s="209"/>
      <c r="BS148" s="209"/>
      <c r="BT148" s="209"/>
      <c r="BU148" s="209"/>
      <c r="BV148" s="209"/>
      <c r="BW148" s="209"/>
      <c r="BX148" s="209"/>
      <c r="BY148" s="209"/>
      <c r="BZ148" s="209"/>
      <c r="CA148" s="209"/>
      <c r="CB148" s="209"/>
      <c r="CC148" s="209"/>
      <c r="CD148" s="209"/>
      <c r="CE148" s="209"/>
      <c r="CF148" s="209"/>
      <c r="CG148" s="209"/>
      <c r="CH148" s="209"/>
      <c r="CI148" s="209"/>
      <c r="CJ148" s="209"/>
      <c r="CK148" s="209"/>
      <c r="CL148" s="209"/>
      <c r="CM148" s="209"/>
      <c r="CN148" s="209"/>
      <c r="CO148" s="209"/>
      <c r="CP148" s="209"/>
      <c r="CQ148" s="209"/>
      <c r="CR148" s="209"/>
      <c r="CS148" s="209"/>
      <c r="CT148" s="209"/>
      <c r="CU148" s="209"/>
      <c r="CV148" s="209"/>
      <c r="CW148" s="209"/>
      <c r="CX148" s="209"/>
      <c r="CY148" s="209"/>
      <c r="CZ148" s="209"/>
      <c r="DA148" s="209"/>
      <c r="DB148" s="209"/>
      <c r="DC148" s="209"/>
      <c r="DD148" s="209"/>
      <c r="DE148" s="209"/>
      <c r="DF148" s="209"/>
      <c r="DG148" s="209"/>
      <c r="DH148" s="209"/>
      <c r="DI148" s="209"/>
      <c r="DJ148" s="209"/>
      <c r="DK148" s="209"/>
      <c r="DL148" s="209"/>
      <c r="DM148" s="209"/>
      <c r="DN148" s="209"/>
      <c r="DO148" s="209"/>
      <c r="DP148" s="209"/>
      <c r="DQ148" s="209"/>
      <c r="DR148" s="209"/>
      <c r="DS148" s="209"/>
      <c r="DT148" s="209"/>
      <c r="DU148" s="209"/>
      <c r="DV148" s="209"/>
      <c r="DW148" s="209"/>
      <c r="DX148" s="209"/>
      <c r="DY148" s="209"/>
      <c r="DZ148" s="209"/>
      <c r="EA148" s="209"/>
      <c r="EB148" s="209"/>
      <c r="EC148" s="209"/>
      <c r="ED148" s="209"/>
      <c r="EE148" s="209"/>
      <c r="EF148" s="209"/>
      <c r="EG148" s="209"/>
      <c r="EH148" s="209"/>
      <c r="EI148" s="209"/>
      <c r="EJ148" s="209"/>
      <c r="EK148" s="209"/>
      <c r="EL148" s="209"/>
      <c r="EM148" s="209"/>
      <c r="EN148" s="209"/>
      <c r="EO148" s="209"/>
      <c r="EP148" s="468"/>
      <c r="EQ148" s="469"/>
      <c r="ER148" s="469"/>
      <c r="ES148" s="469"/>
      <c r="ET148" s="469"/>
      <c r="EU148" s="469"/>
      <c r="EV148" s="469"/>
      <c r="EW148" s="469"/>
      <c r="EX148" s="469"/>
      <c r="EY148" s="469"/>
      <c r="EZ148" s="469"/>
      <c r="FA148" s="469"/>
      <c r="FB148" s="469"/>
      <c r="FC148" s="469"/>
      <c r="FD148" s="469"/>
      <c r="FE148" s="469"/>
      <c r="FF148" s="469"/>
      <c r="FG148" s="469"/>
      <c r="FH148" s="469"/>
      <c r="FI148" s="469"/>
      <c r="FJ148" s="469"/>
      <c r="FK148" s="469"/>
      <c r="FL148" s="469"/>
      <c r="FM148" s="469"/>
      <c r="FN148" s="469"/>
      <c r="FO148" s="469"/>
      <c r="FP148" s="469"/>
      <c r="FQ148" s="469"/>
      <c r="FR148" s="469"/>
      <c r="FS148" s="469"/>
      <c r="FT148" s="469"/>
      <c r="FU148" s="469"/>
      <c r="FV148" s="469"/>
      <c r="FW148" s="469"/>
      <c r="FX148" s="469"/>
      <c r="FY148" s="469"/>
      <c r="FZ148" s="469"/>
      <c r="GA148" s="469"/>
      <c r="GB148" s="469"/>
      <c r="GC148" s="469"/>
      <c r="GD148" s="469"/>
      <c r="GE148" s="469"/>
      <c r="GF148" s="469"/>
      <c r="GG148" s="469"/>
      <c r="GH148" s="469"/>
      <c r="GI148" s="469"/>
      <c r="GJ148" s="469"/>
      <c r="GK148" s="469"/>
      <c r="GL148" s="469"/>
      <c r="GM148" s="469"/>
      <c r="GN148" s="469"/>
      <c r="GO148" s="469"/>
      <c r="GP148" s="469"/>
      <c r="GQ148" s="469"/>
      <c r="GR148" s="469"/>
      <c r="GS148" s="469"/>
      <c r="GT148" s="469"/>
      <c r="GU148" s="469"/>
      <c r="GV148" s="469"/>
      <c r="GW148" s="469"/>
      <c r="GX148" s="469"/>
      <c r="GY148" s="469"/>
      <c r="GZ148" s="469"/>
      <c r="HA148" s="469"/>
      <c r="HB148" s="469"/>
      <c r="HC148" s="469"/>
      <c r="HD148" s="469"/>
      <c r="HE148" s="469"/>
      <c r="HF148" s="469"/>
      <c r="HG148" s="469"/>
      <c r="HH148" s="469"/>
      <c r="HI148" s="469"/>
      <c r="HJ148" s="469"/>
      <c r="HK148" s="469"/>
      <c r="HL148" s="469"/>
      <c r="HM148" s="469"/>
      <c r="HN148" s="469"/>
      <c r="HO148" s="469"/>
      <c r="HP148" s="469"/>
      <c r="HQ148" s="469"/>
      <c r="HR148" s="469"/>
      <c r="HS148" s="469"/>
      <c r="HT148" s="469"/>
      <c r="HU148" s="469"/>
      <c r="HV148" s="469"/>
      <c r="HW148" s="469"/>
      <c r="HX148" s="469"/>
      <c r="HY148" s="469"/>
      <c r="HZ148" s="469"/>
      <c r="IA148" s="469"/>
      <c r="IB148" s="469"/>
      <c r="IC148" s="469"/>
      <c r="ID148" s="469"/>
      <c r="IE148" s="469"/>
      <c r="IF148" s="469"/>
      <c r="IG148" s="469"/>
      <c r="IH148" s="469"/>
      <c r="II148" s="469"/>
      <c r="IJ148" s="469"/>
      <c r="IK148" s="469"/>
      <c r="IL148" s="469"/>
      <c r="IM148" s="469"/>
      <c r="IN148" s="469"/>
      <c r="IO148" s="469"/>
      <c r="IP148" s="469"/>
      <c r="IQ148" s="469"/>
      <c r="IR148" s="469"/>
      <c r="IS148" s="469"/>
      <c r="IT148" s="469"/>
      <c r="IU148" s="469"/>
      <c r="IV148" s="469"/>
      <c r="IW148" s="469"/>
      <c r="IX148" s="469"/>
      <c r="IY148" s="469"/>
      <c r="IZ148" s="469"/>
      <c r="JA148" s="469"/>
      <c r="JB148" s="469"/>
      <c r="JC148" s="469"/>
      <c r="JD148" s="469"/>
      <c r="JE148" s="469"/>
      <c r="JF148" s="469"/>
      <c r="JG148" s="469"/>
      <c r="JH148" s="469"/>
      <c r="JI148" s="469"/>
      <c r="JJ148" s="469"/>
      <c r="JK148" s="469"/>
      <c r="JL148" s="469"/>
      <c r="JM148" s="469"/>
      <c r="JN148" s="469"/>
      <c r="JO148" s="469"/>
      <c r="JP148" s="469"/>
      <c r="JQ148" s="469"/>
      <c r="JR148" s="469"/>
      <c r="JS148" s="469"/>
      <c r="JT148" s="469"/>
      <c r="JU148" s="469"/>
      <c r="JV148" s="469"/>
      <c r="JW148" s="469"/>
      <c r="JX148" s="20"/>
      <c r="JZ148" s="470"/>
      <c r="KA148" s="470"/>
      <c r="KB148" s="470"/>
      <c r="KC148" s="470"/>
      <c r="KD148" s="470"/>
      <c r="KE148" s="470"/>
      <c r="KF148" s="470"/>
      <c r="KG148" s="470"/>
      <c r="KH148" s="470"/>
      <c r="KI148" s="470"/>
      <c r="KJ148" s="470"/>
      <c r="KK148" s="470"/>
      <c r="KL148" s="470"/>
      <c r="KM148" s="470"/>
      <c r="KN148" s="470"/>
      <c r="KO148" s="470"/>
      <c r="KP148" s="470"/>
      <c r="KQ148" s="470"/>
      <c r="KR148" s="470"/>
      <c r="KS148" s="470"/>
      <c r="KT148" s="470"/>
      <c r="KU148" s="470"/>
      <c r="KV148" s="470"/>
      <c r="KW148" s="470"/>
      <c r="KX148" s="470"/>
      <c r="KY148" s="470"/>
      <c r="KZ148" s="470"/>
      <c r="LA148" s="470"/>
      <c r="LB148" s="470"/>
      <c r="LC148" s="470"/>
      <c r="LD148" s="470"/>
      <c r="LE148" s="470"/>
      <c r="LF148" s="470"/>
      <c r="LG148" s="470"/>
      <c r="LH148" s="470"/>
      <c r="LI148" s="470"/>
      <c r="LJ148" s="470"/>
      <c r="LK148" s="470"/>
      <c r="LL148" s="470"/>
      <c r="LM148" s="470"/>
      <c r="LN148" s="470"/>
      <c r="LO148" s="470"/>
      <c r="LP148" s="470"/>
      <c r="LQ148" s="470"/>
      <c r="LR148" s="470"/>
      <c r="LS148" s="470"/>
      <c r="LT148" s="470"/>
      <c r="LU148" s="470"/>
      <c r="LV148" s="470"/>
      <c r="LW148" s="470"/>
      <c r="LX148" s="470"/>
      <c r="LY148" s="470"/>
      <c r="LZ148" s="470"/>
      <c r="MA148" s="470"/>
      <c r="MB148" s="470"/>
      <c r="MC148" s="470"/>
      <c r="MD148" s="470"/>
      <c r="ME148" s="470"/>
      <c r="MF148" s="470"/>
      <c r="MG148" s="470"/>
      <c r="MH148" s="470"/>
      <c r="MI148" s="470"/>
      <c r="MJ148" s="470"/>
      <c r="MK148" s="470"/>
      <c r="ML148" s="470"/>
      <c r="MM148" s="470"/>
      <c r="MN148" s="470"/>
      <c r="MO148" s="470"/>
      <c r="MP148" s="470"/>
      <c r="MQ148" s="470"/>
      <c r="MR148" s="470"/>
      <c r="MS148" s="470"/>
      <c r="MT148" s="470"/>
      <c r="MU148" s="470"/>
      <c r="MV148" s="470"/>
      <c r="MW148" s="470"/>
      <c r="MX148" s="470"/>
      <c r="MY148" s="470"/>
      <c r="MZ148" s="470"/>
      <c r="NA148" s="470"/>
      <c r="NB148" s="470"/>
      <c r="NC148" s="470"/>
      <c r="ND148" s="470"/>
      <c r="NE148" s="470"/>
      <c r="NF148" s="470"/>
      <c r="NG148" s="470"/>
      <c r="NH148" s="470"/>
      <c r="NI148" s="470"/>
      <c r="NJ148" s="470"/>
      <c r="NK148" s="470"/>
      <c r="NL148" s="470"/>
      <c r="NM148" s="470"/>
      <c r="NN148" s="470"/>
      <c r="NO148" s="470"/>
      <c r="NP148" s="470"/>
      <c r="NQ148" s="470"/>
      <c r="NR148" s="470"/>
      <c r="NS148" s="470"/>
      <c r="NT148" s="470"/>
      <c r="NU148" s="470"/>
      <c r="NV148" s="470"/>
      <c r="NW148" s="470"/>
      <c r="NX148" s="470"/>
      <c r="NY148" s="470"/>
      <c r="NZ148" s="470"/>
      <c r="OA148" s="470"/>
      <c r="OB148" s="470"/>
      <c r="OC148" s="470"/>
      <c r="OD148" s="470"/>
      <c r="OE148" s="470"/>
      <c r="OF148" s="470"/>
      <c r="OG148" s="470"/>
      <c r="OH148" s="470"/>
      <c r="OI148" s="470"/>
      <c r="OJ148" s="470"/>
      <c r="OK148" s="470"/>
      <c r="OL148" s="470"/>
      <c r="OM148" s="470"/>
      <c r="ON148" s="470"/>
      <c r="OO148" s="470"/>
      <c r="OP148" s="470"/>
      <c r="OQ148" s="470"/>
      <c r="OR148" s="470"/>
      <c r="OS148" s="470"/>
      <c r="OT148" s="470"/>
      <c r="OU148" s="470"/>
      <c r="OV148" s="470"/>
      <c r="OW148" s="470"/>
      <c r="OX148" s="470"/>
      <c r="OY148" s="470"/>
      <c r="OZ148" s="470"/>
      <c r="PA148" s="470"/>
      <c r="PB148" s="470"/>
      <c r="PC148" s="470"/>
      <c r="PD148" s="470"/>
      <c r="PE148" s="470"/>
      <c r="PF148" s="470"/>
      <c r="PG148" s="470"/>
      <c r="PH148" s="470"/>
    </row>
    <row r="149">
      <c r="B149" s="159" t="s">
        <v>305</v>
      </c>
      <c r="C149" s="491"/>
      <c r="D149" s="195">
        <v>6</v>
      </c>
      <c r="E149" s="195">
        <v>0</v>
      </c>
      <c r="F149" s="416"/>
      <c r="G149" s="42"/>
      <c r="H149" s="42"/>
      <c r="I149" s="54"/>
      <c r="K149" s="500"/>
      <c r="L149" s="209"/>
      <c r="M149" s="209"/>
      <c r="N149" s="209"/>
      <c r="O149" s="209"/>
      <c r="P149" s="209"/>
      <c r="Q149" s="209"/>
      <c r="R149" s="209"/>
      <c r="S149" s="209"/>
      <c r="T149" s="209"/>
      <c r="U149" s="209"/>
      <c r="V149" s="209"/>
      <c r="W149" s="209"/>
      <c r="X149" s="209"/>
      <c r="Y149" s="209"/>
      <c r="Z149" s="209"/>
      <c r="AA149" s="209"/>
      <c r="AB149" s="209"/>
      <c r="AC149" s="209"/>
      <c r="AD149" s="209"/>
      <c r="AE149" s="209"/>
      <c r="AF149" s="209"/>
      <c r="AG149" s="209"/>
      <c r="AH149" s="209"/>
      <c r="AI149" s="209"/>
      <c r="AJ149" s="209"/>
      <c r="AK149" s="209"/>
      <c r="AL149" s="209"/>
      <c r="AM149" s="209"/>
      <c r="AN149" s="209"/>
      <c r="AO149" s="209"/>
      <c r="AP149" s="209"/>
      <c r="AQ149" s="209"/>
      <c r="AR149" s="209"/>
      <c r="AS149" s="209"/>
      <c r="AT149" s="209"/>
      <c r="AU149" s="209"/>
      <c r="AV149" s="209"/>
      <c r="AW149" s="209"/>
      <c r="AX149" s="209"/>
      <c r="AY149" s="209"/>
      <c r="AZ149" s="209"/>
      <c r="BA149" s="209"/>
      <c r="BB149" s="209"/>
      <c r="BC149" s="209"/>
      <c r="BD149" s="209"/>
      <c r="BE149" s="209"/>
      <c r="BF149" s="209"/>
      <c r="BG149" s="209"/>
      <c r="BH149" s="209"/>
      <c r="BI149" s="209"/>
      <c r="BJ149" s="209"/>
      <c r="BK149" s="209"/>
      <c r="BL149" s="209"/>
      <c r="BM149" s="209"/>
      <c r="BN149" s="209"/>
      <c r="BO149" s="209"/>
      <c r="BP149" s="209"/>
      <c r="BQ149" s="209"/>
      <c r="BR149" s="209"/>
      <c r="BS149" s="209"/>
      <c r="BT149" s="209"/>
      <c r="BU149" s="209"/>
      <c r="BV149" s="209"/>
      <c r="BW149" s="209"/>
      <c r="BX149" s="209"/>
      <c r="BY149" s="209"/>
      <c r="BZ149" s="209"/>
      <c r="CA149" s="209"/>
      <c r="CB149" s="209"/>
      <c r="CC149" s="209"/>
      <c r="CD149" s="209"/>
      <c r="CE149" s="209"/>
      <c r="CF149" s="209"/>
      <c r="CG149" s="209"/>
      <c r="CH149" s="209"/>
      <c r="CI149" s="209"/>
      <c r="CJ149" s="209"/>
      <c r="CK149" s="209"/>
      <c r="CL149" s="209"/>
      <c r="CM149" s="209"/>
      <c r="CN149" s="209"/>
      <c r="CO149" s="209"/>
      <c r="CP149" s="209"/>
      <c r="CQ149" s="209"/>
      <c r="CR149" s="209"/>
      <c r="CS149" s="209"/>
      <c r="CT149" s="209"/>
      <c r="CU149" s="209"/>
      <c r="CV149" s="209"/>
      <c r="CW149" s="209"/>
      <c r="CX149" s="209"/>
      <c r="CY149" s="209"/>
      <c r="CZ149" s="209"/>
      <c r="DA149" s="209"/>
      <c r="DB149" s="209"/>
      <c r="DC149" s="209"/>
      <c r="DD149" s="209"/>
      <c r="DE149" s="209"/>
      <c r="DF149" s="209"/>
      <c r="DG149" s="209"/>
      <c r="DH149" s="209"/>
      <c r="DI149" s="209"/>
      <c r="DJ149" s="209"/>
      <c r="DK149" s="209"/>
      <c r="DL149" s="209"/>
      <c r="DM149" s="209"/>
      <c r="DN149" s="209"/>
      <c r="DO149" s="209"/>
      <c r="DP149" s="209"/>
      <c r="DQ149" s="209"/>
      <c r="DR149" s="209"/>
      <c r="DS149" s="209"/>
      <c r="DT149" s="209"/>
      <c r="DU149" s="209"/>
      <c r="DV149" s="209"/>
      <c r="DW149" s="209"/>
      <c r="DX149" s="209"/>
      <c r="DY149" s="209"/>
      <c r="DZ149" s="209"/>
      <c r="EA149" s="209"/>
      <c r="EB149" s="209"/>
      <c r="EC149" s="209"/>
      <c r="ED149" s="209"/>
      <c r="EE149" s="209"/>
      <c r="EF149" s="209"/>
      <c r="EG149" s="209"/>
      <c r="EH149" s="209"/>
      <c r="EI149" s="209"/>
      <c r="EJ149" s="209"/>
      <c r="EK149" s="209"/>
      <c r="EL149" s="209"/>
      <c r="EM149" s="209"/>
      <c r="EN149" s="209"/>
      <c r="EO149" s="209"/>
      <c r="EP149" s="468"/>
      <c r="EQ149" s="469"/>
      <c r="ER149" s="469"/>
      <c r="ES149" s="469"/>
      <c r="ET149" s="469"/>
      <c r="EU149" s="469"/>
      <c r="EV149" s="469"/>
      <c r="EW149" s="469"/>
      <c r="EX149" s="469"/>
      <c r="EY149" s="469"/>
      <c r="EZ149" s="469"/>
      <c r="FA149" s="469"/>
      <c r="FB149" s="469"/>
      <c r="FC149" s="469"/>
      <c r="FD149" s="469"/>
      <c r="FE149" s="469"/>
      <c r="FF149" s="469"/>
      <c r="FG149" s="469"/>
      <c r="FH149" s="469"/>
      <c r="FI149" s="469"/>
      <c r="FJ149" s="469"/>
      <c r="FK149" s="469"/>
      <c r="FL149" s="469"/>
      <c r="FM149" s="469"/>
      <c r="FN149" s="469"/>
      <c r="FO149" s="469"/>
      <c r="FP149" s="469"/>
      <c r="FQ149" s="469"/>
      <c r="FR149" s="469"/>
      <c r="FS149" s="469"/>
      <c r="FT149" s="469"/>
      <c r="FU149" s="469"/>
      <c r="FV149" s="469"/>
      <c r="FW149" s="469"/>
      <c r="FX149" s="469"/>
      <c r="FY149" s="469"/>
      <c r="FZ149" s="469"/>
      <c r="GA149" s="469"/>
      <c r="GB149" s="469"/>
      <c r="GC149" s="469"/>
      <c r="GD149" s="469"/>
      <c r="GE149" s="469"/>
      <c r="GF149" s="469"/>
      <c r="GG149" s="469"/>
      <c r="GH149" s="469"/>
      <c r="GI149" s="469"/>
      <c r="GJ149" s="469"/>
      <c r="GK149" s="469"/>
      <c r="GL149" s="469"/>
      <c r="GM149" s="469"/>
      <c r="GN149" s="469"/>
      <c r="GO149" s="469"/>
      <c r="GP149" s="469"/>
      <c r="GQ149" s="469"/>
      <c r="GR149" s="469"/>
      <c r="GS149" s="469"/>
      <c r="GT149" s="469"/>
      <c r="GU149" s="469"/>
      <c r="GV149" s="469"/>
      <c r="GW149" s="469"/>
      <c r="GX149" s="469"/>
      <c r="GY149" s="469"/>
      <c r="GZ149" s="469"/>
      <c r="HA149" s="469"/>
      <c r="HB149" s="469"/>
      <c r="HC149" s="469"/>
      <c r="HD149" s="469"/>
      <c r="HE149" s="469"/>
      <c r="HF149" s="469"/>
      <c r="HG149" s="469"/>
      <c r="HH149" s="469"/>
      <c r="HI149" s="469"/>
      <c r="HJ149" s="469"/>
      <c r="HK149" s="469"/>
      <c r="HL149" s="469"/>
      <c r="HM149" s="469"/>
      <c r="HN149" s="469"/>
      <c r="HO149" s="469"/>
      <c r="HP149" s="469"/>
      <c r="HQ149" s="469"/>
      <c r="HR149" s="469"/>
      <c r="HS149" s="469"/>
      <c r="HT149" s="469"/>
      <c r="HU149" s="469"/>
      <c r="HV149" s="469"/>
      <c r="HW149" s="469"/>
      <c r="HX149" s="469"/>
      <c r="HY149" s="469"/>
      <c r="HZ149" s="469"/>
      <c r="IA149" s="469"/>
      <c r="IB149" s="469"/>
      <c r="IC149" s="469"/>
      <c r="ID149" s="469"/>
      <c r="IE149" s="469"/>
      <c r="IF149" s="469"/>
      <c r="IG149" s="469"/>
      <c r="IH149" s="469"/>
      <c r="II149" s="469"/>
      <c r="IJ149" s="469"/>
      <c r="IK149" s="469"/>
      <c r="IL149" s="469"/>
      <c r="IM149" s="469"/>
      <c r="IN149" s="469"/>
      <c r="IO149" s="469"/>
      <c r="IP149" s="469"/>
      <c r="IQ149" s="469"/>
      <c r="IR149" s="469"/>
      <c r="IS149" s="469"/>
      <c r="IT149" s="469"/>
      <c r="IU149" s="469"/>
      <c r="IV149" s="469"/>
      <c r="IW149" s="469"/>
      <c r="IX149" s="469"/>
      <c r="IY149" s="469"/>
      <c r="IZ149" s="469"/>
      <c r="JA149" s="469"/>
      <c r="JB149" s="469"/>
      <c r="JC149" s="469"/>
      <c r="JD149" s="469"/>
      <c r="JE149" s="469"/>
      <c r="JF149" s="469"/>
      <c r="JG149" s="469"/>
      <c r="JH149" s="469"/>
      <c r="JI149" s="469"/>
      <c r="JJ149" s="469"/>
      <c r="JK149" s="469"/>
      <c r="JL149" s="469"/>
      <c r="JM149" s="469"/>
      <c r="JN149" s="469"/>
      <c r="JO149" s="469"/>
      <c r="JP149" s="469"/>
      <c r="JQ149" s="469"/>
      <c r="JR149" s="469"/>
      <c r="JS149" s="469"/>
      <c r="JT149" s="469"/>
      <c r="JU149" s="469"/>
      <c r="JV149" s="469"/>
      <c r="JW149" s="469"/>
      <c r="JX149" s="20"/>
      <c r="JZ149" s="470"/>
      <c r="KA149" s="470"/>
      <c r="KB149" s="470"/>
      <c r="KC149" s="470"/>
      <c r="KD149" s="470"/>
      <c r="KE149" s="470"/>
      <c r="KF149" s="470"/>
      <c r="KG149" s="470"/>
      <c r="KH149" s="470"/>
      <c r="KI149" s="470"/>
      <c r="KJ149" s="470"/>
      <c r="KK149" s="470"/>
      <c r="KL149" s="470"/>
      <c r="KM149" s="470"/>
      <c r="KN149" s="470"/>
      <c r="KO149" s="470"/>
      <c r="KP149" s="470"/>
      <c r="KQ149" s="470"/>
      <c r="KR149" s="470"/>
      <c r="KS149" s="470"/>
      <c r="KT149" s="470"/>
      <c r="KU149" s="470"/>
      <c r="KV149" s="470"/>
      <c r="KW149" s="470"/>
      <c r="KX149" s="470"/>
      <c r="KY149" s="470"/>
      <c r="KZ149" s="470"/>
      <c r="LA149" s="470"/>
      <c r="LB149" s="470"/>
      <c r="LC149" s="470"/>
      <c r="LD149" s="470"/>
      <c r="LE149" s="470"/>
      <c r="LF149" s="470"/>
      <c r="LG149" s="470"/>
      <c r="LH149" s="470"/>
      <c r="LI149" s="470"/>
      <c r="LJ149" s="470"/>
      <c r="LK149" s="470"/>
      <c r="LL149" s="470"/>
      <c r="LM149" s="470"/>
      <c r="LN149" s="470"/>
      <c r="LO149" s="470"/>
      <c r="LP149" s="470"/>
      <c r="LQ149" s="470"/>
      <c r="LR149" s="470"/>
      <c r="LS149" s="470"/>
      <c r="LT149" s="470"/>
      <c r="LU149" s="470"/>
      <c r="LV149" s="470"/>
      <c r="LW149" s="470"/>
      <c r="LX149" s="470"/>
      <c r="LY149" s="470"/>
      <c r="LZ149" s="470"/>
      <c r="MA149" s="470"/>
      <c r="MB149" s="470"/>
      <c r="MC149" s="470"/>
      <c r="MD149" s="470"/>
      <c r="ME149" s="470"/>
      <c r="MF149" s="470"/>
      <c r="MG149" s="470"/>
      <c r="MH149" s="470"/>
      <c r="MI149" s="470"/>
      <c r="MJ149" s="470"/>
      <c r="MK149" s="470"/>
      <c r="ML149" s="470"/>
      <c r="MM149" s="470"/>
      <c r="MN149" s="470"/>
      <c r="MO149" s="470"/>
      <c r="MP149" s="470"/>
      <c r="MQ149" s="470"/>
      <c r="MR149" s="470"/>
      <c r="MS149" s="470"/>
      <c r="MT149" s="470"/>
      <c r="MU149" s="470"/>
      <c r="MV149" s="470"/>
      <c r="MW149" s="470"/>
      <c r="MX149" s="470"/>
      <c r="MY149" s="470"/>
      <c r="MZ149" s="470"/>
      <c r="NA149" s="470"/>
      <c r="NB149" s="470"/>
      <c r="NC149" s="470"/>
      <c r="ND149" s="470"/>
      <c r="NE149" s="470"/>
      <c r="NF149" s="470"/>
      <c r="NG149" s="470"/>
      <c r="NH149" s="470"/>
      <c r="NI149" s="470"/>
      <c r="NJ149" s="470"/>
      <c r="NK149" s="470"/>
      <c r="NL149" s="470"/>
      <c r="NM149" s="470"/>
      <c r="NN149" s="470"/>
      <c r="NO149" s="470"/>
      <c r="NP149" s="470"/>
      <c r="NQ149" s="470"/>
      <c r="NR149" s="470"/>
      <c r="NS149" s="470"/>
      <c r="NT149" s="470"/>
      <c r="NU149" s="470"/>
      <c r="NV149" s="470"/>
      <c r="NW149" s="470"/>
      <c r="NX149" s="470"/>
      <c r="NY149" s="470"/>
      <c r="NZ149" s="470"/>
      <c r="OA149" s="470"/>
      <c r="OB149" s="470"/>
      <c r="OC149" s="470"/>
      <c r="OD149" s="470"/>
      <c r="OE149" s="470"/>
      <c r="OF149" s="470"/>
      <c r="OG149" s="470"/>
      <c r="OH149" s="470"/>
      <c r="OI149" s="470"/>
      <c r="OJ149" s="470"/>
      <c r="OK149" s="470"/>
      <c r="OL149" s="470"/>
      <c r="OM149" s="470"/>
      <c r="ON149" s="470"/>
      <c r="OO149" s="470"/>
      <c r="OP149" s="470"/>
      <c r="OQ149" s="470"/>
      <c r="OR149" s="470"/>
      <c r="OS149" s="470"/>
      <c r="OT149" s="470"/>
      <c r="OU149" s="470"/>
      <c r="OV149" s="470"/>
      <c r="OW149" s="470"/>
      <c r="OX149" s="470"/>
      <c r="OY149" s="470"/>
      <c r="OZ149" s="470"/>
      <c r="PA149" s="470"/>
      <c r="PB149" s="470"/>
      <c r="PC149" s="470"/>
      <c r="PD149" s="470"/>
      <c r="PE149" s="470"/>
      <c r="PF149" s="470"/>
      <c r="PG149" s="470"/>
      <c r="PH149" s="470"/>
    </row>
    <row r="150">
      <c r="B150" s="159"/>
      <c r="C150" s="491"/>
      <c r="D150" s="195"/>
      <c r="E150" s="416"/>
      <c r="F150" s="416" t="s">
        <v>306</v>
      </c>
      <c r="G150" s="42"/>
      <c r="H150" s="42"/>
      <c r="I150" s="54"/>
      <c r="K150" s="500"/>
      <c r="L150" s="209"/>
      <c r="M150" s="209"/>
      <c r="N150" s="209"/>
      <c r="O150" s="209"/>
      <c r="P150" s="209"/>
      <c r="Q150" s="209"/>
      <c r="R150" s="209"/>
      <c r="S150" s="209"/>
      <c r="T150" s="209"/>
      <c r="U150" s="209"/>
      <c r="V150" s="209"/>
      <c r="W150" s="209"/>
      <c r="X150" s="209"/>
      <c r="Y150" s="209"/>
      <c r="Z150" s="209"/>
      <c r="AA150" s="209"/>
      <c r="AB150" s="209"/>
      <c r="AC150" s="209"/>
      <c r="AD150" s="209"/>
      <c r="AE150" s="209"/>
      <c r="AF150" s="209"/>
      <c r="AG150" s="209"/>
      <c r="AH150" s="209"/>
      <c r="AI150" s="209"/>
      <c r="AJ150" s="209"/>
      <c r="AK150" s="209"/>
      <c r="AL150" s="209"/>
      <c r="AM150" s="209"/>
      <c r="AN150" s="209"/>
      <c r="AO150" s="209"/>
      <c r="AP150" s="209"/>
      <c r="AQ150" s="209"/>
      <c r="AR150" s="209"/>
      <c r="AS150" s="209"/>
      <c r="AT150" s="209"/>
      <c r="AU150" s="209"/>
      <c r="AV150" s="209"/>
      <c r="AW150" s="209"/>
      <c r="AX150" s="209"/>
      <c r="AY150" s="209"/>
      <c r="AZ150" s="209"/>
      <c r="BA150" s="209"/>
      <c r="BB150" s="209"/>
      <c r="BC150" s="209"/>
      <c r="BD150" s="209"/>
      <c r="BE150" s="209"/>
      <c r="BF150" s="209"/>
      <c r="BG150" s="209"/>
      <c r="BH150" s="209"/>
      <c r="BI150" s="209"/>
      <c r="BJ150" s="209"/>
      <c r="BK150" s="209"/>
      <c r="BL150" s="209"/>
      <c r="BM150" s="209"/>
      <c r="BN150" s="209"/>
      <c r="BO150" s="209"/>
      <c r="BP150" s="209"/>
      <c r="BQ150" s="209"/>
      <c r="BR150" s="209"/>
      <c r="BS150" s="209"/>
      <c r="BT150" s="209"/>
      <c r="BU150" s="209"/>
      <c r="BV150" s="209"/>
      <c r="BW150" s="209"/>
      <c r="BX150" s="209"/>
      <c r="BY150" s="209"/>
      <c r="BZ150" s="209"/>
      <c r="CA150" s="209"/>
      <c r="CB150" s="209"/>
      <c r="CC150" s="209"/>
      <c r="CD150" s="209"/>
      <c r="CE150" s="209"/>
      <c r="CF150" s="209"/>
      <c r="CG150" s="209"/>
      <c r="CH150" s="209"/>
      <c r="CI150" s="209"/>
      <c r="CJ150" s="209"/>
      <c r="CK150" s="209"/>
      <c r="CL150" s="209"/>
      <c r="CM150" s="209"/>
      <c r="CN150" s="209"/>
      <c r="CO150" s="209"/>
      <c r="CP150" s="209"/>
      <c r="CQ150" s="209"/>
      <c r="CR150" s="209"/>
      <c r="CS150" s="209"/>
      <c r="CT150" s="209"/>
      <c r="CU150" s="209"/>
      <c r="CV150" s="209"/>
      <c r="CW150" s="209"/>
      <c r="CX150" s="209"/>
      <c r="CY150" s="209"/>
      <c r="CZ150" s="209"/>
      <c r="DA150" s="209"/>
      <c r="DB150" s="209"/>
      <c r="DC150" s="209"/>
      <c r="DD150" s="209"/>
      <c r="DE150" s="209"/>
      <c r="DF150" s="209"/>
      <c r="DG150" s="209"/>
      <c r="DH150" s="209"/>
      <c r="DI150" s="209"/>
      <c r="DJ150" s="209"/>
      <c r="DK150" s="209"/>
      <c r="DL150" s="209"/>
      <c r="DM150" s="209"/>
      <c r="DN150" s="209"/>
      <c r="DO150" s="209"/>
      <c r="DP150" s="209"/>
      <c r="DQ150" s="209"/>
      <c r="DR150" s="209"/>
      <c r="DS150" s="209"/>
      <c r="DT150" s="209"/>
      <c r="DU150" s="209"/>
      <c r="DV150" s="209"/>
      <c r="DW150" s="209"/>
      <c r="DX150" s="209"/>
      <c r="DY150" s="209"/>
      <c r="DZ150" s="209"/>
      <c r="EA150" s="209"/>
      <c r="EB150" s="209"/>
      <c r="EC150" s="209"/>
      <c r="ED150" s="209"/>
      <c r="EE150" s="209"/>
      <c r="EF150" s="209"/>
      <c r="EG150" s="209"/>
      <c r="EH150" s="209"/>
      <c r="EI150" s="209"/>
      <c r="EJ150" s="209"/>
      <c r="EK150" s="209"/>
      <c r="EL150" s="209"/>
      <c r="EM150" s="209"/>
      <c r="EN150" s="209"/>
      <c r="EO150" s="209"/>
      <c r="EP150" s="468"/>
      <c r="EQ150" s="469"/>
      <c r="ER150" s="469"/>
      <c r="ES150" s="469"/>
      <c r="ET150" s="469"/>
      <c r="EU150" s="469"/>
      <c r="EV150" s="469"/>
      <c r="EW150" s="469"/>
      <c r="EX150" s="469"/>
      <c r="EY150" s="469"/>
      <c r="EZ150" s="469"/>
      <c r="FA150" s="469"/>
      <c r="FB150" s="469"/>
      <c r="FC150" s="469"/>
      <c r="FD150" s="469"/>
      <c r="FE150" s="469"/>
      <c r="FF150" s="469"/>
      <c r="FG150" s="469"/>
      <c r="FH150" s="469"/>
      <c r="FI150" s="469"/>
      <c r="FJ150" s="469"/>
      <c r="FK150" s="469"/>
      <c r="FL150" s="469"/>
      <c r="FM150" s="469"/>
      <c r="FN150" s="469"/>
      <c r="FO150" s="469"/>
      <c r="FP150" s="469"/>
      <c r="FQ150" s="469"/>
      <c r="FR150" s="469"/>
      <c r="FS150" s="469"/>
      <c r="FT150" s="469"/>
      <c r="FU150" s="469"/>
      <c r="FV150" s="469"/>
      <c r="FW150" s="469"/>
      <c r="FX150" s="469"/>
      <c r="FY150" s="469"/>
      <c r="FZ150" s="469"/>
      <c r="GA150" s="469"/>
      <c r="GB150" s="469"/>
      <c r="GC150" s="469"/>
      <c r="GD150" s="469"/>
      <c r="GE150" s="469"/>
      <c r="GF150" s="469"/>
      <c r="GG150" s="469"/>
      <c r="GH150" s="469"/>
      <c r="GI150" s="469"/>
      <c r="GJ150" s="469"/>
      <c r="GK150" s="469"/>
      <c r="GL150" s="469"/>
      <c r="GM150" s="469"/>
      <c r="GN150" s="469"/>
      <c r="GO150" s="469"/>
      <c r="GP150" s="469"/>
      <c r="GQ150" s="469"/>
      <c r="GR150" s="469"/>
      <c r="GS150" s="469"/>
      <c r="GT150" s="469"/>
      <c r="GU150" s="469"/>
      <c r="GV150" s="469"/>
      <c r="GW150" s="469"/>
      <c r="GX150" s="469"/>
      <c r="GY150" s="469"/>
      <c r="GZ150" s="469"/>
      <c r="HA150" s="469"/>
      <c r="HB150" s="469"/>
      <c r="HC150" s="469"/>
      <c r="HD150" s="469"/>
      <c r="HE150" s="469"/>
      <c r="HF150" s="469"/>
      <c r="HG150" s="469"/>
      <c r="HH150" s="469"/>
      <c r="HI150" s="469"/>
      <c r="HJ150" s="469"/>
      <c r="HK150" s="469"/>
      <c r="HL150" s="469"/>
      <c r="HM150" s="469"/>
      <c r="HN150" s="469"/>
      <c r="HO150" s="469"/>
      <c r="HP150" s="469"/>
      <c r="HQ150" s="469"/>
      <c r="HR150" s="469"/>
      <c r="HS150" s="469"/>
      <c r="HT150" s="469"/>
      <c r="HU150" s="469"/>
      <c r="HV150" s="469"/>
      <c r="HW150" s="469"/>
      <c r="HX150" s="469"/>
      <c r="HY150" s="469"/>
      <c r="HZ150" s="469"/>
      <c r="IA150" s="469"/>
      <c r="IB150" s="469"/>
      <c r="IC150" s="469"/>
      <c r="ID150" s="469"/>
      <c r="IE150" s="469"/>
      <c r="IF150" s="469"/>
      <c r="IG150" s="469"/>
      <c r="IH150" s="469"/>
      <c r="II150" s="469"/>
      <c r="IJ150" s="469"/>
      <c r="IK150" s="469"/>
      <c r="IL150" s="469"/>
      <c r="IM150" s="469"/>
      <c r="IN150" s="469"/>
      <c r="IO150" s="469"/>
      <c r="IP150" s="469"/>
      <c r="IQ150" s="469"/>
      <c r="IR150" s="469"/>
      <c r="IS150" s="469"/>
      <c r="IT150" s="469"/>
      <c r="IU150" s="469"/>
      <c r="IV150" s="469"/>
      <c r="IW150" s="469"/>
      <c r="IX150" s="469"/>
      <c r="IY150" s="469"/>
      <c r="IZ150" s="469"/>
      <c r="JA150" s="469"/>
      <c r="JB150" s="469"/>
      <c r="JC150" s="469"/>
      <c r="JD150" s="469"/>
      <c r="JE150" s="469"/>
      <c r="JF150" s="469"/>
      <c r="JG150" s="469"/>
      <c r="JH150" s="469"/>
      <c r="JI150" s="469"/>
      <c r="JJ150" s="469"/>
      <c r="JK150" s="469"/>
      <c r="JL150" s="469"/>
      <c r="JM150" s="469"/>
      <c r="JN150" s="469"/>
      <c r="JO150" s="469"/>
      <c r="JP150" s="469"/>
      <c r="JQ150" s="469"/>
      <c r="JR150" s="469"/>
      <c r="JS150" s="469"/>
      <c r="JT150" s="469"/>
      <c r="JU150" s="469"/>
      <c r="JV150" s="469"/>
      <c r="JW150" s="469"/>
      <c r="JX150" s="20"/>
      <c r="JZ150" s="470"/>
      <c r="KA150" s="470"/>
      <c r="KB150" s="470"/>
      <c r="KC150" s="470"/>
      <c r="KD150" s="470"/>
      <c r="KE150" s="470"/>
      <c r="KF150" s="470"/>
      <c r="KG150" s="470"/>
      <c r="KH150" s="470"/>
      <c r="KI150" s="470"/>
      <c r="KJ150" s="470"/>
      <c r="KK150" s="470"/>
      <c r="KL150" s="470"/>
      <c r="KM150" s="470"/>
      <c r="KN150" s="470"/>
      <c r="KO150" s="470"/>
      <c r="KP150" s="470"/>
      <c r="KQ150" s="470"/>
      <c r="KR150" s="470"/>
      <c r="KS150" s="470"/>
      <c r="KT150" s="470"/>
      <c r="KU150" s="470"/>
      <c r="KV150" s="470"/>
      <c r="KW150" s="470"/>
      <c r="KX150" s="470"/>
      <c r="KY150" s="470"/>
      <c r="KZ150" s="470"/>
      <c r="LA150" s="470"/>
      <c r="LB150" s="470"/>
      <c r="LC150" s="470"/>
      <c r="LD150" s="470"/>
      <c r="LE150" s="470"/>
      <c r="LF150" s="470"/>
      <c r="LG150" s="470"/>
      <c r="LH150" s="470"/>
      <c r="LI150" s="470"/>
      <c r="LJ150" s="470"/>
      <c r="LK150" s="470"/>
      <c r="LL150" s="470"/>
      <c r="LM150" s="470"/>
      <c r="LN150" s="470"/>
      <c r="LO150" s="470"/>
      <c r="LP150" s="470"/>
      <c r="LQ150" s="470"/>
      <c r="LR150" s="470"/>
      <c r="LS150" s="470"/>
      <c r="LT150" s="470"/>
      <c r="LU150" s="470"/>
      <c r="LV150" s="470"/>
      <c r="LW150" s="470"/>
      <c r="LX150" s="470"/>
      <c r="LY150" s="470"/>
      <c r="LZ150" s="470"/>
      <c r="MA150" s="470"/>
      <c r="MB150" s="470"/>
      <c r="MC150" s="470"/>
      <c r="MD150" s="470"/>
      <c r="ME150" s="470"/>
      <c r="MF150" s="470"/>
      <c r="MG150" s="470"/>
      <c r="MH150" s="470"/>
      <c r="MI150" s="470"/>
      <c r="MJ150" s="470"/>
      <c r="MK150" s="470"/>
      <c r="ML150" s="470"/>
      <c r="MM150" s="470"/>
      <c r="MN150" s="470"/>
      <c r="MO150" s="470"/>
      <c r="MP150" s="470"/>
      <c r="MQ150" s="470"/>
      <c r="MR150" s="470"/>
      <c r="MS150" s="470"/>
      <c r="MT150" s="470"/>
      <c r="MU150" s="470"/>
      <c r="MV150" s="470"/>
      <c r="MW150" s="470"/>
      <c r="MX150" s="470"/>
      <c r="MY150" s="470"/>
      <c r="MZ150" s="470"/>
      <c r="NA150" s="470"/>
      <c r="NB150" s="470"/>
      <c r="NC150" s="470"/>
      <c r="ND150" s="470"/>
      <c r="NE150" s="470"/>
      <c r="NF150" s="470"/>
      <c r="NG150" s="470"/>
      <c r="NH150" s="470"/>
      <c r="NI150" s="470"/>
      <c r="NJ150" s="470"/>
      <c r="NK150" s="470"/>
      <c r="NL150" s="470"/>
      <c r="NM150" s="470"/>
      <c r="NN150" s="470"/>
      <c r="NO150" s="470"/>
      <c r="NP150" s="470"/>
      <c r="NQ150" s="470"/>
      <c r="NR150" s="470"/>
      <c r="NS150" s="470"/>
      <c r="NT150" s="470"/>
      <c r="NU150" s="470"/>
      <c r="NV150" s="470"/>
      <c r="NW150" s="470"/>
      <c r="NX150" s="470"/>
      <c r="NY150" s="470"/>
      <c r="NZ150" s="470"/>
      <c r="OA150" s="470"/>
      <c r="OB150" s="470"/>
      <c r="OC150" s="470"/>
      <c r="OD150" s="470"/>
      <c r="OE150" s="470"/>
      <c r="OF150" s="470"/>
      <c r="OG150" s="470"/>
      <c r="OH150" s="470"/>
      <c r="OI150" s="470"/>
      <c r="OJ150" s="470"/>
      <c r="OK150" s="470"/>
      <c r="OL150" s="470"/>
      <c r="OM150" s="470"/>
      <c r="ON150" s="470"/>
      <c r="OO150" s="470"/>
      <c r="OP150" s="470"/>
      <c r="OQ150" s="470"/>
      <c r="OR150" s="470"/>
      <c r="OS150" s="470"/>
      <c r="OT150" s="470"/>
      <c r="OU150" s="470"/>
      <c r="OV150" s="470"/>
      <c r="OW150" s="470"/>
      <c r="OX150" s="470"/>
      <c r="OY150" s="470"/>
      <c r="OZ150" s="470"/>
      <c r="PA150" s="470"/>
      <c r="PB150" s="470"/>
      <c r="PC150" s="470"/>
      <c r="PD150" s="470"/>
      <c r="PE150" s="470"/>
      <c r="PF150" s="470"/>
      <c r="PG150" s="470"/>
      <c r="PH150" s="470"/>
    </row>
    <row r="151">
      <c r="B151" s="431" t="s">
        <v>307</v>
      </c>
      <c r="C151" s="491"/>
      <c r="D151" s="416"/>
      <c r="E151" s="416" t="s">
        <v>276</v>
      </c>
      <c r="F151" s="44">
        <v>0.02</v>
      </c>
      <c r="G151" s="58" t="n">
        <f>+I151/$I$140</f>
        <v>0.021629417462084303</v>
      </c>
      <c r="H151" s="149" t="n">
        <f>I151/Units_Ind</f>
        <v>12.578410176015593</v>
      </c>
      <c r="I151" s="428" t="n">
        <f>I148+H148</f>
        <v>985045.2375</v>
      </c>
      <c r="K151" s="500"/>
      <c r="L151" s="76"/>
      <c r="M151" s="421" t="n">
        <f t="shared" ref="M151:AR151" si="842">(M89=1)*$I151/12*(1+$F151)^(ROUNDUP(M$91/12,0)-1)</f>
        <v>0</v>
      </c>
      <c r="N151" s="421">
        <f t="shared" si="842"/>
        <v>0</v>
      </c>
      <c r="O151" s="421">
        <f t="shared" si="842"/>
        <v>0</v>
      </c>
      <c r="P151" s="421">
        <f t="shared" si="842"/>
        <v>0</v>
      </c>
      <c r="Q151" s="421">
        <f t="shared" si="842"/>
        <v>0</v>
      </c>
      <c r="R151" s="421">
        <f t="shared" si="842"/>
        <v>0</v>
      </c>
      <c r="S151" s="421">
        <f t="shared" si="842"/>
        <v>0</v>
      </c>
      <c r="T151" s="421">
        <f t="shared" si="842"/>
        <v>0</v>
      </c>
      <c r="U151" s="421">
        <f t="shared" si="842"/>
        <v>0</v>
      </c>
      <c r="V151" s="421">
        <f t="shared" si="842"/>
        <v>0</v>
      </c>
      <c r="W151" s="421">
        <f t="shared" si="842"/>
        <v>0</v>
      </c>
      <c r="X151" s="421">
        <f t="shared" si="842"/>
        <v>0</v>
      </c>
      <c r="Y151" s="421">
        <f t="shared" si="842"/>
        <v>0</v>
      </c>
      <c r="Z151" s="421">
        <f t="shared" si="842"/>
        <v>0</v>
      </c>
      <c r="AA151" s="421">
        <f t="shared" si="842"/>
        <v>0</v>
      </c>
      <c r="AB151" s="421">
        <f t="shared" si="842"/>
        <v>0</v>
      </c>
      <c r="AC151" s="421">
        <f t="shared" si="842"/>
        <v>0</v>
      </c>
      <c r="AD151" s="421">
        <f t="shared" si="842"/>
        <v>0</v>
      </c>
      <c r="AE151" s="421">
        <f t="shared" si="842"/>
        <v>0</v>
      </c>
      <c r="AF151" s="421">
        <f t="shared" si="842"/>
        <v>0</v>
      </c>
      <c r="AG151" s="421">
        <f t="shared" si="842"/>
        <v>0</v>
      </c>
      <c r="AH151" s="421">
        <f t="shared" si="842"/>
        <v>0</v>
      </c>
      <c r="AI151" s="421">
        <f t="shared" si="842"/>
        <v>0</v>
      </c>
      <c r="AJ151" s="421">
        <f t="shared" si="842"/>
        <v>0</v>
      </c>
      <c r="AK151" s="421">
        <f t="shared" si="842"/>
        <v>0</v>
      </c>
      <c r="AL151" s="421">
        <f t="shared" si="842"/>
        <v>0</v>
      </c>
      <c r="AM151" s="421">
        <f t="shared" si="842"/>
        <v>0</v>
      </c>
      <c r="AN151" s="421">
        <f t="shared" si="842"/>
        <v>0</v>
      </c>
      <c r="AO151" s="421">
        <f t="shared" si="842"/>
        <v>0</v>
      </c>
      <c r="AP151" s="421">
        <f t="shared" si="842"/>
        <v>0</v>
      </c>
      <c r="AQ151" s="421">
        <f t="shared" si="842"/>
        <v>0</v>
      </c>
      <c r="AR151" s="421">
        <f t="shared" si="842"/>
        <v>0</v>
      </c>
      <c r="AS151" s="421" t="n">
        <f t="shared" ref="AS151:BX151" si="843">(AS89=1)*$I151/12*(1+$F151)^(ROUNDUP(AS$91/12,0)-1)</f>
        <v>0</v>
      </c>
      <c r="AT151" s="421">
        <f t="shared" si="843"/>
        <v>0</v>
      </c>
      <c r="AU151" s="421">
        <f t="shared" si="843"/>
        <v>0</v>
      </c>
      <c r="AV151" s="421">
        <f t="shared" si="843"/>
        <v>0</v>
      </c>
      <c r="AW151" s="421">
        <f t="shared" si="843"/>
        <v>82087.103125000009</v>
      </c>
      <c r="AX151" s="421">
        <f t="shared" si="843"/>
        <v>82087.103125000009</v>
      </c>
      <c r="AY151" s="421">
        <f t="shared" si="843"/>
        <v>82087.103125000009</v>
      </c>
      <c r="AZ151" s="421">
        <f t="shared" si="843"/>
        <v>82087.103125000009</v>
      </c>
      <c r="BA151" s="421">
        <f t="shared" si="843"/>
        <v>82087.103125000009</v>
      </c>
      <c r="BB151" s="421">
        <f t="shared" si="843"/>
        <v>82087.103125000009</v>
      </c>
      <c r="BC151" s="421">
        <f t="shared" si="843"/>
        <v>82087.103125000009</v>
      </c>
      <c r="BD151" s="421">
        <f t="shared" si="843"/>
        <v>82087.103125000009</v>
      </c>
      <c r="BE151" s="421">
        <f t="shared" si="843"/>
        <v>82087.103125000009</v>
      </c>
      <c r="BF151" s="421">
        <f t="shared" si="843"/>
        <v>82087.103125000009</v>
      </c>
      <c r="BG151" s="421">
        <f t="shared" si="843"/>
        <v>82087.103125000009</v>
      </c>
      <c r="BH151" s="421">
        <f t="shared" si="843"/>
        <v>82087.103125000009</v>
      </c>
      <c r="BI151" s="421">
        <f t="shared" si="843"/>
        <v>83728.845187500017</v>
      </c>
      <c r="BJ151" s="421">
        <f t="shared" si="843"/>
        <v>83728.845187500017</v>
      </c>
      <c r="BK151" s="421">
        <f t="shared" si="843"/>
        <v>83728.845187500017</v>
      </c>
      <c r="BL151" s="421">
        <f t="shared" si="843"/>
        <v>83728.845187500017</v>
      </c>
      <c r="BM151" s="421">
        <f t="shared" si="843"/>
        <v>83728.845187500017</v>
      </c>
      <c r="BN151" s="421">
        <f t="shared" si="843"/>
        <v>83728.845187500017</v>
      </c>
      <c r="BO151" s="421">
        <f t="shared" si="843"/>
        <v>83728.845187500017</v>
      </c>
      <c r="BP151" s="421">
        <f t="shared" si="843"/>
        <v>83728.845187500017</v>
      </c>
      <c r="BQ151" s="421">
        <f t="shared" si="843"/>
        <v>83728.845187500017</v>
      </c>
      <c r="BR151" s="421">
        <f t="shared" si="843"/>
        <v>83728.845187500017</v>
      </c>
      <c r="BS151" s="421">
        <f t="shared" si="843"/>
        <v>83728.845187500017</v>
      </c>
      <c r="BT151" s="421">
        <f t="shared" si="843"/>
        <v>83728.845187500017</v>
      </c>
      <c r="BU151" s="421">
        <f t="shared" si="843"/>
        <v>85403.422091250002</v>
      </c>
      <c r="BV151" s="421">
        <f t="shared" si="843"/>
        <v>85403.422091250002</v>
      </c>
      <c r="BW151" s="421">
        <f t="shared" si="843"/>
        <v>85403.422091250002</v>
      </c>
      <c r="BX151" s="421">
        <f t="shared" si="843"/>
        <v>85403.422091250002</v>
      </c>
      <c r="BY151" s="421" t="n">
        <f t="shared" ref="BY151:DD151" si="844">(BY89=1)*$I151/12*(1+$F151)^(ROUNDUP(BY$91/12,0)-1)</f>
        <v>85403.42209125</v>
      </c>
      <c r="BZ151" s="421">
        <f t="shared" si="844"/>
        <v>85403.422091250002</v>
      </c>
      <c r="CA151" s="421">
        <f t="shared" si="844"/>
        <v>85403.422091250002</v>
      </c>
      <c r="CB151" s="421">
        <f t="shared" si="844"/>
        <v>85403.422091250002</v>
      </c>
      <c r="CC151" s="421">
        <f t="shared" si="844"/>
        <v>85403.422091250002</v>
      </c>
      <c r="CD151" s="421">
        <f t="shared" si="844"/>
        <v>85403.422091250002</v>
      </c>
      <c r="CE151" s="421">
        <f t="shared" si="844"/>
        <v>85403.422091250002</v>
      </c>
      <c r="CF151" s="421">
        <f t="shared" si="844"/>
        <v>85403.422091250002</v>
      </c>
      <c r="CG151" s="421">
        <f t="shared" si="844"/>
        <v>87111.490533075004</v>
      </c>
      <c r="CH151" s="421">
        <f t="shared" si="844"/>
        <v>87111.490533075004</v>
      </c>
      <c r="CI151" s="421">
        <f t="shared" si="844"/>
        <v>87111.490533075004</v>
      </c>
      <c r="CJ151" s="421">
        <f t="shared" si="844"/>
        <v>87111.490533075004</v>
      </c>
      <c r="CK151" s="421">
        <f t="shared" si="844"/>
        <v>87111.490533075004</v>
      </c>
      <c r="CL151" s="421">
        <f t="shared" si="844"/>
        <v>87111.490533075004</v>
      </c>
      <c r="CM151" s="421">
        <f t="shared" si="844"/>
        <v>87111.490533075004</v>
      </c>
      <c r="CN151" s="421">
        <f t="shared" si="844"/>
        <v>87111.490533075004</v>
      </c>
      <c r="CO151" s="421">
        <f t="shared" si="844"/>
        <v>87111.490533075004</v>
      </c>
      <c r="CP151" s="421">
        <f t="shared" si="844"/>
        <v>87111.490533075004</v>
      </c>
      <c r="CQ151" s="421">
        <f t="shared" si="844"/>
        <v>87111.490533075004</v>
      </c>
      <c r="CR151" s="421">
        <f t="shared" si="844"/>
        <v>87111.490533075004</v>
      </c>
      <c r="CS151" s="421">
        <f t="shared" si="844"/>
        <v>88853.72034373651</v>
      </c>
      <c r="CT151" s="421">
        <f t="shared" si="844"/>
        <v>88853.72034373651</v>
      </c>
      <c r="CU151" s="421">
        <f t="shared" si="844"/>
        <v>88853.72034373651</v>
      </c>
      <c r="CV151" s="421">
        <f t="shared" si="844"/>
        <v>88853.72034373651</v>
      </c>
      <c r="CW151" s="421">
        <f t="shared" si="844"/>
        <v>88853.72034373651</v>
      </c>
      <c r="CX151" s="421">
        <f t="shared" si="844"/>
        <v>88853.72034373651</v>
      </c>
      <c r="CY151" s="421">
        <f t="shared" si="844"/>
        <v>88853.72034373651</v>
      </c>
      <c r="CZ151" s="421">
        <f t="shared" si="844"/>
        <v>88853.72034373651</v>
      </c>
      <c r="DA151" s="421">
        <f t="shared" si="844"/>
        <v>88853.72034373651</v>
      </c>
      <c r="DB151" s="421">
        <f t="shared" si="844"/>
        <v>88853.72034373651</v>
      </c>
      <c r="DC151" s="421">
        <f t="shared" si="844"/>
        <v>88853.72034373651</v>
      </c>
      <c r="DD151" s="421">
        <f t="shared" si="844"/>
        <v>88853.72034373651</v>
      </c>
      <c r="DE151" s="421" t="n">
        <f t="shared" ref="DE151:EN151" si="845">(DE89=1)*$I151/12*(1+$F151)^(ROUNDUP(DE$91/12,0)-1)</f>
        <v>90630.79475061124</v>
      </c>
      <c r="DF151" s="421">
        <f t="shared" si="845"/>
        <v>90630.79475061124</v>
      </c>
      <c r="DG151" s="421">
        <f t="shared" si="845"/>
        <v>90630.79475061124</v>
      </c>
      <c r="DH151" s="421">
        <f t="shared" si="845"/>
        <v>90630.79475061124</v>
      </c>
      <c r="DI151" s="421">
        <f t="shared" si="845"/>
        <v>90630.79475061124</v>
      </c>
      <c r="DJ151" s="421">
        <f t="shared" si="845"/>
        <v>90630.79475061124</v>
      </c>
      <c r="DK151" s="421">
        <f t="shared" si="845"/>
        <v>90630.79475061124</v>
      </c>
      <c r="DL151" s="421">
        <f t="shared" si="845"/>
        <v>90630.79475061124</v>
      </c>
      <c r="DM151" s="421">
        <f t="shared" si="845"/>
        <v>90630.79475061124</v>
      </c>
      <c r="DN151" s="421">
        <f t="shared" si="845"/>
        <v>90630.79475061124</v>
      </c>
      <c r="DO151" s="421">
        <f t="shared" si="845"/>
        <v>90630.79475061124</v>
      </c>
      <c r="DP151" s="421">
        <f t="shared" si="845"/>
        <v>90630.79475061124</v>
      </c>
      <c r="DQ151" s="421">
        <f t="shared" si="845"/>
        <v>92443.410645623473</v>
      </c>
      <c r="DR151" s="421">
        <f t="shared" si="845"/>
        <v>92443.410645623473</v>
      </c>
      <c r="DS151" s="421">
        <f t="shared" si="845"/>
        <v>92443.410645623473</v>
      </c>
      <c r="DT151" s="421">
        <f t="shared" si="845"/>
        <v>92443.410645623473</v>
      </c>
      <c r="DU151" s="421">
        <f t="shared" si="845"/>
        <v>92443.410645623473</v>
      </c>
      <c r="DV151" s="421">
        <f t="shared" si="845"/>
        <v>92443.410645623473</v>
      </c>
      <c r="DW151" s="421">
        <f t="shared" si="845"/>
        <v>92443.410645623473</v>
      </c>
      <c r="DX151" s="421">
        <f t="shared" si="845"/>
        <v>92443.410645623473</v>
      </c>
      <c r="DY151" s="421">
        <f t="shared" si="845"/>
        <v>92443.410645623473</v>
      </c>
      <c r="DZ151" s="421">
        <f t="shared" si="845"/>
        <v>92443.410645623473</v>
      </c>
      <c r="EA151" s="421">
        <f t="shared" si="845"/>
        <v>92443.410645623473</v>
      </c>
      <c r="EB151" s="421">
        <f t="shared" si="845"/>
        <v>92443.410645623473</v>
      </c>
      <c r="EC151" s="421">
        <f t="shared" si="845"/>
        <v>94292.278858535923</v>
      </c>
      <c r="ED151" s="421">
        <f t="shared" si="845"/>
        <v>94292.278858535923</v>
      </c>
      <c r="EE151" s="421">
        <f t="shared" si="845"/>
        <v>94292.278858535923</v>
      </c>
      <c r="EF151" s="421">
        <f t="shared" si="845"/>
        <v>94292.278858535923</v>
      </c>
      <c r="EG151" s="421">
        <f t="shared" si="845"/>
        <v>94292.278858535923</v>
      </c>
      <c r="EH151" s="421">
        <f t="shared" si="845"/>
        <v>94292.278858535923</v>
      </c>
      <c r="EI151" s="421">
        <f t="shared" si="845"/>
        <v>94292.278858535923</v>
      </c>
      <c r="EJ151" s="421">
        <f t="shared" si="845"/>
        <v>94292.278858535923</v>
      </c>
      <c r="EK151" s="421">
        <f t="shared" si="845"/>
        <v>94292.278858535923</v>
      </c>
      <c r="EL151" s="421">
        <f t="shared" si="845"/>
        <v>94292.278858535923</v>
      </c>
      <c r="EM151" s="421">
        <f t="shared" si="845"/>
        <v>94292.278858535923</v>
      </c>
      <c r="EN151" s="421">
        <f t="shared" si="845"/>
        <v>94292.278858535923</v>
      </c>
      <c r="EO151" s="209"/>
      <c r="EP151" s="468"/>
      <c r="EQ151" s="469"/>
      <c r="ER151" s="469"/>
      <c r="ES151" s="469"/>
      <c r="ET151" s="469"/>
      <c r="EU151" s="469"/>
      <c r="EV151" s="469"/>
      <c r="EW151" s="469"/>
      <c r="EX151" s="469"/>
      <c r="EY151" s="469"/>
      <c r="EZ151" s="469"/>
      <c r="FA151" s="469"/>
      <c r="FB151" s="469"/>
      <c r="FC151" s="469"/>
      <c r="FD151" s="469"/>
      <c r="FE151" s="469"/>
      <c r="FF151" s="469"/>
      <c r="FG151" s="469"/>
      <c r="FH151" s="469"/>
      <c r="FI151" s="469"/>
      <c r="FJ151" s="469"/>
      <c r="FK151" s="469"/>
      <c r="FL151" s="469"/>
      <c r="FM151" s="469"/>
      <c r="FN151" s="469"/>
      <c r="FO151" s="469"/>
      <c r="FP151" s="469"/>
      <c r="FQ151" s="469"/>
      <c r="FR151" s="469"/>
      <c r="FS151" s="469"/>
      <c r="FT151" s="469"/>
      <c r="FU151" s="469"/>
      <c r="FV151" s="469"/>
      <c r="FW151" s="469"/>
      <c r="FX151" s="469"/>
      <c r="FY151" s="469"/>
      <c r="FZ151" s="469"/>
      <c r="GA151" s="469"/>
      <c r="GB151" s="469"/>
      <c r="GC151" s="469"/>
      <c r="GD151" s="469"/>
      <c r="GE151" s="469"/>
      <c r="GF151" s="469"/>
      <c r="GG151" s="469"/>
      <c r="GH151" s="469"/>
      <c r="GI151" s="469"/>
      <c r="GJ151" s="469"/>
      <c r="GK151" s="469"/>
      <c r="GL151" s="469"/>
      <c r="GM151" s="469"/>
      <c r="GN151" s="469"/>
      <c r="GO151" s="469"/>
      <c r="GP151" s="469"/>
      <c r="GQ151" s="469"/>
      <c r="GR151" s="469"/>
      <c r="GS151" s="469"/>
      <c r="GT151" s="469"/>
      <c r="GU151" s="469"/>
      <c r="GV151" s="469"/>
      <c r="GW151" s="469"/>
      <c r="GX151" s="469"/>
      <c r="GY151" s="469"/>
      <c r="GZ151" s="469"/>
      <c r="HA151" s="469"/>
      <c r="HB151" s="469"/>
      <c r="HC151" s="469"/>
      <c r="HD151" s="469"/>
      <c r="HE151" s="469"/>
      <c r="HF151" s="469"/>
      <c r="HG151" s="469"/>
      <c r="HH151" s="469"/>
      <c r="HI151" s="469"/>
      <c r="HJ151" s="469"/>
      <c r="HK151" s="469"/>
      <c r="HL151" s="469"/>
      <c r="HM151" s="469"/>
      <c r="HN151" s="469"/>
      <c r="HO151" s="469"/>
      <c r="HP151" s="469"/>
      <c r="HQ151" s="469"/>
      <c r="HR151" s="469"/>
      <c r="HS151" s="469"/>
      <c r="HT151" s="469"/>
      <c r="HU151" s="469"/>
      <c r="HV151" s="469"/>
      <c r="HW151" s="469"/>
      <c r="HX151" s="469"/>
      <c r="HY151" s="469"/>
      <c r="HZ151" s="469"/>
      <c r="IA151" s="469"/>
      <c r="IB151" s="469"/>
      <c r="IC151" s="469"/>
      <c r="ID151" s="469"/>
      <c r="IE151" s="469"/>
      <c r="IF151" s="469"/>
      <c r="IG151" s="469"/>
      <c r="IH151" s="469"/>
      <c r="II151" s="469"/>
      <c r="IJ151" s="469"/>
      <c r="IK151" s="469"/>
      <c r="IL151" s="469"/>
      <c r="IM151" s="469"/>
      <c r="IN151" s="469"/>
      <c r="IO151" s="469"/>
      <c r="IP151" s="469"/>
      <c r="IQ151" s="469"/>
      <c r="IR151" s="469"/>
      <c r="IS151" s="469"/>
      <c r="IT151" s="469"/>
      <c r="IU151" s="469"/>
      <c r="IV151" s="469"/>
      <c r="IW151" s="469"/>
      <c r="IX151" s="469"/>
      <c r="IY151" s="469"/>
      <c r="IZ151" s="469"/>
      <c r="JA151" s="469"/>
      <c r="JB151" s="469"/>
      <c r="JC151" s="469"/>
      <c r="JD151" s="469"/>
      <c r="JE151" s="469"/>
      <c r="JF151" s="469"/>
      <c r="JG151" s="469"/>
      <c r="JH151" s="469"/>
      <c r="JI151" s="469"/>
      <c r="JJ151" s="469"/>
      <c r="JK151" s="469"/>
      <c r="JL151" s="469"/>
      <c r="JM151" s="469"/>
      <c r="JN151" s="469"/>
      <c r="JO151" s="469"/>
      <c r="JP151" s="469"/>
      <c r="JQ151" s="469"/>
      <c r="JR151" s="469"/>
      <c r="JS151" s="469"/>
      <c r="JT151" s="469"/>
      <c r="JU151" s="469"/>
      <c r="JV151" s="469"/>
      <c r="JW151" s="469"/>
      <c r="JX151" s="20"/>
      <c r="JZ151" s="470"/>
      <c r="KA151" s="470"/>
      <c r="KB151" s="470"/>
      <c r="KC151" s="470"/>
      <c r="KD151" s="470"/>
      <c r="KE151" s="470"/>
      <c r="KF151" s="470"/>
      <c r="KG151" s="470"/>
      <c r="KH151" s="470"/>
      <c r="KI151" s="470"/>
      <c r="KJ151" s="470"/>
      <c r="KK151" s="470"/>
      <c r="KL151" s="470"/>
      <c r="KM151" s="470"/>
      <c r="KN151" s="470"/>
      <c r="KO151" s="470"/>
      <c r="KP151" s="470"/>
      <c r="KQ151" s="470"/>
      <c r="KR151" s="470"/>
      <c r="KS151" s="470"/>
      <c r="KT151" s="470"/>
      <c r="KU151" s="470"/>
      <c r="KV151" s="470"/>
      <c r="KW151" s="470"/>
      <c r="KX151" s="470"/>
      <c r="KY151" s="470"/>
      <c r="KZ151" s="470"/>
      <c r="LA151" s="470"/>
      <c r="LB151" s="470"/>
      <c r="LC151" s="470"/>
      <c r="LD151" s="470"/>
      <c r="LE151" s="470"/>
      <c r="LF151" s="470"/>
      <c r="LG151" s="470"/>
      <c r="LH151" s="470"/>
      <c r="LI151" s="470"/>
      <c r="LJ151" s="470"/>
      <c r="LK151" s="470"/>
      <c r="LL151" s="470"/>
      <c r="LM151" s="470"/>
      <c r="LN151" s="470"/>
      <c r="LO151" s="470"/>
      <c r="LP151" s="470"/>
      <c r="LQ151" s="470"/>
      <c r="LR151" s="470"/>
      <c r="LS151" s="470"/>
      <c r="LT151" s="470"/>
      <c r="LU151" s="470"/>
      <c r="LV151" s="470"/>
      <c r="LW151" s="470"/>
      <c r="LX151" s="470"/>
      <c r="LY151" s="470"/>
      <c r="LZ151" s="470"/>
      <c r="MA151" s="470"/>
      <c r="MB151" s="470"/>
      <c r="MC151" s="470"/>
      <c r="MD151" s="470"/>
      <c r="ME151" s="470"/>
      <c r="MF151" s="470"/>
      <c r="MG151" s="470"/>
      <c r="MH151" s="470"/>
      <c r="MI151" s="470"/>
      <c r="MJ151" s="470"/>
      <c r="MK151" s="470"/>
      <c r="ML151" s="470"/>
      <c r="MM151" s="470"/>
      <c r="MN151" s="470"/>
      <c r="MO151" s="470"/>
      <c r="MP151" s="470"/>
      <c r="MQ151" s="470"/>
      <c r="MR151" s="470"/>
      <c r="MS151" s="470"/>
      <c r="MT151" s="470"/>
      <c r="MU151" s="470"/>
      <c r="MV151" s="470"/>
      <c r="MW151" s="470"/>
      <c r="MX151" s="470"/>
      <c r="MY151" s="470"/>
      <c r="MZ151" s="470"/>
      <c r="NA151" s="470"/>
      <c r="NB151" s="470"/>
      <c r="NC151" s="470"/>
      <c r="ND151" s="470"/>
      <c r="NE151" s="470"/>
      <c r="NF151" s="470"/>
      <c r="NG151" s="470"/>
      <c r="NH151" s="470"/>
      <c r="NI151" s="470"/>
      <c r="NJ151" s="470"/>
      <c r="NK151" s="470"/>
      <c r="NL151" s="470"/>
      <c r="NM151" s="470"/>
      <c r="NN151" s="470"/>
      <c r="NO151" s="470"/>
      <c r="NP151" s="470"/>
      <c r="NQ151" s="470"/>
      <c r="NR151" s="470"/>
      <c r="NS151" s="470"/>
      <c r="NT151" s="470"/>
      <c r="NU151" s="470"/>
      <c r="NV151" s="470"/>
      <c r="NW151" s="470"/>
      <c r="NX151" s="470"/>
      <c r="NY151" s="470"/>
      <c r="NZ151" s="470"/>
      <c r="OA151" s="470"/>
      <c r="OB151" s="470"/>
      <c r="OC151" s="470"/>
      <c r="OD151" s="470"/>
      <c r="OE151" s="470"/>
      <c r="OF151" s="470"/>
      <c r="OG151" s="470"/>
      <c r="OH151" s="470"/>
      <c r="OI151" s="470"/>
      <c r="OJ151" s="470"/>
      <c r="OK151" s="470"/>
      <c r="OL151" s="470"/>
      <c r="OM151" s="470"/>
      <c r="ON151" s="470"/>
      <c r="OO151" s="470"/>
      <c r="OP151" s="470"/>
      <c r="OQ151" s="470"/>
      <c r="OR151" s="470"/>
      <c r="OS151" s="470"/>
      <c r="OT151" s="470"/>
      <c r="OU151" s="470"/>
      <c r="OV151" s="470"/>
      <c r="OW151" s="470"/>
      <c r="OX151" s="470"/>
      <c r="OY151" s="470"/>
      <c r="OZ151" s="470"/>
      <c r="PA151" s="470"/>
      <c r="PB151" s="470"/>
      <c r="PC151" s="470"/>
      <c r="PD151" s="470"/>
      <c r="PE151" s="470"/>
      <c r="PF151" s="470"/>
      <c r="PG151" s="470"/>
      <c r="PH151" s="470"/>
    </row>
    <row r="152">
      <c r="B152" s="431" t="s">
        <v>308</v>
      </c>
      <c r="C152" s="418"/>
      <c r="D152" s="404"/>
      <c r="E152" s="54">
        <v>1</v>
      </c>
      <c r="F152" s="44">
        <v>0.02</v>
      </c>
      <c r="G152" s="251" t="n">
        <f>+I152/$I$140</f>
        <v>0.0017195668736679534</v>
      </c>
      <c r="H152" s="147">
        <v>1</v>
      </c>
      <c r="I152" s="483" t="n">
        <f>+H152*Units_Ind</f>
        <v>78312.38</v>
      </c>
      <c r="K152" s="500"/>
      <c r="L152" s="203"/>
      <c r="M152" s="426" t="n">
        <f t="shared" ref="M152:AQ152" si="846">(M$91&gt;0)*(($I152/12*M$89*(1+$F152)^(ROUNDUP(M$91/12,0)-1))*(1-$E152)+($I152/12*(1+$F152)^(ROUNDUP(M$91/12,0)-1))*$E152)</f>
        <v>0</v>
      </c>
      <c r="N152" s="426">
        <f t="shared" si="846"/>
        <v>0</v>
      </c>
      <c r="O152" s="426">
        <f t="shared" si="846"/>
        <v>0</v>
      </c>
      <c r="P152" s="426">
        <f t="shared" si="846"/>
        <v>0</v>
      </c>
      <c r="Q152" s="426">
        <f t="shared" si="846"/>
        <v>0</v>
      </c>
      <c r="R152" s="426">
        <f t="shared" si="846"/>
        <v>0</v>
      </c>
      <c r="S152" s="426">
        <f t="shared" si="846"/>
        <v>0</v>
      </c>
      <c r="T152" s="426">
        <f t="shared" si="846"/>
        <v>0</v>
      </c>
      <c r="U152" s="426">
        <f t="shared" si="846"/>
        <v>0</v>
      </c>
      <c r="V152" s="426">
        <f t="shared" si="846"/>
        <v>0</v>
      </c>
      <c r="W152" s="426">
        <f t="shared" si="846"/>
        <v>0</v>
      </c>
      <c r="X152" s="426">
        <f t="shared" si="846"/>
        <v>0</v>
      </c>
      <c r="Y152" s="426">
        <f t="shared" si="846"/>
        <v>0</v>
      </c>
      <c r="Z152" s="426">
        <f t="shared" si="846"/>
        <v>0</v>
      </c>
      <c r="AA152" s="426">
        <f t="shared" si="846"/>
        <v>0</v>
      </c>
      <c r="AB152" s="426">
        <f t="shared" si="846"/>
        <v>0</v>
      </c>
      <c r="AC152" s="426">
        <f t="shared" si="846"/>
        <v>0</v>
      </c>
      <c r="AD152" s="426">
        <f t="shared" si="846"/>
        <v>0</v>
      </c>
      <c r="AE152" s="426">
        <f t="shared" si="846"/>
        <v>0</v>
      </c>
      <c r="AF152" s="426">
        <f t="shared" si="846"/>
        <v>0</v>
      </c>
      <c r="AG152" s="426">
        <f t="shared" si="846"/>
        <v>0</v>
      </c>
      <c r="AH152" s="426">
        <f t="shared" si="846"/>
        <v>0</v>
      </c>
      <c r="AI152" s="426">
        <f t="shared" si="846"/>
        <v>0</v>
      </c>
      <c r="AJ152" s="426">
        <f t="shared" si="846"/>
        <v>0</v>
      </c>
      <c r="AK152" s="426">
        <f t="shared" si="846"/>
        <v>0</v>
      </c>
      <c r="AL152" s="426">
        <f t="shared" si="846"/>
        <v>0</v>
      </c>
      <c r="AM152" s="426">
        <f t="shared" si="846"/>
        <v>0</v>
      </c>
      <c r="AN152" s="426">
        <f t="shared" si="846"/>
        <v>0</v>
      </c>
      <c r="AO152" s="426">
        <f t="shared" si="846"/>
        <v>0</v>
      </c>
      <c r="AP152" s="426">
        <f t="shared" si="846"/>
        <v>0</v>
      </c>
      <c r="AQ152" s="426">
        <f t="shared" si="846"/>
        <v>0</v>
      </c>
      <c r="AR152" s="426" t="n">
        <f t="shared" ref="AR152:BW152" si="847">(AR$91&gt;0)*(($I152/12*AR$89*(1+$F152)^(ROUNDUP(AR$91/12,0)-1))*(1-$E152)+($I152/12*(1+$F152)^(ROUNDUP(AR$91/12,0)-1))*$E152)</f>
        <v>0</v>
      </c>
      <c r="AS152" s="426">
        <f t="shared" si="847"/>
        <v>0</v>
      </c>
      <c r="AT152" s="426">
        <f t="shared" si="847"/>
        <v>0</v>
      </c>
      <c r="AU152" s="426">
        <f t="shared" si="847"/>
        <v>0</v>
      </c>
      <c r="AV152" s="426">
        <f t="shared" si="847"/>
        <v>0</v>
      </c>
      <c r="AW152" s="426">
        <f t="shared" si="847"/>
        <v>6526.0316666666668</v>
      </c>
      <c r="AX152" s="426">
        <f t="shared" si="847"/>
        <v>6526.0316666666668</v>
      </c>
      <c r="AY152" s="426">
        <f t="shared" si="847"/>
        <v>6526.0316666666668</v>
      </c>
      <c r="AZ152" s="426">
        <f t="shared" si="847"/>
        <v>6526.0316666666668</v>
      </c>
      <c r="BA152" s="426">
        <f t="shared" si="847"/>
        <v>6526.0316666666668</v>
      </c>
      <c r="BB152" s="426">
        <f t="shared" si="847"/>
        <v>6526.0316666666668</v>
      </c>
      <c r="BC152" s="426">
        <f t="shared" si="847"/>
        <v>6526.0316666666668</v>
      </c>
      <c r="BD152" s="426">
        <f t="shared" si="847"/>
        <v>6526.0316666666668</v>
      </c>
      <c r="BE152" s="426">
        <f t="shared" si="847"/>
        <v>6526.0316666666668</v>
      </c>
      <c r="BF152" s="426">
        <f t="shared" si="847"/>
        <v>6526.0316666666668</v>
      </c>
      <c r="BG152" s="426">
        <f t="shared" si="847"/>
        <v>6526.0316666666668</v>
      </c>
      <c r="BH152" s="426">
        <f t="shared" si="847"/>
        <v>6526.0316666666668</v>
      </c>
      <c r="BI152" s="426">
        <f t="shared" si="847"/>
        <v>6656.5523000000003</v>
      </c>
      <c r="BJ152" s="426">
        <f t="shared" si="847"/>
        <v>6656.5523000000003</v>
      </c>
      <c r="BK152" s="426">
        <f t="shared" si="847"/>
        <v>6656.5523000000003</v>
      </c>
      <c r="BL152" s="426">
        <f t="shared" si="847"/>
        <v>6656.5523000000003</v>
      </c>
      <c r="BM152" s="426">
        <f t="shared" si="847"/>
        <v>6656.5523000000003</v>
      </c>
      <c r="BN152" s="426">
        <f t="shared" si="847"/>
        <v>6656.5523000000003</v>
      </c>
      <c r="BO152" s="426">
        <f t="shared" si="847"/>
        <v>6656.5523000000003</v>
      </c>
      <c r="BP152" s="426">
        <f t="shared" si="847"/>
        <v>6656.5523000000003</v>
      </c>
      <c r="BQ152" s="426">
        <f t="shared" si="847"/>
        <v>6656.5523000000003</v>
      </c>
      <c r="BR152" s="426">
        <f t="shared" si="847"/>
        <v>6656.5523000000003</v>
      </c>
      <c r="BS152" s="426">
        <f t="shared" si="847"/>
        <v>6656.5523000000003</v>
      </c>
      <c r="BT152" s="426">
        <f t="shared" si="847"/>
        <v>6656.5523000000003</v>
      </c>
      <c r="BU152" s="426">
        <f t="shared" si="847"/>
        <v>6789.6833459999998</v>
      </c>
      <c r="BV152" s="426">
        <f t="shared" si="847"/>
        <v>6789.6833459999998</v>
      </c>
      <c r="BW152" s="426">
        <f t="shared" si="847"/>
        <v>6789.6833459999998</v>
      </c>
      <c r="BX152" s="426" t="n">
        <f t="shared" ref="BX152:DC152" si="848">(BX$91&gt;0)*(($I152/12*BX$89*(1+$F152)^(ROUNDUP(BX$91/12,0)-1))*(1-$E152)+($I152/12*(1+$F152)^(ROUNDUP(BX$91/12,0)-1))*$E152)</f>
        <v>6789.683346</v>
      </c>
      <c r="BY152" s="426">
        <f t="shared" si="848"/>
        <v>6789.6833459999998</v>
      </c>
      <c r="BZ152" s="426">
        <f t="shared" si="848"/>
        <v>6789.6833459999998</v>
      </c>
      <c r="CA152" s="426">
        <f t="shared" si="848"/>
        <v>6789.6833459999998</v>
      </c>
      <c r="CB152" s="426">
        <f t="shared" si="848"/>
        <v>6789.6833459999998</v>
      </c>
      <c r="CC152" s="426">
        <f t="shared" si="848"/>
        <v>6789.6833459999998</v>
      </c>
      <c r="CD152" s="426">
        <f t="shared" si="848"/>
        <v>6789.6833459999998</v>
      </c>
      <c r="CE152" s="426">
        <f t="shared" si="848"/>
        <v>6789.6833459999998</v>
      </c>
      <c r="CF152" s="426">
        <f t="shared" si="848"/>
        <v>6789.6833459999998</v>
      </c>
      <c r="CG152" s="426">
        <f t="shared" si="848"/>
        <v>6925.4770129199997</v>
      </c>
      <c r="CH152" s="426">
        <f t="shared" si="848"/>
        <v>6925.4770129199997</v>
      </c>
      <c r="CI152" s="426">
        <f t="shared" si="848"/>
        <v>6925.4770129199997</v>
      </c>
      <c r="CJ152" s="426">
        <f t="shared" si="848"/>
        <v>6925.4770129199997</v>
      </c>
      <c r="CK152" s="426">
        <f t="shared" si="848"/>
        <v>6925.4770129199997</v>
      </c>
      <c r="CL152" s="426">
        <f t="shared" si="848"/>
        <v>6925.4770129199997</v>
      </c>
      <c r="CM152" s="426">
        <f t="shared" si="848"/>
        <v>6925.4770129199997</v>
      </c>
      <c r="CN152" s="426">
        <f t="shared" si="848"/>
        <v>6925.4770129199997</v>
      </c>
      <c r="CO152" s="426">
        <f t="shared" si="848"/>
        <v>6925.4770129199997</v>
      </c>
      <c r="CP152" s="426">
        <f t="shared" si="848"/>
        <v>6925.4770129199997</v>
      </c>
      <c r="CQ152" s="426">
        <f t="shared" si="848"/>
        <v>6925.4770129199997</v>
      </c>
      <c r="CR152" s="426">
        <f t="shared" si="848"/>
        <v>6925.4770129199997</v>
      </c>
      <c r="CS152" s="426">
        <f t="shared" si="848"/>
        <v>7063.9865531783998</v>
      </c>
      <c r="CT152" s="426">
        <f t="shared" si="848"/>
        <v>7063.9865531783998</v>
      </c>
      <c r="CU152" s="426">
        <f t="shared" si="848"/>
        <v>7063.9865531783998</v>
      </c>
      <c r="CV152" s="426">
        <f t="shared" si="848"/>
        <v>7063.9865531783998</v>
      </c>
      <c r="CW152" s="426">
        <f t="shared" si="848"/>
        <v>7063.9865531783998</v>
      </c>
      <c r="CX152" s="426">
        <f t="shared" si="848"/>
        <v>7063.9865531783998</v>
      </c>
      <c r="CY152" s="426">
        <f t="shared" si="848"/>
        <v>7063.9865531783998</v>
      </c>
      <c r="CZ152" s="426">
        <f t="shared" si="848"/>
        <v>7063.9865531783998</v>
      </c>
      <c r="DA152" s="426">
        <f t="shared" si="848"/>
        <v>7063.9865531783998</v>
      </c>
      <c r="DB152" s="426">
        <f t="shared" si="848"/>
        <v>7063.9865531783998</v>
      </c>
      <c r="DC152" s="426">
        <f t="shared" si="848"/>
        <v>7063.9865531783998</v>
      </c>
      <c r="DD152" s="426" t="n">
        <f t="shared" ref="DD152:EN152" si="849">(DD$91&gt;0)*(($I152/12*DD$89*(1+$F152)^(ROUNDUP(DD$91/12,0)-1))*(1-$E152)+($I152/12*(1+$F152)^(ROUNDUP(DD$91/12,0)-1))*$E152)</f>
        <v>7063.9865531784</v>
      </c>
      <c r="DE152" s="426">
        <f t="shared" si="849"/>
        <v>7205.2662842419686</v>
      </c>
      <c r="DF152" s="426">
        <f t="shared" si="849"/>
        <v>7205.2662842419686</v>
      </c>
      <c r="DG152" s="426">
        <f t="shared" si="849"/>
        <v>7205.2662842419686</v>
      </c>
      <c r="DH152" s="426">
        <f t="shared" si="849"/>
        <v>7205.2662842419686</v>
      </c>
      <c r="DI152" s="426">
        <f t="shared" si="849"/>
        <v>7205.2662842419686</v>
      </c>
      <c r="DJ152" s="426">
        <f t="shared" si="849"/>
        <v>7205.2662842419686</v>
      </c>
      <c r="DK152" s="426">
        <f t="shared" si="849"/>
        <v>7205.2662842419686</v>
      </c>
      <c r="DL152" s="426">
        <f t="shared" si="849"/>
        <v>7205.2662842419686</v>
      </c>
      <c r="DM152" s="426">
        <f t="shared" si="849"/>
        <v>7205.2662842419686</v>
      </c>
      <c r="DN152" s="426">
        <f t="shared" si="849"/>
        <v>7205.2662842419686</v>
      </c>
      <c r="DO152" s="426">
        <f t="shared" si="849"/>
        <v>7205.2662842419686</v>
      </c>
      <c r="DP152" s="426">
        <f t="shared" si="849"/>
        <v>7205.2662842419686</v>
      </c>
      <c r="DQ152" s="426">
        <f t="shared" si="849"/>
        <v>7349.3716099268077</v>
      </c>
      <c r="DR152" s="426">
        <f t="shared" si="849"/>
        <v>7349.3716099268077</v>
      </c>
      <c r="DS152" s="426">
        <f t="shared" si="849"/>
        <v>7349.3716099268077</v>
      </c>
      <c r="DT152" s="426">
        <f t="shared" si="849"/>
        <v>7349.3716099268077</v>
      </c>
      <c r="DU152" s="426">
        <f t="shared" si="849"/>
        <v>7349.3716099268077</v>
      </c>
      <c r="DV152" s="426">
        <f t="shared" si="849"/>
        <v>7349.3716099268077</v>
      </c>
      <c r="DW152" s="426">
        <f t="shared" si="849"/>
        <v>7349.3716099268077</v>
      </c>
      <c r="DX152" s="426">
        <f t="shared" si="849"/>
        <v>7349.3716099268077</v>
      </c>
      <c r="DY152" s="426">
        <f t="shared" si="849"/>
        <v>7349.3716099268077</v>
      </c>
      <c r="DZ152" s="426">
        <f t="shared" si="849"/>
        <v>7349.3716099268077</v>
      </c>
      <c r="EA152" s="426">
        <f t="shared" si="849"/>
        <v>7349.3716099268077</v>
      </c>
      <c r="EB152" s="426">
        <f t="shared" si="849"/>
        <v>7349.3716099268077</v>
      </c>
      <c r="EC152" s="426">
        <f t="shared" si="849"/>
        <v>7496.3590421253421</v>
      </c>
      <c r="ED152" s="426">
        <f t="shared" si="849"/>
        <v>7496.3590421253421</v>
      </c>
      <c r="EE152" s="426">
        <f t="shared" si="849"/>
        <v>7496.3590421253421</v>
      </c>
      <c r="EF152" s="426">
        <f t="shared" si="849"/>
        <v>7496.3590421253421</v>
      </c>
      <c r="EG152" s="426">
        <f t="shared" si="849"/>
        <v>7496.3590421253421</v>
      </c>
      <c r="EH152" s="426">
        <f t="shared" si="849"/>
        <v>7496.3590421253421</v>
      </c>
      <c r="EI152" s="426">
        <f t="shared" si="849"/>
        <v>7496.3590421253421</v>
      </c>
      <c r="EJ152" s="426">
        <f t="shared" si="849"/>
        <v>7496.3590421253421</v>
      </c>
      <c r="EK152" s="426">
        <f t="shared" si="849"/>
        <v>7496.3590421253421</v>
      </c>
      <c r="EL152" s="426">
        <f t="shared" si="849"/>
        <v>7496.3590421253421</v>
      </c>
      <c r="EM152" s="426">
        <f t="shared" si="849"/>
        <v>7496.3590421253421</v>
      </c>
      <c r="EN152" s="426">
        <f t="shared" si="849"/>
        <v>7496.3590421253421</v>
      </c>
      <c r="EO152" s="209"/>
      <c r="EP152" s="468"/>
      <c r="EQ152" s="469"/>
      <c r="ER152" s="469"/>
      <c r="ES152" s="469"/>
      <c r="ET152" s="469"/>
      <c r="EU152" s="469"/>
      <c r="EV152" s="469"/>
      <c r="EW152" s="469"/>
      <c r="EX152" s="469"/>
      <c r="EY152" s="469"/>
      <c r="EZ152" s="469"/>
      <c r="FA152" s="469"/>
      <c r="FB152" s="469"/>
      <c r="FC152" s="469"/>
      <c r="FD152" s="469"/>
      <c r="FE152" s="469"/>
      <c r="FF152" s="469"/>
      <c r="FG152" s="469"/>
      <c r="FH152" s="469"/>
      <c r="FI152" s="469"/>
      <c r="FJ152" s="469"/>
      <c r="FK152" s="469"/>
      <c r="FL152" s="469"/>
      <c r="FM152" s="469"/>
      <c r="FN152" s="469"/>
      <c r="FO152" s="469"/>
      <c r="FP152" s="469"/>
      <c r="FQ152" s="469"/>
      <c r="FR152" s="469"/>
      <c r="FS152" s="469"/>
      <c r="FT152" s="469"/>
      <c r="FU152" s="469"/>
      <c r="FV152" s="469"/>
      <c r="FW152" s="469"/>
      <c r="FX152" s="469"/>
      <c r="FY152" s="469"/>
      <c r="FZ152" s="469"/>
      <c r="GA152" s="469"/>
      <c r="GB152" s="469"/>
      <c r="GC152" s="469"/>
      <c r="GD152" s="469"/>
      <c r="GE152" s="469"/>
      <c r="GF152" s="469"/>
      <c r="GG152" s="469"/>
      <c r="GH152" s="469"/>
      <c r="GI152" s="469"/>
      <c r="GJ152" s="469"/>
      <c r="GK152" s="469"/>
      <c r="GL152" s="469"/>
      <c r="GM152" s="469"/>
      <c r="GN152" s="469"/>
      <c r="GO152" s="469"/>
      <c r="GP152" s="469"/>
      <c r="GQ152" s="469"/>
      <c r="GR152" s="469"/>
      <c r="GS152" s="469"/>
      <c r="GT152" s="469"/>
      <c r="GU152" s="469"/>
      <c r="GV152" s="469"/>
      <c r="GW152" s="469"/>
      <c r="GX152" s="469"/>
      <c r="GY152" s="469"/>
      <c r="GZ152" s="469"/>
      <c r="HA152" s="469"/>
      <c r="HB152" s="469"/>
      <c r="HC152" s="469"/>
      <c r="HD152" s="469"/>
      <c r="HE152" s="469"/>
      <c r="HF152" s="469"/>
      <c r="HG152" s="469"/>
      <c r="HH152" s="469"/>
      <c r="HI152" s="469"/>
      <c r="HJ152" s="469"/>
      <c r="HK152" s="469"/>
      <c r="HL152" s="469"/>
      <c r="HM152" s="469"/>
      <c r="HN152" s="469"/>
      <c r="HO152" s="469"/>
      <c r="HP152" s="469"/>
      <c r="HQ152" s="469"/>
      <c r="HR152" s="469"/>
      <c r="HS152" s="469"/>
      <c r="HT152" s="469"/>
      <c r="HU152" s="469"/>
      <c r="HV152" s="469"/>
      <c r="HW152" s="469"/>
      <c r="HX152" s="469"/>
      <c r="HY152" s="469"/>
      <c r="HZ152" s="469"/>
      <c r="IA152" s="469"/>
      <c r="IB152" s="469"/>
      <c r="IC152" s="469"/>
      <c r="ID152" s="469"/>
      <c r="IE152" s="469"/>
      <c r="IF152" s="469"/>
      <c r="IG152" s="469"/>
      <c r="IH152" s="469"/>
      <c r="II152" s="469"/>
      <c r="IJ152" s="469"/>
      <c r="IK152" s="469"/>
      <c r="IL152" s="469"/>
      <c r="IM152" s="469"/>
      <c r="IN152" s="469"/>
      <c r="IO152" s="469"/>
      <c r="IP152" s="469"/>
      <c r="IQ152" s="469"/>
      <c r="IR152" s="469"/>
      <c r="IS152" s="469"/>
      <c r="IT152" s="469"/>
      <c r="IU152" s="469"/>
      <c r="IV152" s="469"/>
      <c r="IW152" s="469"/>
      <c r="IX152" s="469"/>
      <c r="IY152" s="469"/>
      <c r="IZ152" s="469"/>
      <c r="JA152" s="469"/>
      <c r="JB152" s="469"/>
      <c r="JC152" s="469"/>
      <c r="JD152" s="469"/>
      <c r="JE152" s="469"/>
      <c r="JF152" s="469"/>
      <c r="JG152" s="469"/>
      <c r="JH152" s="469"/>
      <c r="JI152" s="469"/>
      <c r="JJ152" s="469"/>
      <c r="JK152" s="469"/>
      <c r="JL152" s="469"/>
      <c r="JM152" s="469"/>
      <c r="JN152" s="469"/>
      <c r="JO152" s="469"/>
      <c r="JP152" s="469"/>
      <c r="JQ152" s="469"/>
      <c r="JR152" s="469"/>
      <c r="JS152" s="469"/>
      <c r="JT152" s="469"/>
      <c r="JU152" s="469"/>
      <c r="JV152" s="469"/>
      <c r="JW152" s="469"/>
      <c r="JX152" s="20"/>
      <c r="JZ152" s="470"/>
      <c r="KA152" s="470"/>
      <c r="KB152" s="470"/>
      <c r="KC152" s="470"/>
      <c r="KD152" s="470"/>
      <c r="KE152" s="470"/>
      <c r="KF152" s="470"/>
      <c r="KG152" s="470"/>
      <c r="KH152" s="470"/>
      <c r="KI152" s="470"/>
      <c r="KJ152" s="470"/>
      <c r="KK152" s="470"/>
      <c r="KL152" s="470"/>
      <c r="KM152" s="470"/>
      <c r="KN152" s="470"/>
      <c r="KO152" s="470"/>
      <c r="KP152" s="470"/>
      <c r="KQ152" s="470"/>
      <c r="KR152" s="470"/>
      <c r="KS152" s="470"/>
      <c r="KT152" s="470"/>
      <c r="KU152" s="470"/>
      <c r="KV152" s="470"/>
      <c r="KW152" s="470"/>
      <c r="KX152" s="470"/>
      <c r="KY152" s="470"/>
      <c r="KZ152" s="470"/>
      <c r="LA152" s="470"/>
      <c r="LB152" s="470"/>
      <c r="LC152" s="470"/>
      <c r="LD152" s="470"/>
      <c r="LE152" s="470"/>
      <c r="LF152" s="470"/>
      <c r="LG152" s="470"/>
      <c r="LH152" s="470"/>
      <c r="LI152" s="470"/>
      <c r="LJ152" s="470"/>
      <c r="LK152" s="470"/>
      <c r="LL152" s="470"/>
      <c r="LM152" s="470"/>
      <c r="LN152" s="470"/>
      <c r="LO152" s="470"/>
      <c r="LP152" s="470"/>
      <c r="LQ152" s="470"/>
      <c r="LR152" s="470"/>
      <c r="LS152" s="470"/>
      <c r="LT152" s="470"/>
      <c r="LU152" s="470"/>
      <c r="LV152" s="470"/>
      <c r="LW152" s="470"/>
      <c r="LX152" s="470"/>
      <c r="LY152" s="470"/>
      <c r="LZ152" s="470"/>
      <c r="MA152" s="470"/>
      <c r="MB152" s="470"/>
      <c r="MC152" s="470"/>
      <c r="MD152" s="470"/>
      <c r="ME152" s="470"/>
      <c r="MF152" s="470"/>
      <c r="MG152" s="470"/>
      <c r="MH152" s="470"/>
      <c r="MI152" s="470"/>
      <c r="MJ152" s="470"/>
      <c r="MK152" s="470"/>
      <c r="ML152" s="470"/>
      <c r="MM152" s="470"/>
      <c r="MN152" s="470"/>
      <c r="MO152" s="470"/>
      <c r="MP152" s="470"/>
      <c r="MQ152" s="470"/>
      <c r="MR152" s="470"/>
      <c r="MS152" s="470"/>
      <c r="MT152" s="470"/>
      <c r="MU152" s="470"/>
      <c r="MV152" s="470"/>
      <c r="MW152" s="470"/>
      <c r="MX152" s="470"/>
      <c r="MY152" s="470"/>
      <c r="MZ152" s="470"/>
      <c r="NA152" s="470"/>
      <c r="NB152" s="470"/>
      <c r="NC152" s="470"/>
      <c r="ND152" s="470"/>
      <c r="NE152" s="470"/>
      <c r="NF152" s="470"/>
      <c r="NG152" s="470"/>
      <c r="NH152" s="470"/>
      <c r="NI152" s="470"/>
      <c r="NJ152" s="470"/>
      <c r="NK152" s="470"/>
      <c r="NL152" s="470"/>
      <c r="NM152" s="470"/>
      <c r="NN152" s="470"/>
      <c r="NO152" s="470"/>
      <c r="NP152" s="470"/>
      <c r="NQ152" s="470"/>
      <c r="NR152" s="470"/>
      <c r="NS152" s="470"/>
      <c r="NT152" s="470"/>
      <c r="NU152" s="470"/>
      <c r="NV152" s="470"/>
      <c r="NW152" s="470"/>
      <c r="NX152" s="470"/>
      <c r="NY152" s="470"/>
      <c r="NZ152" s="470"/>
      <c r="OA152" s="470"/>
      <c r="OB152" s="470"/>
      <c r="OC152" s="470"/>
      <c r="OD152" s="470"/>
      <c r="OE152" s="470"/>
      <c r="OF152" s="470"/>
      <c r="OG152" s="470"/>
      <c r="OH152" s="470"/>
      <c r="OI152" s="470"/>
      <c r="OJ152" s="470"/>
      <c r="OK152" s="470"/>
      <c r="OL152" s="470"/>
      <c r="OM152" s="470"/>
      <c r="ON152" s="470"/>
      <c r="OO152" s="470"/>
      <c r="OP152" s="470"/>
      <c r="OQ152" s="470"/>
      <c r="OR152" s="470"/>
      <c r="OS152" s="470"/>
      <c r="OT152" s="470"/>
      <c r="OU152" s="470"/>
      <c r="OV152" s="470"/>
      <c r="OW152" s="470"/>
      <c r="OX152" s="470"/>
      <c r="OY152" s="470"/>
      <c r="OZ152" s="470"/>
      <c r="PA152" s="470"/>
      <c r="PB152" s="470"/>
      <c r="PC152" s="470"/>
      <c r="PD152" s="470"/>
      <c r="PE152" s="470"/>
      <c r="PF152" s="470"/>
      <c r="PG152" s="470"/>
      <c r="PH152" s="470"/>
    </row>
    <row r="153">
      <c r="B153" s="34" t="s">
        <v>309</v>
      </c>
      <c r="C153" s="63"/>
      <c r="D153" s="63"/>
      <c r="E153" s="63"/>
      <c r="F153" s="63"/>
      <c r="G153" s="260" t="n">
        <f>SUM(G151:G152)</f>
        <v>0.023348984335752256</v>
      </c>
      <c r="H153" s="149" t="n">
        <f>SUM(H151:H152)</f>
        <v>13.578410176015593</v>
      </c>
      <c r="I153" s="449" t="n">
        <f>SUM(I151:I152)</f>
        <v>1063357.6175000002</v>
      </c>
      <c r="K153" s="224" t="s">
        <v>310</v>
      </c>
      <c r="L153" s="76"/>
      <c r="M153" s="421" t="n">
        <f t="shared" ref="M153:BX153" si="850">SUM(M151:M152)</f>
        <v>0</v>
      </c>
      <c r="N153" s="421">
        <f t="shared" si="850"/>
        <v>0</v>
      </c>
      <c r="O153" s="421">
        <f t="shared" si="850"/>
        <v>0</v>
      </c>
      <c r="P153" s="421">
        <f t="shared" si="850"/>
        <v>0</v>
      </c>
      <c r="Q153" s="421">
        <f t="shared" si="850"/>
        <v>0</v>
      </c>
      <c r="R153" s="421">
        <f t="shared" si="850"/>
        <v>0</v>
      </c>
      <c r="S153" s="421">
        <f t="shared" si="850"/>
        <v>0</v>
      </c>
      <c r="T153" s="421">
        <f t="shared" si="850"/>
        <v>0</v>
      </c>
      <c r="U153" s="421">
        <f t="shared" si="850"/>
        <v>0</v>
      </c>
      <c r="V153" s="421">
        <f t="shared" si="850"/>
        <v>0</v>
      </c>
      <c r="W153" s="421">
        <f t="shared" si="850"/>
        <v>0</v>
      </c>
      <c r="X153" s="421">
        <f t="shared" si="850"/>
        <v>0</v>
      </c>
      <c r="Y153" s="421">
        <f t="shared" si="850"/>
        <v>0</v>
      </c>
      <c r="Z153" s="421">
        <f t="shared" si="850"/>
        <v>0</v>
      </c>
      <c r="AA153" s="421">
        <f t="shared" si="850"/>
        <v>0</v>
      </c>
      <c r="AB153" s="421">
        <f t="shared" si="850"/>
        <v>0</v>
      </c>
      <c r="AC153" s="421">
        <f t="shared" si="850"/>
        <v>0</v>
      </c>
      <c r="AD153" s="421">
        <f t="shared" si="850"/>
        <v>0</v>
      </c>
      <c r="AE153" s="421">
        <f t="shared" si="850"/>
        <v>0</v>
      </c>
      <c r="AF153" s="421">
        <f t="shared" si="850"/>
        <v>0</v>
      </c>
      <c r="AG153" s="421">
        <f t="shared" si="850"/>
        <v>0</v>
      </c>
      <c r="AH153" s="421">
        <f t="shared" si="850"/>
        <v>0</v>
      </c>
      <c r="AI153" s="421">
        <f t="shared" si="850"/>
        <v>0</v>
      </c>
      <c r="AJ153" s="421">
        <f t="shared" si="850"/>
        <v>0</v>
      </c>
      <c r="AK153" s="421">
        <f t="shared" si="850"/>
        <v>0</v>
      </c>
      <c r="AL153" s="421">
        <f t="shared" si="850"/>
        <v>0</v>
      </c>
      <c r="AM153" s="421">
        <f t="shared" si="850"/>
        <v>0</v>
      </c>
      <c r="AN153" s="421">
        <f t="shared" si="850"/>
        <v>0</v>
      </c>
      <c r="AO153" s="421">
        <f t="shared" si="850"/>
        <v>0</v>
      </c>
      <c r="AP153" s="421">
        <f t="shared" si="850"/>
        <v>0</v>
      </c>
      <c r="AQ153" s="421">
        <f t="shared" si="850"/>
        <v>0</v>
      </c>
      <c r="AR153" s="421">
        <f t="shared" si="850"/>
        <v>0</v>
      </c>
      <c r="AS153" s="421">
        <f t="shared" si="850"/>
        <v>0</v>
      </c>
      <c r="AT153" s="421">
        <f t="shared" si="850"/>
        <v>0</v>
      </c>
      <c r="AU153" s="421">
        <f t="shared" si="850"/>
        <v>0</v>
      </c>
      <c r="AV153" s="421">
        <f t="shared" si="850"/>
        <v>0</v>
      </c>
      <c r="AW153" s="421">
        <f t="shared" si="850"/>
        <v>88613.134791666671</v>
      </c>
      <c r="AX153" s="421">
        <f t="shared" si="850"/>
        <v>88613.134791666671</v>
      </c>
      <c r="AY153" s="421">
        <f t="shared" si="850"/>
        <v>88613.134791666671</v>
      </c>
      <c r="AZ153" s="421">
        <f t="shared" si="850"/>
        <v>88613.134791666671</v>
      </c>
      <c r="BA153" s="421">
        <f t="shared" si="850"/>
        <v>88613.134791666671</v>
      </c>
      <c r="BB153" s="421">
        <f t="shared" si="850"/>
        <v>88613.134791666671</v>
      </c>
      <c r="BC153" s="421">
        <f t="shared" si="850"/>
        <v>88613.134791666671</v>
      </c>
      <c r="BD153" s="421">
        <f t="shared" si="850"/>
        <v>88613.134791666671</v>
      </c>
      <c r="BE153" s="421">
        <f t="shared" si="850"/>
        <v>88613.134791666671</v>
      </c>
      <c r="BF153" s="421">
        <f t="shared" si="850"/>
        <v>88613.134791666671</v>
      </c>
      <c r="BG153" s="421">
        <f t="shared" si="850"/>
        <v>88613.134791666671</v>
      </c>
      <c r="BH153" s="421">
        <f t="shared" si="850"/>
        <v>88613.134791666671</v>
      </c>
      <c r="BI153" s="421">
        <f t="shared" si="850"/>
        <v>90385.397487500013</v>
      </c>
      <c r="BJ153" s="421">
        <f t="shared" si="850"/>
        <v>90385.397487500013</v>
      </c>
      <c r="BK153" s="421">
        <f t="shared" si="850"/>
        <v>90385.397487500013</v>
      </c>
      <c r="BL153" s="421">
        <f t="shared" si="850"/>
        <v>90385.397487500013</v>
      </c>
      <c r="BM153" s="421">
        <f t="shared" si="850"/>
        <v>90385.397487500013</v>
      </c>
      <c r="BN153" s="421">
        <f t="shared" si="850"/>
        <v>90385.397487500013</v>
      </c>
      <c r="BO153" s="421">
        <f t="shared" si="850"/>
        <v>90385.397487500013</v>
      </c>
      <c r="BP153" s="421">
        <f t="shared" si="850"/>
        <v>90385.397487500013</v>
      </c>
      <c r="BQ153" s="421">
        <f t="shared" si="850"/>
        <v>90385.397487500013</v>
      </c>
      <c r="BR153" s="421">
        <f t="shared" si="850"/>
        <v>90385.397487500013</v>
      </c>
      <c r="BS153" s="421">
        <f t="shared" si="850"/>
        <v>90385.397487500013</v>
      </c>
      <c r="BT153" s="421">
        <f t="shared" si="850"/>
        <v>90385.397487500013</v>
      </c>
      <c r="BU153" s="421">
        <f t="shared" si="850"/>
        <v>92193.105437250008</v>
      </c>
      <c r="BV153" s="421">
        <f t="shared" si="850"/>
        <v>92193.105437250008</v>
      </c>
      <c r="BW153" s="421">
        <f t="shared" si="850"/>
        <v>92193.105437250008</v>
      </c>
      <c r="BX153" s="421">
        <f t="shared" si="850"/>
        <v>92193.105437250008</v>
      </c>
      <c r="BY153" s="421" t="n">
        <f t="shared" ref="BY153:EJ153" si="851">SUM(BY151:BY152)</f>
        <v>92193.10543725001</v>
      </c>
      <c r="BZ153" s="421">
        <f t="shared" si="851"/>
        <v>92193.105437250008</v>
      </c>
      <c r="CA153" s="421">
        <f t="shared" si="851"/>
        <v>92193.105437250008</v>
      </c>
      <c r="CB153" s="421">
        <f t="shared" si="851"/>
        <v>92193.105437250008</v>
      </c>
      <c r="CC153" s="421">
        <f t="shared" si="851"/>
        <v>92193.105437250008</v>
      </c>
      <c r="CD153" s="421">
        <f t="shared" si="851"/>
        <v>92193.105437250008</v>
      </c>
      <c r="CE153" s="421">
        <f t="shared" si="851"/>
        <v>92193.105437250008</v>
      </c>
      <c r="CF153" s="421">
        <f t="shared" si="851"/>
        <v>92193.105437250008</v>
      </c>
      <c r="CG153" s="421">
        <f t="shared" si="851"/>
        <v>94036.967545995009</v>
      </c>
      <c r="CH153" s="421">
        <f t="shared" si="851"/>
        <v>94036.967545995009</v>
      </c>
      <c r="CI153" s="421">
        <f t="shared" si="851"/>
        <v>94036.967545995009</v>
      </c>
      <c r="CJ153" s="421">
        <f t="shared" si="851"/>
        <v>94036.967545995009</v>
      </c>
      <c r="CK153" s="421">
        <f t="shared" si="851"/>
        <v>94036.967545995009</v>
      </c>
      <c r="CL153" s="421">
        <f t="shared" si="851"/>
        <v>94036.967545995009</v>
      </c>
      <c r="CM153" s="421">
        <f t="shared" si="851"/>
        <v>94036.967545995009</v>
      </c>
      <c r="CN153" s="421">
        <f t="shared" si="851"/>
        <v>94036.967545995009</v>
      </c>
      <c r="CO153" s="421">
        <f t="shared" si="851"/>
        <v>94036.967545995009</v>
      </c>
      <c r="CP153" s="421">
        <f t="shared" si="851"/>
        <v>94036.967545995009</v>
      </c>
      <c r="CQ153" s="421">
        <f t="shared" si="851"/>
        <v>94036.967545995009</v>
      </c>
      <c r="CR153" s="421">
        <f t="shared" si="851"/>
        <v>94036.967545995009</v>
      </c>
      <c r="CS153" s="421">
        <f t="shared" si="851"/>
        <v>95917.706896914911</v>
      </c>
      <c r="CT153" s="421">
        <f t="shared" si="851"/>
        <v>95917.706896914911</v>
      </c>
      <c r="CU153" s="421">
        <f t="shared" si="851"/>
        <v>95917.706896914911</v>
      </c>
      <c r="CV153" s="421">
        <f t="shared" si="851"/>
        <v>95917.706896914911</v>
      </c>
      <c r="CW153" s="421">
        <f t="shared" si="851"/>
        <v>95917.706896914911</v>
      </c>
      <c r="CX153" s="421">
        <f t="shared" si="851"/>
        <v>95917.706896914911</v>
      </c>
      <c r="CY153" s="421">
        <f t="shared" si="851"/>
        <v>95917.706896914911</v>
      </c>
      <c r="CZ153" s="421">
        <f t="shared" si="851"/>
        <v>95917.706896914911</v>
      </c>
      <c r="DA153" s="421">
        <f t="shared" si="851"/>
        <v>95917.706896914911</v>
      </c>
      <c r="DB153" s="421">
        <f t="shared" si="851"/>
        <v>95917.706896914911</v>
      </c>
      <c r="DC153" s="421">
        <f t="shared" si="851"/>
        <v>95917.706896914911</v>
      </c>
      <c r="DD153" s="421">
        <f t="shared" si="851"/>
        <v>95917.706896914911</v>
      </c>
      <c r="DE153" s="421">
        <f t="shared" si="851"/>
        <v>97836.061034853206</v>
      </c>
      <c r="DF153" s="421">
        <f t="shared" si="851"/>
        <v>97836.061034853206</v>
      </c>
      <c r="DG153" s="421">
        <f t="shared" si="851"/>
        <v>97836.061034853206</v>
      </c>
      <c r="DH153" s="421">
        <f t="shared" si="851"/>
        <v>97836.061034853206</v>
      </c>
      <c r="DI153" s="421">
        <f t="shared" si="851"/>
        <v>97836.061034853206</v>
      </c>
      <c r="DJ153" s="421">
        <f t="shared" si="851"/>
        <v>97836.061034853206</v>
      </c>
      <c r="DK153" s="421">
        <f t="shared" si="851"/>
        <v>97836.061034853206</v>
      </c>
      <c r="DL153" s="421">
        <f t="shared" si="851"/>
        <v>97836.061034853206</v>
      </c>
      <c r="DM153" s="421">
        <f t="shared" si="851"/>
        <v>97836.061034853206</v>
      </c>
      <c r="DN153" s="421">
        <f t="shared" si="851"/>
        <v>97836.061034853206</v>
      </c>
      <c r="DO153" s="421">
        <f t="shared" si="851"/>
        <v>97836.061034853206</v>
      </c>
      <c r="DP153" s="421">
        <f t="shared" si="851"/>
        <v>97836.061034853206</v>
      </c>
      <c r="DQ153" s="421">
        <f t="shared" si="851"/>
        <v>99792.782255550279</v>
      </c>
      <c r="DR153" s="421">
        <f t="shared" si="851"/>
        <v>99792.782255550279</v>
      </c>
      <c r="DS153" s="421">
        <f t="shared" si="851"/>
        <v>99792.782255550279</v>
      </c>
      <c r="DT153" s="421">
        <f t="shared" si="851"/>
        <v>99792.782255550279</v>
      </c>
      <c r="DU153" s="421">
        <f t="shared" si="851"/>
        <v>99792.782255550279</v>
      </c>
      <c r="DV153" s="421">
        <f t="shared" si="851"/>
        <v>99792.782255550279</v>
      </c>
      <c r="DW153" s="421">
        <f t="shared" si="851"/>
        <v>99792.782255550279</v>
      </c>
      <c r="DX153" s="421">
        <f t="shared" si="851"/>
        <v>99792.782255550279</v>
      </c>
      <c r="DY153" s="421">
        <f t="shared" si="851"/>
        <v>99792.782255550279</v>
      </c>
      <c r="DZ153" s="421">
        <f t="shared" si="851"/>
        <v>99792.782255550279</v>
      </c>
      <c r="EA153" s="421">
        <f t="shared" si="851"/>
        <v>99792.782255550279</v>
      </c>
      <c r="EB153" s="421">
        <f t="shared" si="851"/>
        <v>99792.782255550279</v>
      </c>
      <c r="EC153" s="421">
        <f t="shared" si="851"/>
        <v>101788.63790066127</v>
      </c>
      <c r="ED153" s="421">
        <f t="shared" si="851"/>
        <v>101788.63790066127</v>
      </c>
      <c r="EE153" s="421">
        <f t="shared" si="851"/>
        <v>101788.63790066127</v>
      </c>
      <c r="EF153" s="421">
        <f t="shared" si="851"/>
        <v>101788.63790066127</v>
      </c>
      <c r="EG153" s="421">
        <f t="shared" si="851"/>
        <v>101788.63790066127</v>
      </c>
      <c r="EH153" s="421">
        <f t="shared" si="851"/>
        <v>101788.63790066127</v>
      </c>
      <c r="EI153" s="421">
        <f t="shared" si="851"/>
        <v>101788.63790066127</v>
      </c>
      <c r="EJ153" s="421">
        <f t="shared" si="851"/>
        <v>101788.63790066127</v>
      </c>
      <c r="EK153" s="421" t="n">
        <f t="shared" ref="EK153:EN153" si="852">SUM(EK151:EK152)</f>
        <v>101788.63790066127</v>
      </c>
      <c r="EL153" s="421">
        <f t="shared" si="852"/>
        <v>101788.63790066127</v>
      </c>
      <c r="EM153" s="421">
        <f t="shared" si="852"/>
        <v>101788.63790066127</v>
      </c>
      <c r="EN153" s="421">
        <f t="shared" si="852"/>
        <v>101788.63790066127</v>
      </c>
      <c r="EP153" s="220"/>
      <c r="EQ153" s="18"/>
      <c r="ER153" s="210"/>
      <c r="ES153" s="18"/>
      <c r="ET153" s="18"/>
      <c r="EU153" s="18"/>
      <c r="EV153" s="18"/>
      <c r="EW153" s="20"/>
      <c r="EX153" s="20"/>
      <c r="EY153" s="20"/>
      <c r="EZ153" s="20"/>
      <c r="FA153" s="20"/>
      <c r="FB153" s="20"/>
      <c r="FC153" s="20"/>
      <c r="FD153" s="20"/>
      <c r="FE153" s="20"/>
      <c r="FF153" s="20"/>
      <c r="FG153" s="20"/>
      <c r="FH153" s="20"/>
      <c r="FI153" s="20"/>
      <c r="FJ153" s="20"/>
      <c r="FK153" s="20"/>
      <c r="FL153" s="20"/>
      <c r="FM153" s="20"/>
      <c r="FN153" s="20"/>
      <c r="FO153" s="20"/>
      <c r="FP153" s="20"/>
      <c r="FQ153" s="20"/>
      <c r="FR153" s="20"/>
      <c r="FS153" s="20"/>
      <c r="FT153" s="20"/>
      <c r="FU153" s="20"/>
      <c r="FV153" s="20"/>
      <c r="FW153" s="20"/>
      <c r="FX153" s="20"/>
      <c r="FY153" s="20"/>
      <c r="FZ153" s="20"/>
      <c r="GA153" s="20"/>
      <c r="GB153" s="20"/>
      <c r="GC153" s="20"/>
      <c r="GD153" s="20"/>
      <c r="GE153" s="20"/>
      <c r="GF153" s="20"/>
      <c r="GG153" s="20"/>
      <c r="GH153" s="20"/>
      <c r="GI153" s="20"/>
      <c r="GJ153" s="20"/>
      <c r="GK153" s="20"/>
      <c r="GL153" s="20"/>
      <c r="GM153" s="20"/>
      <c r="GN153" s="20"/>
      <c r="GO153" s="20"/>
      <c r="GP153" s="20"/>
      <c r="GQ153" s="20"/>
      <c r="GR153" s="20"/>
      <c r="GS153" s="20"/>
      <c r="GT153" s="20"/>
      <c r="GU153" s="20"/>
      <c r="GV153" s="20"/>
      <c r="GW153" s="20"/>
      <c r="GX153" s="20"/>
      <c r="GY153" s="20"/>
      <c r="GZ153" s="20"/>
      <c r="HA153" s="20"/>
      <c r="HB153" s="20"/>
      <c r="HC153" s="20"/>
      <c r="HD153" s="20"/>
      <c r="HE153" s="20"/>
      <c r="HF153" s="20"/>
      <c r="HG153" s="20"/>
      <c r="HH153" s="20"/>
      <c r="HI153" s="20"/>
      <c r="HJ153" s="20"/>
      <c r="HK153" s="20"/>
      <c r="HL153" s="20"/>
      <c r="HM153" s="20"/>
      <c r="HN153" s="20"/>
      <c r="HO153" s="20"/>
      <c r="HP153" s="20"/>
      <c r="HQ153" s="20"/>
      <c r="HR153" s="20"/>
      <c r="HS153" s="20"/>
      <c r="HT153" s="20"/>
      <c r="HU153" s="20"/>
      <c r="HV153" s="20"/>
      <c r="HW153" s="20"/>
      <c r="HX153" s="20"/>
      <c r="HY153" s="20"/>
      <c r="HZ153" s="20"/>
      <c r="IA153" s="20"/>
      <c r="IB153" s="20"/>
      <c r="IC153" s="20"/>
      <c r="ID153" s="20"/>
      <c r="IE153" s="20"/>
      <c r="IF153" s="20"/>
      <c r="IG153" s="20"/>
      <c r="IH153" s="20"/>
      <c r="II153" s="20"/>
      <c r="IJ153" s="20"/>
      <c r="IK153" s="20"/>
      <c r="IL153" s="20"/>
      <c r="IM153" s="20"/>
      <c r="IN153" s="20"/>
      <c r="IO153" s="20"/>
      <c r="IP153" s="20"/>
      <c r="IQ153" s="20"/>
      <c r="IR153" s="20"/>
      <c r="IS153" s="20"/>
      <c r="IT153" s="20"/>
      <c r="IU153" s="20"/>
      <c r="IV153" s="20"/>
      <c r="IW153" s="20"/>
      <c r="IX153" s="20"/>
      <c r="IY153" s="20"/>
      <c r="IZ153" s="20"/>
      <c r="JA153" s="20"/>
      <c r="JB153" s="20"/>
      <c r="JC153" s="20"/>
      <c r="JD153" s="20"/>
      <c r="JE153" s="20"/>
      <c r="JF153" s="20"/>
      <c r="JG153" s="20"/>
      <c r="JH153" s="20"/>
      <c r="JI153" s="20"/>
      <c r="JJ153" s="20"/>
      <c r="JK153" s="20"/>
      <c r="JL153" s="20"/>
      <c r="JM153" s="20"/>
      <c r="JN153" s="20"/>
      <c r="JO153" s="20"/>
      <c r="JP153" s="20"/>
      <c r="JQ153" s="20"/>
      <c r="JR153" s="20"/>
      <c r="JS153" s="20"/>
      <c r="JT153" s="20"/>
      <c r="JU153" s="20"/>
      <c r="JV153" s="20"/>
      <c r="JW153" s="20"/>
      <c r="JX153" s="20"/>
      <c r="JZ153" s="263"/>
      <c r="KA153" s="263"/>
      <c r="KB153" s="263"/>
      <c r="KC153" s="263"/>
      <c r="KD153" s="263"/>
      <c r="KE153" s="263"/>
      <c r="KF153" s="263"/>
      <c r="KG153" s="263"/>
      <c r="KH153" s="263"/>
      <c r="KI153" s="263"/>
      <c r="KJ153" s="263"/>
      <c r="KK153" s="263"/>
      <c r="KL153" s="263"/>
      <c r="KM153" s="263"/>
      <c r="KN153" s="263"/>
      <c r="KO153" s="263"/>
      <c r="KP153" s="263"/>
      <c r="KQ153" s="263"/>
      <c r="KR153" s="263"/>
      <c r="KS153" s="263"/>
      <c r="KT153" s="263"/>
      <c r="KU153" s="263"/>
      <c r="KV153" s="263"/>
      <c r="KW153" s="263"/>
      <c r="KX153" s="263"/>
      <c r="KY153" s="263"/>
      <c r="KZ153" s="263"/>
      <c r="LA153" s="263"/>
      <c r="LB153" s="263"/>
      <c r="LC153" s="263"/>
      <c r="LD153" s="263"/>
      <c r="LE153" s="263"/>
      <c r="LF153" s="263"/>
      <c r="LG153" s="263"/>
      <c r="LH153" s="263"/>
      <c r="LI153" s="263"/>
      <c r="LJ153" s="263"/>
      <c r="LK153" s="263"/>
      <c r="LL153" s="263"/>
      <c r="LM153" s="263"/>
      <c r="LN153" s="263"/>
      <c r="LO153" s="263"/>
      <c r="LP153" s="263"/>
      <c r="LQ153" s="263"/>
      <c r="LR153" s="263"/>
      <c r="LS153" s="263"/>
      <c r="LT153" s="263"/>
      <c r="LU153" s="263"/>
      <c r="LV153" s="263"/>
      <c r="LW153" s="263"/>
      <c r="LX153" s="263"/>
      <c r="LY153" s="263"/>
      <c r="LZ153" s="263"/>
      <c r="MA153" s="263"/>
      <c r="MB153" s="263"/>
      <c r="MC153" s="263"/>
      <c r="MD153" s="263"/>
      <c r="ME153" s="263"/>
      <c r="MF153" s="263"/>
      <c r="MG153" s="263"/>
      <c r="MH153" s="263"/>
      <c r="MI153" s="263"/>
      <c r="MJ153" s="263"/>
      <c r="MK153" s="263"/>
      <c r="ML153" s="263"/>
      <c r="MM153" s="263"/>
      <c r="MN153" s="263"/>
      <c r="MO153" s="263"/>
      <c r="MP153" s="263"/>
      <c r="MQ153" s="263"/>
      <c r="MR153" s="263"/>
      <c r="MS153" s="263"/>
      <c r="MT153" s="263"/>
      <c r="MU153" s="263"/>
      <c r="MV153" s="263"/>
      <c r="MW153" s="263"/>
      <c r="MX153" s="263"/>
      <c r="MY153" s="263"/>
      <c r="MZ153" s="263"/>
      <c r="NA153" s="263"/>
      <c r="NB153" s="263"/>
      <c r="NC153" s="263"/>
      <c r="ND153" s="263"/>
      <c r="NE153" s="263"/>
      <c r="NF153" s="263"/>
      <c r="NG153" s="263"/>
      <c r="NH153" s="263"/>
      <c r="NI153" s="263"/>
      <c r="NJ153" s="263"/>
      <c r="NK153" s="263"/>
      <c r="NL153" s="263"/>
      <c r="NM153" s="263"/>
      <c r="NN153" s="263"/>
      <c r="NO153" s="263"/>
      <c r="NP153" s="263"/>
      <c r="NQ153" s="263"/>
      <c r="NR153" s="263"/>
      <c r="NS153" s="263"/>
      <c r="NT153" s="263"/>
      <c r="NU153" s="263"/>
      <c r="NV153" s="263"/>
      <c r="NW153" s="263"/>
      <c r="NX153" s="263"/>
      <c r="NY153" s="263"/>
      <c r="NZ153" s="263"/>
      <c r="OA153" s="263"/>
      <c r="OB153" s="263"/>
      <c r="OC153" s="263"/>
      <c r="OD153" s="263"/>
      <c r="OE153" s="263"/>
      <c r="OF153" s="263"/>
      <c r="OG153" s="263"/>
      <c r="OH153" s="263"/>
      <c r="OI153" s="263"/>
      <c r="OJ153" s="263"/>
      <c r="OK153" s="263"/>
      <c r="OL153" s="263"/>
      <c r="OM153" s="263"/>
      <c r="ON153" s="263"/>
      <c r="OO153" s="263"/>
      <c r="OP153" s="263"/>
      <c r="OQ153" s="263"/>
      <c r="OR153" s="263"/>
      <c r="OS153" s="263"/>
      <c r="OT153" s="263"/>
      <c r="OU153" s="263"/>
      <c r="OV153" s="263"/>
      <c r="OW153" s="263"/>
      <c r="OX153" s="263"/>
      <c r="OY153" s="263"/>
      <c r="OZ153" s="263"/>
      <c r="PA153" s="263"/>
      <c r="PB153" s="263"/>
      <c r="PC153" s="263"/>
      <c r="PD153" s="263"/>
      <c r="PE153" s="263"/>
      <c r="PF153" s="263"/>
      <c r="PG153" s="263"/>
      <c r="PH153" s="263"/>
    </row>
    <row r="154">
      <c r="B154" s="63"/>
      <c r="C154" s="63"/>
      <c r="D154" s="63"/>
      <c r="E154" s="63"/>
      <c r="F154" s="63"/>
      <c r="G154" s="137"/>
      <c r="H154" s="137"/>
      <c r="I154" s="137"/>
      <c r="K154" s="224"/>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c r="DM154" s="76"/>
      <c r="DN154" s="76"/>
      <c r="DO154" s="76"/>
      <c r="DP154" s="76"/>
      <c r="DQ154" s="76"/>
      <c r="DR154" s="76"/>
      <c r="DS154" s="76"/>
      <c r="DT154" s="76"/>
      <c r="DU154" s="76"/>
      <c r="DV154" s="76"/>
      <c r="DW154" s="76"/>
      <c r="DX154" s="76"/>
      <c r="DY154" s="76"/>
      <c r="DZ154" s="76"/>
      <c r="EA154" s="76"/>
      <c r="EB154" s="76"/>
      <c r="EC154" s="76"/>
      <c r="ED154" s="76"/>
      <c r="EE154" s="76"/>
      <c r="EF154" s="76"/>
      <c r="EG154" s="76"/>
      <c r="EH154" s="76"/>
      <c r="EI154" s="76"/>
      <c r="EJ154" s="76"/>
      <c r="EK154" s="76"/>
      <c r="EL154" s="76"/>
      <c r="EM154" s="76"/>
      <c r="EN154" s="76"/>
      <c r="EP154" s="220"/>
      <c r="EQ154" s="18"/>
      <c r="ER154" s="210"/>
      <c r="ES154" s="18"/>
      <c r="ET154" s="18"/>
      <c r="EU154" s="18"/>
      <c r="EV154" s="18"/>
      <c r="EW154" s="20"/>
      <c r="EX154" s="20"/>
      <c r="EY154" s="20"/>
      <c r="EZ154" s="20"/>
      <c r="FA154" s="20"/>
      <c r="FB154" s="20"/>
      <c r="FC154" s="20"/>
      <c r="FD154" s="20"/>
      <c r="FE154" s="20"/>
      <c r="FF154" s="20"/>
      <c r="FG154" s="20"/>
      <c r="FH154" s="20"/>
      <c r="FI154" s="20"/>
      <c r="FJ154" s="20"/>
      <c r="FK154" s="20"/>
      <c r="FL154" s="20"/>
      <c r="FM154" s="20"/>
      <c r="FN154" s="20"/>
      <c r="FO154" s="20"/>
      <c r="FP154" s="20"/>
      <c r="FQ154" s="20"/>
      <c r="FR154" s="20"/>
      <c r="FS154" s="20"/>
      <c r="FT154" s="20"/>
      <c r="FU154" s="20"/>
      <c r="FV154" s="20"/>
      <c r="FW154" s="20"/>
      <c r="FX154" s="20"/>
      <c r="FY154" s="20"/>
      <c r="FZ154" s="20"/>
      <c r="GA154" s="20"/>
      <c r="GB154" s="20"/>
      <c r="GC154" s="20"/>
      <c r="GD154" s="20"/>
      <c r="GE154" s="20"/>
      <c r="GF154" s="20"/>
      <c r="GG154" s="20"/>
      <c r="GH154" s="20"/>
      <c r="GI154" s="20"/>
      <c r="GJ154" s="20"/>
      <c r="GK154" s="20"/>
      <c r="GL154" s="20"/>
      <c r="GM154" s="20"/>
      <c r="GN154" s="20"/>
      <c r="GO154" s="20"/>
      <c r="GP154" s="20"/>
      <c r="GQ154" s="20"/>
      <c r="GR154" s="20"/>
      <c r="GS154" s="20"/>
      <c r="GT154" s="20"/>
      <c r="GU154" s="20"/>
      <c r="GV154" s="20"/>
      <c r="GW154" s="20"/>
      <c r="GX154" s="20"/>
      <c r="GY154" s="20"/>
      <c r="GZ154" s="20"/>
      <c r="HA154" s="20"/>
      <c r="HB154" s="20"/>
      <c r="HC154" s="20"/>
      <c r="HD154" s="20"/>
      <c r="HE154" s="20"/>
      <c r="HF154" s="20"/>
      <c r="HG154" s="20"/>
      <c r="HH154" s="20"/>
      <c r="HI154" s="20"/>
      <c r="HJ154" s="20"/>
      <c r="HK154" s="20"/>
      <c r="HL154" s="20"/>
      <c r="HM154" s="20"/>
      <c r="HN154" s="20"/>
      <c r="HO154" s="20"/>
      <c r="HP154" s="20"/>
      <c r="HQ154" s="20"/>
      <c r="HR154" s="20"/>
      <c r="HS154" s="20"/>
      <c r="HT154" s="20"/>
      <c r="HU154" s="20"/>
      <c r="HV154" s="20"/>
      <c r="HW154" s="20"/>
      <c r="HX154" s="20"/>
      <c r="HY154" s="20"/>
      <c r="HZ154" s="20"/>
      <c r="IA154" s="20"/>
      <c r="IB154" s="20"/>
      <c r="IC154" s="20"/>
      <c r="ID154" s="20"/>
      <c r="IE154" s="20"/>
      <c r="IF154" s="20"/>
      <c r="IG154" s="20"/>
      <c r="IH154" s="20"/>
      <c r="II154" s="20"/>
      <c r="IJ154" s="20"/>
      <c r="IK154" s="20"/>
      <c r="IL154" s="20"/>
      <c r="IM154" s="20"/>
      <c r="IN154" s="20"/>
      <c r="IO154" s="20"/>
      <c r="IP154" s="20"/>
      <c r="IQ154" s="20"/>
      <c r="IR154" s="20"/>
      <c r="IS154" s="20"/>
      <c r="IT154" s="20"/>
      <c r="IU154" s="20"/>
      <c r="IV154" s="20"/>
      <c r="IW154" s="20"/>
      <c r="IX154" s="20"/>
      <c r="IY154" s="20"/>
      <c r="IZ154" s="20"/>
      <c r="JA154" s="20"/>
      <c r="JB154" s="20"/>
      <c r="JC154" s="20"/>
      <c r="JD154" s="20"/>
      <c r="JE154" s="20"/>
      <c r="JF154" s="20"/>
      <c r="JG154" s="20"/>
      <c r="JH154" s="20"/>
      <c r="JI154" s="20"/>
      <c r="JJ154" s="20"/>
      <c r="JK154" s="20"/>
      <c r="JL154" s="20"/>
      <c r="JM154" s="20"/>
      <c r="JN154" s="20"/>
      <c r="JO154" s="20"/>
      <c r="JP154" s="20"/>
      <c r="JQ154" s="20"/>
      <c r="JR154" s="20"/>
      <c r="JS154" s="20"/>
      <c r="JT154" s="20"/>
      <c r="JU154" s="20"/>
      <c r="JV154" s="20"/>
      <c r="JW154" s="20"/>
      <c r="JX154" s="20"/>
      <c r="JZ154" s="263"/>
      <c r="KA154" s="263"/>
      <c r="KB154" s="263"/>
      <c r="KC154" s="263"/>
      <c r="KD154" s="263"/>
      <c r="KE154" s="263"/>
      <c r="KF154" s="263"/>
      <c r="KG154" s="263"/>
      <c r="KH154" s="263"/>
      <c r="KI154" s="263"/>
      <c r="KJ154" s="263"/>
      <c r="KK154" s="263"/>
      <c r="KL154" s="263"/>
      <c r="KM154" s="263"/>
      <c r="KN154" s="263"/>
      <c r="KO154" s="263"/>
      <c r="KP154" s="263"/>
      <c r="KQ154" s="263"/>
      <c r="KR154" s="263"/>
      <c r="KS154" s="263"/>
      <c r="KT154" s="263"/>
      <c r="KU154" s="263"/>
      <c r="KV154" s="263"/>
      <c r="KW154" s="263"/>
      <c r="KX154" s="263"/>
      <c r="KY154" s="263"/>
      <c r="KZ154" s="263"/>
      <c r="LA154" s="263"/>
      <c r="LB154" s="263"/>
      <c r="LC154" s="263"/>
      <c r="LD154" s="263"/>
      <c r="LE154" s="263"/>
      <c r="LF154" s="263"/>
      <c r="LG154" s="263"/>
      <c r="LH154" s="263"/>
      <c r="LI154" s="263"/>
      <c r="LJ154" s="263"/>
      <c r="LK154" s="263"/>
      <c r="LL154" s="263"/>
      <c r="LM154" s="263"/>
      <c r="LN154" s="263"/>
      <c r="LO154" s="263"/>
      <c r="LP154" s="263"/>
      <c r="LQ154" s="263"/>
      <c r="LR154" s="263"/>
      <c r="LS154" s="263"/>
      <c r="LT154" s="263"/>
      <c r="LU154" s="263"/>
      <c r="LV154" s="263"/>
      <c r="LW154" s="263"/>
      <c r="LX154" s="263"/>
      <c r="LY154" s="263"/>
      <c r="LZ154" s="263"/>
      <c r="MA154" s="263"/>
      <c r="MB154" s="263"/>
      <c r="MC154" s="263"/>
      <c r="MD154" s="263"/>
      <c r="ME154" s="263"/>
      <c r="MF154" s="263"/>
      <c r="MG154" s="263"/>
      <c r="MH154" s="263"/>
      <c r="MI154" s="263"/>
      <c r="MJ154" s="263"/>
      <c r="MK154" s="263"/>
      <c r="ML154" s="263"/>
      <c r="MM154" s="263"/>
      <c r="MN154" s="263"/>
      <c r="MO154" s="263"/>
      <c r="MP154" s="263"/>
      <c r="MQ154" s="263"/>
      <c r="MR154" s="263"/>
      <c r="MS154" s="263"/>
      <c r="MT154" s="263"/>
      <c r="MU154" s="263"/>
      <c r="MV154" s="263"/>
      <c r="MW154" s="263"/>
      <c r="MX154" s="263"/>
      <c r="MY154" s="263"/>
      <c r="MZ154" s="263"/>
      <c r="NA154" s="263"/>
      <c r="NB154" s="263"/>
      <c r="NC154" s="263"/>
      <c r="ND154" s="263"/>
      <c r="NE154" s="263"/>
      <c r="NF154" s="263"/>
      <c r="NG154" s="263"/>
      <c r="NH154" s="263"/>
      <c r="NI154" s="263"/>
      <c r="NJ154" s="263"/>
      <c r="NK154" s="263"/>
      <c r="NL154" s="263"/>
      <c r="NM154" s="263"/>
      <c r="NN154" s="263"/>
      <c r="NO154" s="263"/>
      <c r="NP154" s="263"/>
      <c r="NQ154" s="263"/>
      <c r="NR154" s="263"/>
      <c r="NS154" s="263"/>
      <c r="NT154" s="263"/>
      <c r="NU154" s="263"/>
      <c r="NV154" s="263"/>
      <c r="NW154" s="263"/>
      <c r="NX154" s="263"/>
      <c r="NY154" s="263"/>
      <c r="NZ154" s="263"/>
      <c r="OA154" s="263"/>
      <c r="OB154" s="263"/>
      <c r="OC154" s="263"/>
      <c r="OD154" s="263"/>
      <c r="OE154" s="263"/>
      <c r="OF154" s="263"/>
      <c r="OG154" s="263"/>
      <c r="OH154" s="263"/>
      <c r="OI154" s="263"/>
      <c r="OJ154" s="263"/>
      <c r="OK154" s="263"/>
      <c r="OL154" s="263"/>
      <c r="OM154" s="263"/>
      <c r="ON154" s="263"/>
      <c r="OO154" s="263"/>
      <c r="OP154" s="263"/>
      <c r="OQ154" s="263"/>
      <c r="OR154" s="263"/>
      <c r="OS154" s="263"/>
      <c r="OT154" s="263"/>
      <c r="OU154" s="263"/>
      <c r="OV154" s="263"/>
      <c r="OW154" s="263"/>
      <c r="OX154" s="263"/>
      <c r="OY154" s="263"/>
      <c r="OZ154" s="263"/>
      <c r="PA154" s="263"/>
      <c r="PB154" s="263"/>
      <c r="PC154" s="263"/>
      <c r="PD154" s="263"/>
      <c r="PE154" s="263"/>
      <c r="PF154" s="263"/>
      <c r="PG154" s="263"/>
      <c r="PH154" s="263"/>
    </row>
    <row r="155">
      <c r="B155" s="494" t="s">
        <v>311</v>
      </c>
      <c r="C155" s="63"/>
      <c r="D155" s="63"/>
      <c r="E155" s="63"/>
      <c r="F155" s="63"/>
      <c r="G155" s="137"/>
      <c r="H155" s="155" t="n">
        <f>I155/Units_Ind</f>
        <v>567.9633811396847</v>
      </c>
      <c r="I155" s="495" t="n">
        <f>+I140-OpEx_7</f>
        <v>44478564.12989582</v>
      </c>
      <c r="K155" s="224" t="s">
        <v>68</v>
      </c>
      <c r="L155" s="76"/>
      <c r="M155" s="421" t="n">
        <f t="shared" ref="M155:BX155" si="853">+M140-M153</f>
        <v>0</v>
      </c>
      <c r="N155" s="421">
        <f t="shared" si="853"/>
        <v>0</v>
      </c>
      <c r="O155" s="421">
        <f t="shared" si="853"/>
        <v>0</v>
      </c>
      <c r="P155" s="421">
        <f t="shared" si="853"/>
        <v>0</v>
      </c>
      <c r="Q155" s="421">
        <f t="shared" si="853"/>
        <v>-114338.88963590557</v>
      </c>
      <c r="R155" s="421">
        <f t="shared" si="853"/>
        <v>585807.05234234873</v>
      </c>
      <c r="S155" s="421">
        <f t="shared" si="853"/>
        <v>585807.05234234873</v>
      </c>
      <c r="T155" s="421">
        <f t="shared" si="853"/>
        <v>585807.05234234873</v>
      </c>
      <c r="U155" s="421">
        <f t="shared" si="853"/>
        <v>585807.05234234873</v>
      </c>
      <c r="V155" s="421">
        <f t="shared" si="853"/>
        <v>585807.05234234873</v>
      </c>
      <c r="W155" s="421">
        <f t="shared" si="853"/>
        <v>585807.05234234873</v>
      </c>
      <c r="X155" s="421">
        <f t="shared" si="853"/>
        <v>585807.05234234873</v>
      </c>
      <c r="Y155" s="421">
        <f t="shared" si="853"/>
        <v>585807.05234234873</v>
      </c>
      <c r="Z155" s="421">
        <f t="shared" si="853"/>
        <v>585807.05234234873</v>
      </c>
      <c r="AA155" s="421">
        <f t="shared" si="853"/>
        <v>585807.05234234873</v>
      </c>
      <c r="AB155" s="421">
        <f t="shared" si="853"/>
        <v>585807.05234234873</v>
      </c>
      <c r="AC155" s="421">
        <f t="shared" si="853"/>
        <v>437542.19079168688</v>
      </c>
      <c r="AD155" s="421">
        <f t="shared" si="853"/>
        <v>3493551.9779534517</v>
      </c>
      <c r="AE155" s="421">
        <f t="shared" si="853"/>
        <v>3493551.9779534517</v>
      </c>
      <c r="AF155" s="421">
        <f t="shared" si="853"/>
        <v>3493551.9779534517</v>
      </c>
      <c r="AG155" s="421">
        <f t="shared" si="853"/>
        <v>4282314.2781650471</v>
      </c>
      <c r="AH155" s="421">
        <f t="shared" si="853"/>
        <v>4282314.2781650471</v>
      </c>
      <c r="AI155" s="421">
        <f t="shared" si="853"/>
        <v>4282314.2781650471</v>
      </c>
      <c r="AJ155" s="421">
        <f t="shared" si="853"/>
        <v>4587843.0047824392</v>
      </c>
      <c r="AK155" s="421">
        <f t="shared" si="853"/>
        <v>4587843.0047824392</v>
      </c>
      <c r="AL155" s="421">
        <f t="shared" si="853"/>
        <v>4587843.0047824392</v>
      </c>
      <c r="AM155" s="421">
        <f t="shared" si="853"/>
        <v>4775925.8053659182</v>
      </c>
      <c r="AN155" s="421">
        <f t="shared" si="853"/>
        <v>4775925.8053659182</v>
      </c>
      <c r="AO155" s="421">
        <f t="shared" si="853"/>
        <v>4772110.8218239592</v>
      </c>
      <c r="AP155" s="421">
        <f t="shared" si="853"/>
        <v>5325002.2596516162</v>
      </c>
      <c r="AQ155" s="421">
        <f t="shared" si="853"/>
        <v>5325002.2596516162</v>
      </c>
      <c r="AR155" s="421">
        <f t="shared" si="853"/>
        <v>5325002.2596516162</v>
      </c>
      <c r="AS155" s="421">
        <f t="shared" si="853"/>
        <v>5325002.2596516162</v>
      </c>
      <c r="AT155" s="421">
        <f t="shared" si="853"/>
        <v>5450541.4642952997</v>
      </c>
      <c r="AU155" s="421">
        <f t="shared" si="853"/>
        <v>5450541.4642952997</v>
      </c>
      <c r="AV155" s="421">
        <f t="shared" si="853"/>
        <v>5450541.4642952997</v>
      </c>
      <c r="AW155" s="421">
        <f t="shared" si="853"/>
        <v>5369511.662836967</v>
      </c>
      <c r="AX155" s="421">
        <f t="shared" si="853"/>
        <v>5369511.662836967</v>
      </c>
      <c r="AY155" s="421">
        <f t="shared" si="853"/>
        <v>5369511.662836967</v>
      </c>
      <c r="AZ155" s="421">
        <f t="shared" si="853"/>
        <v>5375831.4388723103</v>
      </c>
      <c r="BA155" s="421">
        <f t="shared" si="853"/>
        <v>5375831.4388723103</v>
      </c>
      <c r="BB155" s="421">
        <f t="shared" si="853"/>
        <v>5375831.4388723103</v>
      </c>
      <c r="BC155" s="421">
        <f t="shared" si="853"/>
        <v>5539953.4469547784</v>
      </c>
      <c r="BD155" s="421">
        <f t="shared" si="853"/>
        <v>5539953.4469547784</v>
      </c>
      <c r="BE155" s="421">
        <f t="shared" si="853"/>
        <v>5539953.4469547784</v>
      </c>
      <c r="BF155" s="421">
        <f t="shared" si="853"/>
        <v>5569093.8636214454</v>
      </c>
      <c r="BG155" s="421">
        <f t="shared" si="853"/>
        <v>5569093.8636214454</v>
      </c>
      <c r="BH155" s="421">
        <f t="shared" si="853"/>
        <v>5569093.8636214454</v>
      </c>
      <c r="BI155" s="421">
        <f t="shared" si="853"/>
        <v>5575170.3509256123</v>
      </c>
      <c r="BJ155" s="421">
        <f t="shared" si="853"/>
        <v>5575170.3509256123</v>
      </c>
      <c r="BK155" s="421">
        <f t="shared" si="853"/>
        <v>5575170.3509256123</v>
      </c>
      <c r="BL155" s="421">
        <f t="shared" si="853"/>
        <v>5581479.5384256123</v>
      </c>
      <c r="BM155" s="421">
        <f t="shared" si="853"/>
        <v>5581479.5384256123</v>
      </c>
      <c r="BN155" s="421">
        <f t="shared" si="853"/>
        <v>5581479.5384256123</v>
      </c>
      <c r="BO155" s="421">
        <f t="shared" si="853"/>
        <v>5730024.794297874</v>
      </c>
      <c r="BP155" s="421">
        <f t="shared" si="853"/>
        <v>5730024.794297874</v>
      </c>
      <c r="BQ155" s="421">
        <f t="shared" si="853"/>
        <v>5730024.794297874</v>
      </c>
      <c r="BR155" s="421">
        <f t="shared" si="853"/>
        <v>5760185.1255478738</v>
      </c>
      <c r="BS155" s="421">
        <f t="shared" si="853"/>
        <v>5760185.1255478738</v>
      </c>
      <c r="BT155" s="421">
        <f t="shared" si="853"/>
        <v>5760185.1255478738</v>
      </c>
      <c r="BU155" s="421">
        <f t="shared" si="853"/>
        <v>5766500.8738481235</v>
      </c>
      <c r="BV155" s="421">
        <f t="shared" si="853"/>
        <v>5766500.8738481235</v>
      </c>
      <c r="BW155" s="421">
        <f t="shared" si="853"/>
        <v>5766500.8738481235</v>
      </c>
      <c r="BX155" s="421">
        <f t="shared" si="853"/>
        <v>5773030.8829106241</v>
      </c>
      <c r="BY155" s="421" t="n">
        <f t="shared" ref="BY155:EJ155" si="854">+BY140-BY153</f>
        <v>5773030.882910624</v>
      </c>
      <c r="BZ155" s="421">
        <f t="shared" si="854"/>
        <v>5773030.8829106241</v>
      </c>
      <c r="CA155" s="421">
        <f t="shared" si="854"/>
        <v>5923613.3587799696</v>
      </c>
      <c r="CB155" s="421">
        <f t="shared" si="854"/>
        <v>5923613.3587799696</v>
      </c>
      <c r="CC155" s="421">
        <f t="shared" si="854"/>
        <v>5923613.3587799696</v>
      </c>
      <c r="CD155" s="421">
        <f t="shared" si="854"/>
        <v>5954829.3016237197</v>
      </c>
      <c r="CE155" s="421">
        <f t="shared" si="854"/>
        <v>5954829.3016237197</v>
      </c>
      <c r="CF155" s="421">
        <f t="shared" si="854"/>
        <v>5954829.3016237197</v>
      </c>
      <c r="CG155" s="421">
        <f t="shared" si="854"/>
        <v>5961393.2167337248</v>
      </c>
      <c r="CH155" s="421">
        <f t="shared" si="854"/>
        <v>5961393.2167337248</v>
      </c>
      <c r="CI155" s="421">
        <f t="shared" si="854"/>
        <v>5961393.2167337248</v>
      </c>
      <c r="CJ155" s="421">
        <f t="shared" si="854"/>
        <v>5968151.7761134123</v>
      </c>
      <c r="CK155" s="421">
        <f t="shared" si="854"/>
        <v>5968151.7761134123</v>
      </c>
      <c r="CL155" s="421">
        <f t="shared" si="854"/>
        <v>5968151.7761134123</v>
      </c>
      <c r="CM155" s="421">
        <f t="shared" si="854"/>
        <v>5867795.2856073529</v>
      </c>
      <c r="CN155" s="421">
        <f t="shared" si="854"/>
        <v>5867795.2856073529</v>
      </c>
      <c r="CO155" s="421">
        <f t="shared" si="854"/>
        <v>5867795.2856073529</v>
      </c>
      <c r="CP155" s="421">
        <f t="shared" si="854"/>
        <v>5900103.7864506338</v>
      </c>
      <c r="CQ155" s="421">
        <f t="shared" si="854"/>
        <v>5900103.7864506338</v>
      </c>
      <c r="CR155" s="421">
        <f t="shared" si="854"/>
        <v>5900103.7864506338</v>
      </c>
      <c r="CS155" s="421">
        <f t="shared" si="854"/>
        <v>5906925.0965211187</v>
      </c>
      <c r="CT155" s="421">
        <f t="shared" si="854"/>
        <v>5906925.0965211187</v>
      </c>
      <c r="CU155" s="421">
        <f t="shared" si="854"/>
        <v>5906925.0965211187</v>
      </c>
      <c r="CV155" s="421">
        <f t="shared" si="854"/>
        <v>5913920.2054790957</v>
      </c>
      <c r="CW155" s="421">
        <f t="shared" si="854"/>
        <v>5913920.2054790957</v>
      </c>
      <c r="CX155" s="421">
        <f t="shared" si="854"/>
        <v>5913920.2054790957</v>
      </c>
      <c r="CY155" s="421">
        <f t="shared" si="854"/>
        <v>6070509.1071319804</v>
      </c>
      <c r="CZ155" s="421">
        <f t="shared" si="854"/>
        <v>6070509.1071319804</v>
      </c>
      <c r="DA155" s="421">
        <f t="shared" si="854"/>
        <v>6070509.1071319804</v>
      </c>
      <c r="DB155" s="421">
        <f t="shared" si="854"/>
        <v>6103948.4055047762</v>
      </c>
      <c r="DC155" s="421">
        <f t="shared" si="854"/>
        <v>6103948.4055047762</v>
      </c>
      <c r="DD155" s="421">
        <f t="shared" si="854"/>
        <v>6103948.4055047762</v>
      </c>
      <c r="DE155" s="421">
        <f t="shared" si="854"/>
        <v>6111036.6725179935</v>
      </c>
      <c r="DF155" s="421">
        <f t="shared" si="854"/>
        <v>6111036.6725179935</v>
      </c>
      <c r="DG155" s="421">
        <f t="shared" si="854"/>
        <v>6111036.6725179935</v>
      </c>
      <c r="DH155" s="421">
        <f t="shared" si="854"/>
        <v>6118276.6102894992</v>
      </c>
      <c r="DI155" s="421">
        <f t="shared" si="854"/>
        <v>6118276.6102894992</v>
      </c>
      <c r="DJ155" s="421">
        <f t="shared" si="854"/>
        <v>6118276.6102894992</v>
      </c>
      <c r="DK155" s="421">
        <f t="shared" si="854"/>
        <v>6280460.2544724699</v>
      </c>
      <c r="DL155" s="421">
        <f t="shared" si="854"/>
        <v>6280460.2544724699</v>
      </c>
      <c r="DM155" s="421">
        <f t="shared" si="854"/>
        <v>6280460.2544724699</v>
      </c>
      <c r="DN155" s="421">
        <f t="shared" si="854"/>
        <v>6315069.9282883136</v>
      </c>
      <c r="DO155" s="421">
        <f t="shared" si="854"/>
        <v>6315069.9282883136</v>
      </c>
      <c r="DP155" s="421">
        <f t="shared" si="854"/>
        <v>6315069.9282883136</v>
      </c>
      <c r="DQ155" s="421">
        <f t="shared" si="854"/>
        <v>6322435.0599590633</v>
      </c>
      <c r="DR155" s="421">
        <f t="shared" si="854"/>
        <v>6322435.0599590633</v>
      </c>
      <c r="DS155" s="421">
        <f t="shared" si="854"/>
        <v>6322435.0599590633</v>
      </c>
      <c r="DT155" s="421">
        <f t="shared" si="854"/>
        <v>6329928.3955525719</v>
      </c>
      <c r="DU155" s="421">
        <f t="shared" si="854"/>
        <v>6329928.3955525719</v>
      </c>
      <c r="DV155" s="421">
        <f t="shared" si="854"/>
        <v>6329928.3955525719</v>
      </c>
      <c r="DW155" s="421">
        <f t="shared" si="854"/>
        <v>6497956.0697253095</v>
      </c>
      <c r="DX155" s="421">
        <f t="shared" si="854"/>
        <v>6497956.0697253095</v>
      </c>
      <c r="DY155" s="421">
        <f t="shared" si="854"/>
        <v>6497956.0697253095</v>
      </c>
      <c r="DZ155" s="421">
        <f t="shared" si="854"/>
        <v>6533777.0821247073</v>
      </c>
      <c r="EA155" s="421">
        <f t="shared" si="854"/>
        <v>6533777.0821247073</v>
      </c>
      <c r="EB155" s="421">
        <f t="shared" si="854"/>
        <v>6533777.0821247073</v>
      </c>
      <c r="EC155" s="421">
        <f t="shared" si="854"/>
        <v>6541429.344222242</v>
      </c>
      <c r="ED155" s="421">
        <f t="shared" si="854"/>
        <v>6541429.344222242</v>
      </c>
      <c r="EE155" s="421">
        <f t="shared" si="854"/>
        <v>6541429.344222242</v>
      </c>
      <c r="EF155" s="421">
        <f t="shared" si="854"/>
        <v>6549184.9465615228</v>
      </c>
      <c r="EG155" s="421">
        <f t="shared" si="854"/>
        <v>6549184.9465615228</v>
      </c>
      <c r="EH155" s="421">
        <f t="shared" si="854"/>
        <v>6549184.9465615228</v>
      </c>
      <c r="EI155" s="421">
        <f t="shared" si="854"/>
        <v>6723203.1270385645</v>
      </c>
      <c r="EJ155" s="421">
        <f t="shared" si="854"/>
        <v>6723203.1270385645</v>
      </c>
      <c r="EK155" s="421" t="n">
        <f t="shared" ref="EK155:EN155" si="855">+EK140-EK153</f>
        <v>6723203.1270385645</v>
      </c>
      <c r="EL155" s="421">
        <f t="shared" si="855"/>
        <v>6760277.8748719422</v>
      </c>
      <c r="EM155" s="421">
        <f t="shared" si="855"/>
        <v>6760277.8748719422</v>
      </c>
      <c r="EN155" s="421">
        <f t="shared" si="855"/>
        <v>6760277.8748719422</v>
      </c>
      <c r="EP155" s="220"/>
      <c r="EQ155" s="18"/>
      <c r="ER155" s="210"/>
      <c r="ES155" s="212"/>
      <c r="ET155" s="212"/>
      <c r="EU155" s="81"/>
      <c r="EV155" s="18"/>
      <c r="EW155" s="20"/>
      <c r="EX155" s="20"/>
      <c r="EY155" s="20"/>
      <c r="EZ155" s="20"/>
      <c r="FA155" s="20"/>
      <c r="FB155" s="20"/>
      <c r="FC155" s="20"/>
      <c r="FD155" s="20"/>
      <c r="FE155" s="20"/>
      <c r="FF155" s="20"/>
      <c r="FG155" s="20"/>
      <c r="FH155" s="20"/>
      <c r="FI155" s="20"/>
      <c r="FJ155" s="20"/>
      <c r="FK155" s="20"/>
      <c r="FL155" s="20"/>
      <c r="FM155" s="20"/>
      <c r="FN155" s="20"/>
      <c r="FO155" s="20"/>
      <c r="FP155" s="20"/>
      <c r="FQ155" s="20"/>
      <c r="FR155" s="20"/>
      <c r="FS155" s="20"/>
      <c r="FT155" s="20"/>
      <c r="FU155" s="20"/>
      <c r="FV155" s="20"/>
      <c r="FW155" s="20"/>
      <c r="FX155" s="20"/>
      <c r="FY155" s="20"/>
      <c r="FZ155" s="20"/>
      <c r="GA155" s="20"/>
      <c r="GB155" s="20"/>
      <c r="GC155" s="20"/>
      <c r="GD155" s="20"/>
      <c r="GE155" s="20"/>
      <c r="GF155" s="20"/>
      <c r="GG155" s="20"/>
      <c r="GH155" s="20"/>
      <c r="GI155" s="20"/>
      <c r="GJ155" s="20"/>
      <c r="GK155" s="20"/>
      <c r="GL155" s="20"/>
      <c r="GM155" s="20"/>
      <c r="GN155" s="20"/>
      <c r="GO155" s="20"/>
      <c r="GP155" s="20"/>
      <c r="GQ155" s="20"/>
      <c r="GR155" s="20"/>
      <c r="GS155" s="20"/>
      <c r="GT155" s="20"/>
      <c r="GU155" s="20"/>
      <c r="GV155" s="20"/>
      <c r="GW155" s="20"/>
      <c r="GX155" s="20"/>
      <c r="GY155" s="20"/>
      <c r="GZ155" s="20"/>
      <c r="HA155" s="20"/>
      <c r="HB155" s="20"/>
      <c r="HC155" s="20"/>
      <c r="HD155" s="20"/>
      <c r="HE155" s="20"/>
      <c r="HF155" s="20"/>
      <c r="HG155" s="20"/>
      <c r="HH155" s="20"/>
      <c r="HI155" s="20"/>
      <c r="HJ155" s="20"/>
      <c r="HK155" s="20"/>
      <c r="HL155" s="20"/>
      <c r="HM155" s="20"/>
      <c r="HN155" s="20"/>
      <c r="HO155" s="20"/>
      <c r="HP155" s="20"/>
      <c r="HQ155" s="20"/>
      <c r="HR155" s="20"/>
      <c r="HS155" s="20"/>
      <c r="HT155" s="20"/>
      <c r="HU155" s="20"/>
      <c r="HV155" s="20"/>
      <c r="HW155" s="20"/>
      <c r="HX155" s="20"/>
      <c r="HY155" s="20"/>
      <c r="HZ155" s="20"/>
      <c r="IA155" s="20"/>
      <c r="IB155" s="20"/>
      <c r="IC155" s="20"/>
      <c r="ID155" s="20"/>
      <c r="IE155" s="20"/>
      <c r="IF155" s="20"/>
      <c r="IG155" s="20"/>
      <c r="IH155" s="20"/>
      <c r="II155" s="20"/>
      <c r="IJ155" s="20"/>
      <c r="IK155" s="20"/>
      <c r="IL155" s="20"/>
      <c r="IM155" s="20"/>
      <c r="IN155" s="20"/>
      <c r="IO155" s="20"/>
      <c r="IP155" s="20"/>
      <c r="IQ155" s="20"/>
      <c r="IR155" s="20"/>
      <c r="IS155" s="20"/>
      <c r="IT155" s="20"/>
      <c r="IU155" s="20"/>
      <c r="IV155" s="20"/>
      <c r="IW155" s="20"/>
      <c r="IX155" s="20"/>
      <c r="IY155" s="20"/>
      <c r="IZ155" s="20"/>
      <c r="JA155" s="20"/>
      <c r="JB155" s="20"/>
      <c r="JC155" s="20"/>
      <c r="JD155" s="20"/>
      <c r="JE155" s="20"/>
      <c r="JF155" s="20"/>
      <c r="JG155" s="20"/>
      <c r="JH155" s="20"/>
      <c r="JI155" s="20"/>
      <c r="JJ155" s="20"/>
      <c r="JK155" s="20"/>
      <c r="JL155" s="20"/>
      <c r="JM155" s="20"/>
      <c r="JN155" s="20"/>
      <c r="JO155" s="20"/>
      <c r="JP155" s="20"/>
      <c r="JQ155" s="20"/>
      <c r="JR155" s="20"/>
      <c r="JS155" s="20"/>
      <c r="JT155" s="20"/>
      <c r="JU155" s="20"/>
      <c r="JV155" s="20"/>
      <c r="JW155" s="20"/>
      <c r="JX155" s="20"/>
      <c r="JZ155" s="263"/>
      <c r="KA155" s="263"/>
      <c r="KB155" s="263"/>
      <c r="KC155" s="263"/>
      <c r="KD155" s="263"/>
      <c r="KE155" s="263"/>
      <c r="KF155" s="263"/>
      <c r="KG155" s="263"/>
      <c r="KH155" s="263"/>
      <c r="KI155" s="263"/>
      <c r="KJ155" s="263"/>
      <c r="KK155" s="263"/>
      <c r="KL155" s="263"/>
      <c r="KM155" s="263"/>
      <c r="KN155" s="263"/>
      <c r="KO155" s="263"/>
      <c r="KP155" s="263"/>
      <c r="KQ155" s="263"/>
      <c r="KR155" s="263"/>
      <c r="KS155" s="263"/>
      <c r="KT155" s="263"/>
      <c r="KU155" s="263"/>
      <c r="KV155" s="263"/>
      <c r="KW155" s="263"/>
      <c r="KX155" s="263"/>
      <c r="KY155" s="263"/>
      <c r="KZ155" s="263"/>
      <c r="LA155" s="263"/>
      <c r="LB155" s="263"/>
      <c r="LC155" s="263"/>
      <c r="LD155" s="263"/>
      <c r="LE155" s="263"/>
      <c r="LF155" s="263"/>
      <c r="LG155" s="263"/>
      <c r="LH155" s="263"/>
      <c r="LI155" s="263"/>
      <c r="LJ155" s="263"/>
      <c r="LK155" s="263"/>
      <c r="LL155" s="263"/>
      <c r="LM155" s="263"/>
      <c r="LN155" s="263"/>
      <c r="LO155" s="263"/>
      <c r="LP155" s="263"/>
      <c r="LQ155" s="263"/>
      <c r="LR155" s="263"/>
      <c r="LS155" s="263"/>
      <c r="LT155" s="263"/>
      <c r="LU155" s="263"/>
      <c r="LV155" s="263"/>
      <c r="LW155" s="263"/>
      <c r="LX155" s="263"/>
      <c r="LY155" s="263"/>
      <c r="LZ155" s="263"/>
      <c r="MA155" s="263"/>
      <c r="MB155" s="263"/>
      <c r="MC155" s="263"/>
      <c r="MD155" s="263"/>
      <c r="ME155" s="263"/>
      <c r="MF155" s="263"/>
      <c r="MG155" s="263"/>
      <c r="MH155" s="263"/>
      <c r="MI155" s="263"/>
      <c r="MJ155" s="263"/>
      <c r="MK155" s="263"/>
      <c r="ML155" s="263"/>
      <c r="MM155" s="263"/>
      <c r="MN155" s="263"/>
      <c r="MO155" s="263"/>
      <c r="MP155" s="263"/>
      <c r="MQ155" s="263"/>
      <c r="MR155" s="263"/>
      <c r="MS155" s="263"/>
      <c r="MT155" s="263"/>
      <c r="MU155" s="263"/>
      <c r="MV155" s="263"/>
      <c r="MW155" s="263"/>
      <c r="MX155" s="263"/>
      <c r="MY155" s="263"/>
      <c r="MZ155" s="263"/>
      <c r="NA155" s="263"/>
      <c r="NB155" s="263"/>
      <c r="NC155" s="263"/>
      <c r="ND155" s="263"/>
      <c r="NE155" s="263"/>
      <c r="NF155" s="263"/>
      <c r="NG155" s="263"/>
      <c r="NH155" s="263"/>
      <c r="NI155" s="263"/>
      <c r="NJ155" s="263"/>
      <c r="NK155" s="263"/>
      <c r="NL155" s="263"/>
      <c r="NM155" s="263"/>
      <c r="NN155" s="263"/>
      <c r="NO155" s="263"/>
      <c r="NP155" s="263"/>
      <c r="NQ155" s="263"/>
      <c r="NR155" s="263"/>
      <c r="NS155" s="263"/>
      <c r="NT155" s="263"/>
      <c r="NU155" s="263"/>
      <c r="NV155" s="263"/>
      <c r="NW155" s="263"/>
      <c r="NX155" s="263"/>
      <c r="NY155" s="263"/>
      <c r="NZ155" s="263"/>
      <c r="OA155" s="263"/>
      <c r="OB155" s="263"/>
      <c r="OC155" s="263"/>
      <c r="OD155" s="263"/>
      <c r="OE155" s="263"/>
      <c r="OF155" s="263"/>
      <c r="OG155" s="263"/>
      <c r="OH155" s="263"/>
      <c r="OI155" s="263"/>
      <c r="OJ155" s="263"/>
      <c r="OK155" s="263"/>
      <c r="OL155" s="263"/>
      <c r="OM155" s="263"/>
      <c r="ON155" s="263"/>
      <c r="OO155" s="263"/>
      <c r="OP155" s="263"/>
      <c r="OQ155" s="263"/>
      <c r="OR155" s="263"/>
      <c r="OS155" s="263"/>
      <c r="OT155" s="263"/>
      <c r="OU155" s="263"/>
      <c r="OV155" s="263"/>
      <c r="OW155" s="263"/>
      <c r="OX155" s="263"/>
      <c r="OY155" s="263"/>
      <c r="OZ155" s="263"/>
      <c r="PA155" s="263"/>
      <c r="PB155" s="263"/>
      <c r="PC155" s="263"/>
      <c r="PD155" s="263"/>
      <c r="PE155" s="263"/>
      <c r="PF155" s="263"/>
      <c r="PG155" s="263"/>
      <c r="PH155" s="263"/>
    </row>
    <row r="156">
      <c r="B156" s="448" t="s">
        <v>312</v>
      </c>
      <c r="C156" s="404"/>
      <c r="D156" s="404"/>
      <c r="E156" s="404"/>
      <c r="F156" s="404"/>
      <c r="G156" s="404"/>
      <c r="H156" s="404"/>
      <c r="I156" s="478" t="n">
        <f>H81*Perm_Debt?</f>
        <v>0</v>
      </c>
      <c r="K156" s="224"/>
      <c r="L156" s="273"/>
      <c r="M156" s="502" t="n">
        <f t="shared" ref="M156:AR156" si="856">(M3&gt;PermDebt_Fund)*Perm_Debt?*$H$81/12</f>
        <v>0</v>
      </c>
      <c r="N156" s="502">
        <f t="shared" si="856"/>
        <v>0</v>
      </c>
      <c r="O156" s="502">
        <f t="shared" si="856"/>
        <v>0</v>
      </c>
      <c r="P156" s="502">
        <f t="shared" si="856"/>
        <v>0</v>
      </c>
      <c r="Q156" s="502">
        <f t="shared" si="856"/>
        <v>0</v>
      </c>
      <c r="R156" s="502">
        <f t="shared" si="856"/>
        <v>0</v>
      </c>
      <c r="S156" s="502">
        <f t="shared" si="856"/>
        <v>0</v>
      </c>
      <c r="T156" s="502">
        <f t="shared" si="856"/>
        <v>0</v>
      </c>
      <c r="U156" s="502">
        <f t="shared" si="856"/>
        <v>0</v>
      </c>
      <c r="V156" s="502">
        <f t="shared" si="856"/>
        <v>0</v>
      </c>
      <c r="W156" s="502">
        <f t="shared" si="856"/>
        <v>0</v>
      </c>
      <c r="X156" s="502">
        <f t="shared" si="856"/>
        <v>0</v>
      </c>
      <c r="Y156" s="502">
        <f t="shared" si="856"/>
        <v>0</v>
      </c>
      <c r="Z156" s="502">
        <f t="shared" si="856"/>
        <v>0</v>
      </c>
      <c r="AA156" s="502">
        <f t="shared" si="856"/>
        <v>0</v>
      </c>
      <c r="AB156" s="502">
        <f t="shared" si="856"/>
        <v>0</v>
      </c>
      <c r="AC156" s="502">
        <f t="shared" si="856"/>
        <v>0</v>
      </c>
      <c r="AD156" s="502">
        <f t="shared" si="856"/>
        <v>0</v>
      </c>
      <c r="AE156" s="502">
        <f t="shared" si="856"/>
        <v>0</v>
      </c>
      <c r="AF156" s="502">
        <f t="shared" si="856"/>
        <v>0</v>
      </c>
      <c r="AG156" s="502">
        <f t="shared" si="856"/>
        <v>0</v>
      </c>
      <c r="AH156" s="502">
        <f t="shared" si="856"/>
        <v>0</v>
      </c>
      <c r="AI156" s="502">
        <f t="shared" si="856"/>
        <v>0</v>
      </c>
      <c r="AJ156" s="502">
        <f t="shared" si="856"/>
        <v>0</v>
      </c>
      <c r="AK156" s="502">
        <f t="shared" si="856"/>
        <v>0</v>
      </c>
      <c r="AL156" s="502">
        <f t="shared" si="856"/>
        <v>0</v>
      </c>
      <c r="AM156" s="502">
        <f t="shared" si="856"/>
        <v>0</v>
      </c>
      <c r="AN156" s="502">
        <f t="shared" si="856"/>
        <v>0</v>
      </c>
      <c r="AO156" s="502">
        <f t="shared" si="856"/>
        <v>0</v>
      </c>
      <c r="AP156" s="502">
        <f t="shared" si="856"/>
        <v>0</v>
      </c>
      <c r="AQ156" s="502">
        <f t="shared" si="856"/>
        <v>0</v>
      </c>
      <c r="AR156" s="502">
        <f t="shared" si="856"/>
        <v>0</v>
      </c>
      <c r="AS156" s="502" t="n">
        <f t="shared" ref="AS156:BX156" si="857">(AS3&gt;PermDebt_Fund)*Perm_Debt?*$H$81/12</f>
        <v>0</v>
      </c>
      <c r="AT156" s="502">
        <f t="shared" si="857"/>
        <v>0</v>
      </c>
      <c r="AU156" s="502">
        <f t="shared" si="857"/>
        <v>0</v>
      </c>
      <c r="AV156" s="502">
        <f t="shared" si="857"/>
        <v>0</v>
      </c>
      <c r="AW156" s="502">
        <f t="shared" si="857"/>
        <v>0</v>
      </c>
      <c r="AX156" s="502">
        <f t="shared" si="857"/>
        <v>0</v>
      </c>
      <c r="AY156" s="502">
        <f t="shared" si="857"/>
        <v>0</v>
      </c>
      <c r="AZ156" s="502">
        <f t="shared" si="857"/>
        <v>0</v>
      </c>
      <c r="BA156" s="502">
        <f t="shared" si="857"/>
        <v>0</v>
      </c>
      <c r="BB156" s="502">
        <f t="shared" si="857"/>
        <v>0</v>
      </c>
      <c r="BC156" s="502">
        <f t="shared" si="857"/>
        <v>0</v>
      </c>
      <c r="BD156" s="502">
        <f t="shared" si="857"/>
        <v>0</v>
      </c>
      <c r="BE156" s="502">
        <f t="shared" si="857"/>
        <v>0</v>
      </c>
      <c r="BF156" s="502">
        <f t="shared" si="857"/>
        <v>0</v>
      </c>
      <c r="BG156" s="502">
        <f t="shared" si="857"/>
        <v>0</v>
      </c>
      <c r="BH156" s="502">
        <f t="shared" si="857"/>
        <v>0</v>
      </c>
      <c r="BI156" s="502">
        <f t="shared" si="857"/>
        <v>0</v>
      </c>
      <c r="BJ156" s="502">
        <f t="shared" si="857"/>
        <v>0</v>
      </c>
      <c r="BK156" s="502">
        <f t="shared" si="857"/>
        <v>0</v>
      </c>
      <c r="BL156" s="502">
        <f t="shared" si="857"/>
        <v>0</v>
      </c>
      <c r="BM156" s="502">
        <f t="shared" si="857"/>
        <v>0</v>
      </c>
      <c r="BN156" s="502">
        <f t="shared" si="857"/>
        <v>0</v>
      </c>
      <c r="BO156" s="502">
        <f t="shared" si="857"/>
        <v>0</v>
      </c>
      <c r="BP156" s="502">
        <f t="shared" si="857"/>
        <v>0</v>
      </c>
      <c r="BQ156" s="502">
        <f t="shared" si="857"/>
        <v>0</v>
      </c>
      <c r="BR156" s="502">
        <f t="shared" si="857"/>
        <v>0</v>
      </c>
      <c r="BS156" s="502">
        <f t="shared" si="857"/>
        <v>0</v>
      </c>
      <c r="BT156" s="502">
        <f t="shared" si="857"/>
        <v>0</v>
      </c>
      <c r="BU156" s="502">
        <f t="shared" si="857"/>
        <v>0</v>
      </c>
      <c r="BV156" s="502">
        <f t="shared" si="857"/>
        <v>0</v>
      </c>
      <c r="BW156" s="502">
        <f t="shared" si="857"/>
        <v>0</v>
      </c>
      <c r="BX156" s="502">
        <f t="shared" si="857"/>
        <v>0</v>
      </c>
      <c r="BY156" s="502" t="n">
        <f t="shared" ref="BY156:DD156" si="858">(BY3&gt;PermDebt_Fund)*Perm_Debt?*$H$81/12</f>
        <v>0</v>
      </c>
      <c r="BZ156" s="502">
        <f t="shared" si="858"/>
        <v>0</v>
      </c>
      <c r="CA156" s="502">
        <f t="shared" si="858"/>
        <v>0</v>
      </c>
      <c r="CB156" s="502">
        <f t="shared" si="858"/>
        <v>0</v>
      </c>
      <c r="CC156" s="502">
        <f t="shared" si="858"/>
        <v>0</v>
      </c>
      <c r="CD156" s="502">
        <f t="shared" si="858"/>
        <v>0</v>
      </c>
      <c r="CE156" s="502">
        <f t="shared" si="858"/>
        <v>0</v>
      </c>
      <c r="CF156" s="502">
        <f t="shared" si="858"/>
        <v>0</v>
      </c>
      <c r="CG156" s="502">
        <f t="shared" si="858"/>
        <v>0</v>
      </c>
      <c r="CH156" s="502">
        <f t="shared" si="858"/>
        <v>0</v>
      </c>
      <c r="CI156" s="502">
        <f t="shared" si="858"/>
        <v>0</v>
      </c>
      <c r="CJ156" s="502">
        <f t="shared" si="858"/>
        <v>0</v>
      </c>
      <c r="CK156" s="502">
        <f t="shared" si="858"/>
        <v>0</v>
      </c>
      <c r="CL156" s="502">
        <f t="shared" si="858"/>
        <v>0</v>
      </c>
      <c r="CM156" s="502">
        <f t="shared" si="858"/>
        <v>0</v>
      </c>
      <c r="CN156" s="502">
        <f t="shared" si="858"/>
        <v>0</v>
      </c>
      <c r="CO156" s="502">
        <f t="shared" si="858"/>
        <v>0</v>
      </c>
      <c r="CP156" s="502">
        <f t="shared" si="858"/>
        <v>0</v>
      </c>
      <c r="CQ156" s="502">
        <f t="shared" si="858"/>
        <v>0</v>
      </c>
      <c r="CR156" s="502">
        <f t="shared" si="858"/>
        <v>0</v>
      </c>
      <c r="CS156" s="502">
        <f t="shared" si="858"/>
        <v>0</v>
      </c>
      <c r="CT156" s="502">
        <f t="shared" si="858"/>
        <v>0</v>
      </c>
      <c r="CU156" s="502">
        <f t="shared" si="858"/>
        <v>0</v>
      </c>
      <c r="CV156" s="502">
        <f t="shared" si="858"/>
        <v>0</v>
      </c>
      <c r="CW156" s="502">
        <f t="shared" si="858"/>
        <v>0</v>
      </c>
      <c r="CX156" s="502">
        <f t="shared" si="858"/>
        <v>0</v>
      </c>
      <c r="CY156" s="502">
        <f t="shared" si="858"/>
        <v>0</v>
      </c>
      <c r="CZ156" s="502">
        <f t="shared" si="858"/>
        <v>0</v>
      </c>
      <c r="DA156" s="502">
        <f t="shared" si="858"/>
        <v>0</v>
      </c>
      <c r="DB156" s="502">
        <f t="shared" si="858"/>
        <v>0</v>
      </c>
      <c r="DC156" s="502">
        <f t="shared" si="858"/>
        <v>0</v>
      </c>
      <c r="DD156" s="502">
        <f t="shared" si="858"/>
        <v>0</v>
      </c>
      <c r="DE156" s="502" t="n">
        <f t="shared" ref="DE156:EN156" si="859">(DE3&gt;PermDebt_Fund)*Perm_Debt?*$H$81/12</f>
        <v>0</v>
      </c>
      <c r="DF156" s="502">
        <f t="shared" si="859"/>
        <v>0</v>
      </c>
      <c r="DG156" s="502">
        <f t="shared" si="859"/>
        <v>0</v>
      </c>
      <c r="DH156" s="502">
        <f t="shared" si="859"/>
        <v>0</v>
      </c>
      <c r="DI156" s="502">
        <f t="shared" si="859"/>
        <v>0</v>
      </c>
      <c r="DJ156" s="502">
        <f t="shared" si="859"/>
        <v>0</v>
      </c>
      <c r="DK156" s="502">
        <f t="shared" si="859"/>
        <v>0</v>
      </c>
      <c r="DL156" s="502">
        <f t="shared" si="859"/>
        <v>0</v>
      </c>
      <c r="DM156" s="502">
        <f t="shared" si="859"/>
        <v>0</v>
      </c>
      <c r="DN156" s="502">
        <f t="shared" si="859"/>
        <v>0</v>
      </c>
      <c r="DO156" s="502">
        <f t="shared" si="859"/>
        <v>0</v>
      </c>
      <c r="DP156" s="502">
        <f t="shared" si="859"/>
        <v>0</v>
      </c>
      <c r="DQ156" s="502">
        <f t="shared" si="859"/>
        <v>0</v>
      </c>
      <c r="DR156" s="502">
        <f t="shared" si="859"/>
        <v>0</v>
      </c>
      <c r="DS156" s="502">
        <f t="shared" si="859"/>
        <v>0</v>
      </c>
      <c r="DT156" s="502">
        <f t="shared" si="859"/>
        <v>0</v>
      </c>
      <c r="DU156" s="502">
        <f t="shared" si="859"/>
        <v>0</v>
      </c>
      <c r="DV156" s="502">
        <f t="shared" si="859"/>
        <v>0</v>
      </c>
      <c r="DW156" s="502">
        <f t="shared" si="859"/>
        <v>0</v>
      </c>
      <c r="DX156" s="502">
        <f t="shared" si="859"/>
        <v>0</v>
      </c>
      <c r="DY156" s="502">
        <f t="shared" si="859"/>
        <v>0</v>
      </c>
      <c r="DZ156" s="502">
        <f t="shared" si="859"/>
        <v>0</v>
      </c>
      <c r="EA156" s="502">
        <f t="shared" si="859"/>
        <v>0</v>
      </c>
      <c r="EB156" s="502">
        <f t="shared" si="859"/>
        <v>0</v>
      </c>
      <c r="EC156" s="502">
        <f t="shared" si="859"/>
        <v>0</v>
      </c>
      <c r="ED156" s="502">
        <f t="shared" si="859"/>
        <v>0</v>
      </c>
      <c r="EE156" s="502">
        <f t="shared" si="859"/>
        <v>0</v>
      </c>
      <c r="EF156" s="502">
        <f t="shared" si="859"/>
        <v>0</v>
      </c>
      <c r="EG156" s="502">
        <f t="shared" si="859"/>
        <v>0</v>
      </c>
      <c r="EH156" s="502">
        <f t="shared" si="859"/>
        <v>0</v>
      </c>
      <c r="EI156" s="502">
        <f t="shared" si="859"/>
        <v>0</v>
      </c>
      <c r="EJ156" s="502">
        <f t="shared" si="859"/>
        <v>0</v>
      </c>
      <c r="EK156" s="502">
        <f t="shared" si="859"/>
        <v>0</v>
      </c>
      <c r="EL156" s="502">
        <f t="shared" si="859"/>
        <v>0</v>
      </c>
      <c r="EM156" s="502">
        <f t="shared" si="859"/>
        <v>0</v>
      </c>
      <c r="EN156" s="502">
        <f t="shared" si="859"/>
        <v>0</v>
      </c>
      <c r="EO156" s="5"/>
      <c r="EP156" s="263"/>
      <c r="EQ156" s="263"/>
      <c r="ER156" s="263"/>
      <c r="ES156" s="263"/>
      <c r="ET156" s="263"/>
      <c r="EU156" s="18"/>
      <c r="EV156" s="263"/>
      <c r="EW156" s="263"/>
      <c r="EX156" s="263"/>
      <c r="EY156" s="263"/>
      <c r="EZ156" s="263"/>
      <c r="FA156" s="263"/>
      <c r="FB156" s="263"/>
      <c r="FC156" s="263"/>
      <c r="FD156" s="263"/>
      <c r="FE156" s="263"/>
      <c r="FF156" s="263"/>
      <c r="FG156" s="263"/>
      <c r="FH156" s="263"/>
      <c r="FI156" s="263"/>
      <c r="FJ156" s="263"/>
      <c r="FK156" s="263"/>
      <c r="FL156" s="263"/>
      <c r="FM156" s="263"/>
      <c r="FN156" s="263"/>
      <c r="FO156" s="263"/>
      <c r="FP156" s="263"/>
      <c r="FQ156" s="263"/>
      <c r="FR156" s="263"/>
      <c r="FS156" s="263"/>
      <c r="FT156" s="263"/>
      <c r="FU156" s="263"/>
      <c r="FV156" s="263"/>
      <c r="FW156" s="263"/>
      <c r="FX156" s="263"/>
      <c r="FY156" s="263"/>
      <c r="FZ156" s="263"/>
      <c r="GA156" s="263"/>
      <c r="GB156" s="263"/>
      <c r="GC156" s="263"/>
      <c r="GD156" s="263"/>
      <c r="GE156" s="263"/>
      <c r="GF156" s="263"/>
      <c r="GG156" s="263"/>
      <c r="GH156" s="263"/>
      <c r="GI156" s="263"/>
      <c r="GJ156" s="263"/>
      <c r="GK156" s="263"/>
      <c r="GL156" s="263"/>
      <c r="GM156" s="263"/>
      <c r="GN156" s="263"/>
      <c r="GO156" s="263"/>
      <c r="GP156" s="263"/>
      <c r="GQ156" s="263"/>
      <c r="GR156" s="263"/>
      <c r="GS156" s="263"/>
      <c r="GT156" s="263"/>
      <c r="GU156" s="263"/>
      <c r="GV156" s="263"/>
      <c r="GW156" s="263"/>
      <c r="GX156" s="263"/>
      <c r="GY156" s="263"/>
      <c r="GZ156" s="263"/>
      <c r="HA156" s="263"/>
      <c r="HB156" s="263"/>
      <c r="HC156" s="263"/>
      <c r="HD156" s="263"/>
      <c r="HE156" s="263"/>
      <c r="HF156" s="263"/>
      <c r="HG156" s="263"/>
      <c r="HH156" s="263"/>
      <c r="HI156" s="263"/>
      <c r="HJ156" s="263"/>
      <c r="HK156" s="263"/>
      <c r="HL156" s="263"/>
      <c r="HM156" s="263"/>
      <c r="HN156" s="263"/>
      <c r="HO156" s="263"/>
      <c r="HP156" s="263"/>
      <c r="HQ156" s="263"/>
      <c r="HR156" s="263"/>
      <c r="HS156" s="263"/>
      <c r="HT156" s="263"/>
      <c r="HU156" s="263"/>
      <c r="HV156" s="263"/>
      <c r="HW156" s="263"/>
      <c r="HX156" s="263"/>
      <c r="HY156" s="263"/>
      <c r="HZ156" s="263"/>
      <c r="IA156" s="263"/>
      <c r="IB156" s="263"/>
      <c r="IC156" s="263"/>
      <c r="ID156" s="263"/>
      <c r="IE156" s="263"/>
      <c r="IF156" s="263"/>
      <c r="IG156" s="263"/>
      <c r="IH156" s="263"/>
      <c r="II156" s="263"/>
      <c r="IJ156" s="263"/>
      <c r="IK156" s="263"/>
      <c r="IL156" s="263"/>
      <c r="IM156" s="263"/>
      <c r="IN156" s="263"/>
      <c r="IO156" s="263"/>
      <c r="IP156" s="263"/>
      <c r="IQ156" s="263"/>
      <c r="IR156" s="263"/>
      <c r="IS156" s="263"/>
      <c r="IT156" s="263"/>
      <c r="IU156" s="263"/>
      <c r="IV156" s="263"/>
      <c r="IW156" s="263"/>
      <c r="IX156" s="263"/>
      <c r="IY156" s="263"/>
      <c r="IZ156" s="263"/>
      <c r="JA156" s="263"/>
      <c r="JB156" s="263"/>
      <c r="JC156" s="263"/>
      <c r="JD156" s="263"/>
      <c r="JE156" s="263"/>
      <c r="JF156" s="263"/>
      <c r="JG156" s="263"/>
      <c r="JH156" s="263"/>
      <c r="JI156" s="263"/>
      <c r="JJ156" s="263"/>
      <c r="JK156" s="263"/>
      <c r="JL156" s="263"/>
      <c r="JM156" s="263"/>
      <c r="JN156" s="263"/>
      <c r="JO156" s="263"/>
      <c r="JP156" s="263"/>
      <c r="JQ156" s="263"/>
      <c r="JR156" s="263"/>
      <c r="JS156" s="263"/>
      <c r="JT156" s="263"/>
      <c r="JU156" s="263"/>
      <c r="JV156" s="263"/>
      <c r="JW156" s="263"/>
      <c r="JX156" s="263"/>
    </row>
    <row r="157">
      <c r="B157" s="34" t="s">
        <v>313</v>
      </c>
      <c r="C157" s="404"/>
      <c r="D157" s="404"/>
      <c r="E157" s="404" t="str">
        <f>IF(Perm_Debt?=0,"","Cash-on-Cash Return (Month "&amp;PermDebt_Fund+1&amp;")")</f>
      </c>
      <c r="F157" s="274" t="n">
        <f>SUM(INDEX(M157:EN157,1,PermDebt_Fund+1):INDEX(M157:EN157,1,PermDebt_Fund+12))/I60</f>
        <v>0.5715657687204148</v>
      </c>
      <c r="G157" s="404"/>
      <c r="H157" s="404"/>
      <c r="I157" s="449" t="n">
        <f>+I155-I156</f>
        <v>44478564.12989582</v>
      </c>
      <c r="K157" s="224" t="s">
        <v>314</v>
      </c>
      <c r="L157" s="272"/>
      <c r="M157" s="462" t="n">
        <f>M155-M156</f>
        <v>0</v>
      </c>
      <c r="N157" s="462" t="n">
        <f t="shared" ref="N157:BY157" si="860">N155-N156</f>
        <v>0</v>
      </c>
      <c r="O157" s="462">
        <f t="shared" si="860"/>
        <v>0</v>
      </c>
      <c r="P157" s="462">
        <f t="shared" si="860"/>
        <v>0</v>
      </c>
      <c r="Q157" s="462">
        <f t="shared" si="860"/>
        <v>-114338.88963590557</v>
      </c>
      <c r="R157" s="462">
        <f t="shared" si="860"/>
        <v>585807.05234234873</v>
      </c>
      <c r="S157" s="462">
        <f t="shared" si="860"/>
        <v>585807.05234234873</v>
      </c>
      <c r="T157" s="462">
        <f t="shared" si="860"/>
        <v>585807.05234234873</v>
      </c>
      <c r="U157" s="462">
        <f t="shared" si="860"/>
        <v>585807.05234234873</v>
      </c>
      <c r="V157" s="462">
        <f t="shared" si="860"/>
        <v>585807.05234234873</v>
      </c>
      <c r="W157" s="462">
        <f t="shared" si="860"/>
        <v>585807.05234234873</v>
      </c>
      <c r="X157" s="462">
        <f t="shared" si="860"/>
        <v>585807.05234234873</v>
      </c>
      <c r="Y157" s="462">
        <f t="shared" si="860"/>
        <v>585807.05234234873</v>
      </c>
      <c r="Z157" s="462">
        <f t="shared" si="860"/>
        <v>585807.05234234873</v>
      </c>
      <c r="AA157" s="462">
        <f t="shared" si="860"/>
        <v>585807.05234234873</v>
      </c>
      <c r="AB157" s="462">
        <f t="shared" si="860"/>
        <v>585807.05234234873</v>
      </c>
      <c r="AC157" s="462">
        <f t="shared" si="860"/>
        <v>437542.19079168688</v>
      </c>
      <c r="AD157" s="462">
        <f t="shared" si="860"/>
        <v>3493551.9779534517</v>
      </c>
      <c r="AE157" s="462">
        <f t="shared" si="860"/>
        <v>3493551.9779534517</v>
      </c>
      <c r="AF157" s="462">
        <f t="shared" si="860"/>
        <v>3493551.9779534517</v>
      </c>
      <c r="AG157" s="462">
        <f t="shared" si="860"/>
        <v>4282314.2781650471</v>
      </c>
      <c r="AH157" s="462">
        <f t="shared" si="860"/>
        <v>4282314.2781650471</v>
      </c>
      <c r="AI157" s="462">
        <f t="shared" si="860"/>
        <v>4282314.2781650471</v>
      </c>
      <c r="AJ157" s="462">
        <f t="shared" si="860"/>
        <v>4587843.0047824392</v>
      </c>
      <c r="AK157" s="462">
        <f t="shared" si="860"/>
        <v>4587843.0047824392</v>
      </c>
      <c r="AL157" s="462">
        <f t="shared" si="860"/>
        <v>4587843.0047824392</v>
      </c>
      <c r="AM157" s="462">
        <f t="shared" si="860"/>
        <v>4775925.8053659182</v>
      </c>
      <c r="AN157" s="462">
        <f t="shared" si="860"/>
        <v>4775925.8053659182</v>
      </c>
      <c r="AO157" s="462">
        <f t="shared" si="860"/>
        <v>4772110.8218239592</v>
      </c>
      <c r="AP157" s="462">
        <f t="shared" si="860"/>
        <v>5325002.2596516162</v>
      </c>
      <c r="AQ157" s="462">
        <f t="shared" si="860"/>
        <v>5325002.2596516162</v>
      </c>
      <c r="AR157" s="462">
        <f t="shared" si="860"/>
        <v>5325002.2596516162</v>
      </c>
      <c r="AS157" s="462">
        <f t="shared" si="860"/>
        <v>5325002.2596516162</v>
      </c>
      <c r="AT157" s="462">
        <f t="shared" si="860"/>
        <v>5450541.4642952997</v>
      </c>
      <c r="AU157" s="462">
        <f t="shared" si="860"/>
        <v>5450541.4642952997</v>
      </c>
      <c r="AV157" s="462">
        <f t="shared" si="860"/>
        <v>5450541.4642952997</v>
      </c>
      <c r="AW157" s="462">
        <f t="shared" si="860"/>
        <v>5369511.662836967</v>
      </c>
      <c r="AX157" s="462">
        <f t="shared" si="860"/>
        <v>5369511.662836967</v>
      </c>
      <c r="AY157" s="462">
        <f t="shared" si="860"/>
        <v>5369511.662836967</v>
      </c>
      <c r="AZ157" s="462">
        <f t="shared" si="860"/>
        <v>5375831.4388723103</v>
      </c>
      <c r="BA157" s="462">
        <f t="shared" si="860"/>
        <v>5375831.4388723103</v>
      </c>
      <c r="BB157" s="462">
        <f t="shared" si="860"/>
        <v>5375831.4388723103</v>
      </c>
      <c r="BC157" s="462">
        <f t="shared" si="860"/>
        <v>5539953.4469547784</v>
      </c>
      <c r="BD157" s="462">
        <f t="shared" si="860"/>
        <v>5539953.4469547784</v>
      </c>
      <c r="BE157" s="462">
        <f t="shared" si="860"/>
        <v>5539953.4469547784</v>
      </c>
      <c r="BF157" s="462">
        <f t="shared" si="860"/>
        <v>5569093.8636214454</v>
      </c>
      <c r="BG157" s="462">
        <f t="shared" si="860"/>
        <v>5569093.8636214454</v>
      </c>
      <c r="BH157" s="462">
        <f t="shared" si="860"/>
        <v>5569093.8636214454</v>
      </c>
      <c r="BI157" s="462">
        <f t="shared" si="860"/>
        <v>5575170.3509256123</v>
      </c>
      <c r="BJ157" s="462">
        <f t="shared" si="860"/>
        <v>5575170.3509256123</v>
      </c>
      <c r="BK157" s="462">
        <f t="shared" si="860"/>
        <v>5575170.3509256123</v>
      </c>
      <c r="BL157" s="462">
        <f t="shared" si="860"/>
        <v>5581479.5384256123</v>
      </c>
      <c r="BM157" s="462">
        <f t="shared" si="860"/>
        <v>5581479.5384256123</v>
      </c>
      <c r="BN157" s="462">
        <f t="shared" si="860"/>
        <v>5581479.5384256123</v>
      </c>
      <c r="BO157" s="462">
        <f t="shared" si="860"/>
        <v>5730024.794297874</v>
      </c>
      <c r="BP157" s="462">
        <f t="shared" si="860"/>
        <v>5730024.794297874</v>
      </c>
      <c r="BQ157" s="462">
        <f t="shared" si="860"/>
        <v>5730024.794297874</v>
      </c>
      <c r="BR157" s="462">
        <f t="shared" si="860"/>
        <v>5760185.1255478738</v>
      </c>
      <c r="BS157" s="462">
        <f t="shared" si="860"/>
        <v>5760185.1255478738</v>
      </c>
      <c r="BT157" s="462">
        <f t="shared" si="860"/>
        <v>5760185.1255478738</v>
      </c>
      <c r="BU157" s="462">
        <f t="shared" si="860"/>
        <v>5766500.8738481235</v>
      </c>
      <c r="BV157" s="462">
        <f t="shared" si="860"/>
        <v>5766500.8738481235</v>
      </c>
      <c r="BW157" s="462">
        <f t="shared" si="860"/>
        <v>5766500.8738481235</v>
      </c>
      <c r="BX157" s="462">
        <f t="shared" si="860"/>
        <v>5773030.8829106241</v>
      </c>
      <c r="BY157" s="462">
        <f t="shared" si="860"/>
        <v>5773030.8829106241</v>
      </c>
      <c r="BZ157" s="462" t="n">
        <f t="shared" ref="BZ157:EK157" si="861">BZ155-BZ156</f>
        <v>5773030.882910624</v>
      </c>
      <c r="CA157" s="462">
        <f t="shared" si="861"/>
        <v>5923613.3587799696</v>
      </c>
      <c r="CB157" s="462">
        <f t="shared" si="861"/>
        <v>5923613.3587799696</v>
      </c>
      <c r="CC157" s="462">
        <f t="shared" si="861"/>
        <v>5923613.3587799696</v>
      </c>
      <c r="CD157" s="462">
        <f t="shared" si="861"/>
        <v>5954829.3016237197</v>
      </c>
      <c r="CE157" s="462">
        <f t="shared" si="861"/>
        <v>5954829.3016237197</v>
      </c>
      <c r="CF157" s="462">
        <f t="shared" si="861"/>
        <v>5954829.3016237197</v>
      </c>
      <c r="CG157" s="462">
        <f t="shared" si="861"/>
        <v>5961393.2167337248</v>
      </c>
      <c r="CH157" s="462">
        <f t="shared" si="861"/>
        <v>5961393.2167337248</v>
      </c>
      <c r="CI157" s="462">
        <f t="shared" si="861"/>
        <v>5961393.2167337248</v>
      </c>
      <c r="CJ157" s="462">
        <f t="shared" si="861"/>
        <v>5968151.7761134123</v>
      </c>
      <c r="CK157" s="462">
        <f t="shared" si="861"/>
        <v>5968151.7761134123</v>
      </c>
      <c r="CL157" s="462">
        <f t="shared" si="861"/>
        <v>5968151.7761134123</v>
      </c>
      <c r="CM157" s="462">
        <f t="shared" si="861"/>
        <v>5867795.2856073529</v>
      </c>
      <c r="CN157" s="462">
        <f t="shared" si="861"/>
        <v>5867795.2856073529</v>
      </c>
      <c r="CO157" s="462">
        <f t="shared" si="861"/>
        <v>5867795.2856073529</v>
      </c>
      <c r="CP157" s="462">
        <f t="shared" si="861"/>
        <v>5900103.7864506338</v>
      </c>
      <c r="CQ157" s="462">
        <f t="shared" si="861"/>
        <v>5900103.7864506338</v>
      </c>
      <c r="CR157" s="462">
        <f t="shared" si="861"/>
        <v>5900103.7864506338</v>
      </c>
      <c r="CS157" s="462">
        <f t="shared" si="861"/>
        <v>5906925.0965211187</v>
      </c>
      <c r="CT157" s="462">
        <f t="shared" si="861"/>
        <v>5906925.0965211187</v>
      </c>
      <c r="CU157" s="462">
        <f t="shared" si="861"/>
        <v>5906925.0965211187</v>
      </c>
      <c r="CV157" s="462">
        <f t="shared" si="861"/>
        <v>5913920.2054790957</v>
      </c>
      <c r="CW157" s="462">
        <f t="shared" si="861"/>
        <v>5913920.2054790957</v>
      </c>
      <c r="CX157" s="462">
        <f t="shared" si="861"/>
        <v>5913920.2054790957</v>
      </c>
      <c r="CY157" s="462">
        <f t="shared" si="861"/>
        <v>6070509.1071319804</v>
      </c>
      <c r="CZ157" s="462">
        <f t="shared" si="861"/>
        <v>6070509.1071319804</v>
      </c>
      <c r="DA157" s="462">
        <f t="shared" si="861"/>
        <v>6070509.1071319804</v>
      </c>
      <c r="DB157" s="462">
        <f t="shared" si="861"/>
        <v>6103948.4055047762</v>
      </c>
      <c r="DC157" s="462">
        <f t="shared" si="861"/>
        <v>6103948.4055047762</v>
      </c>
      <c r="DD157" s="462">
        <f t="shared" si="861"/>
        <v>6103948.4055047762</v>
      </c>
      <c r="DE157" s="462">
        <f t="shared" si="861"/>
        <v>6111036.6725179935</v>
      </c>
      <c r="DF157" s="462">
        <f t="shared" si="861"/>
        <v>6111036.6725179935</v>
      </c>
      <c r="DG157" s="462">
        <f t="shared" si="861"/>
        <v>6111036.6725179935</v>
      </c>
      <c r="DH157" s="462">
        <f t="shared" si="861"/>
        <v>6118276.6102894992</v>
      </c>
      <c r="DI157" s="462">
        <f t="shared" si="861"/>
        <v>6118276.6102894992</v>
      </c>
      <c r="DJ157" s="462">
        <f t="shared" si="861"/>
        <v>6118276.6102894992</v>
      </c>
      <c r="DK157" s="462">
        <f t="shared" si="861"/>
        <v>6280460.2544724699</v>
      </c>
      <c r="DL157" s="462">
        <f t="shared" si="861"/>
        <v>6280460.2544724699</v>
      </c>
      <c r="DM157" s="462">
        <f t="shared" si="861"/>
        <v>6280460.2544724699</v>
      </c>
      <c r="DN157" s="462">
        <f t="shared" si="861"/>
        <v>6315069.9282883136</v>
      </c>
      <c r="DO157" s="462">
        <f t="shared" si="861"/>
        <v>6315069.9282883136</v>
      </c>
      <c r="DP157" s="462">
        <f t="shared" si="861"/>
        <v>6315069.9282883136</v>
      </c>
      <c r="DQ157" s="462">
        <f t="shared" si="861"/>
        <v>6322435.0599590633</v>
      </c>
      <c r="DR157" s="462">
        <f t="shared" si="861"/>
        <v>6322435.0599590633</v>
      </c>
      <c r="DS157" s="462">
        <f t="shared" si="861"/>
        <v>6322435.0599590633</v>
      </c>
      <c r="DT157" s="462">
        <f t="shared" si="861"/>
        <v>6329928.3955525719</v>
      </c>
      <c r="DU157" s="462">
        <f t="shared" si="861"/>
        <v>6329928.3955525719</v>
      </c>
      <c r="DV157" s="462">
        <f t="shared" si="861"/>
        <v>6329928.3955525719</v>
      </c>
      <c r="DW157" s="462">
        <f t="shared" si="861"/>
        <v>6497956.0697253095</v>
      </c>
      <c r="DX157" s="462">
        <f t="shared" si="861"/>
        <v>6497956.0697253095</v>
      </c>
      <c r="DY157" s="462">
        <f t="shared" si="861"/>
        <v>6497956.0697253095</v>
      </c>
      <c r="DZ157" s="462">
        <f t="shared" si="861"/>
        <v>6533777.0821247073</v>
      </c>
      <c r="EA157" s="462">
        <f t="shared" si="861"/>
        <v>6533777.0821247073</v>
      </c>
      <c r="EB157" s="462">
        <f t="shared" si="861"/>
        <v>6533777.0821247073</v>
      </c>
      <c r="EC157" s="462">
        <f t="shared" si="861"/>
        <v>6541429.344222242</v>
      </c>
      <c r="ED157" s="462">
        <f t="shared" si="861"/>
        <v>6541429.344222242</v>
      </c>
      <c r="EE157" s="462">
        <f t="shared" si="861"/>
        <v>6541429.344222242</v>
      </c>
      <c r="EF157" s="462">
        <f t="shared" si="861"/>
        <v>6549184.9465615228</v>
      </c>
      <c r="EG157" s="462">
        <f t="shared" si="861"/>
        <v>6549184.9465615228</v>
      </c>
      <c r="EH157" s="462">
        <f t="shared" si="861"/>
        <v>6549184.9465615228</v>
      </c>
      <c r="EI157" s="462">
        <f t="shared" si="861"/>
        <v>6723203.1270385645</v>
      </c>
      <c r="EJ157" s="462">
        <f t="shared" si="861"/>
        <v>6723203.1270385645</v>
      </c>
      <c r="EK157" s="462">
        <f t="shared" si="861"/>
        <v>6723203.1270385645</v>
      </c>
      <c r="EL157" s="462" t="n">
        <f t="shared" ref="EL157:EN157" si="862">EL155-EL156</f>
        <v>6760277.874871942</v>
      </c>
      <c r="EM157" s="462">
        <f t="shared" si="862"/>
        <v>6760277.8748719422</v>
      </c>
      <c r="EN157" s="462">
        <f t="shared" si="862"/>
        <v>6760277.8748719422</v>
      </c>
      <c r="EO157" s="5"/>
      <c r="EP157" s="263"/>
      <c r="EQ157" s="263"/>
      <c r="ER157" s="263"/>
      <c r="ES157" s="263"/>
      <c r="ET157" s="263"/>
      <c r="EU157" s="18"/>
      <c r="EV157" s="263"/>
      <c r="EW157" s="263"/>
      <c r="EX157" s="263"/>
      <c r="EY157" s="263"/>
      <c r="EZ157" s="263"/>
      <c r="FA157" s="263"/>
      <c r="FB157" s="263"/>
      <c r="FC157" s="263"/>
      <c r="FD157" s="263"/>
      <c r="FE157" s="263"/>
      <c r="FF157" s="263"/>
      <c r="FG157" s="263"/>
      <c r="FH157" s="263"/>
      <c r="FI157" s="263"/>
      <c r="FJ157" s="263"/>
      <c r="FK157" s="263"/>
      <c r="FL157" s="263"/>
      <c r="FM157" s="263"/>
      <c r="FN157" s="263"/>
      <c r="FO157" s="263"/>
      <c r="FP157" s="263"/>
      <c r="FQ157" s="263"/>
      <c r="FR157" s="263"/>
      <c r="FS157" s="263"/>
      <c r="FT157" s="263"/>
      <c r="FU157" s="263"/>
      <c r="FV157" s="263"/>
      <c r="FW157" s="263"/>
      <c r="FX157" s="263"/>
      <c r="FY157" s="263"/>
      <c r="FZ157" s="263"/>
      <c r="GA157" s="263"/>
      <c r="GB157" s="263"/>
      <c r="GC157" s="263"/>
      <c r="GD157" s="263"/>
      <c r="GE157" s="263"/>
      <c r="GF157" s="263"/>
      <c r="GG157" s="263"/>
      <c r="GH157" s="263"/>
      <c r="GI157" s="263"/>
      <c r="GJ157" s="263"/>
      <c r="GK157" s="263"/>
      <c r="GL157" s="263"/>
      <c r="GM157" s="263"/>
      <c r="GN157" s="263"/>
      <c r="GO157" s="263"/>
      <c r="GP157" s="263"/>
      <c r="GQ157" s="263"/>
      <c r="GR157" s="263"/>
      <c r="GS157" s="263"/>
      <c r="GT157" s="263"/>
      <c r="GU157" s="263"/>
      <c r="GV157" s="263"/>
      <c r="GW157" s="263"/>
      <c r="GX157" s="263"/>
      <c r="GY157" s="263"/>
      <c r="GZ157" s="263"/>
      <c r="HA157" s="263"/>
      <c r="HB157" s="263"/>
      <c r="HC157" s="263"/>
      <c r="HD157" s="263"/>
      <c r="HE157" s="263"/>
      <c r="HF157" s="263"/>
      <c r="HG157" s="263"/>
      <c r="HH157" s="263"/>
      <c r="HI157" s="263"/>
      <c r="HJ157" s="263"/>
      <c r="HK157" s="263"/>
      <c r="HL157" s="263"/>
      <c r="HM157" s="263"/>
      <c r="HN157" s="263"/>
      <c r="HO157" s="263"/>
      <c r="HP157" s="263"/>
      <c r="HQ157" s="263"/>
      <c r="HR157" s="263"/>
      <c r="HS157" s="263"/>
      <c r="HT157" s="263"/>
      <c r="HU157" s="263"/>
      <c r="HV157" s="263"/>
      <c r="HW157" s="263"/>
      <c r="HX157" s="263"/>
      <c r="HY157" s="263"/>
      <c r="HZ157" s="263"/>
      <c r="IA157" s="263"/>
      <c r="IB157" s="263"/>
      <c r="IC157" s="263"/>
      <c r="ID157" s="263"/>
      <c r="IE157" s="263"/>
      <c r="IF157" s="263"/>
      <c r="IG157" s="263"/>
      <c r="IH157" s="263"/>
      <c r="II157" s="263"/>
      <c r="IJ157" s="263"/>
      <c r="IK157" s="263"/>
      <c r="IL157" s="263"/>
      <c r="IM157" s="263"/>
      <c r="IN157" s="263"/>
      <c r="IO157" s="263"/>
      <c r="IP157" s="263"/>
      <c r="IQ157" s="263"/>
      <c r="IR157" s="263"/>
      <c r="IS157" s="263"/>
      <c r="IT157" s="263"/>
      <c r="IU157" s="263"/>
      <c r="IV157" s="263"/>
      <c r="IW157" s="263"/>
      <c r="IX157" s="263"/>
      <c r="IY157" s="263"/>
      <c r="IZ157" s="263"/>
      <c r="JA157" s="263"/>
      <c r="JB157" s="263"/>
      <c r="JC157" s="263"/>
      <c r="JD157" s="263"/>
      <c r="JE157" s="263"/>
      <c r="JF157" s="263"/>
      <c r="JG157" s="263"/>
      <c r="JH157" s="263"/>
      <c r="JI157" s="263"/>
      <c r="JJ157" s="263"/>
      <c r="JK157" s="263"/>
      <c r="JL157" s="263"/>
      <c r="JM157" s="263"/>
      <c r="JN157" s="263"/>
      <c r="JO157" s="263"/>
      <c r="JP157" s="263"/>
      <c r="JQ157" s="263"/>
      <c r="JR157" s="263"/>
      <c r="JS157" s="263"/>
      <c r="JT157" s="263"/>
      <c r="JU157" s="263"/>
      <c r="JV157" s="263"/>
      <c r="JW157" s="263"/>
      <c r="JX157" s="263"/>
    </row>
    <row r="158">
      <c r="B158" s="6"/>
      <c r="C158" s="392"/>
      <c r="D158" s="392"/>
      <c r="E158" s="392"/>
      <c r="F158" s="392"/>
      <c r="G158" s="392"/>
      <c r="H158" s="392"/>
      <c r="I158" s="392"/>
      <c r="J158" s="391"/>
      <c r="K158" s="392"/>
      <c r="L158" s="392"/>
      <c r="M158" s="392"/>
      <c r="N158" s="392"/>
      <c r="O158" s="392"/>
      <c r="P158" s="392"/>
      <c r="Q158" s="392"/>
      <c r="R158" s="392"/>
      <c r="S158" s="392"/>
      <c r="T158" s="392"/>
      <c r="U158" s="392"/>
      <c r="V158" s="392"/>
      <c r="W158" s="392"/>
      <c r="X158" s="392"/>
      <c r="Y158" s="392"/>
      <c r="Z158" s="392"/>
      <c r="AA158" s="392"/>
      <c r="AB158" s="392"/>
      <c r="AC158" s="392"/>
      <c r="AD158" s="392"/>
      <c r="AE158" s="392"/>
      <c r="AF158" s="392"/>
      <c r="AG158" s="392"/>
      <c r="AH158" s="392"/>
      <c r="AI158" s="392"/>
      <c r="AJ158" s="392"/>
      <c r="AK158" s="392"/>
      <c r="AL158" s="392"/>
      <c r="AM158" s="392"/>
      <c r="AN158" s="392"/>
      <c r="AO158" s="392"/>
      <c r="AP158" s="392"/>
      <c r="AQ158" s="392"/>
      <c r="AR158" s="392"/>
      <c r="AS158" s="392"/>
      <c r="AT158" s="392"/>
      <c r="AU158" s="392"/>
      <c r="AV158" s="392"/>
      <c r="AW158" s="392"/>
      <c r="AX158" s="392"/>
      <c r="AY158" s="392"/>
      <c r="AZ158" s="392"/>
      <c r="BA158" s="392"/>
      <c r="BB158" s="392"/>
      <c r="BC158" s="392"/>
      <c r="BD158" s="392"/>
      <c r="BE158" s="392"/>
      <c r="BF158" s="392"/>
      <c r="BG158" s="392"/>
      <c r="BH158" s="392"/>
      <c r="BI158" s="392"/>
      <c r="BJ158" s="392"/>
      <c r="BK158" s="392"/>
      <c r="BL158" s="392"/>
      <c r="BM158" s="392"/>
      <c r="BN158" s="392"/>
      <c r="BO158" s="392"/>
      <c r="BP158" s="392"/>
      <c r="BQ158" s="392"/>
      <c r="BR158" s="392"/>
      <c r="BS158" s="392"/>
      <c r="BT158" s="392"/>
      <c r="BU158" s="392"/>
      <c r="BV158" s="392"/>
      <c r="BW158" s="392"/>
      <c r="BX158" s="392"/>
      <c r="BY158" s="392"/>
      <c r="BZ158" s="392"/>
      <c r="CA158" s="392"/>
      <c r="CB158" s="392"/>
      <c r="CC158" s="392"/>
      <c r="CD158" s="392"/>
      <c r="CE158" s="392"/>
      <c r="CF158" s="392"/>
      <c r="CG158" s="392"/>
      <c r="CH158" s="392"/>
      <c r="CI158" s="392"/>
      <c r="CJ158" s="392"/>
      <c r="CK158" s="392"/>
      <c r="CL158" s="392"/>
      <c r="CM158" s="392"/>
      <c r="CN158" s="392"/>
      <c r="CO158" s="392"/>
      <c r="CP158" s="392"/>
      <c r="CQ158" s="392"/>
      <c r="CR158" s="392"/>
      <c r="CS158" s="392"/>
      <c r="CT158" s="392"/>
      <c r="CU158" s="392"/>
      <c r="CV158" s="392"/>
      <c r="CW158" s="392"/>
      <c r="CX158" s="392"/>
      <c r="CY158" s="392"/>
      <c r="CZ158" s="392"/>
      <c r="DA158" s="392"/>
      <c r="DB158" s="392"/>
      <c r="DC158" s="392"/>
      <c r="DD158" s="392"/>
      <c r="DE158" s="392"/>
      <c r="DF158" s="392"/>
      <c r="DG158" s="392"/>
      <c r="DH158" s="392"/>
      <c r="DI158" s="392"/>
      <c r="DJ158" s="392"/>
      <c r="DK158" s="392"/>
      <c r="DL158" s="392"/>
      <c r="DM158" s="392"/>
      <c r="DN158" s="392"/>
      <c r="DO158" s="392"/>
      <c r="DP158" s="392"/>
      <c r="DQ158" s="392"/>
      <c r="DR158" s="392"/>
      <c r="DS158" s="392"/>
      <c r="DT158" s="392"/>
      <c r="DU158" s="392"/>
      <c r="DV158" s="392"/>
      <c r="DW158" s="392"/>
      <c r="DX158" s="392"/>
      <c r="DY158" s="392"/>
      <c r="DZ158" s="392"/>
      <c r="EA158" s="392"/>
      <c r="EB158" s="392"/>
      <c r="EC158" s="392"/>
      <c r="ED158" s="392"/>
      <c r="EE158" s="392"/>
      <c r="EF158" s="392"/>
      <c r="EG158" s="392"/>
      <c r="EH158" s="392"/>
      <c r="EI158" s="392"/>
      <c r="EJ158" s="392"/>
      <c r="EK158" s="392"/>
      <c r="EL158" s="392"/>
      <c r="EM158" s="392"/>
      <c r="EN158" s="392"/>
      <c r="EO158" s="392"/>
      <c r="EP158" s="407"/>
      <c r="EQ158" s="408"/>
      <c r="ER158" s="408"/>
      <c r="ES158" s="408"/>
      <c r="ET158" s="408"/>
      <c r="EU158" s="408"/>
      <c r="EV158" s="408"/>
      <c r="EW158" s="408"/>
      <c r="EX158" s="408"/>
      <c r="EY158" s="408"/>
      <c r="EZ158" s="408"/>
      <c r="FA158" s="408"/>
      <c r="FB158" s="408"/>
      <c r="FC158" s="408"/>
      <c r="FD158" s="408"/>
      <c r="FE158" s="408"/>
      <c r="FF158" s="408"/>
      <c r="FG158" s="408"/>
      <c r="FH158" s="408"/>
      <c r="FI158" s="408"/>
      <c r="FJ158" s="408"/>
      <c r="FK158" s="408"/>
      <c r="FL158" s="408"/>
      <c r="FM158" s="408"/>
      <c r="FN158" s="408"/>
      <c r="FO158" s="408"/>
      <c r="FP158" s="408"/>
      <c r="FQ158" s="408"/>
      <c r="FR158" s="408"/>
      <c r="FS158" s="408"/>
      <c r="FT158" s="408"/>
      <c r="FU158" s="408"/>
      <c r="FV158" s="408"/>
      <c r="FW158" s="408"/>
      <c r="FX158" s="408"/>
      <c r="FY158" s="408"/>
      <c r="FZ158" s="408"/>
      <c r="GA158" s="408"/>
      <c r="GB158" s="408"/>
      <c r="GC158" s="408"/>
      <c r="GD158" s="408"/>
      <c r="GE158" s="408"/>
      <c r="GF158" s="408"/>
      <c r="GG158" s="408"/>
      <c r="GH158" s="408"/>
      <c r="GI158" s="408"/>
      <c r="GJ158" s="408"/>
      <c r="GK158" s="408"/>
      <c r="GL158" s="408"/>
      <c r="GM158" s="408"/>
      <c r="GN158" s="408"/>
      <c r="GO158" s="408"/>
      <c r="GP158" s="408"/>
      <c r="GQ158" s="408"/>
      <c r="GR158" s="408"/>
      <c r="GS158" s="408"/>
      <c r="GT158" s="408"/>
      <c r="GU158" s="408"/>
      <c r="GV158" s="408"/>
      <c r="GW158" s="408"/>
      <c r="GX158" s="408"/>
      <c r="GY158" s="408"/>
      <c r="GZ158" s="408"/>
      <c r="HA158" s="408"/>
      <c r="HB158" s="408"/>
      <c r="HC158" s="408"/>
      <c r="HD158" s="408"/>
      <c r="HE158" s="408"/>
      <c r="HF158" s="408"/>
      <c r="HG158" s="408"/>
      <c r="HH158" s="408"/>
      <c r="HI158" s="408"/>
      <c r="HJ158" s="408"/>
      <c r="HK158" s="408"/>
      <c r="HL158" s="408"/>
      <c r="HM158" s="408"/>
      <c r="HN158" s="408"/>
      <c r="HO158" s="408"/>
      <c r="HP158" s="408"/>
      <c r="HQ158" s="408"/>
      <c r="HR158" s="408"/>
      <c r="HS158" s="408"/>
      <c r="HT158" s="408"/>
      <c r="HU158" s="408"/>
      <c r="HV158" s="408"/>
      <c r="HW158" s="408"/>
      <c r="HX158" s="408"/>
      <c r="HY158" s="408"/>
      <c r="HZ158" s="408"/>
      <c r="IA158" s="408"/>
      <c r="IB158" s="408"/>
      <c r="IC158" s="408"/>
      <c r="ID158" s="408"/>
      <c r="IE158" s="408"/>
      <c r="IF158" s="408"/>
      <c r="IG158" s="408"/>
      <c r="IH158" s="408"/>
      <c r="II158" s="408"/>
      <c r="IJ158" s="408"/>
      <c r="IK158" s="408"/>
      <c r="IL158" s="408"/>
      <c r="IM158" s="408"/>
      <c r="IN158" s="408"/>
      <c r="IO158" s="408"/>
      <c r="IP158" s="408"/>
      <c r="IQ158" s="408"/>
      <c r="IR158" s="408"/>
      <c r="IS158" s="408"/>
      <c r="IT158" s="408"/>
      <c r="IU158" s="408"/>
      <c r="IV158" s="408"/>
      <c r="IW158" s="408"/>
      <c r="IX158" s="408"/>
      <c r="IY158" s="408"/>
      <c r="IZ158" s="408"/>
      <c r="JA158" s="408"/>
      <c r="JB158" s="408"/>
      <c r="JC158" s="408"/>
      <c r="JD158" s="408"/>
      <c r="JE158" s="408"/>
      <c r="JF158" s="408"/>
      <c r="JG158" s="408"/>
      <c r="JH158" s="408"/>
      <c r="JI158" s="408"/>
      <c r="JJ158" s="408"/>
      <c r="JK158" s="408"/>
      <c r="JL158" s="408"/>
      <c r="JM158" s="408"/>
      <c r="JN158" s="408"/>
      <c r="JO158" s="408"/>
      <c r="JP158" s="408"/>
      <c r="JQ158" s="408"/>
      <c r="JR158" s="408"/>
      <c r="JS158" s="408"/>
      <c r="JT158" s="408"/>
      <c r="JU158" s="408"/>
      <c r="JV158" s="408"/>
      <c r="JW158" s="408"/>
      <c r="JX158" s="408"/>
      <c r="JZ158" s="263"/>
      <c r="KA158" s="263"/>
      <c r="KB158" s="263"/>
      <c r="KC158" s="263"/>
      <c r="KD158" s="263"/>
      <c r="KE158" s="263"/>
      <c r="KF158" s="263"/>
      <c r="KG158" s="263"/>
      <c r="KH158" s="263"/>
      <c r="KI158" s="263"/>
      <c r="KJ158" s="263"/>
      <c r="KK158" s="263"/>
      <c r="KL158" s="263"/>
      <c r="KM158" s="263"/>
      <c r="KN158" s="263"/>
      <c r="KO158" s="263"/>
      <c r="KP158" s="263"/>
      <c r="KQ158" s="263"/>
      <c r="KR158" s="263"/>
      <c r="KS158" s="263"/>
      <c r="KT158" s="263"/>
      <c r="KU158" s="263"/>
      <c r="KV158" s="263"/>
      <c r="KW158" s="263"/>
      <c r="KX158" s="263"/>
      <c r="KY158" s="263"/>
      <c r="KZ158" s="263"/>
      <c r="LA158" s="263"/>
      <c r="LB158" s="263"/>
      <c r="LC158" s="263"/>
      <c r="LD158" s="263"/>
      <c r="LE158" s="263"/>
      <c r="LF158" s="263"/>
      <c r="LG158" s="263"/>
      <c r="LH158" s="263"/>
      <c r="LI158" s="263"/>
      <c r="LJ158" s="263"/>
      <c r="LK158" s="263"/>
      <c r="LL158" s="263"/>
      <c r="LM158" s="263"/>
      <c r="LN158" s="263"/>
      <c r="LO158" s="263"/>
      <c r="LP158" s="263"/>
      <c r="LQ158" s="263"/>
      <c r="LR158" s="263"/>
      <c r="LS158" s="263"/>
      <c r="LT158" s="263"/>
      <c r="LU158" s="263"/>
      <c r="LV158" s="263"/>
      <c r="LW158" s="263"/>
      <c r="LX158" s="263"/>
      <c r="LY158" s="263"/>
      <c r="LZ158" s="263"/>
      <c r="MA158" s="263"/>
      <c r="MB158" s="263"/>
      <c r="MC158" s="263"/>
      <c r="MD158" s="263"/>
      <c r="ME158" s="263"/>
      <c r="MF158" s="263"/>
      <c r="MG158" s="263"/>
      <c r="MH158" s="263"/>
      <c r="MI158" s="263"/>
      <c r="MJ158" s="263"/>
      <c r="MK158" s="263"/>
      <c r="ML158" s="263"/>
      <c r="MM158" s="263"/>
      <c r="MN158" s="263"/>
      <c r="MO158" s="263"/>
      <c r="MP158" s="263"/>
      <c r="MQ158" s="263"/>
      <c r="MR158" s="263"/>
      <c r="MS158" s="263"/>
      <c r="MT158" s="263"/>
      <c r="MU158" s="263"/>
      <c r="MV158" s="263"/>
      <c r="MW158" s="263"/>
      <c r="MX158" s="263"/>
      <c r="MY158" s="263"/>
      <c r="MZ158" s="263"/>
      <c r="NA158" s="263"/>
      <c r="NB158" s="263"/>
      <c r="NC158" s="263"/>
      <c r="ND158" s="263"/>
      <c r="NE158" s="263"/>
      <c r="NF158" s="263"/>
      <c r="NG158" s="263"/>
      <c r="NH158" s="263"/>
      <c r="NI158" s="263"/>
      <c r="NJ158" s="263"/>
      <c r="NK158" s="263"/>
      <c r="NL158" s="263"/>
      <c r="NM158" s="263"/>
      <c r="NN158" s="263"/>
      <c r="NO158" s="263"/>
      <c r="NP158" s="263"/>
      <c r="NQ158" s="263"/>
      <c r="NR158" s="263"/>
      <c r="NS158" s="263"/>
      <c r="NT158" s="263"/>
      <c r="NU158" s="263"/>
      <c r="NV158" s="263"/>
      <c r="NW158" s="263"/>
      <c r="NX158" s="263"/>
      <c r="NY158" s="263"/>
      <c r="NZ158" s="263"/>
      <c r="OA158" s="263"/>
      <c r="OB158" s="263"/>
      <c r="OC158" s="263"/>
      <c r="OD158" s="263"/>
      <c r="OE158" s="263"/>
      <c r="OF158" s="263"/>
      <c r="OG158" s="263"/>
      <c r="OH158" s="263"/>
      <c r="OI158" s="263"/>
      <c r="OJ158" s="263"/>
      <c r="OK158" s="263"/>
      <c r="OL158" s="263"/>
      <c r="OM158" s="263"/>
      <c r="ON158" s="263"/>
      <c r="OO158" s="263"/>
      <c r="OP158" s="263"/>
      <c r="OQ158" s="263"/>
      <c r="OR158" s="263"/>
      <c r="OS158" s="263"/>
      <c r="OT158" s="263"/>
      <c r="OU158" s="263"/>
      <c r="OV158" s="263"/>
      <c r="OW158" s="263"/>
      <c r="OX158" s="263"/>
      <c r="OY158" s="263"/>
      <c r="OZ158" s="263"/>
      <c r="PA158" s="263"/>
      <c r="PB158" s="263"/>
      <c r="PC158" s="263"/>
      <c r="PD158" s="263"/>
      <c r="PE158" s="263"/>
      <c r="PF158" s="263"/>
      <c r="PG158" s="263"/>
      <c r="PH158" s="263"/>
    </row>
    <row r="159">
      <c r="B159" s="2" t="s">
        <v>315</v>
      </c>
      <c r="C159" s="392"/>
      <c r="D159" s="392"/>
      <c r="E159" s="392"/>
      <c r="F159" s="392"/>
      <c r="G159" s="392"/>
      <c r="H159" s="392"/>
      <c r="I159" s="392"/>
      <c r="J159" s="399"/>
      <c r="K159" s="400"/>
      <c r="L159" s="400"/>
      <c r="M159" s="400"/>
      <c r="N159" s="400"/>
      <c r="O159" s="400"/>
      <c r="P159" s="400"/>
      <c r="Q159" s="400"/>
      <c r="R159" s="400"/>
      <c r="S159" s="400"/>
      <c r="T159" s="400"/>
      <c r="U159" s="400"/>
      <c r="V159" s="400"/>
      <c r="W159" s="400"/>
      <c r="X159" s="400"/>
      <c r="Y159" s="400"/>
      <c r="Z159" s="400"/>
      <c r="AA159" s="400"/>
      <c r="AB159" s="400"/>
      <c r="AC159" s="400"/>
      <c r="AD159" s="400"/>
      <c r="AE159" s="400"/>
      <c r="AF159" s="400"/>
      <c r="AG159" s="400"/>
      <c r="AH159" s="400"/>
      <c r="AI159" s="400"/>
      <c r="AJ159" s="400"/>
      <c r="AK159" s="400"/>
      <c r="AL159" s="400"/>
      <c r="AM159" s="400"/>
      <c r="AN159" s="400"/>
      <c r="AO159" s="400"/>
      <c r="AP159" s="400"/>
      <c r="AQ159" s="400"/>
      <c r="AR159" s="400"/>
      <c r="AS159" s="400"/>
      <c r="AT159" s="400"/>
      <c r="AU159" s="400"/>
      <c r="AV159" s="400"/>
      <c r="AW159" s="400"/>
      <c r="AX159" s="400"/>
      <c r="AY159" s="400"/>
      <c r="AZ159" s="400"/>
      <c r="BA159" s="400"/>
      <c r="BB159" s="400"/>
      <c r="BC159" s="400"/>
      <c r="BD159" s="400"/>
      <c r="BE159" s="400"/>
      <c r="BF159" s="400"/>
      <c r="BG159" s="400"/>
      <c r="BH159" s="400"/>
      <c r="BI159" s="400"/>
      <c r="BJ159" s="400"/>
      <c r="BK159" s="400"/>
      <c r="BL159" s="400"/>
      <c r="BM159" s="400"/>
      <c r="BN159" s="400"/>
      <c r="BO159" s="400"/>
      <c r="BP159" s="400"/>
      <c r="BQ159" s="400"/>
      <c r="BR159" s="400"/>
      <c r="BS159" s="400"/>
      <c r="BT159" s="400"/>
      <c r="BU159" s="400"/>
      <c r="BV159" s="400"/>
      <c r="BW159" s="400"/>
      <c r="BX159" s="400"/>
      <c r="BY159" s="400"/>
      <c r="BZ159" s="400"/>
      <c r="CA159" s="400"/>
      <c r="CB159" s="400"/>
      <c r="CC159" s="400"/>
      <c r="CD159" s="400"/>
      <c r="CE159" s="400"/>
      <c r="CF159" s="400"/>
      <c r="CG159" s="400"/>
      <c r="CH159" s="400"/>
      <c r="CI159" s="400"/>
      <c r="CJ159" s="400"/>
      <c r="CK159" s="400"/>
      <c r="CL159" s="400"/>
      <c r="CM159" s="400"/>
      <c r="CN159" s="400"/>
      <c r="CO159" s="400"/>
      <c r="CP159" s="400"/>
      <c r="CQ159" s="400"/>
      <c r="CR159" s="400"/>
      <c r="CS159" s="400"/>
      <c r="CT159" s="400"/>
      <c r="CU159" s="400"/>
      <c r="CV159" s="400"/>
      <c r="CW159" s="400"/>
      <c r="CX159" s="400"/>
      <c r="CY159" s="400"/>
      <c r="CZ159" s="400"/>
      <c r="DA159" s="400"/>
      <c r="DB159" s="400"/>
      <c r="DC159" s="400"/>
      <c r="DD159" s="400"/>
      <c r="DE159" s="400"/>
      <c r="DF159" s="400"/>
      <c r="DG159" s="400"/>
      <c r="DH159" s="400"/>
      <c r="DI159" s="400"/>
      <c r="DJ159" s="400"/>
      <c r="DK159" s="400"/>
      <c r="DL159" s="400"/>
      <c r="DM159" s="400"/>
      <c r="DN159" s="400"/>
      <c r="DO159" s="400"/>
      <c r="DP159" s="400"/>
      <c r="DQ159" s="400"/>
      <c r="DR159" s="400"/>
      <c r="DS159" s="400"/>
      <c r="DT159" s="400"/>
      <c r="DU159" s="400"/>
      <c r="DV159" s="400"/>
      <c r="DW159" s="400"/>
      <c r="DX159" s="400"/>
      <c r="DY159" s="400"/>
      <c r="DZ159" s="400"/>
      <c r="EA159" s="400"/>
      <c r="EB159" s="400"/>
      <c r="EC159" s="400"/>
      <c r="ED159" s="400"/>
      <c r="EE159" s="400"/>
      <c r="EF159" s="400"/>
      <c r="EG159" s="400"/>
      <c r="EH159" s="400"/>
      <c r="EI159" s="400"/>
      <c r="EJ159" s="400"/>
      <c r="EK159" s="400"/>
      <c r="EL159" s="400"/>
      <c r="EM159" s="400"/>
      <c r="EN159" s="400"/>
      <c r="EO159" s="400"/>
      <c r="EP159" s="220"/>
      <c r="EQ159" s="18"/>
      <c r="ER159" s="18"/>
      <c r="ES159" s="18"/>
      <c r="ET159" s="18"/>
      <c r="EU159" s="18"/>
      <c r="EV159" s="18"/>
      <c r="EW159" s="18"/>
      <c r="EX159" s="18"/>
      <c r="EY159" s="18"/>
      <c r="EZ159" s="18"/>
      <c r="FA159" s="18"/>
      <c r="FB159" s="18"/>
      <c r="FC159" s="18"/>
      <c r="FD159" s="18"/>
      <c r="FE159" s="18"/>
      <c r="FF159" s="18"/>
      <c r="FG159" s="18"/>
      <c r="FH159" s="18"/>
      <c r="FI159" s="18"/>
      <c r="FJ159" s="18"/>
      <c r="FK159" s="18"/>
      <c r="FL159" s="18"/>
      <c r="FM159" s="18"/>
      <c r="FN159" s="18"/>
      <c r="FO159" s="18"/>
      <c r="FP159" s="18"/>
      <c r="FQ159" s="18"/>
      <c r="FR159" s="18"/>
      <c r="FS159" s="18"/>
      <c r="FT159" s="18"/>
      <c r="FU159" s="18"/>
      <c r="FV159" s="18"/>
      <c r="FW159" s="18"/>
      <c r="FX159" s="18"/>
      <c r="FY159" s="18"/>
      <c r="FZ159" s="18"/>
      <c r="GA159" s="18"/>
      <c r="GB159" s="18"/>
      <c r="GC159" s="18"/>
      <c r="GD159" s="18"/>
      <c r="GE159" s="18"/>
      <c r="GF159" s="18"/>
      <c r="GG159" s="18"/>
      <c r="GH159" s="18"/>
      <c r="GI159" s="18"/>
      <c r="GJ159" s="18"/>
      <c r="GK159" s="18"/>
      <c r="GL159" s="18"/>
      <c r="GM159" s="18"/>
      <c r="GN159" s="18"/>
      <c r="GO159" s="18"/>
      <c r="GP159" s="18"/>
      <c r="GQ159" s="18"/>
      <c r="GR159" s="18"/>
      <c r="GS159" s="18"/>
      <c r="GT159" s="18"/>
      <c r="GU159" s="18"/>
      <c r="GV159" s="18"/>
      <c r="GW159" s="18"/>
      <c r="GX159" s="18"/>
      <c r="GY159" s="18"/>
      <c r="GZ159" s="18"/>
      <c r="HA159" s="18"/>
      <c r="HB159" s="18"/>
      <c r="HC159" s="18"/>
      <c r="HD159" s="18"/>
      <c r="HE159" s="18"/>
      <c r="HF159" s="18"/>
      <c r="HG159" s="18"/>
      <c r="HH159" s="18"/>
      <c r="HI159" s="18"/>
      <c r="HJ159" s="18"/>
      <c r="HK159" s="18"/>
      <c r="HL159" s="18"/>
      <c r="HM159" s="18"/>
      <c r="HN159" s="18"/>
      <c r="HO159" s="18"/>
      <c r="HP159" s="18"/>
      <c r="HQ159" s="18"/>
      <c r="HR159" s="18"/>
      <c r="HS159" s="18"/>
      <c r="HT159" s="18"/>
      <c r="HU159" s="18"/>
      <c r="HV159" s="18"/>
      <c r="HW159" s="18"/>
      <c r="HX159" s="18"/>
      <c r="HY159" s="18"/>
      <c r="HZ159" s="18"/>
      <c r="IA159" s="18"/>
      <c r="IB159" s="18"/>
      <c r="IC159" s="18"/>
      <c r="ID159" s="18"/>
      <c r="IE159" s="18"/>
      <c r="IF159" s="18"/>
      <c r="IG159" s="18"/>
      <c r="IH159" s="18"/>
      <c r="II159" s="18"/>
      <c r="IJ159" s="18"/>
      <c r="IK159" s="18"/>
      <c r="IL159" s="18"/>
      <c r="IM159" s="18"/>
      <c r="IN159" s="18"/>
      <c r="IO159" s="18"/>
      <c r="IP159" s="18"/>
      <c r="IQ159" s="18"/>
      <c r="IR159" s="18"/>
      <c r="IS159" s="18"/>
      <c r="IT159" s="18"/>
      <c r="IU159" s="18"/>
      <c r="IV159" s="18"/>
      <c r="IW159" s="18"/>
      <c r="IX159" s="18"/>
      <c r="IY159" s="18"/>
      <c r="IZ159" s="18"/>
      <c r="JA159" s="18"/>
      <c r="JB159" s="18"/>
      <c r="JC159" s="18"/>
      <c r="JD159" s="18"/>
      <c r="JE159" s="18"/>
      <c r="JF159" s="18"/>
      <c r="JG159" s="18"/>
      <c r="JH159" s="18"/>
      <c r="JI159" s="18"/>
      <c r="JJ159" s="18"/>
      <c r="JK159" s="18"/>
      <c r="JL159" s="18"/>
      <c r="JM159" s="18"/>
      <c r="JN159" s="18"/>
      <c r="JO159" s="18"/>
      <c r="JP159" s="18"/>
      <c r="JQ159" s="18"/>
      <c r="JR159" s="18"/>
      <c r="JS159" s="18"/>
      <c r="JT159" s="18"/>
      <c r="JU159" s="18"/>
      <c r="JV159" s="18"/>
      <c r="JW159" s="18"/>
      <c r="JX159" s="18"/>
      <c r="JZ159" s="263"/>
      <c r="KA159" s="263"/>
      <c r="KB159" s="263"/>
      <c r="KC159" s="263"/>
      <c r="KD159" s="263"/>
      <c r="KE159" s="263"/>
      <c r="KF159" s="263"/>
      <c r="KG159" s="263"/>
      <c r="KH159" s="263"/>
      <c r="KI159" s="263"/>
      <c r="KJ159" s="263"/>
      <c r="KK159" s="263"/>
      <c r="KL159" s="263"/>
      <c r="KM159" s="263"/>
      <c r="KN159" s="263"/>
      <c r="KO159" s="263"/>
      <c r="KP159" s="263"/>
      <c r="KQ159" s="263"/>
      <c r="KR159" s="263"/>
      <c r="KS159" s="263"/>
      <c r="KT159" s="263"/>
      <c r="KU159" s="263"/>
      <c r="KV159" s="263"/>
      <c r="KW159" s="263"/>
      <c r="KX159" s="263"/>
      <c r="KY159" s="263"/>
      <c r="KZ159" s="263"/>
      <c r="LA159" s="263"/>
      <c r="LB159" s="263"/>
      <c r="LC159" s="263"/>
      <c r="LD159" s="263"/>
      <c r="LE159" s="263"/>
      <c r="LF159" s="263"/>
      <c r="LG159" s="263"/>
      <c r="LH159" s="263"/>
      <c r="LI159" s="263"/>
      <c r="LJ159" s="263"/>
      <c r="LK159" s="263"/>
      <c r="LL159" s="263"/>
      <c r="LM159" s="263"/>
      <c r="LN159" s="263"/>
      <c r="LO159" s="263"/>
      <c r="LP159" s="263"/>
      <c r="LQ159" s="263"/>
      <c r="LR159" s="263"/>
      <c r="LS159" s="263"/>
      <c r="LT159" s="263"/>
      <c r="LU159" s="263"/>
      <c r="LV159" s="263"/>
      <c r="LW159" s="263"/>
      <c r="LX159" s="263"/>
      <c r="LY159" s="263"/>
      <c r="LZ159" s="263"/>
      <c r="MA159" s="263"/>
      <c r="MB159" s="263"/>
      <c r="MC159" s="263"/>
      <c r="MD159" s="263"/>
      <c r="ME159" s="263"/>
      <c r="MF159" s="263"/>
      <c r="MG159" s="263"/>
      <c r="MH159" s="263"/>
      <c r="MI159" s="263"/>
      <c r="MJ159" s="263"/>
      <c r="MK159" s="263"/>
      <c r="ML159" s="263"/>
      <c r="MM159" s="263"/>
      <c r="MN159" s="263"/>
      <c r="MO159" s="263"/>
      <c r="MP159" s="263"/>
      <c r="MQ159" s="263"/>
      <c r="MR159" s="263"/>
      <c r="MS159" s="263"/>
      <c r="MT159" s="263"/>
      <c r="MU159" s="263"/>
      <c r="MV159" s="263"/>
      <c r="MW159" s="263"/>
      <c r="MX159" s="263"/>
      <c r="MY159" s="263"/>
      <c r="MZ159" s="263"/>
      <c r="NA159" s="263"/>
      <c r="NB159" s="263"/>
      <c r="NC159" s="263"/>
      <c r="ND159" s="263"/>
      <c r="NE159" s="263"/>
      <c r="NF159" s="263"/>
      <c r="NG159" s="263"/>
      <c r="NH159" s="263"/>
      <c r="NI159" s="263"/>
      <c r="NJ159" s="263"/>
      <c r="NK159" s="263"/>
      <c r="NL159" s="263"/>
      <c r="NM159" s="263"/>
      <c r="NN159" s="263"/>
      <c r="NO159" s="263"/>
      <c r="NP159" s="263"/>
      <c r="NQ159" s="263"/>
      <c r="NR159" s="263"/>
      <c r="NS159" s="263"/>
      <c r="NT159" s="263"/>
      <c r="NU159" s="263"/>
      <c r="NV159" s="263"/>
      <c r="NW159" s="263"/>
      <c r="NX159" s="263"/>
      <c r="NY159" s="263"/>
      <c r="NZ159" s="263"/>
      <c r="OA159" s="263"/>
      <c r="OB159" s="263"/>
      <c r="OC159" s="263"/>
      <c r="OD159" s="263"/>
      <c r="OE159" s="263"/>
      <c r="OF159" s="263"/>
      <c r="OG159" s="263"/>
      <c r="OH159" s="263"/>
      <c r="OI159" s="263"/>
      <c r="OJ159" s="263"/>
      <c r="OK159" s="263"/>
      <c r="OL159" s="263"/>
      <c r="OM159" s="263"/>
      <c r="ON159" s="263"/>
      <c r="OO159" s="263"/>
      <c r="OP159" s="263"/>
      <c r="OQ159" s="263"/>
      <c r="OR159" s="263"/>
      <c r="OS159" s="263"/>
      <c r="OT159" s="263"/>
      <c r="OU159" s="263"/>
      <c r="OV159" s="263"/>
      <c r="OW159" s="263"/>
      <c r="OX159" s="263"/>
      <c r="OY159" s="263"/>
      <c r="OZ159" s="263"/>
      <c r="PA159" s="263"/>
      <c r="PB159" s="263"/>
      <c r="PC159" s="263"/>
      <c r="PD159" s="263"/>
      <c r="PE159" s="263"/>
      <c r="PF159" s="263"/>
      <c r="PG159" s="263"/>
      <c r="PH159" s="263"/>
    </row>
    <row r="160">
      <c r="B160" s="503" t="s">
        <v>316</v>
      </c>
      <c r="C160" s="503"/>
      <c r="D160" s="503"/>
      <c r="E160" s="504" t="s">
        <v>317</v>
      </c>
      <c r="F160" s="505" t="s">
        <v>318</v>
      </c>
      <c r="G160" s="506" t="s">
        <v>319</v>
      </c>
      <c r="H160" s="504"/>
      <c r="I160" s="504"/>
      <c r="J160" s="399"/>
      <c r="K160" s="503" t="s">
        <v>320</v>
      </c>
      <c r="L160" s="503"/>
      <c r="M160" s="503"/>
      <c r="N160" s="503"/>
      <c r="O160" s="507"/>
      <c r="P160" s="507"/>
      <c r="Q160" s="507"/>
      <c r="R160" s="507"/>
      <c r="S160" s="293"/>
      <c r="T160" s="293"/>
      <c r="U160" s="293"/>
      <c r="V160" s="507" t="s">
        <v>321</v>
      </c>
      <c r="W160" s="293" t="n">
        <f>Timing_Reversion_Month</f>
        <v>61</v>
      </c>
      <c r="X160" s="400"/>
      <c r="Y160" s="400"/>
      <c r="Z160" s="400"/>
      <c r="AA160" s="400"/>
      <c r="AB160" s="400"/>
      <c r="AC160" s="400"/>
      <c r="AD160" s="400"/>
      <c r="AE160" s="400"/>
      <c r="AF160" s="400"/>
      <c r="AG160" s="400"/>
      <c r="AH160" s="400"/>
      <c r="AI160" s="400"/>
      <c r="AJ160" s="400"/>
      <c r="AK160" s="400"/>
      <c r="AL160" s="400"/>
      <c r="AM160" s="400"/>
      <c r="AN160" s="400"/>
      <c r="AO160" s="400"/>
      <c r="AP160" s="400"/>
      <c r="AQ160" s="400"/>
      <c r="AR160" s="400"/>
      <c r="AS160" s="400"/>
      <c r="AT160" s="400"/>
      <c r="AU160" s="400"/>
      <c r="AV160" s="400"/>
      <c r="AW160" s="400"/>
      <c r="AX160" s="400"/>
      <c r="AY160" s="400"/>
      <c r="AZ160" s="400"/>
      <c r="BA160" s="400"/>
      <c r="BB160" s="400"/>
      <c r="BC160" s="400"/>
      <c r="BD160" s="400"/>
      <c r="BE160" s="400"/>
      <c r="BF160" s="400"/>
      <c r="BG160" s="400"/>
      <c r="BH160" s="400"/>
      <c r="BI160" s="400"/>
      <c r="BJ160" s="400"/>
      <c r="BK160" s="400"/>
      <c r="BL160" s="400"/>
      <c r="BM160" s="400"/>
      <c r="BN160" s="400"/>
      <c r="BO160" s="400"/>
      <c r="BP160" s="400"/>
      <c r="BQ160" s="400"/>
      <c r="BR160" s="400"/>
      <c r="BS160" s="400"/>
      <c r="BT160" s="400"/>
      <c r="BU160" s="400"/>
      <c r="BV160" s="400"/>
      <c r="BW160" s="400"/>
      <c r="BX160" s="400"/>
      <c r="BY160" s="400"/>
      <c r="BZ160" s="400"/>
      <c r="CA160" s="400"/>
      <c r="CB160" s="400"/>
      <c r="CC160" s="400"/>
      <c r="CD160" s="400"/>
      <c r="CE160" s="400"/>
      <c r="CF160" s="400"/>
      <c r="CG160" s="400"/>
      <c r="CH160" s="400"/>
      <c r="CI160" s="400"/>
      <c r="CJ160" s="400"/>
      <c r="CK160" s="400"/>
      <c r="CL160" s="400"/>
      <c r="CM160" s="400"/>
      <c r="CN160" s="400"/>
      <c r="CO160" s="400"/>
      <c r="CP160" s="400"/>
      <c r="CQ160" s="400"/>
      <c r="CR160" s="400"/>
      <c r="CS160" s="400"/>
      <c r="CT160" s="400"/>
      <c r="CU160" s="400"/>
      <c r="CV160" s="400"/>
      <c r="CW160" s="400"/>
      <c r="CX160" s="400"/>
      <c r="CY160" s="400"/>
      <c r="CZ160" s="400"/>
      <c r="DA160" s="400"/>
      <c r="DB160" s="400"/>
      <c r="DC160" s="400"/>
      <c r="DD160" s="400"/>
      <c r="DE160" s="400"/>
      <c r="DF160" s="400"/>
      <c r="DG160" s="400"/>
      <c r="DH160" s="400"/>
      <c r="DI160" s="400"/>
      <c r="DJ160" s="400"/>
      <c r="DK160" s="400"/>
      <c r="DL160" s="400"/>
      <c r="DM160" s="400"/>
      <c r="DN160" s="400"/>
      <c r="DO160" s="400"/>
      <c r="DP160" s="400"/>
      <c r="DQ160" s="400"/>
      <c r="DR160" s="400"/>
      <c r="DS160" s="400"/>
      <c r="DT160" s="400"/>
      <c r="DU160" s="400"/>
      <c r="DV160" s="400"/>
      <c r="DW160" s="400"/>
      <c r="DX160" s="400"/>
      <c r="DY160" s="400"/>
      <c r="DZ160" s="400"/>
      <c r="EA160" s="400"/>
      <c r="EB160" s="400"/>
      <c r="EC160" s="400"/>
      <c r="ED160" s="400"/>
      <c r="EE160" s="400"/>
      <c r="EF160" s="400"/>
      <c r="EG160" s="400"/>
      <c r="EH160" s="400"/>
      <c r="EI160" s="400"/>
      <c r="EJ160" s="400"/>
      <c r="EK160" s="400"/>
      <c r="EL160" s="400"/>
      <c r="EM160" s="400"/>
      <c r="EN160" s="400"/>
      <c r="EO160" s="400"/>
      <c r="EP160" s="220"/>
      <c r="EQ160" s="18"/>
      <c r="ER160" s="18"/>
      <c r="ES160" s="18"/>
      <c r="ET160" s="18"/>
      <c r="EU160" s="18"/>
      <c r="EV160" s="18"/>
      <c r="EW160" s="18"/>
      <c r="EX160" s="18"/>
      <c r="EY160" s="18"/>
      <c r="EZ160" s="18"/>
      <c r="FA160" s="18"/>
      <c r="FB160" s="18"/>
      <c r="FC160" s="18"/>
      <c r="FD160" s="18"/>
      <c r="FE160" s="18"/>
      <c r="FF160" s="18"/>
      <c r="FG160" s="18"/>
      <c r="FH160" s="18"/>
      <c r="FI160" s="18"/>
      <c r="FJ160" s="18"/>
      <c r="FK160" s="18"/>
      <c r="FL160" s="18"/>
      <c r="FM160" s="18"/>
      <c r="FN160" s="18"/>
      <c r="FO160" s="18"/>
      <c r="FP160" s="18"/>
      <c r="FQ160" s="18"/>
      <c r="FR160" s="18"/>
      <c r="FS160" s="18"/>
      <c r="FT160" s="18"/>
      <c r="FU160" s="18"/>
      <c r="FV160" s="18"/>
      <c r="FW160" s="18"/>
      <c r="FX160" s="18"/>
      <c r="FY160" s="18"/>
      <c r="FZ160" s="18"/>
      <c r="GA160" s="18"/>
      <c r="GB160" s="18"/>
      <c r="GC160" s="18"/>
      <c r="GD160" s="18"/>
      <c r="GE160" s="18"/>
      <c r="GF160" s="18"/>
      <c r="GG160" s="18"/>
      <c r="GH160" s="18"/>
      <c r="GI160" s="18"/>
      <c r="GJ160" s="18"/>
      <c r="GK160" s="18"/>
      <c r="GL160" s="18"/>
      <c r="GM160" s="18"/>
      <c r="GN160" s="18"/>
      <c r="GO160" s="18"/>
      <c r="GP160" s="18"/>
      <c r="GQ160" s="18"/>
      <c r="GR160" s="18"/>
      <c r="GS160" s="18"/>
      <c r="GT160" s="18"/>
      <c r="GU160" s="18"/>
      <c r="GV160" s="18"/>
      <c r="GW160" s="18"/>
      <c r="GX160" s="18"/>
      <c r="GY160" s="18"/>
      <c r="GZ160" s="18"/>
      <c r="HA160" s="18"/>
      <c r="HB160" s="18"/>
      <c r="HC160" s="18"/>
      <c r="HD160" s="18"/>
      <c r="HE160" s="18"/>
      <c r="HF160" s="18"/>
      <c r="HG160" s="18"/>
      <c r="HH160" s="18"/>
      <c r="HI160" s="18"/>
      <c r="HJ160" s="18"/>
      <c r="HK160" s="18"/>
      <c r="HL160" s="18"/>
      <c r="HM160" s="18"/>
      <c r="HN160" s="18"/>
      <c r="HO160" s="18"/>
      <c r="HP160" s="18"/>
      <c r="HQ160" s="18"/>
      <c r="HR160" s="18"/>
      <c r="HS160" s="18"/>
      <c r="HT160" s="18"/>
      <c r="HU160" s="18"/>
      <c r="HV160" s="18"/>
      <c r="HW160" s="18"/>
      <c r="HX160" s="18"/>
      <c r="HY160" s="18"/>
      <c r="HZ160" s="18"/>
      <c r="IA160" s="18"/>
      <c r="IB160" s="18"/>
      <c r="IC160" s="18"/>
      <c r="ID160" s="18"/>
      <c r="IE160" s="18"/>
      <c r="IF160" s="18"/>
      <c r="IG160" s="18"/>
      <c r="IH160" s="18"/>
      <c r="II160" s="18"/>
      <c r="IJ160" s="18"/>
      <c r="IK160" s="18"/>
      <c r="IL160" s="18"/>
      <c r="IM160" s="18"/>
      <c r="IN160" s="18"/>
      <c r="IO160" s="18"/>
      <c r="IP160" s="18"/>
      <c r="IQ160" s="18"/>
      <c r="IR160" s="18"/>
      <c r="IS160" s="18"/>
      <c r="IT160" s="18"/>
      <c r="IU160" s="18"/>
      <c r="IV160" s="18"/>
      <c r="IW160" s="18"/>
      <c r="IX160" s="18"/>
      <c r="IY160" s="18"/>
      <c r="IZ160" s="18"/>
      <c r="JA160" s="18"/>
      <c r="JB160" s="18"/>
      <c r="JC160" s="18"/>
      <c r="JD160" s="18"/>
      <c r="JE160" s="18"/>
      <c r="JF160" s="18"/>
      <c r="JG160" s="18"/>
      <c r="JH160" s="18"/>
      <c r="JI160" s="18"/>
      <c r="JJ160" s="18"/>
      <c r="JK160" s="18"/>
      <c r="JL160" s="18"/>
      <c r="JM160" s="18"/>
      <c r="JN160" s="18"/>
      <c r="JO160" s="18"/>
      <c r="JP160" s="18"/>
      <c r="JQ160" s="18"/>
      <c r="JR160" s="18"/>
      <c r="JS160" s="18"/>
      <c r="JT160" s="18"/>
      <c r="JU160" s="18"/>
      <c r="JV160" s="18"/>
      <c r="JW160" s="18"/>
      <c r="JX160" s="18"/>
      <c r="JZ160" s="263"/>
      <c r="KA160" s="263"/>
      <c r="KB160" s="263"/>
      <c r="KC160" s="263"/>
      <c r="KD160" s="263"/>
      <c r="KE160" s="263"/>
      <c r="KF160" s="263"/>
      <c r="KG160" s="263"/>
      <c r="KH160" s="263"/>
      <c r="KI160" s="263"/>
      <c r="KJ160" s="263"/>
      <c r="KK160" s="263"/>
      <c r="KL160" s="263"/>
      <c r="KM160" s="263"/>
      <c r="KN160" s="263"/>
      <c r="KO160" s="263"/>
      <c r="KP160" s="263"/>
      <c r="KQ160" s="263"/>
      <c r="KR160" s="263"/>
      <c r="KS160" s="263"/>
      <c r="KT160" s="263"/>
      <c r="KU160" s="263"/>
      <c r="KV160" s="263"/>
      <c r="KW160" s="263"/>
      <c r="KX160" s="263"/>
      <c r="KY160" s="263"/>
      <c r="KZ160" s="263"/>
      <c r="LA160" s="263"/>
      <c r="LB160" s="263"/>
      <c r="LC160" s="263"/>
      <c r="LD160" s="263"/>
      <c r="LE160" s="263"/>
      <c r="LF160" s="263"/>
      <c r="LG160" s="263"/>
      <c r="LH160" s="263"/>
      <c r="LI160" s="263"/>
      <c r="LJ160" s="263"/>
      <c r="LK160" s="263"/>
      <c r="LL160" s="263"/>
      <c r="LM160" s="263"/>
      <c r="LN160" s="263"/>
      <c r="LO160" s="263"/>
      <c r="LP160" s="263"/>
      <c r="LQ160" s="263"/>
      <c r="LR160" s="263"/>
      <c r="LS160" s="263"/>
      <c r="LT160" s="263"/>
      <c r="LU160" s="263"/>
      <c r="LV160" s="263"/>
      <c r="LW160" s="263"/>
      <c r="LX160" s="263"/>
      <c r="LY160" s="263"/>
      <c r="LZ160" s="263"/>
      <c r="MA160" s="263"/>
      <c r="MB160" s="263"/>
      <c r="MC160" s="263"/>
      <c r="MD160" s="263"/>
      <c r="ME160" s="263"/>
      <c r="MF160" s="263"/>
      <c r="MG160" s="263"/>
      <c r="MH160" s="263"/>
      <c r="MI160" s="263"/>
      <c r="MJ160" s="263"/>
      <c r="MK160" s="263"/>
      <c r="ML160" s="263"/>
      <c r="MM160" s="263"/>
      <c r="MN160" s="263"/>
      <c r="MO160" s="263"/>
      <c r="MP160" s="263"/>
      <c r="MQ160" s="263"/>
      <c r="MR160" s="263"/>
      <c r="MS160" s="263"/>
      <c r="MT160" s="263"/>
      <c r="MU160" s="263"/>
      <c r="MV160" s="263"/>
      <c r="MW160" s="263"/>
      <c r="MX160" s="263"/>
      <c r="MY160" s="263"/>
      <c r="MZ160" s="263"/>
      <c r="NA160" s="263"/>
      <c r="NB160" s="263"/>
      <c r="NC160" s="263"/>
      <c r="ND160" s="263"/>
      <c r="NE160" s="263"/>
      <c r="NF160" s="263"/>
      <c r="NG160" s="263"/>
      <c r="NH160" s="263"/>
      <c r="NI160" s="263"/>
      <c r="NJ160" s="263"/>
      <c r="NK160" s="263"/>
      <c r="NL160" s="263"/>
      <c r="NM160" s="263"/>
      <c r="NN160" s="263"/>
      <c r="NO160" s="263"/>
      <c r="NP160" s="263"/>
      <c r="NQ160" s="263"/>
      <c r="NR160" s="263"/>
      <c r="NS160" s="263"/>
      <c r="NT160" s="263"/>
      <c r="NU160" s="263"/>
      <c r="NV160" s="263"/>
      <c r="NW160" s="263"/>
      <c r="NX160" s="263"/>
      <c r="NY160" s="263"/>
      <c r="NZ160" s="263"/>
      <c r="OA160" s="263"/>
      <c r="OB160" s="263"/>
      <c r="OC160" s="263"/>
      <c r="OD160" s="263"/>
      <c r="OE160" s="263"/>
      <c r="OF160" s="263"/>
      <c r="OG160" s="263"/>
      <c r="OH160" s="263"/>
      <c r="OI160" s="263"/>
      <c r="OJ160" s="263"/>
      <c r="OK160" s="263"/>
      <c r="OL160" s="263"/>
      <c r="OM160" s="263"/>
      <c r="ON160" s="263"/>
      <c r="OO160" s="263"/>
      <c r="OP160" s="263"/>
      <c r="OQ160" s="263"/>
      <c r="OR160" s="263"/>
      <c r="OS160" s="263"/>
      <c r="OT160" s="263"/>
      <c r="OU160" s="263"/>
      <c r="OV160" s="263"/>
      <c r="OW160" s="263"/>
      <c r="OX160" s="263"/>
      <c r="OY160" s="263"/>
      <c r="OZ160" s="263"/>
      <c r="PA160" s="263"/>
      <c r="PB160" s="263"/>
      <c r="PC160" s="263"/>
      <c r="PD160" s="263"/>
      <c r="PE160" s="263"/>
      <c r="PF160" s="263"/>
      <c r="PG160" s="263"/>
      <c r="PH160" s="263"/>
    </row>
    <row r="161">
      <c r="B161" s="34" t="s">
        <v>28</v>
      </c>
      <c r="C161" s="404"/>
      <c r="D161" s="192" t="n">
        <f>Timing_Construction_End</f>
        <v>36</v>
      </c>
      <c r="E161" s="404"/>
      <c r="F161" s="404"/>
      <c r="G161" s="508" t="s">
        <v>322</v>
      </c>
      <c r="H161" s="404"/>
      <c r="I161" s="44" t="n">
        <f>PROJECTS!$AP$109</f>
        <v>0.065</v>
      </c>
      <c r="J161" s="399"/>
      <c r="K161" s="509" t="s">
        <v>323</v>
      </c>
      <c r="M161" s="378" t="str">
        <f>"Rentable "&amp;Unit_Type</f>
        <v>Rentable M2</v>
      </c>
      <c r="N161" s="378"/>
      <c r="O161" s="378" t="s">
        <v>324</v>
      </c>
      <c r="P161" s="378" t="s">
        <v>325</v>
      </c>
      <c r="R161" s="378" t="str">
        <f>G161</f>
        <v>Market Cap Rate Today</v>
      </c>
      <c r="S161" s="378" t="s">
        <v>326</v>
      </c>
      <c r="T161" s="378" t="s">
        <v>327</v>
      </c>
      <c r="V161" s="378" t="s">
        <v>328</v>
      </c>
      <c r="W161" s="378" t="s">
        <v>329</v>
      </c>
      <c r="X161" s="400"/>
      <c r="Y161" s="400"/>
      <c r="Z161" s="400"/>
      <c r="AA161" s="400"/>
      <c r="AB161" s="400"/>
      <c r="AC161" s="400"/>
      <c r="AD161" s="400"/>
      <c r="AE161" s="400"/>
      <c r="AF161" s="400"/>
      <c r="AG161" s="400"/>
      <c r="AH161" s="400"/>
      <c r="AI161" s="400"/>
      <c r="AJ161" s="400"/>
      <c r="AK161" s="400"/>
      <c r="AL161" s="400"/>
      <c r="AM161" s="400"/>
      <c r="AN161" s="400"/>
      <c r="AO161" s="400"/>
      <c r="AP161" s="400"/>
      <c r="AQ161" s="400"/>
      <c r="AR161" s="400"/>
      <c r="AS161" s="400"/>
      <c r="AT161" s="400"/>
      <c r="AU161" s="400"/>
      <c r="AV161" s="400"/>
      <c r="AW161" s="400"/>
      <c r="AX161" s="400"/>
      <c r="AY161" s="400"/>
      <c r="AZ161" s="400"/>
      <c r="BA161" s="400"/>
      <c r="BB161" s="400"/>
      <c r="BC161" s="400"/>
      <c r="BD161" s="400"/>
      <c r="BE161" s="400"/>
      <c r="BF161" s="400"/>
      <c r="BG161" s="400"/>
      <c r="BH161" s="400"/>
      <c r="BI161" s="400"/>
      <c r="BJ161" s="400"/>
      <c r="BK161" s="400"/>
      <c r="BL161" s="400"/>
      <c r="BM161" s="400"/>
      <c r="BN161" s="400"/>
      <c r="BO161" s="400"/>
      <c r="BP161" s="400"/>
      <c r="BQ161" s="400"/>
      <c r="BR161" s="400"/>
      <c r="BS161" s="400"/>
      <c r="BT161" s="400"/>
      <c r="BU161" s="400"/>
      <c r="BV161" s="400"/>
      <c r="BW161" s="400"/>
      <c r="BX161" s="400"/>
      <c r="BY161" s="400"/>
      <c r="BZ161" s="400"/>
      <c r="CA161" s="400"/>
      <c r="CB161" s="400"/>
      <c r="CC161" s="400"/>
      <c r="CD161" s="400"/>
      <c r="CE161" s="400"/>
      <c r="CF161" s="400"/>
      <c r="CG161" s="400"/>
      <c r="CH161" s="400"/>
      <c r="CI161" s="400"/>
      <c r="CJ161" s="400"/>
      <c r="CK161" s="400"/>
      <c r="CL161" s="400"/>
      <c r="CM161" s="400"/>
      <c r="CN161" s="400"/>
      <c r="CO161" s="400"/>
      <c r="CP161" s="400"/>
      <c r="CQ161" s="400"/>
      <c r="CR161" s="400"/>
      <c r="CS161" s="400"/>
      <c r="CT161" s="400"/>
      <c r="CU161" s="400"/>
      <c r="CV161" s="400"/>
      <c r="CW161" s="400"/>
      <c r="CX161" s="400"/>
      <c r="CY161" s="400"/>
      <c r="CZ161" s="400"/>
      <c r="DA161" s="400"/>
      <c r="DB161" s="400"/>
      <c r="DC161" s="400"/>
      <c r="DD161" s="400"/>
      <c r="DE161" s="400"/>
      <c r="DF161" s="400"/>
      <c r="DG161" s="400"/>
      <c r="DH161" s="400"/>
      <c r="DI161" s="400"/>
      <c r="DJ161" s="400"/>
      <c r="DK161" s="400"/>
      <c r="DL161" s="400"/>
      <c r="DM161" s="400"/>
      <c r="DN161" s="400"/>
      <c r="DO161" s="400"/>
      <c r="DP161" s="400"/>
      <c r="DQ161" s="400"/>
      <c r="DR161" s="400"/>
      <c r="DS161" s="400"/>
      <c r="DT161" s="400"/>
      <c r="DU161" s="400"/>
      <c r="DV161" s="400"/>
      <c r="DW161" s="400"/>
      <c r="DX161" s="400"/>
      <c r="DY161" s="400"/>
      <c r="DZ161" s="400"/>
      <c r="EA161" s="400"/>
      <c r="EB161" s="400"/>
      <c r="EC161" s="400"/>
      <c r="ED161" s="400"/>
      <c r="EE161" s="400"/>
      <c r="EF161" s="400"/>
      <c r="EG161" s="400"/>
      <c r="EH161" s="400"/>
      <c r="EI161" s="400"/>
      <c r="EJ161" s="400"/>
      <c r="EK161" s="400"/>
      <c r="EL161" s="400"/>
      <c r="EM161" s="400"/>
      <c r="EN161" s="400"/>
      <c r="EO161" s="400"/>
      <c r="EP161" s="220"/>
      <c r="EQ161" s="18"/>
      <c r="ER161" s="18"/>
      <c r="ES161" s="18"/>
      <c r="ET161" s="18"/>
      <c r="EU161" s="18"/>
      <c r="EV161" s="18"/>
      <c r="EW161" s="18"/>
      <c r="EX161" s="18"/>
      <c r="EY161" s="18"/>
      <c r="EZ161" s="18"/>
      <c r="FA161" s="18"/>
      <c r="FB161" s="18"/>
      <c r="FC161" s="18"/>
      <c r="FD161" s="18"/>
      <c r="FE161" s="18"/>
      <c r="FF161" s="18"/>
      <c r="FG161" s="18"/>
      <c r="FH161" s="18"/>
      <c r="FI161" s="18"/>
      <c r="FJ161" s="18"/>
      <c r="FK161" s="18"/>
      <c r="FL161" s="18"/>
      <c r="FM161" s="18"/>
      <c r="FN161" s="18"/>
      <c r="FO161" s="18"/>
      <c r="FP161" s="18"/>
      <c r="FQ161" s="18"/>
      <c r="FR161" s="18"/>
      <c r="FS161" s="18"/>
      <c r="FT161" s="18"/>
      <c r="FU161" s="18"/>
      <c r="FV161" s="18"/>
      <c r="FW161" s="18"/>
      <c r="FX161" s="18"/>
      <c r="FY161" s="18"/>
      <c r="FZ161" s="18"/>
      <c r="GA161" s="18"/>
      <c r="GB161" s="18"/>
      <c r="GC161" s="18"/>
      <c r="GD161" s="18"/>
      <c r="GE161" s="18"/>
      <c r="GF161" s="18"/>
      <c r="GG161" s="18"/>
      <c r="GH161" s="18"/>
      <c r="GI161" s="18"/>
      <c r="GJ161" s="18"/>
      <c r="GK161" s="18"/>
      <c r="GL161" s="18"/>
      <c r="GM161" s="18"/>
      <c r="GN161" s="18"/>
      <c r="GO161" s="18"/>
      <c r="GP161" s="18"/>
      <c r="GQ161" s="18"/>
      <c r="GR161" s="18"/>
      <c r="GS161" s="18"/>
      <c r="GT161" s="18"/>
      <c r="GU161" s="18"/>
      <c r="GV161" s="18"/>
      <c r="GW161" s="18"/>
      <c r="GX161" s="18"/>
      <c r="GY161" s="18"/>
      <c r="GZ161" s="18"/>
      <c r="HA161" s="18"/>
      <c r="HB161" s="18"/>
      <c r="HC161" s="18"/>
      <c r="HD161" s="18"/>
      <c r="HE161" s="18"/>
      <c r="HF161" s="18"/>
      <c r="HG161" s="18"/>
      <c r="HH161" s="18"/>
      <c r="HI161" s="18"/>
      <c r="HJ161" s="18"/>
      <c r="HK161" s="18"/>
      <c r="HL161" s="18"/>
      <c r="HM161" s="18"/>
      <c r="HN161" s="18"/>
      <c r="HO161" s="18"/>
      <c r="HP161" s="18"/>
      <c r="HQ161" s="18"/>
      <c r="HR161" s="18"/>
      <c r="HS161" s="18"/>
      <c r="HT161" s="18"/>
      <c r="HU161" s="18"/>
      <c r="HV161" s="18"/>
      <c r="HW161" s="18"/>
      <c r="HX161" s="18"/>
      <c r="HY161" s="18"/>
      <c r="HZ161" s="18"/>
      <c r="IA161" s="18"/>
      <c r="IB161" s="18"/>
      <c r="IC161" s="18"/>
      <c r="ID161" s="18"/>
      <c r="IE161" s="18"/>
      <c r="IF161" s="18"/>
      <c r="IG161" s="18"/>
      <c r="IH161" s="18"/>
      <c r="II161" s="18"/>
      <c r="IJ161" s="18"/>
      <c r="IK161" s="18"/>
      <c r="IL161" s="18"/>
      <c r="IM161" s="18"/>
      <c r="IN161" s="18"/>
      <c r="IO161" s="18"/>
      <c r="IP161" s="18"/>
      <c r="IQ161" s="18"/>
      <c r="IR161" s="18"/>
      <c r="IS161" s="18"/>
      <c r="IT161" s="18"/>
      <c r="IU161" s="18"/>
      <c r="IV161" s="18"/>
      <c r="IW161" s="18"/>
      <c r="IX161" s="18"/>
      <c r="IY161" s="18"/>
      <c r="IZ161" s="18"/>
      <c r="JA161" s="18"/>
      <c r="JB161" s="18"/>
      <c r="JC161" s="18"/>
      <c r="JD161" s="18"/>
      <c r="JE161" s="18"/>
      <c r="JF161" s="18"/>
      <c r="JG161" s="18"/>
      <c r="JH161" s="18"/>
      <c r="JI161" s="18"/>
      <c r="JJ161" s="18"/>
      <c r="JK161" s="18"/>
      <c r="JL161" s="18"/>
      <c r="JM161" s="18"/>
      <c r="JN161" s="18"/>
      <c r="JO161" s="18"/>
      <c r="JP161" s="18"/>
      <c r="JQ161" s="18"/>
      <c r="JR161" s="18"/>
      <c r="JS161" s="18"/>
      <c r="JT161" s="18"/>
      <c r="JU161" s="18"/>
      <c r="JV161" s="18"/>
      <c r="JW161" s="18"/>
      <c r="JX161" s="18"/>
      <c r="JZ161" s="263"/>
      <c r="KA161" s="263"/>
      <c r="KB161" s="263"/>
      <c r="KC161" s="263"/>
      <c r="KD161" s="263"/>
      <c r="KE161" s="263"/>
      <c r="KF161" s="263"/>
      <c r="KG161" s="263"/>
      <c r="KH161" s="263"/>
      <c r="KI161" s="263"/>
      <c r="KJ161" s="263"/>
      <c r="KK161" s="263"/>
      <c r="KL161" s="263"/>
      <c r="KM161" s="263"/>
      <c r="KN161" s="263"/>
      <c r="KO161" s="263"/>
      <c r="KP161" s="263"/>
      <c r="KQ161" s="263"/>
      <c r="KR161" s="263"/>
      <c r="KS161" s="263"/>
      <c r="KT161" s="263"/>
      <c r="KU161" s="263"/>
      <c r="KV161" s="263"/>
      <c r="KW161" s="263"/>
      <c r="KX161" s="263"/>
      <c r="KY161" s="263"/>
      <c r="KZ161" s="263"/>
      <c r="LA161" s="263"/>
      <c r="LB161" s="263"/>
      <c r="LC161" s="263"/>
      <c r="LD161" s="263"/>
      <c r="LE161" s="263"/>
      <c r="LF161" s="263"/>
      <c r="LG161" s="263"/>
      <c r="LH161" s="263"/>
      <c r="LI161" s="263"/>
      <c r="LJ161" s="263"/>
      <c r="LK161" s="263"/>
      <c r="LL161" s="263"/>
      <c r="LM161" s="263"/>
      <c r="LN161" s="263"/>
      <c r="LO161" s="263"/>
      <c r="LP161" s="263"/>
      <c r="LQ161" s="263"/>
      <c r="LR161" s="263"/>
      <c r="LS161" s="263"/>
      <c r="LT161" s="263"/>
      <c r="LU161" s="263"/>
      <c r="LV161" s="263"/>
      <c r="LW161" s="263"/>
      <c r="LX161" s="263"/>
      <c r="LY161" s="263"/>
      <c r="LZ161" s="263"/>
      <c r="MA161" s="263"/>
      <c r="MB161" s="263"/>
      <c r="MC161" s="263"/>
      <c r="MD161" s="263"/>
      <c r="ME161" s="263"/>
      <c r="MF161" s="263"/>
      <c r="MG161" s="263"/>
      <c r="MH161" s="263"/>
      <c r="MI161" s="263"/>
      <c r="MJ161" s="263"/>
      <c r="MK161" s="263"/>
      <c r="ML161" s="263"/>
      <c r="MM161" s="263"/>
      <c r="MN161" s="263"/>
      <c r="MO161" s="263"/>
      <c r="MP161" s="263"/>
      <c r="MQ161" s="263"/>
      <c r="MR161" s="263"/>
      <c r="MS161" s="263"/>
      <c r="MT161" s="263"/>
      <c r="MU161" s="263"/>
      <c r="MV161" s="263"/>
      <c r="MW161" s="263"/>
      <c r="MX161" s="263"/>
      <c r="MY161" s="263"/>
      <c r="MZ161" s="263"/>
      <c r="NA161" s="263"/>
      <c r="NB161" s="263"/>
      <c r="NC161" s="263"/>
      <c r="ND161" s="263"/>
      <c r="NE161" s="263"/>
      <c r="NF161" s="263"/>
      <c r="NG161" s="263"/>
      <c r="NH161" s="263"/>
      <c r="NI161" s="263"/>
      <c r="NJ161" s="263"/>
      <c r="NK161" s="263"/>
      <c r="NL161" s="263"/>
      <c r="NM161" s="263"/>
      <c r="NN161" s="263"/>
      <c r="NO161" s="263"/>
      <c r="NP161" s="263"/>
      <c r="NQ161" s="263"/>
      <c r="NR161" s="263"/>
      <c r="NS161" s="263"/>
      <c r="NT161" s="263"/>
      <c r="NU161" s="263"/>
      <c r="NV161" s="263"/>
      <c r="NW161" s="263"/>
      <c r="NX161" s="263"/>
      <c r="NY161" s="263"/>
      <c r="NZ161" s="263"/>
      <c r="OA161" s="263"/>
      <c r="OB161" s="263"/>
      <c r="OC161" s="263"/>
      <c r="OD161" s="263"/>
      <c r="OE161" s="263"/>
      <c r="OF161" s="263"/>
      <c r="OG161" s="263"/>
      <c r="OH161" s="263"/>
      <c r="OI161" s="263"/>
      <c r="OJ161" s="263"/>
      <c r="OK161" s="263"/>
      <c r="OL161" s="263"/>
      <c r="OM161" s="263"/>
      <c r="ON161" s="263"/>
      <c r="OO161" s="263"/>
      <c r="OP161" s="263"/>
      <c r="OQ161" s="263"/>
      <c r="OR161" s="263"/>
      <c r="OS161" s="263"/>
      <c r="OT161" s="263"/>
      <c r="OU161" s="263"/>
      <c r="OV161" s="263"/>
      <c r="OW161" s="263"/>
      <c r="OX161" s="263"/>
      <c r="OY161" s="263"/>
      <c r="OZ161" s="263"/>
      <c r="PA161" s="263"/>
      <c r="PB161" s="263"/>
      <c r="PC161" s="263"/>
      <c r="PD161" s="263"/>
      <c r="PE161" s="263"/>
      <c r="PF161" s="263"/>
      <c r="PG161" s="263"/>
      <c r="PH161" s="263"/>
    </row>
    <row r="162">
      <c r="B162" s="34" t="s">
        <v>31</v>
      </c>
      <c r="C162" s="404"/>
      <c r="D162" s="193" t="n">
        <f>Timing_Operation_Begin_Month</f>
        <v>37</v>
      </c>
      <c r="E162" s="508"/>
      <c r="F162" s="508"/>
      <c r="G162" s="508" t="s">
        <v>330</v>
      </c>
      <c r="H162" s="404"/>
      <c r="I162" s="44" t="n">
        <f>PROJECTS!$AP$110</f>
        <v>0.0675</v>
      </c>
      <c r="J162" s="399"/>
      <c r="K162" s="510" t="s">
        <v>331</v>
      </c>
      <c r="M162" s="421" t="n">
        <f>Units-SUM(M163:M171)</f>
        <v>0</v>
      </c>
      <c r="N162" s="76"/>
      <c r="O162" s="421" t="n">
        <f>H179-SUM(O163:O171)</f>
        <v>0</v>
      </c>
      <c r="P162" s="421" t="n">
        <f>I179-SUM(P163:P171)</f>
        <v>0</v>
      </c>
      <c r="R162" s="294" t="n">
        <f>$I$161</f>
        <v>0.065</v>
      </c>
      <c r="S162" s="93" t="n">
        <f t="shared" ref="S162:S172" si="863">(Stabilization_1st_Month/Timing_Reversion_Month)*(T162-R162)+R162</f>
        <v>0.06700819672131147</v>
      </c>
      <c r="T162" s="294" t="n">
        <f>$I$162</f>
        <v>0.0675</v>
      </c>
      <c r="V162" s="421" t="n">
        <f>O162/S162</f>
        <v>0</v>
      </c>
      <c r="W162" s="421" t="n">
        <f>P162/T162</f>
        <v>0</v>
      </c>
      <c r="X162" s="400"/>
      <c r="Y162" s="400"/>
      <c r="Z162" s="400"/>
      <c r="AA162" s="400"/>
      <c r="AB162" s="400"/>
      <c r="AC162" s="400"/>
      <c r="AD162" s="400"/>
      <c r="AE162" s="400"/>
      <c r="AF162" s="400"/>
      <c r="AG162" s="400"/>
      <c r="AH162" s="400"/>
      <c r="AI162" s="400"/>
      <c r="AJ162" s="400"/>
      <c r="AK162" s="400"/>
      <c r="AL162" s="400"/>
      <c r="AM162" s="400"/>
      <c r="AN162" s="400"/>
      <c r="AO162" s="400"/>
      <c r="AP162" s="400"/>
      <c r="AQ162" s="400"/>
      <c r="AR162" s="400"/>
      <c r="AS162" s="400"/>
      <c r="AT162" s="400"/>
      <c r="AU162" s="400"/>
      <c r="AV162" s="400"/>
      <c r="AW162" s="400"/>
      <c r="AX162" s="400"/>
      <c r="AY162" s="400"/>
      <c r="AZ162" s="400"/>
      <c r="BA162" s="400"/>
      <c r="BB162" s="400"/>
      <c r="BC162" s="400"/>
      <c r="BD162" s="400"/>
      <c r="BE162" s="400"/>
      <c r="BF162" s="400"/>
      <c r="BG162" s="400"/>
      <c r="BH162" s="400"/>
      <c r="BI162" s="400"/>
      <c r="BJ162" s="400"/>
      <c r="BK162" s="400"/>
      <c r="BL162" s="400"/>
      <c r="BM162" s="400"/>
      <c r="BN162" s="400"/>
      <c r="BO162" s="400"/>
      <c r="BP162" s="400"/>
      <c r="BQ162" s="400"/>
      <c r="BR162" s="400"/>
      <c r="BS162" s="400"/>
      <c r="BT162" s="400"/>
      <c r="BU162" s="400"/>
      <c r="BV162" s="400"/>
      <c r="BW162" s="400"/>
      <c r="BX162" s="400"/>
      <c r="BY162" s="400"/>
      <c r="BZ162" s="400"/>
      <c r="CA162" s="400"/>
      <c r="CB162" s="400"/>
      <c r="CC162" s="400"/>
      <c r="CD162" s="400"/>
      <c r="CE162" s="400"/>
      <c r="CF162" s="400"/>
      <c r="CG162" s="400"/>
      <c r="CH162" s="400"/>
      <c r="CI162" s="400"/>
      <c r="CJ162" s="400"/>
      <c r="CK162" s="400"/>
      <c r="CL162" s="400"/>
      <c r="CM162" s="400"/>
      <c r="CN162" s="400"/>
      <c r="CO162" s="400"/>
      <c r="CP162" s="400"/>
      <c r="CQ162" s="400"/>
      <c r="CR162" s="400"/>
      <c r="CS162" s="400"/>
      <c r="CT162" s="400"/>
      <c r="CU162" s="400"/>
      <c r="CV162" s="400"/>
      <c r="CW162" s="400"/>
      <c r="CX162" s="400"/>
      <c r="CY162" s="400"/>
      <c r="CZ162" s="400"/>
      <c r="DA162" s="400"/>
      <c r="DB162" s="400"/>
      <c r="DC162" s="400"/>
      <c r="DD162" s="400"/>
      <c r="DE162" s="400"/>
      <c r="DF162" s="400"/>
      <c r="DG162" s="400"/>
      <c r="DH162" s="400"/>
      <c r="DI162" s="400"/>
      <c r="DJ162" s="400"/>
      <c r="DK162" s="400"/>
      <c r="DL162" s="400"/>
      <c r="DM162" s="400"/>
      <c r="DN162" s="400"/>
      <c r="DO162" s="400"/>
      <c r="DP162" s="400"/>
      <c r="DQ162" s="400"/>
      <c r="DR162" s="400"/>
      <c r="DS162" s="400"/>
      <c r="DT162" s="400"/>
      <c r="DU162" s="400"/>
      <c r="DV162" s="400"/>
      <c r="DW162" s="400"/>
      <c r="DX162" s="400"/>
      <c r="DY162" s="400"/>
      <c r="DZ162" s="400"/>
      <c r="EA162" s="400"/>
      <c r="EB162" s="400"/>
      <c r="EC162" s="400"/>
      <c r="ED162" s="400"/>
      <c r="EE162" s="400"/>
      <c r="EF162" s="400"/>
      <c r="EG162" s="400"/>
      <c r="EH162" s="400"/>
      <c r="EI162" s="400"/>
      <c r="EJ162" s="400"/>
      <c r="EK162" s="400"/>
      <c r="EL162" s="400"/>
      <c r="EM162" s="400"/>
      <c r="EN162" s="400"/>
      <c r="EO162" s="400"/>
      <c r="EP162" s="220"/>
      <c r="EQ162" s="18"/>
      <c r="ER162" s="18"/>
      <c r="ES162" s="18"/>
      <c r="ET162" s="18"/>
      <c r="EU162" s="18"/>
      <c r="EV162" s="18"/>
      <c r="EW162" s="18"/>
      <c r="EX162" s="18"/>
      <c r="EY162" s="18"/>
      <c r="EZ162" s="18"/>
      <c r="FA162" s="18"/>
      <c r="FB162" s="18"/>
      <c r="FC162" s="18"/>
      <c r="FD162" s="18"/>
      <c r="FE162" s="18"/>
      <c r="FF162" s="18"/>
      <c r="FG162" s="18"/>
      <c r="FH162" s="18"/>
      <c r="FI162" s="18"/>
      <c r="FJ162" s="18"/>
      <c r="FK162" s="18"/>
      <c r="FL162" s="18"/>
      <c r="FM162" s="18"/>
      <c r="FN162" s="18"/>
      <c r="FO162" s="18"/>
      <c r="FP162" s="18"/>
      <c r="FQ162" s="18"/>
      <c r="FR162" s="18"/>
      <c r="FS162" s="18"/>
      <c r="FT162" s="18"/>
      <c r="FU162" s="18"/>
      <c r="FV162" s="18"/>
      <c r="FW162" s="18"/>
      <c r="FX162" s="18"/>
      <c r="FY162" s="18"/>
      <c r="FZ162" s="18"/>
      <c r="GA162" s="18"/>
      <c r="GB162" s="18"/>
      <c r="GC162" s="18"/>
      <c r="GD162" s="18"/>
      <c r="GE162" s="18"/>
      <c r="GF162" s="18"/>
      <c r="GG162" s="18"/>
      <c r="GH162" s="18"/>
      <c r="GI162" s="18"/>
      <c r="GJ162" s="18"/>
      <c r="GK162" s="18"/>
      <c r="GL162" s="18"/>
      <c r="GM162" s="18"/>
      <c r="GN162" s="18"/>
      <c r="GO162" s="18"/>
      <c r="GP162" s="18"/>
      <c r="GQ162" s="18"/>
      <c r="GR162" s="18"/>
      <c r="GS162" s="18"/>
      <c r="GT162" s="18"/>
      <c r="GU162" s="18"/>
      <c r="GV162" s="18"/>
      <c r="GW162" s="18"/>
      <c r="GX162" s="18"/>
      <c r="GY162" s="18"/>
      <c r="GZ162" s="18"/>
      <c r="HA162" s="18"/>
      <c r="HB162" s="18"/>
      <c r="HC162" s="18"/>
      <c r="HD162" s="18"/>
      <c r="HE162" s="18"/>
      <c r="HF162" s="18"/>
      <c r="HG162" s="18"/>
      <c r="HH162" s="18"/>
      <c r="HI162" s="18"/>
      <c r="HJ162" s="18"/>
      <c r="HK162" s="18"/>
      <c r="HL162" s="18"/>
      <c r="HM162" s="18"/>
      <c r="HN162" s="18"/>
      <c r="HO162" s="18"/>
      <c r="HP162" s="18"/>
      <c r="HQ162" s="18"/>
      <c r="HR162" s="18"/>
      <c r="HS162" s="18"/>
      <c r="HT162" s="18"/>
      <c r="HU162" s="18"/>
      <c r="HV162" s="18"/>
      <c r="HW162" s="18"/>
      <c r="HX162" s="18"/>
      <c r="HY162" s="18"/>
      <c r="HZ162" s="18"/>
      <c r="IA162" s="18"/>
      <c r="IB162" s="18"/>
      <c r="IC162" s="18"/>
      <c r="ID162" s="18"/>
      <c r="IE162" s="18"/>
      <c r="IF162" s="18"/>
      <c r="IG162" s="18"/>
      <c r="IH162" s="18"/>
      <c r="II162" s="18"/>
      <c r="IJ162" s="18"/>
      <c r="IK162" s="18"/>
      <c r="IL162" s="18"/>
      <c r="IM162" s="18"/>
      <c r="IN162" s="18"/>
      <c r="IO162" s="18"/>
      <c r="IP162" s="18"/>
      <c r="IQ162" s="18"/>
      <c r="IR162" s="18"/>
      <c r="IS162" s="18"/>
      <c r="IT162" s="18"/>
      <c r="IU162" s="18"/>
      <c r="IV162" s="18"/>
      <c r="IW162" s="18"/>
      <c r="IX162" s="18"/>
      <c r="IY162" s="18"/>
      <c r="IZ162" s="18"/>
      <c r="JA162" s="18"/>
      <c r="JB162" s="18"/>
      <c r="JC162" s="18"/>
      <c r="JD162" s="18"/>
      <c r="JE162" s="18"/>
      <c r="JF162" s="18"/>
      <c r="JG162" s="18"/>
      <c r="JH162" s="18"/>
      <c r="JI162" s="18"/>
      <c r="JJ162" s="18"/>
      <c r="JK162" s="18"/>
      <c r="JL162" s="18"/>
      <c r="JM162" s="18"/>
      <c r="JN162" s="18"/>
      <c r="JO162" s="18"/>
      <c r="JP162" s="18"/>
      <c r="JQ162" s="18"/>
      <c r="JR162" s="18"/>
      <c r="JS162" s="18"/>
      <c r="JT162" s="18"/>
      <c r="JU162" s="18"/>
      <c r="JV162" s="18"/>
      <c r="JW162" s="18"/>
      <c r="JX162" s="18"/>
      <c r="JZ162" s="263"/>
      <c r="KA162" s="263"/>
      <c r="KB162" s="263"/>
      <c r="KC162" s="263"/>
      <c r="KD162" s="263"/>
      <c r="KE162" s="263"/>
      <c r="KF162" s="263"/>
      <c r="KG162" s="263"/>
      <c r="KH162" s="263"/>
      <c r="KI162" s="263"/>
      <c r="KJ162" s="263"/>
      <c r="KK162" s="263"/>
      <c r="KL162" s="263"/>
      <c r="KM162" s="263"/>
      <c r="KN162" s="263"/>
      <c r="KO162" s="263"/>
      <c r="KP162" s="263"/>
      <c r="KQ162" s="263"/>
      <c r="KR162" s="263"/>
      <c r="KS162" s="263"/>
      <c r="KT162" s="263"/>
      <c r="KU162" s="263"/>
      <c r="KV162" s="263"/>
      <c r="KW162" s="263"/>
      <c r="KX162" s="263"/>
      <c r="KY162" s="263"/>
      <c r="KZ162" s="263"/>
      <c r="LA162" s="263"/>
      <c r="LB162" s="263"/>
      <c r="LC162" s="263"/>
      <c r="LD162" s="263"/>
      <c r="LE162" s="263"/>
      <c r="LF162" s="263"/>
      <c r="LG162" s="263"/>
      <c r="LH162" s="263"/>
      <c r="LI162" s="263"/>
      <c r="LJ162" s="263"/>
      <c r="LK162" s="263"/>
      <c r="LL162" s="263"/>
      <c r="LM162" s="263"/>
      <c r="LN162" s="263"/>
      <c r="LO162" s="263"/>
      <c r="LP162" s="263"/>
      <c r="LQ162" s="263"/>
      <c r="LR162" s="263"/>
      <c r="LS162" s="263"/>
      <c r="LT162" s="263"/>
      <c r="LU162" s="263"/>
      <c r="LV162" s="263"/>
      <c r="LW162" s="263"/>
      <c r="LX162" s="263"/>
      <c r="LY162" s="263"/>
      <c r="LZ162" s="263"/>
      <c r="MA162" s="263"/>
      <c r="MB162" s="263"/>
      <c r="MC162" s="263"/>
      <c r="MD162" s="263"/>
      <c r="ME162" s="263"/>
      <c r="MF162" s="263"/>
      <c r="MG162" s="263"/>
      <c r="MH162" s="263"/>
      <c r="MI162" s="263"/>
      <c r="MJ162" s="263"/>
      <c r="MK162" s="263"/>
      <c r="ML162" s="263"/>
      <c r="MM162" s="263"/>
      <c r="MN162" s="263"/>
      <c r="MO162" s="263"/>
      <c r="MP162" s="263"/>
      <c r="MQ162" s="263"/>
      <c r="MR162" s="263"/>
      <c r="MS162" s="263"/>
      <c r="MT162" s="263"/>
      <c r="MU162" s="263"/>
      <c r="MV162" s="263"/>
      <c r="MW162" s="263"/>
      <c r="MX162" s="263"/>
      <c r="MY162" s="263"/>
      <c r="MZ162" s="263"/>
      <c r="NA162" s="263"/>
      <c r="NB162" s="263"/>
      <c r="NC162" s="263"/>
      <c r="ND162" s="263"/>
      <c r="NE162" s="263"/>
      <c r="NF162" s="263"/>
      <c r="NG162" s="263"/>
      <c r="NH162" s="263"/>
      <c r="NI162" s="263"/>
      <c r="NJ162" s="263"/>
      <c r="NK162" s="263"/>
      <c r="NL162" s="263"/>
      <c r="NM162" s="263"/>
      <c r="NN162" s="263"/>
      <c r="NO162" s="263"/>
      <c r="NP162" s="263"/>
      <c r="NQ162" s="263"/>
      <c r="NR162" s="263"/>
      <c r="NS162" s="263"/>
      <c r="NT162" s="263"/>
      <c r="NU162" s="263"/>
      <c r="NV162" s="263"/>
      <c r="NW162" s="263"/>
      <c r="NX162" s="263"/>
      <c r="NY162" s="263"/>
      <c r="NZ162" s="263"/>
      <c r="OA162" s="263"/>
      <c r="OB162" s="263"/>
      <c r="OC162" s="263"/>
      <c r="OD162" s="263"/>
      <c r="OE162" s="263"/>
      <c r="OF162" s="263"/>
      <c r="OG162" s="263"/>
      <c r="OH162" s="263"/>
      <c r="OI162" s="263"/>
      <c r="OJ162" s="263"/>
      <c r="OK162" s="263"/>
      <c r="OL162" s="263"/>
      <c r="OM162" s="263"/>
      <c r="ON162" s="263"/>
      <c r="OO162" s="263"/>
      <c r="OP162" s="263"/>
      <c r="OQ162" s="263"/>
      <c r="OR162" s="263"/>
      <c r="OS162" s="263"/>
      <c r="OT162" s="263"/>
      <c r="OU162" s="263"/>
      <c r="OV162" s="263"/>
      <c r="OW162" s="263"/>
      <c r="OX162" s="263"/>
      <c r="OY162" s="263"/>
      <c r="OZ162" s="263"/>
      <c r="PA162" s="263"/>
      <c r="PB162" s="263"/>
      <c r="PC162" s="263"/>
      <c r="PD162" s="263"/>
      <c r="PE162" s="263"/>
      <c r="PF162" s="263"/>
      <c r="PG162" s="263"/>
      <c r="PH162" s="263"/>
    </row>
    <row r="163">
      <c r="B163" s="34" t="s">
        <v>221</v>
      </c>
      <c r="C163" s="404"/>
      <c r="D163" s="193" t="n">
        <f>Stabilization_1st_Month</f>
        <v>49</v>
      </c>
      <c r="E163" s="508"/>
      <c r="F163" s="508"/>
      <c r="G163" s="508" t="s">
        <v>332</v>
      </c>
      <c r="H163" s="404"/>
      <c r="I163" s="44" t="n">
        <f>PROJECTS!$AP$111</f>
        <v>0.02</v>
      </c>
      <c r="J163" s="399"/>
      <c r="K163" s="299" t="str">
        <f>C93</f>
        <v>URWLD</v>
      </c>
      <c r="M163" s="511" t="n">
        <f>E93</f>
        <v>21500</v>
      </c>
      <c r="N163" s="290"/>
      <c r="O163" s="511" t="n">
        <f>I93</f>
        <v>8600000</v>
      </c>
      <c r="P163" s="511" t="n">
        <f>O163</f>
        <v>8600000</v>
      </c>
      <c r="R163" s="294" t="n">
        <f>$I$161-0.25%</f>
        <v>0.0625</v>
      </c>
      <c r="S163" s="93">
        <f t="shared" si="863"/>
        <v>6.4508196721311473E-2</v>
      </c>
      <c r="T163" s="294" t="n">
        <f>$I$162-0.25%</f>
        <v>0.065</v>
      </c>
      <c r="V163" s="421" t="n">
        <f t="shared" ref="V163:V171" si="864">O163/S163</f>
        <v>133316391.35959339</v>
      </c>
      <c r="W163" s="421" t="n">
        <f t="shared" ref="W163:W171" si="865">P163/T163</f>
        <v>132307692.3076923</v>
      </c>
      <c r="X163" s="400"/>
      <c r="Y163" s="400"/>
      <c r="Z163" s="400"/>
      <c r="AA163" s="400"/>
      <c r="AB163" s="400"/>
      <c r="AC163" s="400"/>
      <c r="AD163" s="400"/>
      <c r="AE163" s="400"/>
      <c r="AF163" s="400"/>
      <c r="AG163" s="400"/>
      <c r="AH163" s="400"/>
      <c r="AI163" s="400"/>
      <c r="AJ163" s="400"/>
      <c r="AK163" s="400"/>
      <c r="AL163" s="400"/>
      <c r="AM163" s="400"/>
      <c r="AN163" s="400"/>
      <c r="AO163" s="400"/>
      <c r="AP163" s="400"/>
      <c r="AQ163" s="400"/>
      <c r="AR163" s="400"/>
      <c r="AS163" s="400"/>
      <c r="AT163" s="400"/>
      <c r="AU163" s="400"/>
      <c r="AV163" s="400"/>
      <c r="AW163" s="400"/>
      <c r="AX163" s="400"/>
      <c r="AY163" s="400"/>
      <c r="AZ163" s="400"/>
      <c r="BA163" s="400"/>
      <c r="BB163" s="400"/>
      <c r="BC163" s="400"/>
      <c r="BD163" s="400"/>
      <c r="BE163" s="400"/>
      <c r="BF163" s="400"/>
      <c r="BG163" s="400"/>
      <c r="BH163" s="400"/>
      <c r="BI163" s="400"/>
      <c r="BJ163" s="400"/>
      <c r="BK163" s="400"/>
      <c r="BL163" s="400"/>
      <c r="BM163" s="400"/>
      <c r="BN163" s="400"/>
      <c r="BO163" s="400"/>
      <c r="BP163" s="400"/>
      <c r="BQ163" s="400"/>
      <c r="BR163" s="400"/>
      <c r="BS163" s="400"/>
      <c r="BT163" s="400"/>
      <c r="BU163" s="400"/>
      <c r="BV163" s="400"/>
      <c r="BW163" s="400"/>
      <c r="BX163" s="400"/>
      <c r="BY163" s="400"/>
      <c r="BZ163" s="400"/>
      <c r="CA163" s="400"/>
      <c r="CB163" s="400"/>
      <c r="CC163" s="400"/>
      <c r="CD163" s="400"/>
      <c r="CE163" s="400"/>
      <c r="CF163" s="400"/>
      <c r="CG163" s="400"/>
      <c r="CH163" s="400"/>
      <c r="CI163" s="400"/>
      <c r="CJ163" s="400"/>
      <c r="CK163" s="400"/>
      <c r="CL163" s="400"/>
      <c r="CM163" s="400"/>
      <c r="CN163" s="400"/>
      <c r="CO163" s="400"/>
      <c r="CP163" s="400"/>
      <c r="CQ163" s="400"/>
      <c r="CR163" s="400"/>
      <c r="CS163" s="400"/>
      <c r="CT163" s="400"/>
      <c r="CU163" s="400"/>
      <c r="CV163" s="400"/>
      <c r="CW163" s="400"/>
      <c r="CX163" s="400"/>
      <c r="CY163" s="400"/>
      <c r="CZ163" s="400"/>
      <c r="DA163" s="400"/>
      <c r="DB163" s="400"/>
      <c r="DC163" s="400"/>
      <c r="DD163" s="400"/>
      <c r="DE163" s="400"/>
      <c r="DF163" s="400"/>
      <c r="DG163" s="400"/>
      <c r="DH163" s="400"/>
      <c r="DI163" s="400"/>
      <c r="DJ163" s="400"/>
      <c r="DK163" s="400"/>
      <c r="DL163" s="400"/>
      <c r="DM163" s="400"/>
      <c r="DN163" s="400"/>
      <c r="DO163" s="400"/>
      <c r="DP163" s="400"/>
      <c r="DQ163" s="400"/>
      <c r="DR163" s="400"/>
      <c r="DS163" s="400"/>
      <c r="DT163" s="400"/>
      <c r="DU163" s="400"/>
      <c r="DV163" s="400"/>
      <c r="DW163" s="400"/>
      <c r="DX163" s="400"/>
      <c r="DY163" s="400"/>
      <c r="DZ163" s="400"/>
      <c r="EA163" s="400"/>
      <c r="EB163" s="400"/>
      <c r="EC163" s="400"/>
      <c r="ED163" s="400"/>
      <c r="EE163" s="400"/>
      <c r="EF163" s="400"/>
      <c r="EG163" s="400"/>
      <c r="EH163" s="400"/>
      <c r="EI163" s="400"/>
      <c r="EJ163" s="400"/>
      <c r="EK163" s="400"/>
      <c r="EL163" s="400"/>
      <c r="EM163" s="400"/>
      <c r="EN163" s="400"/>
      <c r="EO163" s="400"/>
      <c r="EP163" s="220"/>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c r="HX163" s="18"/>
      <c r="HY163" s="18"/>
      <c r="HZ163" s="18"/>
      <c r="IA163" s="18"/>
      <c r="IB163" s="18"/>
      <c r="IC163" s="18"/>
      <c r="ID163" s="18"/>
      <c r="IE163" s="18"/>
      <c r="IF163" s="18"/>
      <c r="IG163" s="18"/>
      <c r="IH163" s="18"/>
      <c r="II163" s="18"/>
      <c r="IJ163" s="18"/>
      <c r="IK163" s="18"/>
      <c r="IL163" s="18"/>
      <c r="IM163" s="18"/>
      <c r="IN163" s="18"/>
      <c r="IO163" s="18"/>
      <c r="IP163" s="18"/>
      <c r="IQ163" s="18"/>
      <c r="IR163" s="18"/>
      <c r="IS163" s="18"/>
      <c r="IT163" s="18"/>
      <c r="IU163" s="18"/>
      <c r="IV163" s="18"/>
      <c r="IW163" s="18"/>
      <c r="IX163" s="18"/>
      <c r="IY163" s="18"/>
      <c r="IZ163" s="18"/>
      <c r="JA163" s="18"/>
      <c r="JB163" s="18"/>
      <c r="JC163" s="18"/>
      <c r="JD163" s="18"/>
      <c r="JE163" s="18"/>
      <c r="JF163" s="18"/>
      <c r="JG163" s="18"/>
      <c r="JH163" s="18"/>
      <c r="JI163" s="18"/>
      <c r="JJ163" s="18"/>
      <c r="JK163" s="18"/>
      <c r="JL163" s="18"/>
      <c r="JM163" s="18"/>
      <c r="JN163" s="18"/>
      <c r="JO163" s="18"/>
      <c r="JP163" s="18"/>
      <c r="JQ163" s="18"/>
      <c r="JR163" s="18"/>
      <c r="JS163" s="18"/>
      <c r="JT163" s="18"/>
      <c r="JU163" s="18"/>
      <c r="JV163" s="18"/>
      <c r="JW163" s="18"/>
      <c r="JX163" s="18"/>
      <c r="JZ163" s="263"/>
      <c r="KA163" s="263"/>
      <c r="KB163" s="263"/>
      <c r="KC163" s="263"/>
      <c r="KD163" s="263"/>
      <c r="KE163" s="263"/>
      <c r="KF163" s="263"/>
      <c r="KG163" s="263"/>
      <c r="KH163" s="263"/>
      <c r="KI163" s="263"/>
      <c r="KJ163" s="263"/>
      <c r="KK163" s="263"/>
      <c r="KL163" s="263"/>
      <c r="KM163" s="263"/>
      <c r="KN163" s="263"/>
      <c r="KO163" s="263"/>
      <c r="KP163" s="263"/>
      <c r="KQ163" s="263"/>
      <c r="KR163" s="263"/>
      <c r="KS163" s="263"/>
      <c r="KT163" s="263"/>
      <c r="KU163" s="263"/>
      <c r="KV163" s="263"/>
      <c r="KW163" s="263"/>
      <c r="KX163" s="263"/>
      <c r="KY163" s="263"/>
      <c r="KZ163" s="263"/>
      <c r="LA163" s="263"/>
      <c r="LB163" s="263"/>
      <c r="LC163" s="263"/>
      <c r="LD163" s="263"/>
      <c r="LE163" s="263"/>
      <c r="LF163" s="263"/>
      <c r="LG163" s="263"/>
      <c r="LH163" s="263"/>
      <c r="LI163" s="263"/>
      <c r="LJ163" s="263"/>
      <c r="LK163" s="263"/>
      <c r="LL163" s="263"/>
      <c r="LM163" s="263"/>
      <c r="LN163" s="263"/>
      <c r="LO163" s="263"/>
      <c r="LP163" s="263"/>
      <c r="LQ163" s="263"/>
      <c r="LR163" s="263"/>
      <c r="LS163" s="263"/>
      <c r="LT163" s="263"/>
      <c r="LU163" s="263"/>
      <c r="LV163" s="263"/>
      <c r="LW163" s="263"/>
      <c r="LX163" s="263"/>
      <c r="LY163" s="263"/>
      <c r="LZ163" s="263"/>
      <c r="MA163" s="263"/>
      <c r="MB163" s="263"/>
      <c r="MC163" s="263"/>
      <c r="MD163" s="263"/>
      <c r="ME163" s="263"/>
      <c r="MF163" s="263"/>
      <c r="MG163" s="263"/>
      <c r="MH163" s="263"/>
      <c r="MI163" s="263"/>
      <c r="MJ163" s="263"/>
      <c r="MK163" s="263"/>
      <c r="ML163" s="263"/>
      <c r="MM163" s="263"/>
      <c r="MN163" s="263"/>
      <c r="MO163" s="263"/>
      <c r="MP163" s="263"/>
      <c r="MQ163" s="263"/>
      <c r="MR163" s="263"/>
      <c r="MS163" s="263"/>
      <c r="MT163" s="263"/>
      <c r="MU163" s="263"/>
      <c r="MV163" s="263"/>
      <c r="MW163" s="263"/>
      <c r="MX163" s="263"/>
      <c r="MY163" s="263"/>
      <c r="MZ163" s="263"/>
      <c r="NA163" s="263"/>
      <c r="NB163" s="263"/>
      <c r="NC163" s="263"/>
      <c r="ND163" s="263"/>
      <c r="NE163" s="263"/>
      <c r="NF163" s="263"/>
      <c r="NG163" s="263"/>
      <c r="NH163" s="263"/>
      <c r="NI163" s="263"/>
      <c r="NJ163" s="263"/>
      <c r="NK163" s="263"/>
      <c r="NL163" s="263"/>
      <c r="NM163" s="263"/>
      <c r="NN163" s="263"/>
      <c r="NO163" s="263"/>
      <c r="NP163" s="263"/>
      <c r="NQ163" s="263"/>
      <c r="NR163" s="263"/>
      <c r="NS163" s="263"/>
      <c r="NT163" s="263"/>
      <c r="NU163" s="263"/>
      <c r="NV163" s="263"/>
      <c r="NW163" s="263"/>
      <c r="NX163" s="263"/>
      <c r="NY163" s="263"/>
      <c r="NZ163" s="263"/>
      <c r="OA163" s="263"/>
      <c r="OB163" s="263"/>
      <c r="OC163" s="263"/>
      <c r="OD163" s="263"/>
      <c r="OE163" s="263"/>
      <c r="OF163" s="263"/>
      <c r="OG163" s="263"/>
      <c r="OH163" s="263"/>
      <c r="OI163" s="263"/>
      <c r="OJ163" s="263"/>
      <c r="OK163" s="263"/>
      <c r="OL163" s="263"/>
      <c r="OM163" s="263"/>
      <c r="ON163" s="263"/>
      <c r="OO163" s="263"/>
      <c r="OP163" s="263"/>
      <c r="OQ163" s="263"/>
      <c r="OR163" s="263"/>
      <c r="OS163" s="263"/>
      <c r="OT163" s="263"/>
      <c r="OU163" s="263"/>
      <c r="OV163" s="263"/>
      <c r="OW163" s="263"/>
      <c r="OX163" s="263"/>
      <c r="OY163" s="263"/>
      <c r="OZ163" s="263"/>
      <c r="PA163" s="263"/>
      <c r="PB163" s="263"/>
      <c r="PC163" s="263"/>
      <c r="PD163" s="263"/>
      <c r="PE163" s="263"/>
      <c r="PF163" s="263"/>
      <c r="PG163" s="263"/>
      <c r="PH163" s="263"/>
    </row>
    <row r="164">
      <c r="B164" s="34" t="s">
        <v>333</v>
      </c>
      <c r="C164" s="404"/>
      <c r="D164" s="194" t="n">
        <f>IF(Perm_Debt?=1,120,Stabilization_1st_Month+12)</f>
        <v>61</v>
      </c>
      <c r="E164" s="508"/>
      <c r="F164" s="508"/>
      <c r="G164" s="512"/>
      <c r="H164" s="512" t="str">
        <f>"Month "&amp;Stabilization_1st_Month&amp;" - "&amp;Stabilization_1st_Month+11</f>
        <v>Month 49 - 60</v>
      </c>
      <c r="I164" s="512" t="str">
        <f>"Month "&amp;Timing_Reversion_Month&amp;" - "&amp;Timing_Reversion_Month+11</f>
        <v>Month 61 - 72</v>
      </c>
      <c r="J164" s="399"/>
      <c r="K164" s="299" t="str">
        <f>C103</f>
        <v>7-Eleven / App Automation</v>
      </c>
      <c r="M164" s="511" t="n">
        <f>E103</f>
        <v>64</v>
      </c>
      <c r="N164" s="290"/>
      <c r="O164" s="511" t="n">
        <f>I103</f>
        <v>0</v>
      </c>
      <c r="P164" s="511" t="n">
        <f>O164</f>
        <v>0</v>
      </c>
      <c r="R164" s="294" t="n">
        <f>$I$161-0.5%</f>
        <v>0.060000000000000005</v>
      </c>
      <c r="S164" s="93">
        <f t="shared" si="863"/>
        <v>6.2008196721311477E-2</v>
      </c>
      <c r="T164" s="294" t="n">
        <f>$I$162-0.5%</f>
        <v>0.0625</v>
      </c>
      <c r="V164" s="421">
        <f t="shared" si="864"/>
        <v>0</v>
      </c>
      <c r="W164" s="421">
        <f t="shared" si="865"/>
        <v>0</v>
      </c>
      <c r="X164" s="400"/>
      <c r="Y164" s="400"/>
      <c r="Z164" s="400"/>
      <c r="AA164" s="400"/>
      <c r="AB164" s="400"/>
      <c r="AC164" s="400"/>
      <c r="AD164" s="400"/>
      <c r="AE164" s="400"/>
      <c r="AF164" s="400"/>
      <c r="AG164" s="400"/>
      <c r="AH164" s="400"/>
      <c r="AI164" s="400"/>
      <c r="AJ164" s="400"/>
      <c r="AK164" s="400"/>
      <c r="AL164" s="400"/>
      <c r="AM164" s="400"/>
      <c r="AN164" s="400"/>
      <c r="AO164" s="400"/>
      <c r="AP164" s="400"/>
      <c r="AQ164" s="400"/>
      <c r="AR164" s="400"/>
      <c r="AS164" s="400"/>
      <c r="AT164" s="400"/>
      <c r="AU164" s="400"/>
      <c r="AV164" s="400"/>
      <c r="AW164" s="400"/>
      <c r="AX164" s="400"/>
      <c r="AY164" s="400"/>
      <c r="AZ164" s="400"/>
      <c r="BA164" s="400"/>
      <c r="BB164" s="400"/>
      <c r="BC164" s="400"/>
      <c r="BD164" s="400"/>
      <c r="BE164" s="400"/>
      <c r="BF164" s="400"/>
      <c r="BG164" s="400"/>
      <c r="BH164" s="400"/>
      <c r="BI164" s="400"/>
      <c r="BJ164" s="400"/>
      <c r="BK164" s="400"/>
      <c r="BL164" s="400"/>
      <c r="BM164" s="400"/>
      <c r="BN164" s="400"/>
      <c r="BO164" s="400"/>
      <c r="BP164" s="400"/>
      <c r="BQ164" s="400"/>
      <c r="BR164" s="400"/>
      <c r="BS164" s="400"/>
      <c r="BT164" s="400"/>
      <c r="BU164" s="400"/>
      <c r="BV164" s="400"/>
      <c r="BW164" s="400"/>
      <c r="BX164" s="400"/>
      <c r="BY164" s="400"/>
      <c r="BZ164" s="400"/>
      <c r="CA164" s="400"/>
      <c r="CB164" s="400"/>
      <c r="CC164" s="400"/>
      <c r="CD164" s="400"/>
      <c r="CE164" s="400"/>
      <c r="CF164" s="400"/>
      <c r="CG164" s="400"/>
      <c r="CH164" s="400"/>
      <c r="CI164" s="400"/>
      <c r="CJ164" s="400"/>
      <c r="CK164" s="400"/>
      <c r="CL164" s="400"/>
      <c r="CM164" s="400"/>
      <c r="CN164" s="400"/>
      <c r="CO164" s="400"/>
      <c r="CP164" s="400"/>
      <c r="CQ164" s="400"/>
      <c r="CR164" s="400"/>
      <c r="CS164" s="400"/>
      <c r="CT164" s="400"/>
      <c r="CU164" s="400"/>
      <c r="CV164" s="400"/>
      <c r="CW164" s="400"/>
      <c r="CX164" s="400"/>
      <c r="CY164" s="400"/>
      <c r="CZ164" s="400"/>
      <c r="DA164" s="400"/>
      <c r="DB164" s="400"/>
      <c r="DC164" s="400"/>
      <c r="DD164" s="400"/>
      <c r="DE164" s="400"/>
      <c r="DF164" s="400"/>
      <c r="DG164" s="400"/>
      <c r="DH164" s="400"/>
      <c r="DI164" s="400"/>
      <c r="DJ164" s="400"/>
      <c r="DK164" s="400"/>
      <c r="DL164" s="400"/>
      <c r="DM164" s="400"/>
      <c r="DN164" s="400"/>
      <c r="DO164" s="400"/>
      <c r="DP164" s="400"/>
      <c r="DQ164" s="400"/>
      <c r="DR164" s="400"/>
      <c r="DS164" s="400"/>
      <c r="DT164" s="400"/>
      <c r="DU164" s="400"/>
      <c r="DV164" s="400"/>
      <c r="DW164" s="400"/>
      <c r="DX164" s="400"/>
      <c r="DY164" s="400"/>
      <c r="DZ164" s="400"/>
      <c r="EA164" s="400"/>
      <c r="EB164" s="400"/>
      <c r="EC164" s="400"/>
      <c r="ED164" s="400"/>
      <c r="EE164" s="400"/>
      <c r="EF164" s="400"/>
      <c r="EG164" s="400"/>
      <c r="EH164" s="400"/>
      <c r="EI164" s="400"/>
      <c r="EJ164" s="400"/>
      <c r="EK164" s="400"/>
      <c r="EL164" s="400"/>
      <c r="EM164" s="400"/>
      <c r="EN164" s="400"/>
      <c r="EO164" s="400"/>
      <c r="EP164" s="220"/>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c r="HC164" s="18"/>
      <c r="HD164" s="18"/>
      <c r="HE164" s="18"/>
      <c r="HF164" s="18"/>
      <c r="HG164" s="18"/>
      <c r="HH164" s="18"/>
      <c r="HI164" s="18"/>
      <c r="HJ164" s="18"/>
      <c r="HK164" s="18"/>
      <c r="HL164" s="18"/>
      <c r="HM164" s="18"/>
      <c r="HN164" s="18"/>
      <c r="HO164" s="18"/>
      <c r="HP164" s="18"/>
      <c r="HQ164" s="18"/>
      <c r="HR164" s="18"/>
      <c r="HS164" s="18"/>
      <c r="HT164" s="18"/>
      <c r="HU164" s="18"/>
      <c r="HV164" s="18"/>
      <c r="HW164" s="18"/>
      <c r="HX164" s="18"/>
      <c r="HY164" s="18"/>
      <c r="HZ164" s="18"/>
      <c r="IA164" s="18"/>
      <c r="IB164" s="18"/>
      <c r="IC164" s="18"/>
      <c r="ID164" s="18"/>
      <c r="IE164" s="18"/>
      <c r="IF164" s="18"/>
      <c r="IG164" s="18"/>
      <c r="IH164" s="18"/>
      <c r="II164" s="18"/>
      <c r="IJ164" s="18"/>
      <c r="IK164" s="18"/>
      <c r="IL164" s="18"/>
      <c r="IM164" s="18"/>
      <c r="IN164" s="18"/>
      <c r="IO164" s="18"/>
      <c r="IP164" s="18"/>
      <c r="IQ164" s="18"/>
      <c r="IR164" s="18"/>
      <c r="IS164" s="18"/>
      <c r="IT164" s="18"/>
      <c r="IU164" s="18"/>
      <c r="IV164" s="18"/>
      <c r="IW164" s="18"/>
      <c r="IX164" s="18"/>
      <c r="IY164" s="18"/>
      <c r="IZ164" s="18"/>
      <c r="JA164" s="18"/>
      <c r="JB164" s="18"/>
      <c r="JC164" s="18"/>
      <c r="JD164" s="18"/>
      <c r="JE164" s="18"/>
      <c r="JF164" s="18"/>
      <c r="JG164" s="18"/>
      <c r="JH164" s="18"/>
      <c r="JI164" s="18"/>
      <c r="JJ164" s="18"/>
      <c r="JK164" s="18"/>
      <c r="JL164" s="18"/>
      <c r="JM164" s="18"/>
      <c r="JN164" s="18"/>
      <c r="JO164" s="18"/>
      <c r="JP164" s="18"/>
      <c r="JQ164" s="18"/>
      <c r="JR164" s="18"/>
      <c r="JS164" s="18"/>
      <c r="JT164" s="18"/>
      <c r="JU164" s="18"/>
      <c r="JV164" s="18"/>
      <c r="JW164" s="18"/>
      <c r="JX164" s="18"/>
      <c r="JZ164" s="263"/>
      <c r="KA164" s="263"/>
      <c r="KB164" s="263"/>
      <c r="KC164" s="263"/>
      <c r="KD164" s="263"/>
      <c r="KE164" s="263"/>
      <c r="KF164" s="263"/>
      <c r="KG164" s="263"/>
      <c r="KH164" s="263"/>
      <c r="KI164" s="263"/>
      <c r="KJ164" s="263"/>
      <c r="KK164" s="263"/>
      <c r="KL164" s="263"/>
      <c r="KM164" s="263"/>
      <c r="KN164" s="263"/>
      <c r="KO164" s="263"/>
      <c r="KP164" s="263"/>
      <c r="KQ164" s="263"/>
      <c r="KR164" s="263"/>
      <c r="KS164" s="263"/>
      <c r="KT164" s="263"/>
      <c r="KU164" s="263"/>
      <c r="KV164" s="263"/>
      <c r="KW164" s="263"/>
      <c r="KX164" s="263"/>
      <c r="KY164" s="263"/>
      <c r="KZ164" s="263"/>
      <c r="LA164" s="263"/>
      <c r="LB164" s="263"/>
      <c r="LC164" s="263"/>
      <c r="LD164" s="263"/>
      <c r="LE164" s="263"/>
      <c r="LF164" s="263"/>
      <c r="LG164" s="263"/>
      <c r="LH164" s="263"/>
      <c r="LI164" s="263"/>
      <c r="LJ164" s="263"/>
      <c r="LK164" s="263"/>
      <c r="LL164" s="263"/>
      <c r="LM164" s="263"/>
      <c r="LN164" s="263"/>
      <c r="LO164" s="263"/>
      <c r="LP164" s="263"/>
      <c r="LQ164" s="263"/>
      <c r="LR164" s="263"/>
      <c r="LS164" s="263"/>
      <c r="LT164" s="263"/>
      <c r="LU164" s="263"/>
      <c r="LV164" s="263"/>
      <c r="LW164" s="263"/>
      <c r="LX164" s="263"/>
      <c r="LY164" s="263"/>
      <c r="LZ164" s="263"/>
      <c r="MA164" s="263"/>
      <c r="MB164" s="263"/>
      <c r="MC164" s="263"/>
      <c r="MD164" s="263"/>
      <c r="ME164" s="263"/>
      <c r="MF164" s="263"/>
      <c r="MG164" s="263"/>
      <c r="MH164" s="263"/>
      <c r="MI164" s="263"/>
      <c r="MJ164" s="263"/>
      <c r="MK164" s="263"/>
      <c r="ML164" s="263"/>
      <c r="MM164" s="263"/>
      <c r="MN164" s="263"/>
      <c r="MO164" s="263"/>
      <c r="MP164" s="263"/>
      <c r="MQ164" s="263"/>
      <c r="MR164" s="263"/>
      <c r="MS164" s="263"/>
      <c r="MT164" s="263"/>
      <c r="MU164" s="263"/>
      <c r="MV164" s="263"/>
      <c r="MW164" s="263"/>
      <c r="MX164" s="263"/>
      <c r="MY164" s="263"/>
      <c r="MZ164" s="263"/>
      <c r="NA164" s="263"/>
      <c r="NB164" s="263"/>
      <c r="NC164" s="263"/>
      <c r="ND164" s="263"/>
      <c r="NE164" s="263"/>
      <c r="NF164" s="263"/>
      <c r="NG164" s="263"/>
      <c r="NH164" s="263"/>
      <c r="NI164" s="263"/>
      <c r="NJ164" s="263"/>
      <c r="NK164" s="263"/>
      <c r="NL164" s="263"/>
      <c r="NM164" s="263"/>
      <c r="NN164" s="263"/>
      <c r="NO164" s="263"/>
      <c r="NP164" s="263"/>
      <c r="NQ164" s="263"/>
      <c r="NR164" s="263"/>
      <c r="NS164" s="263"/>
      <c r="NT164" s="263"/>
      <c r="NU164" s="263"/>
      <c r="NV164" s="263"/>
      <c r="NW164" s="263"/>
      <c r="NX164" s="263"/>
      <c r="NY164" s="263"/>
      <c r="NZ164" s="263"/>
      <c r="OA164" s="263"/>
      <c r="OB164" s="263"/>
      <c r="OC164" s="263"/>
      <c r="OD164" s="263"/>
      <c r="OE164" s="263"/>
      <c r="OF164" s="263"/>
      <c r="OG164" s="263"/>
      <c r="OH164" s="263"/>
      <c r="OI164" s="263"/>
      <c r="OJ164" s="263"/>
      <c r="OK164" s="263"/>
      <c r="OL164" s="263"/>
      <c r="OM164" s="263"/>
      <c r="ON164" s="263"/>
      <c r="OO164" s="263"/>
      <c r="OP164" s="263"/>
      <c r="OQ164" s="263"/>
      <c r="OR164" s="263"/>
      <c r="OS164" s="263"/>
      <c r="OT164" s="263"/>
      <c r="OU164" s="263"/>
      <c r="OV164" s="263"/>
      <c r="OW164" s="263"/>
      <c r="OX164" s="263"/>
      <c r="OY164" s="263"/>
      <c r="OZ164" s="263"/>
      <c r="PA164" s="263"/>
      <c r="PB164" s="263"/>
      <c r="PC164" s="263"/>
      <c r="PD164" s="263"/>
      <c r="PE164" s="263"/>
      <c r="PF164" s="263"/>
      <c r="PG164" s="263"/>
      <c r="PH164" s="263"/>
    </row>
    <row r="165">
      <c r="B165" s="503" t="s">
        <v>53</v>
      </c>
      <c r="C165" s="503"/>
      <c r="D165" s="503"/>
      <c r="E165" s="504"/>
      <c r="F165" s="504"/>
      <c r="G165" s="504"/>
      <c r="H165" s="504" t="s">
        <v>334</v>
      </c>
      <c r="I165" s="504" t="s">
        <v>335</v>
      </c>
      <c r="J165" s="399"/>
      <c r="K165" s="299" t="str">
        <f>C104</f>
        <v>App Automation</v>
      </c>
      <c r="M165" s="511" t="n">
        <f>E104</f>
        <v>48</v>
      </c>
      <c r="N165" s="290"/>
      <c r="O165" s="511" t="n">
        <f>I104</f>
        <v>0</v>
      </c>
      <c r="P165" s="511" t="n">
        <f>O165</f>
        <v>0</v>
      </c>
      <c r="R165" s="294" t="n">
        <f t="shared" ref="R165:R171" si="866">$I$161</f>
        <v>0.065</v>
      </c>
      <c r="S165" s="93">
        <f t="shared" si="863"/>
        <v>6.7008196721311475E-2</v>
      </c>
      <c r="T165" s="294" t="n">
        <f t="shared" ref="T165:T171" si="867">$I$162</f>
        <v>0.0675</v>
      </c>
      <c r="V165" s="421">
        <f t="shared" si="864"/>
        <v>0</v>
      </c>
      <c r="W165" s="421">
        <f t="shared" si="865"/>
        <v>0</v>
      </c>
      <c r="X165" s="400"/>
      <c r="Y165" s="400"/>
      <c r="Z165" s="400"/>
      <c r="AA165" s="400"/>
      <c r="AB165" s="400"/>
      <c r="AC165" s="400"/>
      <c r="AD165" s="400"/>
      <c r="AE165" s="400"/>
      <c r="AF165" s="400"/>
      <c r="AG165" s="400"/>
      <c r="AH165" s="400"/>
      <c r="AI165" s="400"/>
      <c r="AJ165" s="400"/>
      <c r="AK165" s="400"/>
      <c r="AL165" s="400"/>
      <c r="AM165" s="400"/>
      <c r="AN165" s="400"/>
      <c r="AO165" s="400"/>
      <c r="AP165" s="400"/>
      <c r="AQ165" s="400"/>
      <c r="AR165" s="400"/>
      <c r="AS165" s="400"/>
      <c r="AT165" s="400"/>
      <c r="AU165" s="400"/>
      <c r="AV165" s="400"/>
      <c r="AW165" s="400"/>
      <c r="AX165" s="400"/>
      <c r="AY165" s="400"/>
      <c r="AZ165" s="400"/>
      <c r="BA165" s="400"/>
      <c r="BB165" s="400"/>
      <c r="BC165" s="400"/>
      <c r="BD165" s="400"/>
      <c r="BE165" s="400"/>
      <c r="BF165" s="400"/>
      <c r="BG165" s="400"/>
      <c r="BH165" s="400"/>
      <c r="BI165" s="400"/>
      <c r="BJ165" s="400"/>
      <c r="BK165" s="400"/>
      <c r="BL165" s="400"/>
      <c r="BM165" s="400"/>
      <c r="BN165" s="400"/>
      <c r="BO165" s="400"/>
      <c r="BP165" s="400"/>
      <c r="BQ165" s="400"/>
      <c r="BR165" s="400"/>
      <c r="BS165" s="400"/>
      <c r="BT165" s="400"/>
      <c r="BU165" s="400"/>
      <c r="BV165" s="400"/>
      <c r="BW165" s="400"/>
      <c r="BX165" s="400"/>
      <c r="BY165" s="400"/>
      <c r="BZ165" s="400"/>
      <c r="CA165" s="400"/>
      <c r="CB165" s="400"/>
      <c r="CC165" s="400"/>
      <c r="CD165" s="400"/>
      <c r="CE165" s="400"/>
      <c r="CF165" s="400"/>
      <c r="CG165" s="400"/>
      <c r="CH165" s="400"/>
      <c r="CI165" s="400"/>
      <c r="CJ165" s="400"/>
      <c r="CK165" s="400"/>
      <c r="CL165" s="400"/>
      <c r="CM165" s="400"/>
      <c r="CN165" s="400"/>
      <c r="CO165" s="400"/>
      <c r="CP165" s="400"/>
      <c r="CQ165" s="400"/>
      <c r="CR165" s="400"/>
      <c r="CS165" s="400"/>
      <c r="CT165" s="400"/>
      <c r="CU165" s="400"/>
      <c r="CV165" s="400"/>
      <c r="CW165" s="400"/>
      <c r="CX165" s="400"/>
      <c r="CY165" s="400"/>
      <c r="CZ165" s="400"/>
      <c r="DA165" s="400"/>
      <c r="DB165" s="400"/>
      <c r="DC165" s="400"/>
      <c r="DD165" s="400"/>
      <c r="DE165" s="400"/>
      <c r="DF165" s="400"/>
      <c r="DG165" s="400"/>
      <c r="DH165" s="400"/>
      <c r="DI165" s="400"/>
      <c r="DJ165" s="400"/>
      <c r="DK165" s="400"/>
      <c r="DL165" s="400"/>
      <c r="DM165" s="400"/>
      <c r="DN165" s="400"/>
      <c r="DO165" s="400"/>
      <c r="DP165" s="400"/>
      <c r="DQ165" s="400"/>
      <c r="DR165" s="400"/>
      <c r="DS165" s="400"/>
      <c r="DT165" s="400"/>
      <c r="DU165" s="400"/>
      <c r="DV165" s="400"/>
      <c r="DW165" s="400"/>
      <c r="DX165" s="400"/>
      <c r="DY165" s="400"/>
      <c r="DZ165" s="400"/>
      <c r="EA165" s="400"/>
      <c r="EB165" s="400"/>
      <c r="EC165" s="400"/>
      <c r="ED165" s="400"/>
      <c r="EE165" s="400"/>
      <c r="EF165" s="400"/>
      <c r="EG165" s="400"/>
      <c r="EH165" s="400"/>
      <c r="EI165" s="400"/>
      <c r="EJ165" s="400"/>
      <c r="EK165" s="400"/>
      <c r="EL165" s="400"/>
      <c r="EM165" s="400"/>
      <c r="EN165" s="400"/>
      <c r="EO165" s="400"/>
      <c r="EP165" s="220"/>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18"/>
      <c r="FX165" s="18"/>
      <c r="FY165" s="18"/>
      <c r="FZ165" s="18"/>
      <c r="GA165" s="18"/>
      <c r="GB165" s="18"/>
      <c r="GC165" s="18"/>
      <c r="GD165" s="18"/>
      <c r="GE165" s="18"/>
      <c r="GF165" s="18"/>
      <c r="GG165" s="18"/>
      <c r="GH165" s="18"/>
      <c r="GI165" s="18"/>
      <c r="GJ165" s="18"/>
      <c r="GK165" s="18"/>
      <c r="GL165" s="18"/>
      <c r="GM165" s="18"/>
      <c r="GN165" s="18"/>
      <c r="GO165" s="18"/>
      <c r="GP165" s="18"/>
      <c r="GQ165" s="18"/>
      <c r="GR165" s="18"/>
      <c r="GS165" s="18"/>
      <c r="GT165" s="18"/>
      <c r="GU165" s="18"/>
      <c r="GV165" s="18"/>
      <c r="GW165" s="18"/>
      <c r="GX165" s="18"/>
      <c r="GY165" s="18"/>
      <c r="GZ165" s="18"/>
      <c r="HA165" s="18"/>
      <c r="HB165" s="18"/>
      <c r="HC165" s="18"/>
      <c r="HD165" s="18"/>
      <c r="HE165" s="18"/>
      <c r="HF165" s="18"/>
      <c r="HG165" s="18"/>
      <c r="HH165" s="18"/>
      <c r="HI165" s="18"/>
      <c r="HJ165" s="18"/>
      <c r="HK165" s="18"/>
      <c r="HL165" s="18"/>
      <c r="HM165" s="18"/>
      <c r="HN165" s="18"/>
      <c r="HO165" s="18"/>
      <c r="HP165" s="18"/>
      <c r="HQ165" s="18"/>
      <c r="HR165" s="18"/>
      <c r="HS165" s="18"/>
      <c r="HT165" s="18"/>
      <c r="HU165" s="18"/>
      <c r="HV165" s="18"/>
      <c r="HW165" s="18"/>
      <c r="HX165" s="18"/>
      <c r="HY165" s="18"/>
      <c r="HZ165" s="18"/>
      <c r="IA165" s="18"/>
      <c r="IB165" s="18"/>
      <c r="IC165" s="18"/>
      <c r="ID165" s="18"/>
      <c r="IE165" s="18"/>
      <c r="IF165" s="18"/>
      <c r="IG165" s="18"/>
      <c r="IH165" s="18"/>
      <c r="II165" s="18"/>
      <c r="IJ165" s="18"/>
      <c r="IK165" s="18"/>
      <c r="IL165" s="18"/>
      <c r="IM165" s="18"/>
      <c r="IN165" s="18"/>
      <c r="IO165" s="18"/>
      <c r="IP165" s="18"/>
      <c r="IQ165" s="18"/>
      <c r="IR165" s="18"/>
      <c r="IS165" s="18"/>
      <c r="IT165" s="18"/>
      <c r="IU165" s="18"/>
      <c r="IV165" s="18"/>
      <c r="IW165" s="18"/>
      <c r="IX165" s="18"/>
      <c r="IY165" s="18"/>
      <c r="IZ165" s="18"/>
      <c r="JA165" s="18"/>
      <c r="JB165" s="18"/>
      <c r="JC165" s="18"/>
      <c r="JD165" s="18"/>
      <c r="JE165" s="18"/>
      <c r="JF165" s="18"/>
      <c r="JG165" s="18"/>
      <c r="JH165" s="18"/>
      <c r="JI165" s="18"/>
      <c r="JJ165" s="18"/>
      <c r="JK165" s="18"/>
      <c r="JL165" s="18"/>
      <c r="JM165" s="18"/>
      <c r="JN165" s="18"/>
      <c r="JO165" s="18"/>
      <c r="JP165" s="18"/>
      <c r="JQ165" s="18"/>
      <c r="JR165" s="18"/>
      <c r="JS165" s="18"/>
      <c r="JT165" s="18"/>
      <c r="JU165" s="18"/>
      <c r="JV165" s="18"/>
      <c r="JW165" s="18"/>
      <c r="JX165" s="18"/>
      <c r="JZ165" s="263"/>
      <c r="KA165" s="263"/>
      <c r="KB165" s="263"/>
      <c r="KC165" s="263"/>
      <c r="KD165" s="263"/>
      <c r="KE165" s="263"/>
      <c r="KF165" s="263"/>
      <c r="KG165" s="263"/>
      <c r="KH165" s="263"/>
      <c r="KI165" s="263"/>
      <c r="KJ165" s="263"/>
      <c r="KK165" s="263"/>
      <c r="KL165" s="263"/>
      <c r="KM165" s="263"/>
      <c r="KN165" s="263"/>
      <c r="KO165" s="263"/>
      <c r="KP165" s="263"/>
      <c r="KQ165" s="263"/>
      <c r="KR165" s="263"/>
      <c r="KS165" s="263"/>
      <c r="KT165" s="263"/>
      <c r="KU165" s="263"/>
      <c r="KV165" s="263"/>
      <c r="KW165" s="263"/>
      <c r="KX165" s="263"/>
      <c r="KY165" s="263"/>
      <c r="KZ165" s="263"/>
      <c r="LA165" s="263"/>
      <c r="LB165" s="263"/>
      <c r="LC165" s="263"/>
      <c r="LD165" s="263"/>
      <c r="LE165" s="263"/>
      <c r="LF165" s="263"/>
      <c r="LG165" s="263"/>
      <c r="LH165" s="263"/>
      <c r="LI165" s="263"/>
      <c r="LJ165" s="263"/>
      <c r="LK165" s="263"/>
      <c r="LL165" s="263"/>
      <c r="LM165" s="263"/>
      <c r="LN165" s="263"/>
      <c r="LO165" s="263"/>
      <c r="LP165" s="263"/>
      <c r="LQ165" s="263"/>
      <c r="LR165" s="263"/>
      <c r="LS165" s="263"/>
      <c r="LT165" s="263"/>
      <c r="LU165" s="263"/>
      <c r="LV165" s="263"/>
      <c r="LW165" s="263"/>
      <c r="LX165" s="263"/>
      <c r="LY165" s="263"/>
      <c r="LZ165" s="263"/>
      <c r="MA165" s="263"/>
      <c r="MB165" s="263"/>
      <c r="MC165" s="263"/>
      <c r="MD165" s="263"/>
      <c r="ME165" s="263"/>
      <c r="MF165" s="263"/>
      <c r="MG165" s="263"/>
      <c r="MH165" s="263"/>
      <c r="MI165" s="263"/>
      <c r="MJ165" s="263"/>
      <c r="MK165" s="263"/>
      <c r="ML165" s="263"/>
      <c r="MM165" s="263"/>
      <c r="MN165" s="263"/>
      <c r="MO165" s="263"/>
      <c r="MP165" s="263"/>
      <c r="MQ165" s="263"/>
      <c r="MR165" s="263"/>
      <c r="MS165" s="263"/>
      <c r="MT165" s="263"/>
      <c r="MU165" s="263"/>
      <c r="MV165" s="263"/>
      <c r="MW165" s="263"/>
      <c r="MX165" s="263"/>
      <c r="MY165" s="263"/>
      <c r="MZ165" s="263"/>
      <c r="NA165" s="263"/>
      <c r="NB165" s="263"/>
      <c r="NC165" s="263"/>
      <c r="ND165" s="263"/>
      <c r="NE165" s="263"/>
      <c r="NF165" s="263"/>
      <c r="NG165" s="263"/>
      <c r="NH165" s="263"/>
      <c r="NI165" s="263"/>
      <c r="NJ165" s="263"/>
      <c r="NK165" s="263"/>
      <c r="NL165" s="263"/>
      <c r="NM165" s="263"/>
      <c r="NN165" s="263"/>
      <c r="NO165" s="263"/>
      <c r="NP165" s="263"/>
      <c r="NQ165" s="263"/>
      <c r="NR165" s="263"/>
      <c r="NS165" s="263"/>
      <c r="NT165" s="263"/>
      <c r="NU165" s="263"/>
      <c r="NV165" s="263"/>
      <c r="NW165" s="263"/>
      <c r="NX165" s="263"/>
      <c r="NY165" s="263"/>
      <c r="NZ165" s="263"/>
      <c r="OA165" s="263"/>
      <c r="OB165" s="263"/>
      <c r="OC165" s="263"/>
      <c r="OD165" s="263"/>
      <c r="OE165" s="263"/>
      <c r="OF165" s="263"/>
      <c r="OG165" s="263"/>
      <c r="OH165" s="263"/>
      <c r="OI165" s="263"/>
      <c r="OJ165" s="263"/>
      <c r="OK165" s="263"/>
      <c r="OL165" s="263"/>
      <c r="OM165" s="263"/>
      <c r="ON165" s="263"/>
      <c r="OO165" s="263"/>
      <c r="OP165" s="263"/>
      <c r="OQ165" s="263"/>
      <c r="OR165" s="263"/>
      <c r="OS165" s="263"/>
      <c r="OT165" s="263"/>
      <c r="OU165" s="263"/>
      <c r="OV165" s="263"/>
      <c r="OW165" s="263"/>
      <c r="OX165" s="263"/>
      <c r="OY165" s="263"/>
      <c r="OZ165" s="263"/>
      <c r="PA165" s="263"/>
      <c r="PB165" s="263"/>
      <c r="PC165" s="263"/>
      <c r="PD165" s="263"/>
      <c r="PE165" s="263"/>
      <c r="PF165" s="263"/>
      <c r="PG165" s="263"/>
      <c r="PH165" s="263"/>
    </row>
    <row r="166">
      <c r="B166" s="448" t="s">
        <v>336</v>
      </c>
      <c r="C166" s="404"/>
      <c r="D166" s="404"/>
      <c r="E166" s="508"/>
      <c r="F166" s="508"/>
      <c r="G166" s="41"/>
      <c r="H166" s="449" t="n">
        <f>+I105</f>
        <v>16280000</v>
      </c>
      <c r="I166" s="420" t="n">
        <f>MAX(SUM(INDEX($L$105:$EN$105,1,Timing_Reversion_Month+1):INDEX($L$105:$EN$105,1,Timing_Reversion_Month+12)))</f>
        <v>18047499.341343746</v>
      </c>
      <c r="J166" s="399"/>
      <c r="K166" s="299" t="s">
        <v>337</v>
      </c>
      <c r="M166" s="511" t="n">
        <f>SUM(E94:E102)</f>
        <v>56700.380000000005</v>
      </c>
      <c r="N166" s="290"/>
      <c r="O166" s="511" t="n">
        <f>H179-O165-O164-O163</f>
        <v>36941921.74739582</v>
      </c>
      <c r="P166" s="511" t="n">
        <f>I179-P165-P164-P163</f>
        <v>62760240.51673429</v>
      </c>
      <c r="R166" s="294" t="n">
        <f>$I$161+1%</f>
        <v>0.075</v>
      </c>
      <c r="S166" s="93">
        <f t="shared" si="863"/>
        <v>7.700819672131147E-2</v>
      </c>
      <c r="T166" s="294" t="n">
        <f>$I$162+1%</f>
        <v>0.0775</v>
      </c>
      <c r="V166" s="421">
        <f t="shared" si="864"/>
        <v>479714151.48294735</v>
      </c>
      <c r="W166" s="421">
        <f t="shared" si="865"/>
        <v>809809555.054636</v>
      </c>
      <c r="X166" s="400"/>
      <c r="Y166" s="400"/>
      <c r="Z166" s="400"/>
      <c r="AA166" s="400"/>
      <c r="AB166" s="400"/>
      <c r="AC166" s="400"/>
      <c r="AD166" s="400"/>
      <c r="AE166" s="400"/>
      <c r="AF166" s="400"/>
      <c r="AG166" s="400"/>
      <c r="AH166" s="400"/>
      <c r="AI166" s="400"/>
      <c r="AJ166" s="400"/>
      <c r="AK166" s="400"/>
      <c r="AL166" s="400"/>
      <c r="AM166" s="400"/>
      <c r="AN166" s="400"/>
      <c r="AO166" s="400"/>
      <c r="AP166" s="400"/>
      <c r="AQ166" s="400"/>
      <c r="AR166" s="400"/>
      <c r="AS166" s="400"/>
      <c r="AT166" s="400"/>
      <c r="AU166" s="400"/>
      <c r="AV166" s="400"/>
      <c r="AW166" s="400"/>
      <c r="AX166" s="400"/>
      <c r="AY166" s="400"/>
      <c r="AZ166" s="400"/>
      <c r="BA166" s="400"/>
      <c r="BB166" s="400"/>
      <c r="BC166" s="400"/>
      <c r="BD166" s="400"/>
      <c r="BE166" s="400"/>
      <c r="BF166" s="400"/>
      <c r="BG166" s="400"/>
      <c r="BH166" s="400"/>
      <c r="BI166" s="400"/>
      <c r="BJ166" s="400"/>
      <c r="BK166" s="400"/>
      <c r="BL166" s="400"/>
      <c r="BM166" s="400"/>
      <c r="BN166" s="400"/>
      <c r="BO166" s="400"/>
      <c r="BP166" s="400"/>
      <c r="BQ166" s="400"/>
      <c r="BR166" s="400"/>
      <c r="BS166" s="400"/>
      <c r="BT166" s="400"/>
      <c r="BU166" s="400"/>
      <c r="BV166" s="400"/>
      <c r="BW166" s="400"/>
      <c r="BX166" s="400"/>
      <c r="BY166" s="400"/>
      <c r="BZ166" s="400"/>
      <c r="CA166" s="400"/>
      <c r="CB166" s="400"/>
      <c r="CC166" s="400"/>
      <c r="CD166" s="400"/>
      <c r="CE166" s="400"/>
      <c r="CF166" s="400"/>
      <c r="CG166" s="400"/>
      <c r="CH166" s="400"/>
      <c r="CI166" s="400"/>
      <c r="CJ166" s="400"/>
      <c r="CK166" s="400"/>
      <c r="CL166" s="400"/>
      <c r="CM166" s="400"/>
      <c r="CN166" s="400"/>
      <c r="CO166" s="400"/>
      <c r="CP166" s="400"/>
      <c r="CQ166" s="400"/>
      <c r="CR166" s="400"/>
      <c r="CS166" s="400"/>
      <c r="CT166" s="400"/>
      <c r="CU166" s="400"/>
      <c r="CV166" s="400"/>
      <c r="CW166" s="400"/>
      <c r="CX166" s="400"/>
      <c r="CY166" s="400"/>
      <c r="CZ166" s="400"/>
      <c r="DA166" s="400"/>
      <c r="DB166" s="400"/>
      <c r="DC166" s="400"/>
      <c r="DD166" s="400"/>
      <c r="DE166" s="400"/>
      <c r="DF166" s="400"/>
      <c r="DG166" s="400"/>
      <c r="DH166" s="400"/>
      <c r="DI166" s="400"/>
      <c r="DJ166" s="400"/>
      <c r="DK166" s="400"/>
      <c r="DL166" s="400"/>
      <c r="DM166" s="400"/>
      <c r="DN166" s="400"/>
      <c r="DO166" s="400"/>
      <c r="DP166" s="400"/>
      <c r="DQ166" s="400"/>
      <c r="DR166" s="400"/>
      <c r="DS166" s="400"/>
      <c r="DT166" s="400"/>
      <c r="DU166" s="400"/>
      <c r="DV166" s="400"/>
      <c r="DW166" s="400"/>
      <c r="DX166" s="400"/>
      <c r="DY166" s="400"/>
      <c r="DZ166" s="400"/>
      <c r="EA166" s="400"/>
      <c r="EB166" s="400"/>
      <c r="EC166" s="400"/>
      <c r="ED166" s="400"/>
      <c r="EE166" s="400"/>
      <c r="EF166" s="400"/>
      <c r="EG166" s="400"/>
      <c r="EH166" s="400"/>
      <c r="EI166" s="400"/>
      <c r="EJ166" s="400"/>
      <c r="EK166" s="400"/>
      <c r="EL166" s="400"/>
      <c r="EM166" s="400"/>
      <c r="EN166" s="400"/>
      <c r="EO166" s="400"/>
      <c r="EP166" s="220"/>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18"/>
      <c r="FX166" s="18"/>
      <c r="FY166" s="18"/>
      <c r="FZ166" s="18"/>
      <c r="GA166" s="18"/>
      <c r="GB166" s="18"/>
      <c r="GC166" s="18"/>
      <c r="GD166" s="18"/>
      <c r="GE166" s="18"/>
      <c r="GF166" s="18"/>
      <c r="GG166" s="18"/>
      <c r="GH166" s="18"/>
      <c r="GI166" s="18"/>
      <c r="GJ166" s="18"/>
      <c r="GK166" s="18"/>
      <c r="GL166" s="18"/>
      <c r="GM166" s="18"/>
      <c r="GN166" s="18"/>
      <c r="GO166" s="18"/>
      <c r="GP166" s="18"/>
      <c r="GQ166" s="18"/>
      <c r="GR166" s="18"/>
      <c r="GS166" s="18"/>
      <c r="GT166" s="18"/>
      <c r="GU166" s="18"/>
      <c r="GV166" s="18"/>
      <c r="GW166" s="18"/>
      <c r="GX166" s="18"/>
      <c r="GY166" s="18"/>
      <c r="GZ166" s="18"/>
      <c r="HA166" s="18"/>
      <c r="HB166" s="18"/>
      <c r="HC166" s="18"/>
      <c r="HD166" s="18"/>
      <c r="HE166" s="18"/>
      <c r="HF166" s="18"/>
      <c r="HG166" s="18"/>
      <c r="HH166" s="18"/>
      <c r="HI166" s="18"/>
      <c r="HJ166" s="18"/>
      <c r="HK166" s="18"/>
      <c r="HL166" s="18"/>
      <c r="HM166" s="18"/>
      <c r="HN166" s="18"/>
      <c r="HO166" s="18"/>
      <c r="HP166" s="18"/>
      <c r="HQ166" s="18"/>
      <c r="HR166" s="18"/>
      <c r="HS166" s="18"/>
      <c r="HT166" s="18"/>
      <c r="HU166" s="18"/>
      <c r="HV166" s="18"/>
      <c r="HW166" s="18"/>
      <c r="HX166" s="18"/>
      <c r="HY166" s="18"/>
      <c r="HZ166" s="18"/>
      <c r="IA166" s="18"/>
      <c r="IB166" s="18"/>
      <c r="IC166" s="18"/>
      <c r="ID166" s="18"/>
      <c r="IE166" s="18"/>
      <c r="IF166" s="18"/>
      <c r="IG166" s="18"/>
      <c r="IH166" s="18"/>
      <c r="II166" s="18"/>
      <c r="IJ166" s="18"/>
      <c r="IK166" s="18"/>
      <c r="IL166" s="18"/>
      <c r="IM166" s="18"/>
      <c r="IN166" s="18"/>
      <c r="IO166" s="18"/>
      <c r="IP166" s="18"/>
      <c r="IQ166" s="18"/>
      <c r="IR166" s="18"/>
      <c r="IS166" s="18"/>
      <c r="IT166" s="18"/>
      <c r="IU166" s="18"/>
      <c r="IV166" s="18"/>
      <c r="IW166" s="18"/>
      <c r="IX166" s="18"/>
      <c r="IY166" s="18"/>
      <c r="IZ166" s="18"/>
      <c r="JA166" s="18"/>
      <c r="JB166" s="18"/>
      <c r="JC166" s="18"/>
      <c r="JD166" s="18"/>
      <c r="JE166" s="18"/>
      <c r="JF166" s="18"/>
      <c r="JG166" s="18"/>
      <c r="JH166" s="18"/>
      <c r="JI166" s="18"/>
      <c r="JJ166" s="18"/>
      <c r="JK166" s="18"/>
      <c r="JL166" s="18"/>
      <c r="JM166" s="18"/>
      <c r="JN166" s="18"/>
      <c r="JO166" s="18"/>
      <c r="JP166" s="18"/>
      <c r="JQ166" s="18"/>
      <c r="JR166" s="18"/>
      <c r="JS166" s="18"/>
      <c r="JT166" s="18"/>
      <c r="JU166" s="18"/>
      <c r="JV166" s="18"/>
      <c r="JW166" s="18"/>
      <c r="JX166" s="18"/>
      <c r="JZ166" s="263"/>
      <c r="KA166" s="263"/>
      <c r="KB166" s="263"/>
      <c r="KC166" s="263"/>
      <c r="KD166" s="263"/>
      <c r="KE166" s="263"/>
      <c r="KF166" s="263"/>
      <c r="KG166" s="263"/>
      <c r="KH166" s="263"/>
      <c r="KI166" s="263"/>
      <c r="KJ166" s="263"/>
      <c r="KK166" s="263"/>
      <c r="KL166" s="263"/>
      <c r="KM166" s="263"/>
      <c r="KN166" s="263"/>
      <c r="KO166" s="263"/>
      <c r="KP166" s="263"/>
      <c r="KQ166" s="263"/>
      <c r="KR166" s="263"/>
      <c r="KS166" s="263"/>
      <c r="KT166" s="263"/>
      <c r="KU166" s="263"/>
      <c r="KV166" s="263"/>
      <c r="KW166" s="263"/>
      <c r="KX166" s="263"/>
      <c r="KY166" s="263"/>
      <c r="KZ166" s="263"/>
      <c r="LA166" s="263"/>
      <c r="LB166" s="263"/>
      <c r="LC166" s="263"/>
      <c r="LD166" s="263"/>
      <c r="LE166" s="263"/>
      <c r="LF166" s="263"/>
      <c r="LG166" s="263"/>
      <c r="LH166" s="263"/>
      <c r="LI166" s="263"/>
      <c r="LJ166" s="263"/>
      <c r="LK166" s="263"/>
      <c r="LL166" s="263"/>
      <c r="LM166" s="263"/>
      <c r="LN166" s="263"/>
      <c r="LO166" s="263"/>
      <c r="LP166" s="263"/>
      <c r="LQ166" s="263"/>
      <c r="LR166" s="263"/>
      <c r="LS166" s="263"/>
      <c r="LT166" s="263"/>
      <c r="LU166" s="263"/>
      <c r="LV166" s="263"/>
      <c r="LW166" s="263"/>
      <c r="LX166" s="263"/>
      <c r="LY166" s="263"/>
      <c r="LZ166" s="263"/>
      <c r="MA166" s="263"/>
      <c r="MB166" s="263"/>
      <c r="MC166" s="263"/>
      <c r="MD166" s="263"/>
      <c r="ME166" s="263"/>
      <c r="MF166" s="263"/>
      <c r="MG166" s="263"/>
      <c r="MH166" s="263"/>
      <c r="MI166" s="263"/>
      <c r="MJ166" s="263"/>
      <c r="MK166" s="263"/>
      <c r="ML166" s="263"/>
      <c r="MM166" s="263"/>
      <c r="MN166" s="263"/>
      <c r="MO166" s="263"/>
      <c r="MP166" s="263"/>
      <c r="MQ166" s="263"/>
      <c r="MR166" s="263"/>
      <c r="MS166" s="263"/>
      <c r="MT166" s="263"/>
      <c r="MU166" s="263"/>
      <c r="MV166" s="263"/>
      <c r="MW166" s="263"/>
      <c r="MX166" s="263"/>
      <c r="MY166" s="263"/>
      <c r="MZ166" s="263"/>
      <c r="NA166" s="263"/>
      <c r="NB166" s="263"/>
      <c r="NC166" s="263"/>
      <c r="ND166" s="263"/>
      <c r="NE166" s="263"/>
      <c r="NF166" s="263"/>
      <c r="NG166" s="263"/>
      <c r="NH166" s="263"/>
      <c r="NI166" s="263"/>
      <c r="NJ166" s="263"/>
      <c r="NK166" s="263"/>
      <c r="NL166" s="263"/>
      <c r="NM166" s="263"/>
      <c r="NN166" s="263"/>
      <c r="NO166" s="263"/>
      <c r="NP166" s="263"/>
      <c r="NQ166" s="263"/>
      <c r="NR166" s="263"/>
      <c r="NS166" s="263"/>
      <c r="NT166" s="263"/>
      <c r="NU166" s="263"/>
      <c r="NV166" s="263"/>
      <c r="NW166" s="263"/>
      <c r="NX166" s="263"/>
      <c r="NY166" s="263"/>
      <c r="NZ166" s="263"/>
      <c r="OA166" s="263"/>
      <c r="OB166" s="263"/>
      <c r="OC166" s="263"/>
      <c r="OD166" s="263"/>
      <c r="OE166" s="263"/>
      <c r="OF166" s="263"/>
      <c r="OG166" s="263"/>
      <c r="OH166" s="263"/>
      <c r="OI166" s="263"/>
      <c r="OJ166" s="263"/>
      <c r="OK166" s="263"/>
      <c r="OL166" s="263"/>
      <c r="OM166" s="263"/>
      <c r="ON166" s="263"/>
      <c r="OO166" s="263"/>
      <c r="OP166" s="263"/>
      <c r="OQ166" s="263"/>
      <c r="OR166" s="263"/>
      <c r="OS166" s="263"/>
      <c r="OT166" s="263"/>
      <c r="OU166" s="263"/>
      <c r="OV166" s="263"/>
      <c r="OW166" s="263"/>
      <c r="OX166" s="263"/>
      <c r="OY166" s="263"/>
      <c r="OZ166" s="263"/>
      <c r="PA166" s="263"/>
      <c r="PB166" s="263"/>
      <c r="PC166" s="263"/>
      <c r="PD166" s="263"/>
      <c r="PE166" s="263"/>
      <c r="PF166" s="263"/>
      <c r="PG166" s="263"/>
      <c r="PH166" s="263"/>
    </row>
    <row r="167">
      <c r="B167" s="448" t="s">
        <v>338</v>
      </c>
      <c r="C167" s="404"/>
      <c r="D167" s="404"/>
      <c r="E167" s="508"/>
      <c r="F167" s="508"/>
      <c r="G167" s="41"/>
      <c r="H167" s="449" t="n">
        <f>+I120</f>
        <v>3288278.620890004</v>
      </c>
      <c r="I167" s="420" t="n">
        <f>MAX(SUM(INDEX($L$120:$EN$120,1,Timing_Reversion_Month+1):INDEX($L$120:$EN$120,1,Timing_Reversion_Month+12)))</f>
        <v>3459910.232611992</v>
      </c>
      <c r="J167" s="399"/>
      <c r="K167" s="299"/>
      <c r="M167" s="290"/>
      <c r="N167" s="290"/>
      <c r="O167" s="290"/>
      <c r="P167" s="290"/>
      <c r="R167" s="294"/>
      <c r="S167" s="93"/>
      <c r="T167" s="294"/>
      <c r="V167" s="76"/>
      <c r="W167" s="76"/>
      <c r="X167" s="400"/>
      <c r="Y167" s="400"/>
      <c r="Z167" s="400"/>
      <c r="AA167" s="400"/>
      <c r="AB167" s="400"/>
      <c r="AC167" s="400"/>
      <c r="AD167" s="400"/>
      <c r="AE167" s="400"/>
      <c r="AF167" s="400"/>
      <c r="AG167" s="400"/>
      <c r="AH167" s="400"/>
      <c r="AI167" s="400"/>
      <c r="AJ167" s="400"/>
      <c r="AK167" s="400"/>
      <c r="AL167" s="400"/>
      <c r="AM167" s="400"/>
      <c r="AN167" s="400"/>
      <c r="AO167" s="400"/>
      <c r="AP167" s="400"/>
      <c r="AQ167" s="400"/>
      <c r="AR167" s="400"/>
      <c r="AS167" s="400"/>
      <c r="AT167" s="400"/>
      <c r="AU167" s="400"/>
      <c r="AV167" s="400"/>
      <c r="AW167" s="400"/>
      <c r="AX167" s="400"/>
      <c r="AY167" s="400"/>
      <c r="AZ167" s="400"/>
      <c r="BA167" s="400"/>
      <c r="BB167" s="400"/>
      <c r="BC167" s="400"/>
      <c r="BD167" s="400"/>
      <c r="BE167" s="400"/>
      <c r="BF167" s="400"/>
      <c r="BG167" s="400"/>
      <c r="BH167" s="400"/>
      <c r="BI167" s="400"/>
      <c r="BJ167" s="400"/>
      <c r="BK167" s="400"/>
      <c r="BL167" s="400"/>
      <c r="BM167" s="400"/>
      <c r="BN167" s="400"/>
      <c r="BO167" s="400"/>
      <c r="BP167" s="400"/>
      <c r="BQ167" s="400"/>
      <c r="BR167" s="400"/>
      <c r="BS167" s="400"/>
      <c r="BT167" s="400"/>
      <c r="BU167" s="400"/>
      <c r="BV167" s="400"/>
      <c r="BW167" s="400"/>
      <c r="BX167" s="400"/>
      <c r="BY167" s="400"/>
      <c r="BZ167" s="400"/>
      <c r="CA167" s="400"/>
      <c r="CB167" s="400"/>
      <c r="CC167" s="400"/>
      <c r="CD167" s="400"/>
      <c r="CE167" s="400"/>
      <c r="CF167" s="400"/>
      <c r="CG167" s="400"/>
      <c r="CH167" s="400"/>
      <c r="CI167" s="400"/>
      <c r="CJ167" s="400"/>
      <c r="CK167" s="400"/>
      <c r="CL167" s="400"/>
      <c r="CM167" s="400"/>
      <c r="CN167" s="400"/>
      <c r="CO167" s="400"/>
      <c r="CP167" s="400"/>
      <c r="CQ167" s="400"/>
      <c r="CR167" s="400"/>
      <c r="CS167" s="400"/>
      <c r="CT167" s="400"/>
      <c r="CU167" s="400"/>
      <c r="CV167" s="400"/>
      <c r="CW167" s="400"/>
      <c r="CX167" s="400"/>
      <c r="CY167" s="400"/>
      <c r="CZ167" s="400"/>
      <c r="DA167" s="400"/>
      <c r="DB167" s="400"/>
      <c r="DC167" s="400"/>
      <c r="DD167" s="400"/>
      <c r="DE167" s="400"/>
      <c r="DF167" s="400"/>
      <c r="DG167" s="400"/>
      <c r="DH167" s="400"/>
      <c r="DI167" s="400"/>
      <c r="DJ167" s="400"/>
      <c r="DK167" s="400"/>
      <c r="DL167" s="400"/>
      <c r="DM167" s="400"/>
      <c r="DN167" s="400"/>
      <c r="DO167" s="400"/>
      <c r="DP167" s="400"/>
      <c r="DQ167" s="400"/>
      <c r="DR167" s="400"/>
      <c r="DS167" s="400"/>
      <c r="DT167" s="400"/>
      <c r="DU167" s="400"/>
      <c r="DV167" s="400"/>
      <c r="DW167" s="400"/>
      <c r="DX167" s="400"/>
      <c r="DY167" s="400"/>
      <c r="DZ167" s="400"/>
      <c r="EA167" s="400"/>
      <c r="EB167" s="400"/>
      <c r="EC167" s="400"/>
      <c r="ED167" s="400"/>
      <c r="EE167" s="400"/>
      <c r="EF167" s="400"/>
      <c r="EG167" s="400"/>
      <c r="EH167" s="400"/>
      <c r="EI167" s="400"/>
      <c r="EJ167" s="400"/>
      <c r="EK167" s="400"/>
      <c r="EL167" s="400"/>
      <c r="EM167" s="400"/>
      <c r="EN167" s="400"/>
      <c r="EO167" s="400"/>
      <c r="EP167" s="220"/>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18"/>
      <c r="FX167" s="18"/>
      <c r="FY167" s="18"/>
      <c r="FZ167" s="18"/>
      <c r="GA167" s="18"/>
      <c r="GB167" s="18"/>
      <c r="GC167" s="18"/>
      <c r="GD167" s="18"/>
      <c r="GE167" s="18"/>
      <c r="GF167" s="18"/>
      <c r="GG167" s="18"/>
      <c r="GH167" s="18"/>
      <c r="GI167" s="18"/>
      <c r="GJ167" s="18"/>
      <c r="GK167" s="18"/>
      <c r="GL167" s="18"/>
      <c r="GM167" s="18"/>
      <c r="GN167" s="18"/>
      <c r="GO167" s="18"/>
      <c r="GP167" s="18"/>
      <c r="GQ167" s="18"/>
      <c r="GR167" s="18"/>
      <c r="GS167" s="18"/>
      <c r="GT167" s="18"/>
      <c r="GU167" s="18"/>
      <c r="GV167" s="18"/>
      <c r="GW167" s="18"/>
      <c r="GX167" s="18"/>
      <c r="GY167" s="18"/>
      <c r="GZ167" s="18"/>
      <c r="HA167" s="18"/>
      <c r="HB167" s="18"/>
      <c r="HC167" s="18"/>
      <c r="HD167" s="18"/>
      <c r="HE167" s="18"/>
      <c r="HF167" s="18"/>
      <c r="HG167" s="18"/>
      <c r="HH167" s="18"/>
      <c r="HI167" s="18"/>
      <c r="HJ167" s="18"/>
      <c r="HK167" s="18"/>
      <c r="HL167" s="18"/>
      <c r="HM167" s="18"/>
      <c r="HN167" s="18"/>
      <c r="HO167" s="18"/>
      <c r="HP167" s="18"/>
      <c r="HQ167" s="18"/>
      <c r="HR167" s="18"/>
      <c r="HS167" s="18"/>
      <c r="HT167" s="18"/>
      <c r="HU167" s="18"/>
      <c r="HV167" s="18"/>
      <c r="HW167" s="18"/>
      <c r="HX167" s="18"/>
      <c r="HY167" s="18"/>
      <c r="HZ167" s="18"/>
      <c r="IA167" s="18"/>
      <c r="IB167" s="18"/>
      <c r="IC167" s="18"/>
      <c r="ID167" s="18"/>
      <c r="IE167" s="18"/>
      <c r="IF167" s="18"/>
      <c r="IG167" s="18"/>
      <c r="IH167" s="18"/>
      <c r="II167" s="18"/>
      <c r="IJ167" s="18"/>
      <c r="IK167" s="18"/>
      <c r="IL167" s="18"/>
      <c r="IM167" s="18"/>
      <c r="IN167" s="18"/>
      <c r="IO167" s="18"/>
      <c r="IP167" s="18"/>
      <c r="IQ167" s="18"/>
      <c r="IR167" s="18"/>
      <c r="IS167" s="18"/>
      <c r="IT167" s="18"/>
      <c r="IU167" s="18"/>
      <c r="IV167" s="18"/>
      <c r="IW167" s="18"/>
      <c r="IX167" s="18"/>
      <c r="IY167" s="18"/>
      <c r="IZ167" s="18"/>
      <c r="JA167" s="18"/>
      <c r="JB167" s="18"/>
      <c r="JC167" s="18"/>
      <c r="JD167" s="18"/>
      <c r="JE167" s="18"/>
      <c r="JF167" s="18"/>
      <c r="JG167" s="18"/>
      <c r="JH167" s="18"/>
      <c r="JI167" s="18"/>
      <c r="JJ167" s="18"/>
      <c r="JK167" s="18"/>
      <c r="JL167" s="18"/>
      <c r="JM167" s="18"/>
      <c r="JN167" s="18"/>
      <c r="JO167" s="18"/>
      <c r="JP167" s="18"/>
      <c r="JQ167" s="18"/>
      <c r="JR167" s="18"/>
      <c r="JS167" s="18"/>
      <c r="JT167" s="18"/>
      <c r="JU167" s="18"/>
      <c r="JV167" s="18"/>
      <c r="JW167" s="18"/>
      <c r="JX167" s="18"/>
      <c r="JZ167" s="263"/>
      <c r="KA167" s="263"/>
      <c r="KB167" s="263"/>
      <c r="KC167" s="263"/>
      <c r="KD167" s="263"/>
      <c r="KE167" s="263"/>
      <c r="KF167" s="263"/>
      <c r="KG167" s="263"/>
      <c r="KH167" s="263"/>
      <c r="KI167" s="263"/>
      <c r="KJ167" s="263"/>
      <c r="KK167" s="263"/>
      <c r="KL167" s="263"/>
      <c r="KM167" s="263"/>
      <c r="KN167" s="263"/>
      <c r="KO167" s="263"/>
      <c r="KP167" s="263"/>
      <c r="KQ167" s="263"/>
      <c r="KR167" s="263"/>
      <c r="KS167" s="263"/>
      <c r="KT167" s="263"/>
      <c r="KU167" s="263"/>
      <c r="KV167" s="263"/>
      <c r="KW167" s="263"/>
      <c r="KX167" s="263"/>
      <c r="KY167" s="263"/>
      <c r="KZ167" s="263"/>
      <c r="LA167" s="263"/>
      <c r="LB167" s="263"/>
      <c r="LC167" s="263"/>
      <c r="LD167" s="263"/>
      <c r="LE167" s="263"/>
      <c r="LF167" s="263"/>
      <c r="LG167" s="263"/>
      <c r="LH167" s="263"/>
      <c r="LI167" s="263"/>
      <c r="LJ167" s="263"/>
      <c r="LK167" s="263"/>
      <c r="LL167" s="263"/>
      <c r="LM167" s="263"/>
      <c r="LN167" s="263"/>
      <c r="LO167" s="263"/>
      <c r="LP167" s="263"/>
      <c r="LQ167" s="263"/>
      <c r="LR167" s="263"/>
      <c r="LS167" s="263"/>
      <c r="LT167" s="263"/>
      <c r="LU167" s="263"/>
      <c r="LV167" s="263"/>
      <c r="LW167" s="263"/>
      <c r="LX167" s="263"/>
      <c r="LY167" s="263"/>
      <c r="LZ167" s="263"/>
      <c r="MA167" s="263"/>
      <c r="MB167" s="263"/>
      <c r="MC167" s="263"/>
      <c r="MD167" s="263"/>
      <c r="ME167" s="263"/>
      <c r="MF167" s="263"/>
      <c r="MG167" s="263"/>
      <c r="MH167" s="263"/>
      <c r="MI167" s="263"/>
      <c r="MJ167" s="263"/>
      <c r="MK167" s="263"/>
      <c r="ML167" s="263"/>
      <c r="MM167" s="263"/>
      <c r="MN167" s="263"/>
      <c r="MO167" s="263"/>
      <c r="MP167" s="263"/>
      <c r="MQ167" s="263"/>
      <c r="MR167" s="263"/>
      <c r="MS167" s="263"/>
      <c r="MT167" s="263"/>
      <c r="MU167" s="263"/>
      <c r="MV167" s="263"/>
      <c r="MW167" s="263"/>
      <c r="MX167" s="263"/>
      <c r="MY167" s="263"/>
      <c r="MZ167" s="263"/>
      <c r="NA167" s="263"/>
      <c r="NB167" s="263"/>
      <c r="NC167" s="263"/>
      <c r="ND167" s="263"/>
      <c r="NE167" s="263"/>
      <c r="NF167" s="263"/>
      <c r="NG167" s="263"/>
      <c r="NH167" s="263"/>
      <c r="NI167" s="263"/>
      <c r="NJ167" s="263"/>
      <c r="NK167" s="263"/>
      <c r="NL167" s="263"/>
      <c r="NM167" s="263"/>
      <c r="NN167" s="263"/>
      <c r="NO167" s="263"/>
      <c r="NP167" s="263"/>
      <c r="NQ167" s="263"/>
      <c r="NR167" s="263"/>
      <c r="NS167" s="263"/>
      <c r="NT167" s="263"/>
      <c r="NU167" s="263"/>
      <c r="NV167" s="263"/>
      <c r="NW167" s="263"/>
      <c r="NX167" s="263"/>
      <c r="NY167" s="263"/>
      <c r="NZ167" s="263"/>
      <c r="OA167" s="263"/>
      <c r="OB167" s="263"/>
      <c r="OC167" s="263"/>
      <c r="OD167" s="263"/>
      <c r="OE167" s="263"/>
      <c r="OF167" s="263"/>
      <c r="OG167" s="263"/>
      <c r="OH167" s="263"/>
      <c r="OI167" s="263"/>
      <c r="OJ167" s="263"/>
      <c r="OK167" s="263"/>
      <c r="OL167" s="263"/>
      <c r="OM167" s="263"/>
      <c r="ON167" s="263"/>
      <c r="OO167" s="263"/>
      <c r="OP167" s="263"/>
      <c r="OQ167" s="263"/>
      <c r="OR167" s="263"/>
      <c r="OS167" s="263"/>
      <c r="OT167" s="263"/>
      <c r="OU167" s="263"/>
      <c r="OV167" s="263"/>
      <c r="OW167" s="263"/>
      <c r="OX167" s="263"/>
      <c r="OY167" s="263"/>
      <c r="OZ167" s="263"/>
      <c r="PA167" s="263"/>
      <c r="PB167" s="263"/>
      <c r="PC167" s="263"/>
      <c r="PD167" s="263"/>
      <c r="PE167" s="263"/>
      <c r="PF167" s="263"/>
      <c r="PG167" s="263"/>
      <c r="PH167" s="263"/>
    </row>
    <row r="168">
      <c r="B168" s="448" t="s">
        <v>339</v>
      </c>
      <c r="C168" s="404"/>
      <c r="D168" s="404"/>
      <c r="E168" s="508"/>
      <c r="F168" s="508"/>
      <c r="G168" s="41"/>
      <c r="H168" s="478" t="n">
        <f>+I126</f>
        <v>29261921.747395825</v>
      </c>
      <c r="I168" s="513" t="n">
        <f>MAX(SUM(INDEX($L$126:$EN$126,1,Timing_Reversion_Month+1):INDEX($L$126:$EN$126,1,Timing_Reversion_Month+12)))</f>
        <v>53312741.17539056</v>
      </c>
      <c r="J168" s="399"/>
      <c r="K168" s="514" t="s">
        <v>340</v>
      </c>
      <c r="M168" s="511">
        <v>0</v>
      </c>
      <c r="N168" s="290"/>
      <c r="O168" s="511">
        <v>0</v>
      </c>
      <c r="P168" s="511">
        <v>0</v>
      </c>
      <c r="R168" s="294">
        <f t="shared" si="866"/>
        <v>6.5000000000000002E-2</v>
      </c>
      <c r="S168" s="93">
        <f t="shared" si="863"/>
        <v>6.7008196721311475E-2</v>
      </c>
      <c r="T168" s="294">
        <f t="shared" si="867"/>
        <v>6.7500000000000004E-2</v>
      </c>
      <c r="V168" s="421">
        <f t="shared" si="864"/>
        <v>0</v>
      </c>
      <c r="W168" s="421">
        <f t="shared" si="865"/>
        <v>0</v>
      </c>
      <c r="X168" s="400"/>
      <c r="Y168" s="400"/>
      <c r="Z168" s="400"/>
      <c r="AA168" s="400"/>
      <c r="AB168" s="400"/>
      <c r="AC168" s="400"/>
      <c r="AD168" s="400"/>
      <c r="AE168" s="400"/>
      <c r="AF168" s="400"/>
      <c r="AG168" s="400"/>
      <c r="AH168" s="400"/>
      <c r="AI168" s="400"/>
      <c r="AJ168" s="400"/>
      <c r="AK168" s="400"/>
      <c r="AL168" s="400"/>
      <c r="AM168" s="400"/>
      <c r="AN168" s="400"/>
      <c r="AO168" s="400"/>
      <c r="AP168" s="400"/>
      <c r="AQ168" s="400"/>
      <c r="AR168" s="400"/>
      <c r="AS168" s="400"/>
      <c r="AT168" s="400"/>
      <c r="AU168" s="400"/>
      <c r="AV168" s="400"/>
      <c r="AW168" s="400"/>
      <c r="AX168" s="400"/>
      <c r="AY168" s="400"/>
      <c r="AZ168" s="400"/>
      <c r="BA168" s="400"/>
      <c r="BB168" s="400"/>
      <c r="BC168" s="400"/>
      <c r="BD168" s="400"/>
      <c r="BE168" s="400"/>
      <c r="BF168" s="400"/>
      <c r="BG168" s="400"/>
      <c r="BH168" s="400"/>
      <c r="BI168" s="400"/>
      <c r="BJ168" s="400"/>
      <c r="BK168" s="400"/>
      <c r="BL168" s="400"/>
      <c r="BM168" s="400"/>
      <c r="BN168" s="400"/>
      <c r="BO168" s="400"/>
      <c r="BP168" s="400"/>
      <c r="BQ168" s="400"/>
      <c r="BR168" s="400"/>
      <c r="BS168" s="400"/>
      <c r="BT168" s="400"/>
      <c r="BU168" s="400"/>
      <c r="BV168" s="400"/>
      <c r="BW168" s="400"/>
      <c r="BX168" s="400"/>
      <c r="BY168" s="400"/>
      <c r="BZ168" s="400"/>
      <c r="CA168" s="400"/>
      <c r="CB168" s="400"/>
      <c r="CC168" s="400"/>
      <c r="CD168" s="400"/>
      <c r="CE168" s="400"/>
      <c r="CF168" s="400"/>
      <c r="CG168" s="400"/>
      <c r="CH168" s="400"/>
      <c r="CI168" s="400"/>
      <c r="CJ168" s="400"/>
      <c r="CK168" s="400"/>
      <c r="CL168" s="400"/>
      <c r="CM168" s="400"/>
      <c r="CN168" s="400"/>
      <c r="CO168" s="400"/>
      <c r="CP168" s="400"/>
      <c r="CQ168" s="400"/>
      <c r="CR168" s="400"/>
      <c r="CS168" s="400"/>
      <c r="CT168" s="400"/>
      <c r="CU168" s="400"/>
      <c r="CV168" s="400"/>
      <c r="CW168" s="400"/>
      <c r="CX168" s="400"/>
      <c r="CY168" s="400"/>
      <c r="CZ168" s="400"/>
      <c r="DA168" s="400"/>
      <c r="DB168" s="400"/>
      <c r="DC168" s="400"/>
      <c r="DD168" s="400"/>
      <c r="DE168" s="400"/>
      <c r="DF168" s="400"/>
      <c r="DG168" s="400"/>
      <c r="DH168" s="400"/>
      <c r="DI168" s="400"/>
      <c r="DJ168" s="400"/>
      <c r="DK168" s="400"/>
      <c r="DL168" s="400"/>
      <c r="DM168" s="400"/>
      <c r="DN168" s="400"/>
      <c r="DO168" s="400"/>
      <c r="DP168" s="400"/>
      <c r="DQ168" s="400"/>
      <c r="DR168" s="400"/>
      <c r="DS168" s="400"/>
      <c r="DT168" s="400"/>
      <c r="DU168" s="400"/>
      <c r="DV168" s="400"/>
      <c r="DW168" s="400"/>
      <c r="DX168" s="400"/>
      <c r="DY168" s="400"/>
      <c r="DZ168" s="400"/>
      <c r="EA168" s="400"/>
      <c r="EB168" s="400"/>
      <c r="EC168" s="400"/>
      <c r="ED168" s="400"/>
      <c r="EE168" s="400"/>
      <c r="EF168" s="400"/>
      <c r="EG168" s="400"/>
      <c r="EH168" s="400"/>
      <c r="EI168" s="400"/>
      <c r="EJ168" s="400"/>
      <c r="EK168" s="400"/>
      <c r="EL168" s="400"/>
      <c r="EM168" s="400"/>
      <c r="EN168" s="400"/>
      <c r="EO168" s="400"/>
      <c r="EP168" s="220"/>
      <c r="EQ168" s="18"/>
      <c r="ER168" s="18"/>
      <c r="ES168" s="18"/>
      <c r="ET168" s="18"/>
      <c r="EU168" s="18"/>
      <c r="EV168" s="18"/>
      <c r="EW168" s="18"/>
      <c r="EX168" s="18"/>
      <c r="EY168" s="18"/>
      <c r="EZ168" s="18"/>
      <c r="FA168" s="18"/>
      <c r="FB168" s="18"/>
      <c r="FC168" s="18"/>
      <c r="FD168" s="18"/>
      <c r="FE168" s="18"/>
      <c r="FF168" s="18"/>
      <c r="FG168" s="18"/>
      <c r="FH168" s="18"/>
      <c r="FI168" s="18"/>
      <c r="FJ168" s="18"/>
      <c r="FK168" s="18"/>
      <c r="FL168" s="18"/>
      <c r="FM168" s="18"/>
      <c r="FN168" s="18"/>
      <c r="FO168" s="18"/>
      <c r="FP168" s="18"/>
      <c r="FQ168" s="18"/>
      <c r="FR168" s="18"/>
      <c r="FS168" s="18"/>
      <c r="FT168" s="18"/>
      <c r="FU168" s="18"/>
      <c r="FV168" s="18"/>
      <c r="FW168" s="18"/>
      <c r="FX168" s="18"/>
      <c r="FY168" s="18"/>
      <c r="FZ168" s="18"/>
      <c r="GA168" s="18"/>
      <c r="GB168" s="18"/>
      <c r="GC168" s="18"/>
      <c r="GD168" s="18"/>
      <c r="GE168" s="18"/>
      <c r="GF168" s="18"/>
      <c r="GG168" s="18"/>
      <c r="GH168" s="18"/>
      <c r="GI168" s="18"/>
      <c r="GJ168" s="18"/>
      <c r="GK168" s="18"/>
      <c r="GL168" s="18"/>
      <c r="GM168" s="18"/>
      <c r="GN168" s="18"/>
      <c r="GO168" s="18"/>
      <c r="GP168" s="18"/>
      <c r="GQ168" s="18"/>
      <c r="GR168" s="18"/>
      <c r="GS168" s="18"/>
      <c r="GT168" s="18"/>
      <c r="GU168" s="18"/>
      <c r="GV168" s="18"/>
      <c r="GW168" s="18"/>
      <c r="GX168" s="18"/>
      <c r="GY168" s="18"/>
      <c r="GZ168" s="18"/>
      <c r="HA168" s="18"/>
      <c r="HB168" s="18"/>
      <c r="HC168" s="18"/>
      <c r="HD168" s="18"/>
      <c r="HE168" s="18"/>
      <c r="HF168" s="18"/>
      <c r="HG168" s="18"/>
      <c r="HH168" s="18"/>
      <c r="HI168" s="18"/>
      <c r="HJ168" s="18"/>
      <c r="HK168" s="18"/>
      <c r="HL168" s="18"/>
      <c r="HM168" s="18"/>
      <c r="HN168" s="18"/>
      <c r="HO168" s="18"/>
      <c r="HP168" s="18"/>
      <c r="HQ168" s="18"/>
      <c r="HR168" s="18"/>
      <c r="HS168" s="18"/>
      <c r="HT168" s="18"/>
      <c r="HU168" s="18"/>
      <c r="HV168" s="18"/>
      <c r="HW168" s="18"/>
      <c r="HX168" s="18"/>
      <c r="HY168" s="18"/>
      <c r="HZ168" s="18"/>
      <c r="IA168" s="18"/>
      <c r="IB168" s="18"/>
      <c r="IC168" s="18"/>
      <c r="ID168" s="18"/>
      <c r="IE168" s="18"/>
      <c r="IF168" s="18"/>
      <c r="IG168" s="18"/>
      <c r="IH168" s="18"/>
      <c r="II168" s="18"/>
      <c r="IJ168" s="18"/>
      <c r="IK168" s="18"/>
      <c r="IL168" s="18"/>
      <c r="IM168" s="18"/>
      <c r="IN168" s="18"/>
      <c r="IO168" s="18"/>
      <c r="IP168" s="18"/>
      <c r="IQ168" s="18"/>
      <c r="IR168" s="18"/>
      <c r="IS168" s="18"/>
      <c r="IT168" s="18"/>
      <c r="IU168" s="18"/>
      <c r="IV168" s="18"/>
      <c r="IW168" s="18"/>
      <c r="IX168" s="18"/>
      <c r="IY168" s="18"/>
      <c r="IZ168" s="18"/>
      <c r="JA168" s="18"/>
      <c r="JB168" s="18"/>
      <c r="JC168" s="18"/>
      <c r="JD168" s="18"/>
      <c r="JE168" s="18"/>
      <c r="JF168" s="18"/>
      <c r="JG168" s="18"/>
      <c r="JH168" s="18"/>
      <c r="JI168" s="18"/>
      <c r="JJ168" s="18"/>
      <c r="JK168" s="18"/>
      <c r="JL168" s="18"/>
      <c r="JM168" s="18"/>
      <c r="JN168" s="18"/>
      <c r="JO168" s="18"/>
      <c r="JP168" s="18"/>
      <c r="JQ168" s="18"/>
      <c r="JR168" s="18"/>
      <c r="JS168" s="18"/>
      <c r="JT168" s="18"/>
      <c r="JU168" s="18"/>
      <c r="JV168" s="18"/>
      <c r="JW168" s="18"/>
      <c r="JX168" s="18"/>
      <c r="JZ168" s="263"/>
      <c r="KA168" s="263"/>
      <c r="KB168" s="263"/>
      <c r="KC168" s="263"/>
      <c r="KD168" s="263"/>
      <c r="KE168" s="263"/>
      <c r="KF168" s="263"/>
      <c r="KG168" s="263"/>
      <c r="KH168" s="263"/>
      <c r="KI168" s="263"/>
      <c r="KJ168" s="263"/>
      <c r="KK168" s="263"/>
      <c r="KL168" s="263"/>
      <c r="KM168" s="263"/>
      <c r="KN168" s="263"/>
      <c r="KO168" s="263"/>
      <c r="KP168" s="263"/>
      <c r="KQ168" s="263"/>
      <c r="KR168" s="263"/>
      <c r="KS168" s="263"/>
      <c r="KT168" s="263"/>
      <c r="KU168" s="263"/>
      <c r="KV168" s="263"/>
      <c r="KW168" s="263"/>
      <c r="KX168" s="263"/>
      <c r="KY168" s="263"/>
      <c r="KZ168" s="263"/>
      <c r="LA168" s="263"/>
      <c r="LB168" s="263"/>
      <c r="LC168" s="263"/>
      <c r="LD168" s="263"/>
      <c r="LE168" s="263"/>
      <c r="LF168" s="263"/>
      <c r="LG168" s="263"/>
      <c r="LH168" s="263"/>
      <c r="LI168" s="263"/>
      <c r="LJ168" s="263"/>
      <c r="LK168" s="263"/>
      <c r="LL168" s="263"/>
      <c r="LM168" s="263"/>
      <c r="LN168" s="263"/>
      <c r="LO168" s="263"/>
      <c r="LP168" s="263"/>
      <c r="LQ168" s="263"/>
      <c r="LR168" s="263"/>
      <c r="LS168" s="263"/>
      <c r="LT168" s="263"/>
      <c r="LU168" s="263"/>
      <c r="LV168" s="263"/>
      <c r="LW168" s="263"/>
      <c r="LX168" s="263"/>
      <c r="LY168" s="263"/>
      <c r="LZ168" s="263"/>
      <c r="MA168" s="263"/>
      <c r="MB168" s="263"/>
      <c r="MC168" s="263"/>
      <c r="MD168" s="263"/>
      <c r="ME168" s="263"/>
      <c r="MF168" s="263"/>
      <c r="MG168" s="263"/>
      <c r="MH168" s="263"/>
      <c r="MI168" s="263"/>
      <c r="MJ168" s="263"/>
      <c r="MK168" s="263"/>
      <c r="ML168" s="263"/>
      <c r="MM168" s="263"/>
      <c r="MN168" s="263"/>
      <c r="MO168" s="263"/>
      <c r="MP168" s="263"/>
      <c r="MQ168" s="263"/>
      <c r="MR168" s="263"/>
      <c r="MS168" s="263"/>
      <c r="MT168" s="263"/>
      <c r="MU168" s="263"/>
      <c r="MV168" s="263"/>
      <c r="MW168" s="263"/>
      <c r="MX168" s="263"/>
      <c r="MY168" s="263"/>
      <c r="MZ168" s="263"/>
      <c r="NA168" s="263"/>
      <c r="NB168" s="263"/>
      <c r="NC168" s="263"/>
      <c r="ND168" s="263"/>
      <c r="NE168" s="263"/>
      <c r="NF168" s="263"/>
      <c r="NG168" s="263"/>
      <c r="NH168" s="263"/>
      <c r="NI168" s="263"/>
      <c r="NJ168" s="263"/>
      <c r="NK168" s="263"/>
      <c r="NL168" s="263"/>
      <c r="NM168" s="263"/>
      <c r="NN168" s="263"/>
      <c r="NO168" s="263"/>
      <c r="NP168" s="263"/>
      <c r="NQ168" s="263"/>
      <c r="NR168" s="263"/>
      <c r="NS168" s="263"/>
      <c r="NT168" s="263"/>
      <c r="NU168" s="263"/>
      <c r="NV168" s="263"/>
      <c r="NW168" s="263"/>
      <c r="NX168" s="263"/>
      <c r="NY168" s="263"/>
      <c r="NZ168" s="263"/>
      <c r="OA168" s="263"/>
      <c r="OB168" s="263"/>
      <c r="OC168" s="263"/>
      <c r="OD168" s="263"/>
      <c r="OE168" s="263"/>
      <c r="OF168" s="263"/>
      <c r="OG168" s="263"/>
      <c r="OH168" s="263"/>
      <c r="OI168" s="263"/>
      <c r="OJ168" s="263"/>
      <c r="OK168" s="263"/>
      <c r="OL168" s="263"/>
      <c r="OM168" s="263"/>
      <c r="ON168" s="263"/>
      <c r="OO168" s="263"/>
      <c r="OP168" s="263"/>
      <c r="OQ168" s="263"/>
      <c r="OR168" s="263"/>
      <c r="OS168" s="263"/>
      <c r="OT168" s="263"/>
      <c r="OU168" s="263"/>
      <c r="OV168" s="263"/>
      <c r="OW168" s="263"/>
      <c r="OX168" s="263"/>
      <c r="OY168" s="263"/>
      <c r="OZ168" s="263"/>
      <c r="PA168" s="263"/>
      <c r="PB168" s="263"/>
      <c r="PC168" s="263"/>
      <c r="PD168" s="263"/>
      <c r="PE168" s="263"/>
      <c r="PF168" s="263"/>
      <c r="PG168" s="263"/>
      <c r="PH168" s="263"/>
    </row>
    <row r="169">
      <c r="B169" s="34" t="s">
        <v>341</v>
      </c>
      <c r="C169" s="404"/>
      <c r="D169" s="404"/>
      <c r="E169" s="508"/>
      <c r="F169" s="508"/>
      <c r="G169" s="41"/>
      <c r="H169" s="449" t="n">
        <f>SUM(H166:H168)</f>
        <v>48830200.36828583</v>
      </c>
      <c r="I169" s="428" t="n">
        <f>SUM(I166:I168)</f>
        <v>74820150.74934629</v>
      </c>
      <c r="J169" s="399"/>
      <c r="K169" s="514" t="s">
        <v>340</v>
      </c>
      <c r="M169" s="511">
        <v>0</v>
      </c>
      <c r="N169" s="290"/>
      <c r="O169" s="511">
        <v>0</v>
      </c>
      <c r="P169" s="511">
        <v>0</v>
      </c>
      <c r="R169" s="294">
        <f t="shared" si="866"/>
        <v>6.5000000000000002E-2</v>
      </c>
      <c r="S169" s="93">
        <f t="shared" si="863"/>
        <v>6.7008196721311475E-2</v>
      </c>
      <c r="T169" s="294">
        <f t="shared" si="867"/>
        <v>6.7500000000000004E-2</v>
      </c>
      <c r="V169" s="421">
        <f t="shared" si="864"/>
        <v>0</v>
      </c>
      <c r="W169" s="421">
        <f t="shared" si="865"/>
        <v>0</v>
      </c>
      <c r="X169" s="400"/>
      <c r="Y169" s="400"/>
      <c r="Z169" s="400"/>
      <c r="AA169" s="400"/>
      <c r="AB169" s="400"/>
      <c r="AC169" s="400"/>
      <c r="AD169" s="400"/>
      <c r="AE169" s="400"/>
      <c r="AF169" s="400"/>
      <c r="AG169" s="400"/>
      <c r="AH169" s="400"/>
      <c r="AI169" s="400"/>
      <c r="AJ169" s="400"/>
      <c r="AK169" s="400"/>
      <c r="AL169" s="400"/>
      <c r="AM169" s="400"/>
      <c r="AN169" s="400"/>
      <c r="AO169" s="400"/>
      <c r="AP169" s="400"/>
      <c r="AQ169" s="400"/>
      <c r="AR169" s="400"/>
      <c r="AS169" s="400"/>
      <c r="AT169" s="400"/>
      <c r="AU169" s="400"/>
      <c r="AV169" s="400"/>
      <c r="AW169" s="400"/>
      <c r="AX169" s="400"/>
      <c r="AY169" s="400"/>
      <c r="AZ169" s="400"/>
      <c r="BA169" s="400"/>
      <c r="BB169" s="400"/>
      <c r="BC169" s="400"/>
      <c r="BD169" s="400"/>
      <c r="BE169" s="400"/>
      <c r="BF169" s="400"/>
      <c r="BG169" s="400"/>
      <c r="BH169" s="400"/>
      <c r="BI169" s="400"/>
      <c r="BJ169" s="400"/>
      <c r="BK169" s="400"/>
      <c r="BL169" s="400"/>
      <c r="BM169" s="400"/>
      <c r="BN169" s="400"/>
      <c r="BO169" s="400"/>
      <c r="BP169" s="400"/>
      <c r="BQ169" s="400"/>
      <c r="BR169" s="400"/>
      <c r="BS169" s="400"/>
      <c r="BT169" s="400"/>
      <c r="BU169" s="400"/>
      <c r="BV169" s="400"/>
      <c r="BW169" s="400"/>
      <c r="BX169" s="400"/>
      <c r="BY169" s="400"/>
      <c r="BZ169" s="400"/>
      <c r="CA169" s="400"/>
      <c r="CB169" s="400"/>
      <c r="CC169" s="400"/>
      <c r="CD169" s="400"/>
      <c r="CE169" s="400"/>
      <c r="CF169" s="400"/>
      <c r="CG169" s="400"/>
      <c r="CH169" s="400"/>
      <c r="CI169" s="400"/>
      <c r="CJ169" s="400"/>
      <c r="CK169" s="400"/>
      <c r="CL169" s="400"/>
      <c r="CM169" s="400"/>
      <c r="CN169" s="400"/>
      <c r="CO169" s="400"/>
      <c r="CP169" s="400"/>
      <c r="CQ169" s="400"/>
      <c r="CR169" s="400"/>
      <c r="CS169" s="400"/>
      <c r="CT169" s="400"/>
      <c r="CU169" s="400"/>
      <c r="CV169" s="400"/>
      <c r="CW169" s="400"/>
      <c r="CX169" s="400"/>
      <c r="CY169" s="400"/>
      <c r="CZ169" s="400"/>
      <c r="DA169" s="400"/>
      <c r="DB169" s="400"/>
      <c r="DC169" s="400"/>
      <c r="DD169" s="400"/>
      <c r="DE169" s="400"/>
      <c r="DF169" s="400"/>
      <c r="DG169" s="400"/>
      <c r="DH169" s="400"/>
      <c r="DI169" s="400"/>
      <c r="DJ169" s="400"/>
      <c r="DK169" s="400"/>
      <c r="DL169" s="400"/>
      <c r="DM169" s="400"/>
      <c r="DN169" s="400"/>
      <c r="DO169" s="400"/>
      <c r="DP169" s="400"/>
      <c r="DQ169" s="400"/>
      <c r="DR169" s="400"/>
      <c r="DS169" s="400"/>
      <c r="DT169" s="400"/>
      <c r="DU169" s="400"/>
      <c r="DV169" s="400"/>
      <c r="DW169" s="400"/>
      <c r="DX169" s="400"/>
      <c r="DY169" s="400"/>
      <c r="DZ169" s="400"/>
      <c r="EA169" s="400"/>
      <c r="EB169" s="400"/>
      <c r="EC169" s="400"/>
      <c r="ED169" s="400"/>
      <c r="EE169" s="400"/>
      <c r="EF169" s="400"/>
      <c r="EG169" s="400"/>
      <c r="EH169" s="400"/>
      <c r="EI169" s="400"/>
      <c r="EJ169" s="400"/>
      <c r="EK169" s="400"/>
      <c r="EL169" s="400"/>
      <c r="EM169" s="400"/>
      <c r="EN169" s="400"/>
      <c r="EO169" s="400"/>
      <c r="EP169" s="220"/>
      <c r="EQ169" s="18"/>
      <c r="ER169" s="18"/>
      <c r="ES169" s="18"/>
      <c r="ET169" s="18"/>
      <c r="EU169" s="18"/>
      <c r="EV169" s="18"/>
      <c r="EW169" s="18"/>
      <c r="EX169" s="18"/>
      <c r="EY169" s="18"/>
      <c r="EZ169" s="18"/>
      <c r="FA169" s="18"/>
      <c r="FB169" s="18"/>
      <c r="FC169" s="18"/>
      <c r="FD169" s="18"/>
      <c r="FE169" s="18"/>
      <c r="FF169" s="18"/>
      <c r="FG169" s="18"/>
      <c r="FH169" s="18"/>
      <c r="FI169" s="18"/>
      <c r="FJ169" s="18"/>
      <c r="FK169" s="18"/>
      <c r="FL169" s="18"/>
      <c r="FM169" s="18"/>
      <c r="FN169" s="18"/>
      <c r="FO169" s="18"/>
      <c r="FP169" s="18"/>
      <c r="FQ169" s="18"/>
      <c r="FR169" s="18"/>
      <c r="FS169" s="18"/>
      <c r="FT169" s="18"/>
      <c r="FU169" s="18"/>
      <c r="FV169" s="18"/>
      <c r="FW169" s="18"/>
      <c r="FX169" s="18"/>
      <c r="FY169" s="18"/>
      <c r="FZ169" s="18"/>
      <c r="GA169" s="18"/>
      <c r="GB169" s="18"/>
      <c r="GC169" s="18"/>
      <c r="GD169" s="18"/>
      <c r="GE169" s="18"/>
      <c r="GF169" s="18"/>
      <c r="GG169" s="18"/>
      <c r="GH169" s="18"/>
      <c r="GI169" s="18"/>
      <c r="GJ169" s="18"/>
      <c r="GK169" s="18"/>
      <c r="GL169" s="18"/>
      <c r="GM169" s="18"/>
      <c r="GN169" s="18"/>
      <c r="GO169" s="18"/>
      <c r="GP169" s="18"/>
      <c r="GQ169" s="18"/>
      <c r="GR169" s="18"/>
      <c r="GS169" s="18"/>
      <c r="GT169" s="18"/>
      <c r="GU169" s="18"/>
      <c r="GV169" s="18"/>
      <c r="GW169" s="18"/>
      <c r="GX169" s="18"/>
      <c r="GY169" s="18"/>
      <c r="GZ169" s="18"/>
      <c r="HA169" s="18"/>
      <c r="HB169" s="18"/>
      <c r="HC169" s="18"/>
      <c r="HD169" s="18"/>
      <c r="HE169" s="18"/>
      <c r="HF169" s="18"/>
      <c r="HG169" s="18"/>
      <c r="HH169" s="18"/>
      <c r="HI169" s="18"/>
      <c r="HJ169" s="18"/>
      <c r="HK169" s="18"/>
      <c r="HL169" s="18"/>
      <c r="HM169" s="18"/>
      <c r="HN169" s="18"/>
      <c r="HO169" s="18"/>
      <c r="HP169" s="18"/>
      <c r="HQ169" s="18"/>
      <c r="HR169" s="18"/>
      <c r="HS169" s="18"/>
      <c r="HT169" s="18"/>
      <c r="HU169" s="18"/>
      <c r="HV169" s="18"/>
      <c r="HW169" s="18"/>
      <c r="HX169" s="18"/>
      <c r="HY169" s="18"/>
      <c r="HZ169" s="18"/>
      <c r="IA169" s="18"/>
      <c r="IB169" s="18"/>
      <c r="IC169" s="18"/>
      <c r="ID169" s="18"/>
      <c r="IE169" s="18"/>
      <c r="IF169" s="18"/>
      <c r="IG169" s="18"/>
      <c r="IH169" s="18"/>
      <c r="II169" s="18"/>
      <c r="IJ169" s="18"/>
      <c r="IK169" s="18"/>
      <c r="IL169" s="18"/>
      <c r="IM169" s="18"/>
      <c r="IN169" s="18"/>
      <c r="IO169" s="18"/>
      <c r="IP169" s="18"/>
      <c r="IQ169" s="18"/>
      <c r="IR169" s="18"/>
      <c r="IS169" s="18"/>
      <c r="IT169" s="18"/>
      <c r="IU169" s="18"/>
      <c r="IV169" s="18"/>
      <c r="IW169" s="18"/>
      <c r="IX169" s="18"/>
      <c r="IY169" s="18"/>
      <c r="IZ169" s="18"/>
      <c r="JA169" s="18"/>
      <c r="JB169" s="18"/>
      <c r="JC169" s="18"/>
      <c r="JD169" s="18"/>
      <c r="JE169" s="18"/>
      <c r="JF169" s="18"/>
      <c r="JG169" s="18"/>
      <c r="JH169" s="18"/>
      <c r="JI169" s="18"/>
      <c r="JJ169" s="18"/>
      <c r="JK169" s="18"/>
      <c r="JL169" s="18"/>
      <c r="JM169" s="18"/>
      <c r="JN169" s="18"/>
      <c r="JO169" s="18"/>
      <c r="JP169" s="18"/>
      <c r="JQ169" s="18"/>
      <c r="JR169" s="18"/>
      <c r="JS169" s="18"/>
      <c r="JT169" s="18"/>
      <c r="JU169" s="18"/>
      <c r="JV169" s="18"/>
      <c r="JW169" s="18"/>
      <c r="JX169" s="18"/>
      <c r="JZ169" s="263"/>
      <c r="KA169" s="263"/>
      <c r="KB169" s="263"/>
      <c r="KC169" s="263"/>
      <c r="KD169" s="263"/>
      <c r="KE169" s="263"/>
      <c r="KF169" s="263"/>
      <c r="KG169" s="263"/>
      <c r="KH169" s="263"/>
      <c r="KI169" s="263"/>
      <c r="KJ169" s="263"/>
      <c r="KK169" s="263"/>
      <c r="KL169" s="263"/>
      <c r="KM169" s="263"/>
      <c r="KN169" s="263"/>
      <c r="KO169" s="263"/>
      <c r="KP169" s="263"/>
      <c r="KQ169" s="263"/>
      <c r="KR169" s="263"/>
      <c r="KS169" s="263"/>
      <c r="KT169" s="263"/>
      <c r="KU169" s="263"/>
      <c r="KV169" s="263"/>
      <c r="KW169" s="263"/>
      <c r="KX169" s="263"/>
      <c r="KY169" s="263"/>
      <c r="KZ169" s="263"/>
      <c r="LA169" s="263"/>
      <c r="LB169" s="263"/>
      <c r="LC169" s="263"/>
      <c r="LD169" s="263"/>
      <c r="LE169" s="263"/>
      <c r="LF169" s="263"/>
      <c r="LG169" s="263"/>
      <c r="LH169" s="263"/>
      <c r="LI169" s="263"/>
      <c r="LJ169" s="263"/>
      <c r="LK169" s="263"/>
      <c r="LL169" s="263"/>
      <c r="LM169" s="263"/>
      <c r="LN169" s="263"/>
      <c r="LO169" s="263"/>
      <c r="LP169" s="263"/>
      <c r="LQ169" s="263"/>
      <c r="LR169" s="263"/>
      <c r="LS169" s="263"/>
      <c r="LT169" s="263"/>
      <c r="LU169" s="263"/>
      <c r="LV169" s="263"/>
      <c r="LW169" s="263"/>
      <c r="LX169" s="263"/>
      <c r="LY169" s="263"/>
      <c r="LZ169" s="263"/>
      <c r="MA169" s="263"/>
      <c r="MB169" s="263"/>
      <c r="MC169" s="263"/>
      <c r="MD169" s="263"/>
      <c r="ME169" s="263"/>
      <c r="MF169" s="263"/>
      <c r="MG169" s="263"/>
      <c r="MH169" s="263"/>
      <c r="MI169" s="263"/>
      <c r="MJ169" s="263"/>
      <c r="MK169" s="263"/>
      <c r="ML169" s="263"/>
      <c r="MM169" s="263"/>
      <c r="MN169" s="263"/>
      <c r="MO169" s="263"/>
      <c r="MP169" s="263"/>
      <c r="MQ169" s="263"/>
      <c r="MR169" s="263"/>
      <c r="MS169" s="263"/>
      <c r="MT169" s="263"/>
      <c r="MU169" s="263"/>
      <c r="MV169" s="263"/>
      <c r="MW169" s="263"/>
      <c r="MX169" s="263"/>
      <c r="MY169" s="263"/>
      <c r="MZ169" s="263"/>
      <c r="NA169" s="263"/>
      <c r="NB169" s="263"/>
      <c r="NC169" s="263"/>
      <c r="ND169" s="263"/>
      <c r="NE169" s="263"/>
      <c r="NF169" s="263"/>
      <c r="NG169" s="263"/>
      <c r="NH169" s="263"/>
      <c r="NI169" s="263"/>
      <c r="NJ169" s="263"/>
      <c r="NK169" s="263"/>
      <c r="NL169" s="263"/>
      <c r="NM169" s="263"/>
      <c r="NN169" s="263"/>
      <c r="NO169" s="263"/>
      <c r="NP169" s="263"/>
      <c r="NQ169" s="263"/>
      <c r="NR169" s="263"/>
      <c r="NS169" s="263"/>
      <c r="NT169" s="263"/>
      <c r="NU169" s="263"/>
      <c r="NV169" s="263"/>
      <c r="NW169" s="263"/>
      <c r="NX169" s="263"/>
      <c r="NY169" s="263"/>
      <c r="NZ169" s="263"/>
      <c r="OA169" s="263"/>
      <c r="OB169" s="263"/>
      <c r="OC169" s="263"/>
      <c r="OD169" s="263"/>
      <c r="OE169" s="263"/>
      <c r="OF169" s="263"/>
      <c r="OG169" s="263"/>
      <c r="OH169" s="263"/>
      <c r="OI169" s="263"/>
      <c r="OJ169" s="263"/>
      <c r="OK169" s="263"/>
      <c r="OL169" s="263"/>
      <c r="OM169" s="263"/>
      <c r="ON169" s="263"/>
      <c r="OO169" s="263"/>
      <c r="OP169" s="263"/>
      <c r="OQ169" s="263"/>
      <c r="OR169" s="263"/>
      <c r="OS169" s="263"/>
      <c r="OT169" s="263"/>
      <c r="OU169" s="263"/>
      <c r="OV169" s="263"/>
      <c r="OW169" s="263"/>
      <c r="OX169" s="263"/>
      <c r="OY169" s="263"/>
      <c r="OZ169" s="263"/>
      <c r="PA169" s="263"/>
      <c r="PB169" s="263"/>
      <c r="PC169" s="263"/>
      <c r="PD169" s="263"/>
      <c r="PE169" s="263"/>
      <c r="PF169" s="263"/>
      <c r="PG169" s="263"/>
      <c r="PH169" s="263"/>
    </row>
    <row r="170">
      <c r="B170" s="448" t="s">
        <v>342</v>
      </c>
      <c r="C170" s="404"/>
      <c r="D170" s="404"/>
      <c r="E170" s="508"/>
      <c r="F170" s="508"/>
      <c r="G170" s="45"/>
      <c r="H170" s="478" t="n">
        <f>+I129</f>
        <v>0</v>
      </c>
      <c r="I170" s="513" t="n">
        <f>MAX(SUM(INDEX($L$129:$EN$129,1,Timing_Reversion_Month+1):INDEX($L$129:$EN$129,1,Timing_Reversion_Month+12)))</f>
        <v>0</v>
      </c>
      <c r="J170" s="399"/>
      <c r="K170" s="514" t="s">
        <v>340</v>
      </c>
      <c r="M170" s="511">
        <v>0</v>
      </c>
      <c r="N170" s="290"/>
      <c r="O170" s="511">
        <v>0</v>
      </c>
      <c r="P170" s="511">
        <v>0</v>
      </c>
      <c r="R170" s="294">
        <f t="shared" si="866"/>
        <v>6.5000000000000002E-2</v>
      </c>
      <c r="S170" s="93">
        <f t="shared" si="863"/>
        <v>6.7008196721311475E-2</v>
      </c>
      <c r="T170" s="294">
        <f t="shared" si="867"/>
        <v>6.7500000000000004E-2</v>
      </c>
      <c r="V170" s="421">
        <f t="shared" si="864"/>
        <v>0</v>
      </c>
      <c r="W170" s="421">
        <f t="shared" si="865"/>
        <v>0</v>
      </c>
      <c r="X170" s="400"/>
      <c r="Y170" s="400"/>
      <c r="Z170" s="400"/>
      <c r="AA170" s="400"/>
      <c r="AB170" s="400"/>
      <c r="AC170" s="400"/>
      <c r="AD170" s="400"/>
      <c r="AE170" s="400"/>
      <c r="AF170" s="400"/>
      <c r="AG170" s="400"/>
      <c r="AH170" s="400"/>
      <c r="AI170" s="400"/>
      <c r="AJ170" s="400"/>
      <c r="AK170" s="400"/>
      <c r="AL170" s="400"/>
      <c r="AM170" s="400"/>
      <c r="AN170" s="400"/>
      <c r="AO170" s="400"/>
      <c r="AP170" s="400"/>
      <c r="AQ170" s="400"/>
      <c r="AR170" s="400"/>
      <c r="AS170" s="400"/>
      <c r="AT170" s="400"/>
      <c r="AU170" s="400"/>
      <c r="AV170" s="400"/>
      <c r="AW170" s="400"/>
      <c r="AX170" s="400"/>
      <c r="AY170" s="400"/>
      <c r="AZ170" s="400"/>
      <c r="BA170" s="400"/>
      <c r="BB170" s="400"/>
      <c r="BC170" s="400"/>
      <c r="BD170" s="400"/>
      <c r="BE170" s="400"/>
      <c r="BF170" s="400"/>
      <c r="BG170" s="400"/>
      <c r="BH170" s="400"/>
      <c r="BI170" s="400"/>
      <c r="BJ170" s="400"/>
      <c r="BK170" s="400"/>
      <c r="BL170" s="400"/>
      <c r="BM170" s="400"/>
      <c r="BN170" s="400"/>
      <c r="BO170" s="400"/>
      <c r="BP170" s="400"/>
      <c r="BQ170" s="400"/>
      <c r="BR170" s="400"/>
      <c r="BS170" s="400"/>
      <c r="BT170" s="400"/>
      <c r="BU170" s="400"/>
      <c r="BV170" s="400"/>
      <c r="BW170" s="400"/>
      <c r="BX170" s="400"/>
      <c r="BY170" s="400"/>
      <c r="BZ170" s="400"/>
      <c r="CA170" s="400"/>
      <c r="CB170" s="400"/>
      <c r="CC170" s="400"/>
      <c r="CD170" s="400"/>
      <c r="CE170" s="400"/>
      <c r="CF170" s="400"/>
      <c r="CG170" s="400"/>
      <c r="CH170" s="400"/>
      <c r="CI170" s="400"/>
      <c r="CJ170" s="400"/>
      <c r="CK170" s="400"/>
      <c r="CL170" s="400"/>
      <c r="CM170" s="400"/>
      <c r="CN170" s="400"/>
      <c r="CO170" s="400"/>
      <c r="CP170" s="400"/>
      <c r="CQ170" s="400"/>
      <c r="CR170" s="400"/>
      <c r="CS170" s="400"/>
      <c r="CT170" s="400"/>
      <c r="CU170" s="400"/>
      <c r="CV170" s="400"/>
      <c r="CW170" s="400"/>
      <c r="CX170" s="400"/>
      <c r="CY170" s="400"/>
      <c r="CZ170" s="400"/>
      <c r="DA170" s="400"/>
      <c r="DB170" s="400"/>
      <c r="DC170" s="400"/>
      <c r="DD170" s="400"/>
      <c r="DE170" s="400"/>
      <c r="DF170" s="400"/>
      <c r="DG170" s="400"/>
      <c r="DH170" s="400"/>
      <c r="DI170" s="400"/>
      <c r="DJ170" s="400"/>
      <c r="DK170" s="400"/>
      <c r="DL170" s="400"/>
      <c r="DM170" s="400"/>
      <c r="DN170" s="400"/>
      <c r="DO170" s="400"/>
      <c r="DP170" s="400"/>
      <c r="DQ170" s="400"/>
      <c r="DR170" s="400"/>
      <c r="DS170" s="400"/>
      <c r="DT170" s="400"/>
      <c r="DU170" s="400"/>
      <c r="DV170" s="400"/>
      <c r="DW170" s="400"/>
      <c r="DX170" s="400"/>
      <c r="DY170" s="400"/>
      <c r="DZ170" s="400"/>
      <c r="EA170" s="400"/>
      <c r="EB170" s="400"/>
      <c r="EC170" s="400"/>
      <c r="ED170" s="400"/>
      <c r="EE170" s="400"/>
      <c r="EF170" s="400"/>
      <c r="EG170" s="400"/>
      <c r="EH170" s="400"/>
      <c r="EI170" s="400"/>
      <c r="EJ170" s="400"/>
      <c r="EK170" s="400"/>
      <c r="EL170" s="400"/>
      <c r="EM170" s="400"/>
      <c r="EN170" s="400"/>
      <c r="EO170" s="400"/>
      <c r="EP170" s="220"/>
      <c r="EQ170" s="18"/>
      <c r="ER170" s="18"/>
      <c r="ES170" s="18"/>
      <c r="ET170" s="18"/>
      <c r="EU170" s="18"/>
      <c r="EV170" s="18"/>
      <c r="EW170" s="18"/>
      <c r="EX170" s="18"/>
      <c r="EY170" s="18"/>
      <c r="EZ170" s="18"/>
      <c r="FA170" s="18"/>
      <c r="FB170" s="18"/>
      <c r="FC170" s="18"/>
      <c r="FD170" s="18"/>
      <c r="FE170" s="18"/>
      <c r="FF170" s="18"/>
      <c r="FG170" s="18"/>
      <c r="FH170" s="18"/>
      <c r="FI170" s="18"/>
      <c r="FJ170" s="18"/>
      <c r="FK170" s="18"/>
      <c r="FL170" s="18"/>
      <c r="FM170" s="18"/>
      <c r="FN170" s="18"/>
      <c r="FO170" s="18"/>
      <c r="FP170" s="18"/>
      <c r="FQ170" s="18"/>
      <c r="FR170" s="18"/>
      <c r="FS170" s="18"/>
      <c r="FT170" s="18"/>
      <c r="FU170" s="18"/>
      <c r="FV170" s="18"/>
      <c r="FW170" s="18"/>
      <c r="FX170" s="18"/>
      <c r="FY170" s="18"/>
      <c r="FZ170" s="18"/>
      <c r="GA170" s="18"/>
      <c r="GB170" s="18"/>
      <c r="GC170" s="18"/>
      <c r="GD170" s="18"/>
      <c r="GE170" s="18"/>
      <c r="GF170" s="18"/>
      <c r="GG170" s="18"/>
      <c r="GH170" s="18"/>
      <c r="GI170" s="18"/>
      <c r="GJ170" s="18"/>
      <c r="GK170" s="18"/>
      <c r="GL170" s="18"/>
      <c r="GM170" s="18"/>
      <c r="GN170" s="18"/>
      <c r="GO170" s="18"/>
      <c r="GP170" s="18"/>
      <c r="GQ170" s="18"/>
      <c r="GR170" s="18"/>
      <c r="GS170" s="18"/>
      <c r="GT170" s="18"/>
      <c r="GU170" s="18"/>
      <c r="GV170" s="18"/>
      <c r="GW170" s="18"/>
      <c r="GX170" s="18"/>
      <c r="GY170" s="18"/>
      <c r="GZ170" s="18"/>
      <c r="HA170" s="18"/>
      <c r="HB170" s="18"/>
      <c r="HC170" s="18"/>
      <c r="HD170" s="18"/>
      <c r="HE170" s="18"/>
      <c r="HF170" s="18"/>
      <c r="HG170" s="18"/>
      <c r="HH170" s="18"/>
      <c r="HI170" s="18"/>
      <c r="HJ170" s="18"/>
      <c r="HK170" s="18"/>
      <c r="HL170" s="18"/>
      <c r="HM170" s="18"/>
      <c r="HN170" s="18"/>
      <c r="HO170" s="18"/>
      <c r="HP170" s="18"/>
      <c r="HQ170" s="18"/>
      <c r="HR170" s="18"/>
      <c r="HS170" s="18"/>
      <c r="HT170" s="18"/>
      <c r="HU170" s="18"/>
      <c r="HV170" s="18"/>
      <c r="HW170" s="18"/>
      <c r="HX170" s="18"/>
      <c r="HY170" s="18"/>
      <c r="HZ170" s="18"/>
      <c r="IA170" s="18"/>
      <c r="IB170" s="18"/>
      <c r="IC170" s="18"/>
      <c r="ID170" s="18"/>
      <c r="IE170" s="18"/>
      <c r="IF170" s="18"/>
      <c r="IG170" s="18"/>
      <c r="IH170" s="18"/>
      <c r="II170" s="18"/>
      <c r="IJ170" s="18"/>
      <c r="IK170" s="18"/>
      <c r="IL170" s="18"/>
      <c r="IM170" s="18"/>
      <c r="IN170" s="18"/>
      <c r="IO170" s="18"/>
      <c r="IP170" s="18"/>
      <c r="IQ170" s="18"/>
      <c r="IR170" s="18"/>
      <c r="IS170" s="18"/>
      <c r="IT170" s="18"/>
      <c r="IU170" s="18"/>
      <c r="IV170" s="18"/>
      <c r="IW170" s="18"/>
      <c r="IX170" s="18"/>
      <c r="IY170" s="18"/>
      <c r="IZ170" s="18"/>
      <c r="JA170" s="18"/>
      <c r="JB170" s="18"/>
      <c r="JC170" s="18"/>
      <c r="JD170" s="18"/>
      <c r="JE170" s="18"/>
      <c r="JF170" s="18"/>
      <c r="JG170" s="18"/>
      <c r="JH170" s="18"/>
      <c r="JI170" s="18"/>
      <c r="JJ170" s="18"/>
      <c r="JK170" s="18"/>
      <c r="JL170" s="18"/>
      <c r="JM170" s="18"/>
      <c r="JN170" s="18"/>
      <c r="JO170" s="18"/>
      <c r="JP170" s="18"/>
      <c r="JQ170" s="18"/>
      <c r="JR170" s="18"/>
      <c r="JS170" s="18"/>
      <c r="JT170" s="18"/>
      <c r="JU170" s="18"/>
      <c r="JV170" s="18"/>
      <c r="JW170" s="18"/>
      <c r="JX170" s="18"/>
      <c r="JZ170" s="263"/>
      <c r="KA170" s="263"/>
      <c r="KB170" s="263"/>
      <c r="KC170" s="263"/>
      <c r="KD170" s="263"/>
      <c r="KE170" s="263"/>
      <c r="KF170" s="263"/>
      <c r="KG170" s="263"/>
      <c r="KH170" s="263"/>
      <c r="KI170" s="263"/>
      <c r="KJ170" s="263"/>
      <c r="KK170" s="263"/>
      <c r="KL170" s="263"/>
      <c r="KM170" s="263"/>
      <c r="KN170" s="263"/>
      <c r="KO170" s="263"/>
      <c r="KP170" s="263"/>
      <c r="KQ170" s="263"/>
      <c r="KR170" s="263"/>
      <c r="KS170" s="263"/>
      <c r="KT170" s="263"/>
      <c r="KU170" s="263"/>
      <c r="KV170" s="263"/>
      <c r="KW170" s="263"/>
      <c r="KX170" s="263"/>
      <c r="KY170" s="263"/>
      <c r="KZ170" s="263"/>
      <c r="LA170" s="263"/>
      <c r="LB170" s="263"/>
      <c r="LC170" s="263"/>
      <c r="LD170" s="263"/>
      <c r="LE170" s="263"/>
      <c r="LF170" s="263"/>
      <c r="LG170" s="263"/>
      <c r="LH170" s="263"/>
      <c r="LI170" s="263"/>
      <c r="LJ170" s="263"/>
      <c r="LK170" s="263"/>
      <c r="LL170" s="263"/>
      <c r="LM170" s="263"/>
      <c r="LN170" s="263"/>
      <c r="LO170" s="263"/>
      <c r="LP170" s="263"/>
      <c r="LQ170" s="263"/>
      <c r="LR170" s="263"/>
      <c r="LS170" s="263"/>
      <c r="LT170" s="263"/>
      <c r="LU170" s="263"/>
      <c r="LV170" s="263"/>
      <c r="LW170" s="263"/>
      <c r="LX170" s="263"/>
      <c r="LY170" s="263"/>
      <c r="LZ170" s="263"/>
      <c r="MA170" s="263"/>
      <c r="MB170" s="263"/>
      <c r="MC170" s="263"/>
      <c r="MD170" s="263"/>
      <c r="ME170" s="263"/>
      <c r="MF170" s="263"/>
      <c r="MG170" s="263"/>
      <c r="MH170" s="263"/>
      <c r="MI170" s="263"/>
      <c r="MJ170" s="263"/>
      <c r="MK170" s="263"/>
      <c r="ML170" s="263"/>
      <c r="MM170" s="263"/>
      <c r="MN170" s="263"/>
      <c r="MO170" s="263"/>
      <c r="MP170" s="263"/>
      <c r="MQ170" s="263"/>
      <c r="MR170" s="263"/>
      <c r="MS170" s="263"/>
      <c r="MT170" s="263"/>
      <c r="MU170" s="263"/>
      <c r="MV170" s="263"/>
      <c r="MW170" s="263"/>
      <c r="MX170" s="263"/>
      <c r="MY170" s="263"/>
      <c r="MZ170" s="263"/>
      <c r="NA170" s="263"/>
      <c r="NB170" s="263"/>
      <c r="NC170" s="263"/>
      <c r="ND170" s="263"/>
      <c r="NE170" s="263"/>
      <c r="NF170" s="263"/>
      <c r="NG170" s="263"/>
      <c r="NH170" s="263"/>
      <c r="NI170" s="263"/>
      <c r="NJ170" s="263"/>
      <c r="NK170" s="263"/>
      <c r="NL170" s="263"/>
      <c r="NM170" s="263"/>
      <c r="NN170" s="263"/>
      <c r="NO170" s="263"/>
      <c r="NP170" s="263"/>
      <c r="NQ170" s="263"/>
      <c r="NR170" s="263"/>
      <c r="NS170" s="263"/>
      <c r="NT170" s="263"/>
      <c r="NU170" s="263"/>
      <c r="NV170" s="263"/>
      <c r="NW170" s="263"/>
      <c r="NX170" s="263"/>
      <c r="NY170" s="263"/>
      <c r="NZ170" s="263"/>
      <c r="OA170" s="263"/>
      <c r="OB170" s="263"/>
      <c r="OC170" s="263"/>
      <c r="OD170" s="263"/>
      <c r="OE170" s="263"/>
      <c r="OF170" s="263"/>
      <c r="OG170" s="263"/>
      <c r="OH170" s="263"/>
      <c r="OI170" s="263"/>
      <c r="OJ170" s="263"/>
      <c r="OK170" s="263"/>
      <c r="OL170" s="263"/>
      <c r="OM170" s="263"/>
      <c r="ON170" s="263"/>
      <c r="OO170" s="263"/>
      <c r="OP170" s="263"/>
      <c r="OQ170" s="263"/>
      <c r="OR170" s="263"/>
      <c r="OS170" s="263"/>
      <c r="OT170" s="263"/>
      <c r="OU170" s="263"/>
      <c r="OV170" s="263"/>
      <c r="OW170" s="263"/>
      <c r="OX170" s="263"/>
      <c r="OY170" s="263"/>
      <c r="OZ170" s="263"/>
      <c r="PA170" s="263"/>
      <c r="PB170" s="263"/>
      <c r="PC170" s="263"/>
      <c r="PD170" s="263"/>
      <c r="PE170" s="263"/>
      <c r="PF170" s="263"/>
      <c r="PG170" s="263"/>
      <c r="PH170" s="263"/>
    </row>
    <row r="171">
      <c r="B171" s="34" t="s">
        <v>343</v>
      </c>
      <c r="C171" s="404"/>
      <c r="D171" s="404"/>
      <c r="E171" s="508"/>
      <c r="F171" s="508"/>
      <c r="G171" s="41"/>
      <c r="H171" s="449" t="n">
        <f>SUM(H169:H170)</f>
        <v>48830200.36828583</v>
      </c>
      <c r="I171" s="449" t="n">
        <f>SUM(I169:I170)</f>
        <v>74820150.74934629</v>
      </c>
      <c r="J171" s="399"/>
      <c r="K171" s="515" t="s">
        <v>340</v>
      </c>
      <c r="L171" s="378"/>
      <c r="M171" s="516">
        <v>0</v>
      </c>
      <c r="N171" s="297"/>
      <c r="O171" s="516">
        <v>0</v>
      </c>
      <c r="P171" s="516">
        <v>0</v>
      </c>
      <c r="Q171" s="378"/>
      <c r="R171" s="298">
        <f t="shared" si="866"/>
        <v>6.5000000000000002E-2</v>
      </c>
      <c r="S171" s="300">
        <f t="shared" si="863"/>
        <v>6.7008196721311475E-2</v>
      </c>
      <c r="T171" s="298">
        <f t="shared" si="867"/>
        <v>6.7500000000000004E-2</v>
      </c>
      <c r="V171" s="440">
        <f t="shared" si="864"/>
        <v>0</v>
      </c>
      <c r="W171" s="440">
        <f t="shared" si="865"/>
        <v>0</v>
      </c>
      <c r="X171" s="400"/>
      <c r="Y171" s="400"/>
      <c r="Z171" s="400"/>
      <c r="AA171" s="400"/>
      <c r="AB171" s="400"/>
      <c r="AC171" s="400"/>
      <c r="AD171" s="400"/>
      <c r="AE171" s="400"/>
      <c r="AF171" s="400"/>
      <c r="AG171" s="400"/>
      <c r="AH171" s="400"/>
      <c r="AI171" s="400"/>
      <c r="AJ171" s="400"/>
      <c r="AK171" s="400"/>
      <c r="AL171" s="400"/>
      <c r="AM171" s="400"/>
      <c r="AN171" s="400"/>
      <c r="AO171" s="400"/>
      <c r="AP171" s="400"/>
      <c r="AQ171" s="400"/>
      <c r="AR171" s="400"/>
      <c r="AS171" s="400"/>
      <c r="AT171" s="400"/>
      <c r="AU171" s="400"/>
      <c r="AV171" s="400"/>
      <c r="AW171" s="400"/>
      <c r="AX171" s="400"/>
      <c r="AY171" s="400"/>
      <c r="AZ171" s="400"/>
      <c r="BA171" s="400"/>
      <c r="BB171" s="400"/>
      <c r="BC171" s="400"/>
      <c r="BD171" s="400"/>
      <c r="BE171" s="400"/>
      <c r="BF171" s="400"/>
      <c r="BG171" s="400"/>
      <c r="BH171" s="400"/>
      <c r="BI171" s="400"/>
      <c r="BJ171" s="400"/>
      <c r="BK171" s="400"/>
      <c r="BL171" s="400"/>
      <c r="BM171" s="400"/>
      <c r="BN171" s="400"/>
      <c r="BO171" s="400"/>
      <c r="BP171" s="400"/>
      <c r="BQ171" s="400"/>
      <c r="BR171" s="400"/>
      <c r="BS171" s="400"/>
      <c r="BT171" s="400"/>
      <c r="BU171" s="400"/>
      <c r="BV171" s="400"/>
      <c r="BW171" s="400"/>
      <c r="BX171" s="400"/>
      <c r="BY171" s="400"/>
      <c r="BZ171" s="400"/>
      <c r="CA171" s="400"/>
      <c r="CB171" s="400"/>
      <c r="CC171" s="400"/>
      <c r="CD171" s="400"/>
      <c r="CE171" s="400"/>
      <c r="CF171" s="400"/>
      <c r="CG171" s="400"/>
      <c r="CH171" s="400"/>
      <c r="CI171" s="400"/>
      <c r="CJ171" s="400"/>
      <c r="CK171" s="400"/>
      <c r="CL171" s="400"/>
      <c r="CM171" s="400"/>
      <c r="CN171" s="400"/>
      <c r="CO171" s="400"/>
      <c r="CP171" s="400"/>
      <c r="CQ171" s="400"/>
      <c r="CR171" s="400"/>
      <c r="CS171" s="400"/>
      <c r="CT171" s="400"/>
      <c r="CU171" s="400"/>
      <c r="CV171" s="400"/>
      <c r="CW171" s="400"/>
      <c r="CX171" s="400"/>
      <c r="CY171" s="400"/>
      <c r="CZ171" s="400"/>
      <c r="DA171" s="400"/>
      <c r="DB171" s="400"/>
      <c r="DC171" s="400"/>
      <c r="DD171" s="400"/>
      <c r="DE171" s="400"/>
      <c r="DF171" s="400"/>
      <c r="DG171" s="400"/>
      <c r="DH171" s="400"/>
      <c r="DI171" s="400"/>
      <c r="DJ171" s="400"/>
      <c r="DK171" s="400"/>
      <c r="DL171" s="400"/>
      <c r="DM171" s="400"/>
      <c r="DN171" s="400"/>
      <c r="DO171" s="400"/>
      <c r="DP171" s="400"/>
      <c r="DQ171" s="400"/>
      <c r="DR171" s="400"/>
      <c r="DS171" s="400"/>
      <c r="DT171" s="400"/>
      <c r="DU171" s="400"/>
      <c r="DV171" s="400"/>
      <c r="DW171" s="400"/>
      <c r="DX171" s="400"/>
      <c r="DY171" s="400"/>
      <c r="DZ171" s="400"/>
      <c r="EA171" s="400"/>
      <c r="EB171" s="400"/>
      <c r="EC171" s="400"/>
      <c r="ED171" s="400"/>
      <c r="EE171" s="400"/>
      <c r="EF171" s="400"/>
      <c r="EG171" s="400"/>
      <c r="EH171" s="400"/>
      <c r="EI171" s="400"/>
      <c r="EJ171" s="400"/>
      <c r="EK171" s="400"/>
      <c r="EL171" s="400"/>
      <c r="EM171" s="400"/>
      <c r="EN171" s="400"/>
      <c r="EO171" s="400"/>
      <c r="EP171" s="220"/>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18"/>
      <c r="FX171" s="18"/>
      <c r="FY171" s="18"/>
      <c r="FZ171" s="18"/>
      <c r="GA171" s="18"/>
      <c r="GB171" s="18"/>
      <c r="GC171" s="18"/>
      <c r="GD171" s="18"/>
      <c r="GE171" s="18"/>
      <c r="GF171" s="18"/>
      <c r="GG171" s="18"/>
      <c r="GH171" s="18"/>
      <c r="GI171" s="18"/>
      <c r="GJ171" s="18"/>
      <c r="GK171" s="18"/>
      <c r="GL171" s="18"/>
      <c r="GM171" s="18"/>
      <c r="GN171" s="18"/>
      <c r="GO171" s="18"/>
      <c r="GP171" s="18"/>
      <c r="GQ171" s="18"/>
      <c r="GR171" s="18"/>
      <c r="GS171" s="18"/>
      <c r="GT171" s="18"/>
      <c r="GU171" s="18"/>
      <c r="GV171" s="18"/>
      <c r="GW171" s="18"/>
      <c r="GX171" s="18"/>
      <c r="GY171" s="18"/>
      <c r="GZ171" s="18"/>
      <c r="HA171" s="18"/>
      <c r="HB171" s="18"/>
      <c r="HC171" s="18"/>
      <c r="HD171" s="18"/>
      <c r="HE171" s="18"/>
      <c r="HF171" s="18"/>
      <c r="HG171" s="18"/>
      <c r="HH171" s="18"/>
      <c r="HI171" s="18"/>
      <c r="HJ171" s="18"/>
      <c r="HK171" s="18"/>
      <c r="HL171" s="18"/>
      <c r="HM171" s="18"/>
      <c r="HN171" s="18"/>
      <c r="HO171" s="18"/>
      <c r="HP171" s="18"/>
      <c r="HQ171" s="18"/>
      <c r="HR171" s="18"/>
      <c r="HS171" s="18"/>
      <c r="HT171" s="18"/>
      <c r="HU171" s="18"/>
      <c r="HV171" s="18"/>
      <c r="HW171" s="18"/>
      <c r="HX171" s="18"/>
      <c r="HY171" s="18"/>
      <c r="HZ171" s="18"/>
      <c r="IA171" s="18"/>
      <c r="IB171" s="18"/>
      <c r="IC171" s="18"/>
      <c r="ID171" s="18"/>
      <c r="IE171" s="18"/>
      <c r="IF171" s="18"/>
      <c r="IG171" s="18"/>
      <c r="IH171" s="18"/>
      <c r="II171" s="18"/>
      <c r="IJ171" s="18"/>
      <c r="IK171" s="18"/>
      <c r="IL171" s="18"/>
      <c r="IM171" s="18"/>
      <c r="IN171" s="18"/>
      <c r="IO171" s="18"/>
      <c r="IP171" s="18"/>
      <c r="IQ171" s="18"/>
      <c r="IR171" s="18"/>
      <c r="IS171" s="18"/>
      <c r="IT171" s="18"/>
      <c r="IU171" s="18"/>
      <c r="IV171" s="18"/>
      <c r="IW171" s="18"/>
      <c r="IX171" s="18"/>
      <c r="IY171" s="18"/>
      <c r="IZ171" s="18"/>
      <c r="JA171" s="18"/>
      <c r="JB171" s="18"/>
      <c r="JC171" s="18"/>
      <c r="JD171" s="18"/>
      <c r="JE171" s="18"/>
      <c r="JF171" s="18"/>
      <c r="JG171" s="18"/>
      <c r="JH171" s="18"/>
      <c r="JI171" s="18"/>
      <c r="JJ171" s="18"/>
      <c r="JK171" s="18"/>
      <c r="JL171" s="18"/>
      <c r="JM171" s="18"/>
      <c r="JN171" s="18"/>
      <c r="JO171" s="18"/>
      <c r="JP171" s="18"/>
      <c r="JQ171" s="18"/>
      <c r="JR171" s="18"/>
      <c r="JS171" s="18"/>
      <c r="JT171" s="18"/>
      <c r="JU171" s="18"/>
      <c r="JV171" s="18"/>
      <c r="JW171" s="18"/>
      <c r="JX171" s="18"/>
      <c r="JZ171" s="263"/>
      <c r="KA171" s="263"/>
      <c r="KB171" s="263"/>
      <c r="KC171" s="263"/>
      <c r="KD171" s="263"/>
      <c r="KE171" s="263"/>
      <c r="KF171" s="263"/>
      <c r="KG171" s="263"/>
      <c r="KH171" s="263"/>
      <c r="KI171" s="263"/>
      <c r="KJ171" s="263"/>
      <c r="KK171" s="263"/>
      <c r="KL171" s="263"/>
      <c r="KM171" s="263"/>
      <c r="KN171" s="263"/>
      <c r="KO171" s="263"/>
      <c r="KP171" s="263"/>
      <c r="KQ171" s="263"/>
      <c r="KR171" s="263"/>
      <c r="KS171" s="263"/>
      <c r="KT171" s="263"/>
      <c r="KU171" s="263"/>
      <c r="KV171" s="263"/>
      <c r="KW171" s="263"/>
      <c r="KX171" s="263"/>
      <c r="KY171" s="263"/>
      <c r="KZ171" s="263"/>
      <c r="LA171" s="263"/>
      <c r="LB171" s="263"/>
      <c r="LC171" s="263"/>
      <c r="LD171" s="263"/>
      <c r="LE171" s="263"/>
      <c r="LF171" s="263"/>
      <c r="LG171" s="263"/>
      <c r="LH171" s="263"/>
      <c r="LI171" s="263"/>
      <c r="LJ171" s="263"/>
      <c r="LK171" s="263"/>
      <c r="LL171" s="263"/>
      <c r="LM171" s="263"/>
      <c r="LN171" s="263"/>
      <c r="LO171" s="263"/>
      <c r="LP171" s="263"/>
      <c r="LQ171" s="263"/>
      <c r="LR171" s="263"/>
      <c r="LS171" s="263"/>
      <c r="LT171" s="263"/>
      <c r="LU171" s="263"/>
      <c r="LV171" s="263"/>
      <c r="LW171" s="263"/>
      <c r="LX171" s="263"/>
      <c r="LY171" s="263"/>
      <c r="LZ171" s="263"/>
      <c r="MA171" s="263"/>
      <c r="MB171" s="263"/>
      <c r="MC171" s="263"/>
      <c r="MD171" s="263"/>
      <c r="ME171" s="263"/>
      <c r="MF171" s="263"/>
      <c r="MG171" s="263"/>
      <c r="MH171" s="263"/>
      <c r="MI171" s="263"/>
      <c r="MJ171" s="263"/>
      <c r="MK171" s="263"/>
      <c r="ML171" s="263"/>
      <c r="MM171" s="263"/>
      <c r="MN171" s="263"/>
      <c r="MO171" s="263"/>
      <c r="MP171" s="263"/>
      <c r="MQ171" s="263"/>
      <c r="MR171" s="263"/>
      <c r="MS171" s="263"/>
      <c r="MT171" s="263"/>
      <c r="MU171" s="263"/>
      <c r="MV171" s="263"/>
      <c r="MW171" s="263"/>
      <c r="MX171" s="263"/>
      <c r="MY171" s="263"/>
      <c r="MZ171" s="263"/>
      <c r="NA171" s="263"/>
      <c r="NB171" s="263"/>
      <c r="NC171" s="263"/>
      <c r="ND171" s="263"/>
      <c r="NE171" s="263"/>
      <c r="NF171" s="263"/>
      <c r="NG171" s="263"/>
      <c r="NH171" s="263"/>
      <c r="NI171" s="263"/>
      <c r="NJ171" s="263"/>
      <c r="NK171" s="263"/>
      <c r="NL171" s="263"/>
      <c r="NM171" s="263"/>
      <c r="NN171" s="263"/>
      <c r="NO171" s="263"/>
      <c r="NP171" s="263"/>
      <c r="NQ171" s="263"/>
      <c r="NR171" s="263"/>
      <c r="NS171" s="263"/>
      <c r="NT171" s="263"/>
      <c r="NU171" s="263"/>
      <c r="NV171" s="263"/>
      <c r="NW171" s="263"/>
      <c r="NX171" s="263"/>
      <c r="NY171" s="263"/>
      <c r="NZ171" s="263"/>
      <c r="OA171" s="263"/>
      <c r="OB171" s="263"/>
      <c r="OC171" s="263"/>
      <c r="OD171" s="263"/>
      <c r="OE171" s="263"/>
      <c r="OF171" s="263"/>
      <c r="OG171" s="263"/>
      <c r="OH171" s="263"/>
      <c r="OI171" s="263"/>
      <c r="OJ171" s="263"/>
      <c r="OK171" s="263"/>
      <c r="OL171" s="263"/>
      <c r="OM171" s="263"/>
      <c r="ON171" s="263"/>
      <c r="OO171" s="263"/>
      <c r="OP171" s="263"/>
      <c r="OQ171" s="263"/>
      <c r="OR171" s="263"/>
      <c r="OS171" s="263"/>
      <c r="OT171" s="263"/>
      <c r="OU171" s="263"/>
      <c r="OV171" s="263"/>
      <c r="OW171" s="263"/>
      <c r="OX171" s="263"/>
      <c r="OY171" s="263"/>
      <c r="OZ171" s="263"/>
      <c r="PA171" s="263"/>
      <c r="PB171" s="263"/>
      <c r="PC171" s="263"/>
      <c r="PD171" s="263"/>
      <c r="PE171" s="263"/>
      <c r="PF171" s="263"/>
      <c r="PG171" s="263"/>
      <c r="PH171" s="263"/>
    </row>
    <row r="172">
      <c r="B172" s="34"/>
      <c r="C172" s="404"/>
      <c r="D172" s="404"/>
      <c r="E172" s="508"/>
      <c r="F172" s="508"/>
      <c r="G172" s="41"/>
      <c r="H172" s="41"/>
      <c r="I172" s="41"/>
      <c r="J172" s="399"/>
      <c r="K172" s="514"/>
      <c r="M172" s="290"/>
      <c r="N172" s="290"/>
      <c r="O172" s="294"/>
      <c r="Q172" s="294"/>
      <c r="R172" s="294"/>
      <c r="S172" s="93">
        <f t="shared" si="863"/>
        <v>0</v>
      </c>
      <c r="T172" s="294"/>
      <c r="X172" s="400"/>
      <c r="Y172" s="400"/>
      <c r="Z172" s="400"/>
      <c r="AA172" s="400"/>
      <c r="AB172" s="400"/>
      <c r="AC172" s="400"/>
      <c r="AD172" s="400"/>
      <c r="AE172" s="400"/>
      <c r="AF172" s="400"/>
      <c r="AG172" s="400"/>
      <c r="AH172" s="400"/>
      <c r="AI172" s="400"/>
      <c r="AJ172" s="400"/>
      <c r="AK172" s="400"/>
      <c r="AL172" s="400"/>
      <c r="AM172" s="400"/>
      <c r="AN172" s="400"/>
      <c r="AO172" s="400"/>
      <c r="AP172" s="400"/>
      <c r="AQ172" s="400"/>
      <c r="AR172" s="400"/>
      <c r="AS172" s="400"/>
      <c r="AT172" s="400"/>
      <c r="AU172" s="400"/>
      <c r="AV172" s="400"/>
      <c r="AW172" s="400"/>
      <c r="AX172" s="400"/>
      <c r="AY172" s="400"/>
      <c r="AZ172" s="400"/>
      <c r="BA172" s="400"/>
      <c r="BB172" s="400"/>
      <c r="BC172" s="400"/>
      <c r="BD172" s="400"/>
      <c r="BE172" s="400"/>
      <c r="BF172" s="400"/>
      <c r="BG172" s="400"/>
      <c r="BH172" s="400"/>
      <c r="BI172" s="400"/>
      <c r="BJ172" s="400"/>
      <c r="BK172" s="400"/>
      <c r="BL172" s="400"/>
      <c r="BM172" s="400"/>
      <c r="BN172" s="400"/>
      <c r="BO172" s="400"/>
      <c r="BP172" s="400"/>
      <c r="BQ172" s="400"/>
      <c r="BR172" s="400"/>
      <c r="BS172" s="400"/>
      <c r="BT172" s="400"/>
      <c r="BU172" s="400"/>
      <c r="BV172" s="400"/>
      <c r="BW172" s="400"/>
      <c r="BX172" s="400"/>
      <c r="BY172" s="400"/>
      <c r="BZ172" s="400"/>
      <c r="CA172" s="400"/>
      <c r="CB172" s="400"/>
      <c r="CC172" s="400"/>
      <c r="CD172" s="400"/>
      <c r="CE172" s="400"/>
      <c r="CF172" s="400"/>
      <c r="CG172" s="400"/>
      <c r="CH172" s="400"/>
      <c r="CI172" s="400"/>
      <c r="CJ172" s="400"/>
      <c r="CK172" s="400"/>
      <c r="CL172" s="400"/>
      <c r="CM172" s="400"/>
      <c r="CN172" s="400"/>
      <c r="CO172" s="400"/>
      <c r="CP172" s="400"/>
      <c r="CQ172" s="400"/>
      <c r="CR172" s="400"/>
      <c r="CS172" s="400"/>
      <c r="CT172" s="400"/>
      <c r="CU172" s="400"/>
      <c r="CV172" s="400"/>
      <c r="CW172" s="400"/>
      <c r="CX172" s="400"/>
      <c r="CY172" s="400"/>
      <c r="CZ172" s="400"/>
      <c r="DA172" s="400"/>
      <c r="DB172" s="400"/>
      <c r="DC172" s="400"/>
      <c r="DD172" s="400"/>
      <c r="DE172" s="400"/>
      <c r="DF172" s="400"/>
      <c r="DG172" s="400"/>
      <c r="DH172" s="400"/>
      <c r="DI172" s="400"/>
      <c r="DJ172" s="400"/>
      <c r="DK172" s="400"/>
      <c r="DL172" s="400"/>
      <c r="DM172" s="400"/>
      <c r="DN172" s="400"/>
      <c r="DO172" s="400"/>
      <c r="DP172" s="400"/>
      <c r="DQ172" s="400"/>
      <c r="DR172" s="400"/>
      <c r="DS172" s="400"/>
      <c r="DT172" s="400"/>
      <c r="DU172" s="400"/>
      <c r="DV172" s="400"/>
      <c r="DW172" s="400"/>
      <c r="DX172" s="400"/>
      <c r="DY172" s="400"/>
      <c r="DZ172" s="400"/>
      <c r="EA172" s="400"/>
      <c r="EB172" s="400"/>
      <c r="EC172" s="400"/>
      <c r="ED172" s="400"/>
      <c r="EE172" s="400"/>
      <c r="EF172" s="400"/>
      <c r="EG172" s="400"/>
      <c r="EH172" s="400"/>
      <c r="EI172" s="400"/>
      <c r="EJ172" s="400"/>
      <c r="EK172" s="400"/>
      <c r="EL172" s="400"/>
      <c r="EM172" s="400"/>
      <c r="EN172" s="400"/>
      <c r="EO172" s="400"/>
      <c r="EP172" s="220"/>
      <c r="EQ172" s="18"/>
      <c r="ER172" s="18"/>
      <c r="ES172" s="18"/>
      <c r="ET172" s="18"/>
      <c r="EU172" s="18"/>
      <c r="EV172" s="18"/>
      <c r="EW172" s="18"/>
      <c r="EX172" s="18"/>
      <c r="EY172" s="18"/>
      <c r="EZ172" s="18"/>
      <c r="FA172" s="18"/>
      <c r="FB172" s="18"/>
      <c r="FC172" s="18"/>
      <c r="FD172" s="18"/>
      <c r="FE172" s="18"/>
      <c r="FF172" s="18"/>
      <c r="FG172" s="18"/>
      <c r="FH172" s="18"/>
      <c r="FI172" s="18"/>
      <c r="FJ172" s="18"/>
      <c r="FK172" s="18"/>
      <c r="FL172" s="18"/>
      <c r="FM172" s="18"/>
      <c r="FN172" s="18"/>
      <c r="FO172" s="18"/>
      <c r="FP172" s="18"/>
      <c r="FQ172" s="18"/>
      <c r="FR172" s="18"/>
      <c r="FS172" s="18"/>
      <c r="FT172" s="18"/>
      <c r="FU172" s="18"/>
      <c r="FV172" s="18"/>
      <c r="FW172" s="18"/>
      <c r="FX172" s="18"/>
      <c r="FY172" s="18"/>
      <c r="FZ172" s="18"/>
      <c r="GA172" s="18"/>
      <c r="GB172" s="18"/>
      <c r="GC172" s="18"/>
      <c r="GD172" s="18"/>
      <c r="GE172" s="18"/>
      <c r="GF172" s="18"/>
      <c r="GG172" s="18"/>
      <c r="GH172" s="18"/>
      <c r="GI172" s="18"/>
      <c r="GJ172" s="18"/>
      <c r="GK172" s="18"/>
      <c r="GL172" s="18"/>
      <c r="GM172" s="18"/>
      <c r="GN172" s="18"/>
      <c r="GO172" s="18"/>
      <c r="GP172" s="18"/>
      <c r="GQ172" s="18"/>
      <c r="GR172" s="18"/>
      <c r="GS172" s="18"/>
      <c r="GT172" s="18"/>
      <c r="GU172" s="18"/>
      <c r="GV172" s="18"/>
      <c r="GW172" s="18"/>
      <c r="GX172" s="18"/>
      <c r="GY172" s="18"/>
      <c r="GZ172" s="18"/>
      <c r="HA172" s="18"/>
      <c r="HB172" s="18"/>
      <c r="HC172" s="18"/>
      <c r="HD172" s="18"/>
      <c r="HE172" s="18"/>
      <c r="HF172" s="18"/>
      <c r="HG172" s="18"/>
      <c r="HH172" s="18"/>
      <c r="HI172" s="18"/>
      <c r="HJ172" s="18"/>
      <c r="HK172" s="18"/>
      <c r="HL172" s="18"/>
      <c r="HM172" s="18"/>
      <c r="HN172" s="18"/>
      <c r="HO172" s="18"/>
      <c r="HP172" s="18"/>
      <c r="HQ172" s="18"/>
      <c r="HR172" s="18"/>
      <c r="HS172" s="18"/>
      <c r="HT172" s="18"/>
      <c r="HU172" s="18"/>
      <c r="HV172" s="18"/>
      <c r="HW172" s="18"/>
      <c r="HX172" s="18"/>
      <c r="HY172" s="18"/>
      <c r="HZ172" s="18"/>
      <c r="IA172" s="18"/>
      <c r="IB172" s="18"/>
      <c r="IC172" s="18"/>
      <c r="ID172" s="18"/>
      <c r="IE172" s="18"/>
      <c r="IF172" s="18"/>
      <c r="IG172" s="18"/>
      <c r="IH172" s="18"/>
      <c r="II172" s="18"/>
      <c r="IJ172" s="18"/>
      <c r="IK172" s="18"/>
      <c r="IL172" s="18"/>
      <c r="IM172" s="18"/>
      <c r="IN172" s="18"/>
      <c r="IO172" s="18"/>
      <c r="IP172" s="18"/>
      <c r="IQ172" s="18"/>
      <c r="IR172" s="18"/>
      <c r="IS172" s="18"/>
      <c r="IT172" s="18"/>
      <c r="IU172" s="18"/>
      <c r="IV172" s="18"/>
      <c r="IW172" s="18"/>
      <c r="IX172" s="18"/>
      <c r="IY172" s="18"/>
      <c r="IZ172" s="18"/>
      <c r="JA172" s="18"/>
      <c r="JB172" s="18"/>
      <c r="JC172" s="18"/>
      <c r="JD172" s="18"/>
      <c r="JE172" s="18"/>
      <c r="JF172" s="18"/>
      <c r="JG172" s="18"/>
      <c r="JH172" s="18"/>
      <c r="JI172" s="18"/>
      <c r="JJ172" s="18"/>
      <c r="JK172" s="18"/>
      <c r="JL172" s="18"/>
      <c r="JM172" s="18"/>
      <c r="JN172" s="18"/>
      <c r="JO172" s="18"/>
      <c r="JP172" s="18"/>
      <c r="JQ172" s="18"/>
      <c r="JR172" s="18"/>
      <c r="JS172" s="18"/>
      <c r="JT172" s="18"/>
      <c r="JU172" s="18"/>
      <c r="JV172" s="18"/>
      <c r="JW172" s="18"/>
      <c r="JX172" s="18"/>
      <c r="JZ172" s="263"/>
      <c r="KA172" s="263"/>
      <c r="KB172" s="263"/>
      <c r="KC172" s="263"/>
      <c r="KD172" s="263"/>
      <c r="KE172" s="263"/>
      <c r="KF172" s="263"/>
      <c r="KG172" s="263"/>
      <c r="KH172" s="263"/>
      <c r="KI172" s="263"/>
      <c r="KJ172" s="263"/>
      <c r="KK172" s="263"/>
      <c r="KL172" s="263"/>
      <c r="KM172" s="263"/>
      <c r="KN172" s="263"/>
      <c r="KO172" s="263"/>
      <c r="KP172" s="263"/>
      <c r="KQ172" s="263"/>
      <c r="KR172" s="263"/>
      <c r="KS172" s="263"/>
      <c r="KT172" s="263"/>
      <c r="KU172" s="263"/>
      <c r="KV172" s="263"/>
      <c r="KW172" s="263"/>
      <c r="KX172" s="263"/>
      <c r="KY172" s="263"/>
      <c r="KZ172" s="263"/>
      <c r="LA172" s="263"/>
      <c r="LB172" s="263"/>
      <c r="LC172" s="263"/>
      <c r="LD172" s="263"/>
      <c r="LE172" s="263"/>
      <c r="LF172" s="263"/>
      <c r="LG172" s="263"/>
      <c r="LH172" s="263"/>
      <c r="LI172" s="263"/>
      <c r="LJ172" s="263"/>
      <c r="LK172" s="263"/>
      <c r="LL172" s="263"/>
      <c r="LM172" s="263"/>
      <c r="LN172" s="263"/>
      <c r="LO172" s="263"/>
      <c r="LP172" s="263"/>
      <c r="LQ172" s="263"/>
      <c r="LR172" s="263"/>
      <c r="LS172" s="263"/>
      <c r="LT172" s="263"/>
      <c r="LU172" s="263"/>
      <c r="LV172" s="263"/>
      <c r="LW172" s="263"/>
      <c r="LX172" s="263"/>
      <c r="LY172" s="263"/>
      <c r="LZ172" s="263"/>
      <c r="MA172" s="263"/>
      <c r="MB172" s="263"/>
      <c r="MC172" s="263"/>
      <c r="MD172" s="263"/>
      <c r="ME172" s="263"/>
      <c r="MF172" s="263"/>
      <c r="MG172" s="263"/>
      <c r="MH172" s="263"/>
      <c r="MI172" s="263"/>
      <c r="MJ172" s="263"/>
      <c r="MK172" s="263"/>
      <c r="ML172" s="263"/>
      <c r="MM172" s="263"/>
      <c r="MN172" s="263"/>
      <c r="MO172" s="263"/>
      <c r="MP172" s="263"/>
      <c r="MQ172" s="263"/>
      <c r="MR172" s="263"/>
      <c r="MS172" s="263"/>
      <c r="MT172" s="263"/>
      <c r="MU172" s="263"/>
      <c r="MV172" s="263"/>
      <c r="MW172" s="263"/>
      <c r="MX172" s="263"/>
      <c r="MY172" s="263"/>
      <c r="MZ172" s="263"/>
      <c r="NA172" s="263"/>
      <c r="NB172" s="263"/>
      <c r="NC172" s="263"/>
      <c r="ND172" s="263"/>
      <c r="NE172" s="263"/>
      <c r="NF172" s="263"/>
      <c r="NG172" s="263"/>
      <c r="NH172" s="263"/>
      <c r="NI172" s="263"/>
      <c r="NJ172" s="263"/>
      <c r="NK172" s="263"/>
      <c r="NL172" s="263"/>
      <c r="NM172" s="263"/>
      <c r="NN172" s="263"/>
      <c r="NO172" s="263"/>
      <c r="NP172" s="263"/>
      <c r="NQ172" s="263"/>
      <c r="NR172" s="263"/>
      <c r="NS172" s="263"/>
      <c r="NT172" s="263"/>
      <c r="NU172" s="263"/>
      <c r="NV172" s="263"/>
      <c r="NW172" s="263"/>
      <c r="NX172" s="263"/>
      <c r="NY172" s="263"/>
      <c r="NZ172" s="263"/>
      <c r="OA172" s="263"/>
      <c r="OB172" s="263"/>
      <c r="OC172" s="263"/>
      <c r="OD172" s="263"/>
      <c r="OE172" s="263"/>
      <c r="OF172" s="263"/>
      <c r="OG172" s="263"/>
      <c r="OH172" s="263"/>
      <c r="OI172" s="263"/>
      <c r="OJ172" s="263"/>
      <c r="OK172" s="263"/>
      <c r="OL172" s="263"/>
      <c r="OM172" s="263"/>
      <c r="ON172" s="263"/>
      <c r="OO172" s="263"/>
      <c r="OP172" s="263"/>
      <c r="OQ172" s="263"/>
      <c r="OR172" s="263"/>
      <c r="OS172" s="263"/>
      <c r="OT172" s="263"/>
      <c r="OU172" s="263"/>
      <c r="OV172" s="263"/>
      <c r="OW172" s="263"/>
      <c r="OX172" s="263"/>
      <c r="OY172" s="263"/>
      <c r="OZ172" s="263"/>
      <c r="PA172" s="263"/>
      <c r="PB172" s="263"/>
      <c r="PC172" s="263"/>
      <c r="PD172" s="263"/>
      <c r="PE172" s="263"/>
      <c r="PF172" s="263"/>
      <c r="PG172" s="263"/>
      <c r="PH172" s="263"/>
    </row>
    <row r="173">
      <c r="B173" s="431" t="n">
        <f>B134</f>
        <v>0</v>
      </c>
      <c r="C173" s="404"/>
      <c r="D173" s="404"/>
      <c r="E173" s="508"/>
      <c r="F173" s="508"/>
      <c r="G173" s="41"/>
      <c r="H173" s="449" t="n">
        <f>+I134</f>
        <v>3288278.6208900046</v>
      </c>
      <c r="I173" s="420" t="n">
        <f>MAX(SUM(INDEX($L$134:$EN$134,1,Timing_Reversion_Month+1):INDEX($L$134:$EN$134,1,Timing_Reversion_Month+12)))</f>
        <v>3459910.232611992</v>
      </c>
      <c r="J173" s="399"/>
      <c r="K173" s="510" t="s">
        <v>153</v>
      </c>
      <c r="L173" s="517"/>
      <c r="M173" s="518" t="n">
        <f>SUM(M162:M172)</f>
        <v>78312.38</v>
      </c>
      <c r="N173" s="295"/>
      <c r="O173" s="518" t="n">
        <f>SUM(O162:O172)</f>
        <v>45541921.74739582</v>
      </c>
      <c r="P173" s="518" t="n">
        <f>SUM(P162:P172)</f>
        <v>71360240.51673429</v>
      </c>
      <c r="Q173" s="296"/>
      <c r="R173" s="296" t="n">
        <f>SUMPRODUCT(R162:R172,O162:O172)/O173</f>
        <v>0.07263953746624345</v>
      </c>
      <c r="S173" s="93" t="n">
        <f>O173/V173</f>
        <v>0.07428980868754763</v>
      </c>
      <c r="T173" s="296" t="n">
        <f>P173/W173</f>
        <v>0.07574454317286254</v>
      </c>
      <c r="V173" s="518" t="n">
        <f>SUM(V162:V172)</f>
        <v>613030542.8425407</v>
      </c>
      <c r="W173" s="518" t="n">
        <f>SUM(W162:W172)</f>
        <v>942117247.3623283</v>
      </c>
      <c r="X173" s="400"/>
      <c r="Y173" s="400"/>
      <c r="Z173" s="400"/>
      <c r="AA173" s="400"/>
      <c r="AB173" s="400"/>
      <c r="AC173" s="400"/>
      <c r="AD173" s="400"/>
      <c r="AE173" s="400"/>
      <c r="AF173" s="400"/>
      <c r="AG173" s="400"/>
      <c r="AH173" s="400"/>
      <c r="AI173" s="400"/>
      <c r="AJ173" s="400"/>
      <c r="AK173" s="400"/>
      <c r="AL173" s="400"/>
      <c r="AM173" s="400"/>
      <c r="AN173" s="400"/>
      <c r="AO173" s="400"/>
      <c r="AP173" s="400"/>
      <c r="AQ173" s="400"/>
      <c r="AR173" s="400"/>
      <c r="AS173" s="400"/>
      <c r="AT173" s="400"/>
      <c r="AU173" s="400"/>
      <c r="AV173" s="400"/>
      <c r="AW173" s="400"/>
      <c r="AX173" s="400"/>
      <c r="AY173" s="400"/>
      <c r="AZ173" s="400"/>
      <c r="BA173" s="400"/>
      <c r="BB173" s="400"/>
      <c r="BC173" s="400"/>
      <c r="BD173" s="400"/>
      <c r="BE173" s="400"/>
      <c r="BF173" s="400"/>
      <c r="BG173" s="400"/>
      <c r="BH173" s="400"/>
      <c r="BI173" s="400"/>
      <c r="BJ173" s="400"/>
      <c r="BK173" s="400"/>
      <c r="BL173" s="400"/>
      <c r="BM173" s="400"/>
      <c r="BN173" s="400"/>
      <c r="BO173" s="400"/>
      <c r="BP173" s="400"/>
      <c r="BQ173" s="400"/>
      <c r="BR173" s="400"/>
      <c r="BS173" s="400"/>
      <c r="BT173" s="400"/>
      <c r="BU173" s="400"/>
      <c r="BV173" s="400"/>
      <c r="BW173" s="400"/>
      <c r="BX173" s="400"/>
      <c r="BY173" s="400"/>
      <c r="BZ173" s="400"/>
      <c r="CA173" s="400"/>
      <c r="CB173" s="400"/>
      <c r="CC173" s="400"/>
      <c r="CD173" s="400"/>
      <c r="CE173" s="400"/>
      <c r="CF173" s="400"/>
      <c r="CG173" s="400"/>
      <c r="CH173" s="400"/>
      <c r="CI173" s="400"/>
      <c r="CJ173" s="400"/>
      <c r="CK173" s="400"/>
      <c r="CL173" s="400"/>
      <c r="CM173" s="400"/>
      <c r="CN173" s="400"/>
      <c r="CO173" s="400"/>
      <c r="CP173" s="400"/>
      <c r="CQ173" s="400"/>
      <c r="CR173" s="400"/>
      <c r="CS173" s="400"/>
      <c r="CT173" s="400"/>
      <c r="CU173" s="400"/>
      <c r="CV173" s="400"/>
      <c r="CW173" s="400"/>
      <c r="CX173" s="400"/>
      <c r="CY173" s="400"/>
      <c r="CZ173" s="400"/>
      <c r="DA173" s="400"/>
      <c r="DB173" s="400"/>
      <c r="DC173" s="400"/>
      <c r="DD173" s="400"/>
      <c r="DE173" s="400"/>
      <c r="DF173" s="400"/>
      <c r="DG173" s="400"/>
      <c r="DH173" s="400"/>
      <c r="DI173" s="400"/>
      <c r="DJ173" s="400"/>
      <c r="DK173" s="400"/>
      <c r="DL173" s="400"/>
      <c r="DM173" s="400"/>
      <c r="DN173" s="400"/>
      <c r="DO173" s="400"/>
      <c r="DP173" s="400"/>
      <c r="DQ173" s="400"/>
      <c r="DR173" s="400"/>
      <c r="DS173" s="400"/>
      <c r="DT173" s="400"/>
      <c r="DU173" s="400"/>
      <c r="DV173" s="400"/>
      <c r="DW173" s="400"/>
      <c r="DX173" s="400"/>
      <c r="DY173" s="400"/>
      <c r="DZ173" s="400"/>
      <c r="EA173" s="400"/>
      <c r="EB173" s="400"/>
      <c r="EC173" s="400"/>
      <c r="ED173" s="400"/>
      <c r="EE173" s="400"/>
      <c r="EF173" s="400"/>
      <c r="EG173" s="400"/>
      <c r="EH173" s="400"/>
      <c r="EI173" s="400"/>
      <c r="EJ173" s="400"/>
      <c r="EK173" s="400"/>
      <c r="EL173" s="400"/>
      <c r="EM173" s="400"/>
      <c r="EN173" s="400"/>
      <c r="EO173" s="400"/>
      <c r="EP173" s="220"/>
      <c r="EQ173" s="18"/>
      <c r="ER173" s="18"/>
      <c r="ES173" s="18"/>
      <c r="ET173" s="18"/>
      <c r="EU173" s="18"/>
      <c r="EV173" s="18"/>
      <c r="EW173" s="18"/>
      <c r="EX173" s="18"/>
      <c r="EY173" s="18"/>
      <c r="EZ173" s="18"/>
      <c r="FA173" s="18"/>
      <c r="FB173" s="18"/>
      <c r="FC173" s="18"/>
      <c r="FD173" s="18"/>
      <c r="FE173" s="18"/>
      <c r="FF173" s="18"/>
      <c r="FG173" s="18"/>
      <c r="FH173" s="18"/>
      <c r="FI173" s="18"/>
      <c r="FJ173" s="18"/>
      <c r="FK173" s="18"/>
      <c r="FL173" s="18"/>
      <c r="FM173" s="18"/>
      <c r="FN173" s="18"/>
      <c r="FO173" s="18"/>
      <c r="FP173" s="18"/>
      <c r="FQ173" s="18"/>
      <c r="FR173" s="18"/>
      <c r="FS173" s="18"/>
      <c r="FT173" s="18"/>
      <c r="FU173" s="18"/>
      <c r="FV173" s="18"/>
      <c r="FW173" s="18"/>
      <c r="FX173" s="18"/>
      <c r="FY173" s="18"/>
      <c r="FZ173" s="18"/>
      <c r="GA173" s="18"/>
      <c r="GB173" s="18"/>
      <c r="GC173" s="18"/>
      <c r="GD173" s="18"/>
      <c r="GE173" s="18"/>
      <c r="GF173" s="18"/>
      <c r="GG173" s="18"/>
      <c r="GH173" s="18"/>
      <c r="GI173" s="18"/>
      <c r="GJ173" s="18"/>
      <c r="GK173" s="18"/>
      <c r="GL173" s="18"/>
      <c r="GM173" s="18"/>
      <c r="GN173" s="18"/>
      <c r="GO173" s="18"/>
      <c r="GP173" s="18"/>
      <c r="GQ173" s="18"/>
      <c r="GR173" s="18"/>
      <c r="GS173" s="18"/>
      <c r="GT173" s="18"/>
      <c r="GU173" s="18"/>
      <c r="GV173" s="18"/>
      <c r="GW173" s="18"/>
      <c r="GX173" s="18"/>
      <c r="GY173" s="18"/>
      <c r="GZ173" s="18"/>
      <c r="HA173" s="18"/>
      <c r="HB173" s="18"/>
      <c r="HC173" s="18"/>
      <c r="HD173" s="18"/>
      <c r="HE173" s="18"/>
      <c r="HF173" s="18"/>
      <c r="HG173" s="18"/>
      <c r="HH173" s="18"/>
      <c r="HI173" s="18"/>
      <c r="HJ173" s="18"/>
      <c r="HK173" s="18"/>
      <c r="HL173" s="18"/>
      <c r="HM173" s="18"/>
      <c r="HN173" s="18"/>
      <c r="HO173" s="18"/>
      <c r="HP173" s="18"/>
      <c r="HQ173" s="18"/>
      <c r="HR173" s="18"/>
      <c r="HS173" s="18"/>
      <c r="HT173" s="18"/>
      <c r="HU173" s="18"/>
      <c r="HV173" s="18"/>
      <c r="HW173" s="18"/>
      <c r="HX173" s="18"/>
      <c r="HY173" s="18"/>
      <c r="HZ173" s="18"/>
      <c r="IA173" s="18"/>
      <c r="IB173" s="18"/>
      <c r="IC173" s="18"/>
      <c r="ID173" s="18"/>
      <c r="IE173" s="18"/>
      <c r="IF173" s="18"/>
      <c r="IG173" s="18"/>
      <c r="IH173" s="18"/>
      <c r="II173" s="18"/>
      <c r="IJ173" s="18"/>
      <c r="IK173" s="18"/>
      <c r="IL173" s="18"/>
      <c r="IM173" s="18"/>
      <c r="IN173" s="18"/>
      <c r="IO173" s="18"/>
      <c r="IP173" s="18"/>
      <c r="IQ173" s="18"/>
      <c r="IR173" s="18"/>
      <c r="IS173" s="18"/>
      <c r="IT173" s="18"/>
      <c r="IU173" s="18"/>
      <c r="IV173" s="18"/>
      <c r="IW173" s="18"/>
      <c r="IX173" s="18"/>
      <c r="IY173" s="18"/>
      <c r="IZ173" s="18"/>
      <c r="JA173" s="18"/>
      <c r="JB173" s="18"/>
      <c r="JC173" s="18"/>
      <c r="JD173" s="18"/>
      <c r="JE173" s="18"/>
      <c r="JF173" s="18"/>
      <c r="JG173" s="18"/>
      <c r="JH173" s="18"/>
      <c r="JI173" s="18"/>
      <c r="JJ173" s="18"/>
      <c r="JK173" s="18"/>
      <c r="JL173" s="18"/>
      <c r="JM173" s="18"/>
      <c r="JN173" s="18"/>
      <c r="JO173" s="18"/>
      <c r="JP173" s="18"/>
      <c r="JQ173" s="18"/>
      <c r="JR173" s="18"/>
      <c r="JS173" s="18"/>
      <c r="JT173" s="18"/>
      <c r="JU173" s="18"/>
      <c r="JV173" s="18"/>
      <c r="JW173" s="18"/>
      <c r="JX173" s="18"/>
      <c r="JZ173" s="263"/>
      <c r="KA173" s="263"/>
      <c r="KB173" s="263"/>
      <c r="KC173" s="263"/>
      <c r="KD173" s="263"/>
      <c r="KE173" s="263"/>
      <c r="KF173" s="263"/>
      <c r="KG173" s="263"/>
      <c r="KH173" s="263"/>
      <c r="KI173" s="263"/>
      <c r="KJ173" s="263"/>
      <c r="KK173" s="263"/>
      <c r="KL173" s="263"/>
      <c r="KM173" s="263"/>
      <c r="KN173" s="263"/>
      <c r="KO173" s="263"/>
      <c r="KP173" s="263"/>
      <c r="KQ173" s="263"/>
      <c r="KR173" s="263"/>
      <c r="KS173" s="263"/>
      <c r="KT173" s="263"/>
      <c r="KU173" s="263"/>
      <c r="KV173" s="263"/>
      <c r="KW173" s="263"/>
      <c r="KX173" s="263"/>
      <c r="KY173" s="263"/>
      <c r="KZ173" s="263"/>
      <c r="LA173" s="263"/>
      <c r="LB173" s="263"/>
      <c r="LC173" s="263"/>
      <c r="LD173" s="263"/>
      <c r="LE173" s="263"/>
      <c r="LF173" s="263"/>
      <c r="LG173" s="263"/>
      <c r="LH173" s="263"/>
      <c r="LI173" s="263"/>
      <c r="LJ173" s="263"/>
      <c r="LK173" s="263"/>
      <c r="LL173" s="263"/>
      <c r="LM173" s="263"/>
      <c r="LN173" s="263"/>
      <c r="LO173" s="263"/>
      <c r="LP173" s="263"/>
      <c r="LQ173" s="263"/>
      <c r="LR173" s="263"/>
      <c r="LS173" s="263"/>
      <c r="LT173" s="263"/>
      <c r="LU173" s="263"/>
      <c r="LV173" s="263"/>
      <c r="LW173" s="263"/>
      <c r="LX173" s="263"/>
      <c r="LY173" s="263"/>
      <c r="LZ173" s="263"/>
      <c r="MA173" s="263"/>
      <c r="MB173" s="263"/>
      <c r="MC173" s="263"/>
      <c r="MD173" s="263"/>
      <c r="ME173" s="263"/>
      <c r="MF173" s="263"/>
      <c r="MG173" s="263"/>
      <c r="MH173" s="263"/>
      <c r="MI173" s="263"/>
      <c r="MJ173" s="263"/>
      <c r="MK173" s="263"/>
      <c r="ML173" s="263"/>
      <c r="MM173" s="263"/>
      <c r="MN173" s="263"/>
      <c r="MO173" s="263"/>
      <c r="MP173" s="263"/>
      <c r="MQ173" s="263"/>
      <c r="MR173" s="263"/>
      <c r="MS173" s="263"/>
      <c r="MT173" s="263"/>
      <c r="MU173" s="263"/>
      <c r="MV173" s="263"/>
      <c r="MW173" s="263"/>
      <c r="MX173" s="263"/>
      <c r="MY173" s="263"/>
      <c r="MZ173" s="263"/>
      <c r="NA173" s="263"/>
      <c r="NB173" s="263"/>
      <c r="NC173" s="263"/>
      <c r="ND173" s="263"/>
      <c r="NE173" s="263"/>
      <c r="NF173" s="263"/>
      <c r="NG173" s="263"/>
      <c r="NH173" s="263"/>
      <c r="NI173" s="263"/>
      <c r="NJ173" s="263"/>
      <c r="NK173" s="263"/>
      <c r="NL173" s="263"/>
      <c r="NM173" s="263"/>
      <c r="NN173" s="263"/>
      <c r="NO173" s="263"/>
      <c r="NP173" s="263"/>
      <c r="NQ173" s="263"/>
      <c r="NR173" s="263"/>
      <c r="NS173" s="263"/>
      <c r="NT173" s="263"/>
      <c r="NU173" s="263"/>
      <c r="NV173" s="263"/>
      <c r="NW173" s="263"/>
      <c r="NX173" s="263"/>
      <c r="NY173" s="263"/>
      <c r="NZ173" s="263"/>
      <c r="OA173" s="263"/>
      <c r="OB173" s="263"/>
      <c r="OC173" s="263"/>
      <c r="OD173" s="263"/>
      <c r="OE173" s="263"/>
      <c r="OF173" s="263"/>
      <c r="OG173" s="263"/>
      <c r="OH173" s="263"/>
      <c r="OI173" s="263"/>
      <c r="OJ173" s="263"/>
      <c r="OK173" s="263"/>
      <c r="OL173" s="263"/>
      <c r="OM173" s="263"/>
      <c r="ON173" s="263"/>
      <c r="OO173" s="263"/>
      <c r="OP173" s="263"/>
      <c r="OQ173" s="263"/>
      <c r="OR173" s="263"/>
      <c r="OS173" s="263"/>
      <c r="OT173" s="263"/>
      <c r="OU173" s="263"/>
      <c r="OV173" s="263"/>
      <c r="OW173" s="263"/>
      <c r="OX173" s="263"/>
      <c r="OY173" s="263"/>
      <c r="OZ173" s="263"/>
      <c r="PA173" s="263"/>
      <c r="PB173" s="263"/>
      <c r="PC173" s="263"/>
      <c r="PD173" s="263"/>
      <c r="PE173" s="263"/>
      <c r="PF173" s="263"/>
      <c r="PG173" s="263"/>
      <c r="PH173" s="263"/>
    </row>
    <row r="174">
      <c r="B174" s="431" t="n">
        <f>B135</f>
        <v>0</v>
      </c>
      <c r="C174" s="404"/>
      <c r="D174" s="404"/>
      <c r="E174" s="508"/>
      <c r="F174" s="508"/>
      <c r="G174" s="41"/>
      <c r="H174" s="449" t="n">
        <f>+I135</f>
        <v>0</v>
      </c>
      <c r="I174" s="420" t="n">
        <f>MAX(SUM(INDEX($L$135:$EN$135,1,Timing_Reversion_Month+1):INDEX($L$135:$EN$135,1,Timing_Reversion_Month+12)))</f>
        <v>0</v>
      </c>
      <c r="J174" s="399"/>
      <c r="K174" s="519"/>
      <c r="L174" s="519" t="s">
        <v>344</v>
      </c>
      <c r="M174" s="450" t="str">
        <f>IF(M162&gt;=0,"OK",IF(M162&lt;0,"Error"))</f>
        <v>OK</v>
      </c>
      <c r="N174" s="450"/>
      <c r="O174" s="450" t="str">
        <f>IF(O162&gt;=0,"OK",IF(O162&lt;0,"Error"))</f>
        <v>OK</v>
      </c>
      <c r="P174" s="450" t="str">
        <f>IF(P162&gt;=0,"OK",IF(P162&lt;0,"Error"))</f>
        <v>OK</v>
      </c>
      <c r="V174" s="450" t="str">
        <f>IF(V162&gt;=0,"OK",IF(V162&lt;0,"Error"))</f>
        <v>OK</v>
      </c>
      <c r="W174" s="450" t="str">
        <f>IF(W162&gt;=0,"OK",IF(W162&lt;0,"Error"))</f>
        <v>OK</v>
      </c>
      <c r="X174" s="400"/>
      <c r="Y174" s="400"/>
      <c r="Z174" s="400"/>
      <c r="AA174" s="400"/>
      <c r="AB174" s="400"/>
      <c r="AC174" s="400"/>
      <c r="AD174" s="400"/>
      <c r="AE174" s="400"/>
      <c r="AF174" s="400"/>
      <c r="AG174" s="400"/>
      <c r="AH174" s="400"/>
      <c r="AI174" s="400"/>
      <c r="AJ174" s="400"/>
      <c r="AK174" s="400"/>
      <c r="AL174" s="400"/>
      <c r="AM174" s="400"/>
      <c r="AN174" s="400"/>
      <c r="AO174" s="400"/>
      <c r="AP174" s="400"/>
      <c r="AQ174" s="400"/>
      <c r="AR174" s="400"/>
      <c r="AS174" s="400"/>
      <c r="AT174" s="400"/>
      <c r="AU174" s="400"/>
      <c r="AV174" s="400"/>
      <c r="AW174" s="400"/>
      <c r="AX174" s="400"/>
      <c r="AY174" s="400"/>
      <c r="AZ174" s="400"/>
      <c r="BA174" s="400"/>
      <c r="BB174" s="400"/>
      <c r="BC174" s="400"/>
      <c r="BD174" s="400"/>
      <c r="BE174" s="400"/>
      <c r="BF174" s="400"/>
      <c r="BG174" s="400"/>
      <c r="BH174" s="400"/>
      <c r="BI174" s="400"/>
      <c r="BJ174" s="400"/>
      <c r="BK174" s="400"/>
      <c r="BL174" s="400"/>
      <c r="BM174" s="400"/>
      <c r="BN174" s="400"/>
      <c r="BO174" s="400"/>
      <c r="BP174" s="400"/>
      <c r="BQ174" s="400"/>
      <c r="BR174" s="400"/>
      <c r="BS174" s="400"/>
      <c r="BT174" s="400"/>
      <c r="BU174" s="400"/>
      <c r="BV174" s="400"/>
      <c r="BW174" s="400"/>
      <c r="BX174" s="400"/>
      <c r="BY174" s="400"/>
      <c r="BZ174" s="400"/>
      <c r="CA174" s="400"/>
      <c r="CB174" s="400"/>
      <c r="CC174" s="400"/>
      <c r="CD174" s="400"/>
      <c r="CE174" s="400"/>
      <c r="CF174" s="400"/>
      <c r="CG174" s="400"/>
      <c r="CH174" s="400"/>
      <c r="CI174" s="400"/>
      <c r="CJ174" s="400"/>
      <c r="CK174" s="400"/>
      <c r="CL174" s="400"/>
      <c r="CM174" s="400"/>
      <c r="CN174" s="400"/>
      <c r="CO174" s="400"/>
      <c r="CP174" s="400"/>
      <c r="CQ174" s="400"/>
      <c r="CR174" s="400"/>
      <c r="CS174" s="400"/>
      <c r="CT174" s="400"/>
      <c r="CU174" s="400"/>
      <c r="CV174" s="400"/>
      <c r="CW174" s="400"/>
      <c r="CX174" s="400"/>
      <c r="CY174" s="400"/>
      <c r="CZ174" s="400"/>
      <c r="DA174" s="400"/>
      <c r="DB174" s="400"/>
      <c r="DC174" s="400"/>
      <c r="DD174" s="400"/>
      <c r="DE174" s="400"/>
      <c r="DF174" s="400"/>
      <c r="DG174" s="400"/>
      <c r="DH174" s="400"/>
      <c r="DI174" s="400"/>
      <c r="DJ174" s="400"/>
      <c r="DK174" s="400"/>
      <c r="DL174" s="400"/>
      <c r="DM174" s="400"/>
      <c r="DN174" s="400"/>
      <c r="DO174" s="400"/>
      <c r="DP174" s="400"/>
      <c r="DQ174" s="400"/>
      <c r="DR174" s="400"/>
      <c r="DS174" s="400"/>
      <c r="DT174" s="400"/>
      <c r="DU174" s="400"/>
      <c r="DV174" s="400"/>
      <c r="DW174" s="400"/>
      <c r="DX174" s="400"/>
      <c r="DY174" s="400"/>
      <c r="DZ174" s="400"/>
      <c r="EA174" s="400"/>
      <c r="EB174" s="400"/>
      <c r="EC174" s="400"/>
      <c r="ED174" s="400"/>
      <c r="EE174" s="400"/>
      <c r="EF174" s="400"/>
      <c r="EG174" s="400"/>
      <c r="EH174" s="400"/>
      <c r="EI174" s="400"/>
      <c r="EJ174" s="400"/>
      <c r="EK174" s="400"/>
      <c r="EL174" s="400"/>
      <c r="EM174" s="400"/>
      <c r="EN174" s="400"/>
      <c r="EO174" s="400"/>
      <c r="EP174" s="220"/>
      <c r="EQ174" s="18"/>
      <c r="ER174" s="18"/>
      <c r="ES174" s="18"/>
      <c r="ET174" s="18"/>
      <c r="EU174" s="18"/>
      <c r="EV174" s="18"/>
      <c r="EW174" s="18"/>
      <c r="EX174" s="18"/>
      <c r="EY174" s="18"/>
      <c r="EZ174" s="18"/>
      <c r="FA174" s="18"/>
      <c r="FB174" s="18"/>
      <c r="FC174" s="18"/>
      <c r="FD174" s="18"/>
      <c r="FE174" s="18"/>
      <c r="FF174" s="18"/>
      <c r="FG174" s="18"/>
      <c r="FH174" s="18"/>
      <c r="FI174" s="18"/>
      <c r="FJ174" s="18"/>
      <c r="FK174" s="18"/>
      <c r="FL174" s="18"/>
      <c r="FM174" s="18"/>
      <c r="FN174" s="18"/>
      <c r="FO174" s="18"/>
      <c r="FP174" s="18"/>
      <c r="FQ174" s="18"/>
      <c r="FR174" s="18"/>
      <c r="FS174" s="18"/>
      <c r="FT174" s="18"/>
      <c r="FU174" s="18"/>
      <c r="FV174" s="18"/>
      <c r="FW174" s="18"/>
      <c r="FX174" s="18"/>
      <c r="FY174" s="18"/>
      <c r="FZ174" s="18"/>
      <c r="GA174" s="18"/>
      <c r="GB174" s="18"/>
      <c r="GC174" s="18"/>
      <c r="GD174" s="18"/>
      <c r="GE174" s="18"/>
      <c r="GF174" s="18"/>
      <c r="GG174" s="18"/>
      <c r="GH174" s="18"/>
      <c r="GI174" s="18"/>
      <c r="GJ174" s="18"/>
      <c r="GK174" s="18"/>
      <c r="GL174" s="18"/>
      <c r="GM174" s="18"/>
      <c r="GN174" s="18"/>
      <c r="GO174" s="18"/>
      <c r="GP174" s="18"/>
      <c r="GQ174" s="18"/>
      <c r="GR174" s="18"/>
      <c r="GS174" s="18"/>
      <c r="GT174" s="18"/>
      <c r="GU174" s="18"/>
      <c r="GV174" s="18"/>
      <c r="GW174" s="18"/>
      <c r="GX174" s="18"/>
      <c r="GY174" s="18"/>
      <c r="GZ174" s="18"/>
      <c r="HA174" s="18"/>
      <c r="HB174" s="18"/>
      <c r="HC174" s="18"/>
      <c r="HD174" s="18"/>
      <c r="HE174" s="18"/>
      <c r="HF174" s="18"/>
      <c r="HG174" s="18"/>
      <c r="HH174" s="18"/>
      <c r="HI174" s="18"/>
      <c r="HJ174" s="18"/>
      <c r="HK174" s="18"/>
      <c r="HL174" s="18"/>
      <c r="HM174" s="18"/>
      <c r="HN174" s="18"/>
      <c r="HO174" s="18"/>
      <c r="HP174" s="18"/>
      <c r="HQ174" s="18"/>
      <c r="HR174" s="18"/>
      <c r="HS174" s="18"/>
      <c r="HT174" s="18"/>
      <c r="HU174" s="18"/>
      <c r="HV174" s="18"/>
      <c r="HW174" s="18"/>
      <c r="HX174" s="18"/>
      <c r="HY174" s="18"/>
      <c r="HZ174" s="18"/>
      <c r="IA174" s="18"/>
      <c r="IB174" s="18"/>
      <c r="IC174" s="18"/>
      <c r="ID174" s="18"/>
      <c r="IE174" s="18"/>
      <c r="IF174" s="18"/>
      <c r="IG174" s="18"/>
      <c r="IH174" s="18"/>
      <c r="II174" s="18"/>
      <c r="IJ174" s="18"/>
      <c r="IK174" s="18"/>
      <c r="IL174" s="18"/>
      <c r="IM174" s="18"/>
      <c r="IN174" s="18"/>
      <c r="IO174" s="18"/>
      <c r="IP174" s="18"/>
      <c r="IQ174" s="18"/>
      <c r="IR174" s="18"/>
      <c r="IS174" s="18"/>
      <c r="IT174" s="18"/>
      <c r="IU174" s="18"/>
      <c r="IV174" s="18"/>
      <c r="IW174" s="18"/>
      <c r="IX174" s="18"/>
      <c r="IY174" s="18"/>
      <c r="IZ174" s="18"/>
      <c r="JA174" s="18"/>
      <c r="JB174" s="18"/>
      <c r="JC174" s="18"/>
      <c r="JD174" s="18"/>
      <c r="JE174" s="18"/>
      <c r="JF174" s="18"/>
      <c r="JG174" s="18"/>
      <c r="JH174" s="18"/>
      <c r="JI174" s="18"/>
      <c r="JJ174" s="18"/>
      <c r="JK174" s="18"/>
      <c r="JL174" s="18"/>
      <c r="JM174" s="18"/>
      <c r="JN174" s="18"/>
      <c r="JO174" s="18"/>
      <c r="JP174" s="18"/>
      <c r="JQ174" s="18"/>
      <c r="JR174" s="18"/>
      <c r="JS174" s="18"/>
      <c r="JT174" s="18"/>
      <c r="JU174" s="18"/>
      <c r="JV174" s="18"/>
      <c r="JW174" s="18"/>
      <c r="JX174" s="18"/>
      <c r="JZ174" s="263"/>
      <c r="KA174" s="263"/>
      <c r="KB174" s="263"/>
      <c r="KC174" s="263"/>
      <c r="KD174" s="263"/>
      <c r="KE174" s="263"/>
      <c r="KF174" s="263"/>
      <c r="KG174" s="263"/>
      <c r="KH174" s="263"/>
      <c r="KI174" s="263"/>
      <c r="KJ174" s="263"/>
      <c r="KK174" s="263"/>
      <c r="KL174" s="263"/>
      <c r="KM174" s="263"/>
      <c r="KN174" s="263"/>
      <c r="KO174" s="263"/>
      <c r="KP174" s="263"/>
      <c r="KQ174" s="263"/>
      <c r="KR174" s="263"/>
      <c r="KS174" s="263"/>
      <c r="KT174" s="263"/>
      <c r="KU174" s="263"/>
      <c r="KV174" s="263"/>
      <c r="KW174" s="263"/>
      <c r="KX174" s="263"/>
      <c r="KY174" s="263"/>
      <c r="KZ174" s="263"/>
      <c r="LA174" s="263"/>
      <c r="LB174" s="263"/>
      <c r="LC174" s="263"/>
      <c r="LD174" s="263"/>
      <c r="LE174" s="263"/>
      <c r="LF174" s="263"/>
      <c r="LG174" s="263"/>
      <c r="LH174" s="263"/>
      <c r="LI174" s="263"/>
      <c r="LJ174" s="263"/>
      <c r="LK174" s="263"/>
      <c r="LL174" s="263"/>
      <c r="LM174" s="263"/>
      <c r="LN174" s="263"/>
      <c r="LO174" s="263"/>
      <c r="LP174" s="263"/>
      <c r="LQ174" s="263"/>
      <c r="LR174" s="263"/>
      <c r="LS174" s="263"/>
      <c r="LT174" s="263"/>
      <c r="LU174" s="263"/>
      <c r="LV174" s="263"/>
      <c r="LW174" s="263"/>
      <c r="LX174" s="263"/>
      <c r="LY174" s="263"/>
      <c r="LZ174" s="263"/>
      <c r="MA174" s="263"/>
      <c r="MB174" s="263"/>
      <c r="MC174" s="263"/>
      <c r="MD174" s="263"/>
      <c r="ME174" s="263"/>
      <c r="MF174" s="263"/>
      <c r="MG174" s="263"/>
      <c r="MH174" s="263"/>
      <c r="MI174" s="263"/>
      <c r="MJ174" s="263"/>
      <c r="MK174" s="263"/>
      <c r="ML174" s="263"/>
      <c r="MM174" s="263"/>
      <c r="MN174" s="263"/>
      <c r="MO174" s="263"/>
      <c r="MP174" s="263"/>
      <c r="MQ174" s="263"/>
      <c r="MR174" s="263"/>
      <c r="MS174" s="263"/>
      <c r="MT174" s="263"/>
      <c r="MU174" s="263"/>
      <c r="MV174" s="263"/>
      <c r="MW174" s="263"/>
      <c r="MX174" s="263"/>
      <c r="MY174" s="263"/>
      <c r="MZ174" s="263"/>
      <c r="NA174" s="263"/>
      <c r="NB174" s="263"/>
      <c r="NC174" s="263"/>
      <c r="ND174" s="263"/>
      <c r="NE174" s="263"/>
      <c r="NF174" s="263"/>
      <c r="NG174" s="263"/>
      <c r="NH174" s="263"/>
      <c r="NI174" s="263"/>
      <c r="NJ174" s="263"/>
      <c r="NK174" s="263"/>
      <c r="NL174" s="263"/>
      <c r="NM174" s="263"/>
      <c r="NN174" s="263"/>
      <c r="NO174" s="263"/>
      <c r="NP174" s="263"/>
      <c r="NQ174" s="263"/>
      <c r="NR174" s="263"/>
      <c r="NS174" s="263"/>
      <c r="NT174" s="263"/>
      <c r="NU174" s="263"/>
      <c r="NV174" s="263"/>
      <c r="NW174" s="263"/>
      <c r="NX174" s="263"/>
      <c r="NY174" s="263"/>
      <c r="NZ174" s="263"/>
      <c r="OA174" s="263"/>
      <c r="OB174" s="263"/>
      <c r="OC174" s="263"/>
      <c r="OD174" s="263"/>
      <c r="OE174" s="263"/>
      <c r="OF174" s="263"/>
      <c r="OG174" s="263"/>
      <c r="OH174" s="263"/>
      <c r="OI174" s="263"/>
      <c r="OJ174" s="263"/>
      <c r="OK174" s="263"/>
      <c r="OL174" s="263"/>
      <c r="OM174" s="263"/>
      <c r="ON174" s="263"/>
      <c r="OO174" s="263"/>
      <c r="OP174" s="263"/>
      <c r="OQ174" s="263"/>
      <c r="OR174" s="263"/>
      <c r="OS174" s="263"/>
      <c r="OT174" s="263"/>
      <c r="OU174" s="263"/>
      <c r="OV174" s="263"/>
      <c r="OW174" s="263"/>
      <c r="OX174" s="263"/>
      <c r="OY174" s="263"/>
      <c r="OZ174" s="263"/>
      <c r="PA174" s="263"/>
      <c r="PB174" s="263"/>
      <c r="PC174" s="263"/>
      <c r="PD174" s="263"/>
      <c r="PE174" s="263"/>
      <c r="PF174" s="263"/>
      <c r="PG174" s="263"/>
      <c r="PH174" s="263"/>
    </row>
    <row r="175">
      <c r="B175" s="431" t="n">
        <f>B136</f>
        <v>0</v>
      </c>
      <c r="C175" s="404"/>
      <c r="D175" s="404"/>
      <c r="E175" s="416" t="s">
        <v>345</v>
      </c>
      <c r="F175" s="416" t="s">
        <v>346</v>
      </c>
      <c r="G175" s="41"/>
      <c r="H175" s="449" t="n">
        <f>+I136</f>
        <v>0</v>
      </c>
      <c r="I175" s="420" t="n">
        <f>MAX(SUM(INDEX($L$136:$EN$136,1,Timing_Reversion_Month+1):INDEX($L$136:$EN$136,1,Timing_Reversion_Month+12)))</f>
        <v>0</v>
      </c>
      <c r="J175" s="399"/>
      <c r="K175" s="400"/>
      <c r="L175" s="400"/>
      <c r="M175" s="400"/>
      <c r="N175" s="400"/>
      <c r="O175" s="400"/>
      <c r="P175" s="400"/>
      <c r="Q175" s="400"/>
      <c r="R175" s="400"/>
      <c r="S175" s="400"/>
      <c r="T175" s="400"/>
      <c r="U175" s="400"/>
      <c r="V175" s="400"/>
      <c r="W175" s="400"/>
      <c r="X175" s="400"/>
      <c r="Y175" s="400"/>
      <c r="Z175" s="400"/>
      <c r="AA175" s="400"/>
      <c r="AB175" s="400"/>
      <c r="AC175" s="400"/>
      <c r="AD175" s="400"/>
      <c r="AE175" s="400"/>
      <c r="AF175" s="400"/>
      <c r="AG175" s="400"/>
      <c r="AH175" s="400"/>
      <c r="AI175" s="400"/>
      <c r="AJ175" s="400"/>
      <c r="AK175" s="400"/>
      <c r="AL175" s="400"/>
      <c r="AM175" s="400"/>
      <c r="AN175" s="400"/>
      <c r="AO175" s="400"/>
      <c r="AP175" s="400"/>
      <c r="AQ175" s="400"/>
      <c r="AR175" s="400"/>
      <c r="AS175" s="400"/>
      <c r="AT175" s="400"/>
      <c r="AU175" s="400"/>
      <c r="AV175" s="400"/>
      <c r="AW175" s="400"/>
      <c r="AX175" s="400"/>
      <c r="AY175" s="400"/>
      <c r="AZ175" s="400"/>
      <c r="BA175" s="400"/>
      <c r="BB175" s="400"/>
      <c r="BC175" s="400"/>
      <c r="BD175" s="400"/>
      <c r="BE175" s="400"/>
      <c r="BF175" s="400"/>
      <c r="BG175" s="400"/>
      <c r="BH175" s="400"/>
      <c r="BI175" s="400"/>
      <c r="BJ175" s="400"/>
      <c r="BK175" s="400"/>
      <c r="BL175" s="400"/>
      <c r="BM175" s="400"/>
      <c r="BN175" s="400"/>
      <c r="BO175" s="400"/>
      <c r="BP175" s="400"/>
      <c r="BQ175" s="400"/>
      <c r="BR175" s="400"/>
      <c r="BS175" s="400"/>
      <c r="BT175" s="400"/>
      <c r="BU175" s="400"/>
      <c r="BV175" s="400"/>
      <c r="BW175" s="400"/>
      <c r="BX175" s="400"/>
      <c r="BY175" s="400"/>
      <c r="BZ175" s="400"/>
      <c r="CA175" s="400"/>
      <c r="CB175" s="400"/>
      <c r="CC175" s="400"/>
      <c r="CD175" s="400"/>
      <c r="CE175" s="400"/>
      <c r="CF175" s="400"/>
      <c r="CG175" s="400"/>
      <c r="CH175" s="400"/>
      <c r="CI175" s="400"/>
      <c r="CJ175" s="400"/>
      <c r="CK175" s="400"/>
      <c r="CL175" s="400"/>
      <c r="CM175" s="400"/>
      <c r="CN175" s="400"/>
      <c r="CO175" s="400"/>
      <c r="CP175" s="400"/>
      <c r="CQ175" s="400"/>
      <c r="CR175" s="400"/>
      <c r="CS175" s="400"/>
      <c r="CT175" s="400"/>
      <c r="CU175" s="400"/>
      <c r="CV175" s="400"/>
      <c r="CW175" s="400"/>
      <c r="CX175" s="400"/>
      <c r="CY175" s="400"/>
      <c r="CZ175" s="400"/>
      <c r="DA175" s="400"/>
      <c r="DB175" s="400"/>
      <c r="DC175" s="400"/>
      <c r="DD175" s="400"/>
      <c r="DE175" s="400"/>
      <c r="DF175" s="400"/>
      <c r="DG175" s="400"/>
      <c r="DH175" s="400"/>
      <c r="DI175" s="400"/>
      <c r="DJ175" s="400"/>
      <c r="DK175" s="400"/>
      <c r="DL175" s="400"/>
      <c r="DM175" s="400"/>
      <c r="DN175" s="400"/>
      <c r="DO175" s="400"/>
      <c r="DP175" s="400"/>
      <c r="DQ175" s="400"/>
      <c r="DR175" s="400"/>
      <c r="DS175" s="400"/>
      <c r="DT175" s="400"/>
      <c r="DU175" s="400"/>
      <c r="DV175" s="400"/>
      <c r="DW175" s="400"/>
      <c r="DX175" s="400"/>
      <c r="DY175" s="400"/>
      <c r="DZ175" s="400"/>
      <c r="EA175" s="400"/>
      <c r="EB175" s="400"/>
      <c r="EC175" s="400"/>
      <c r="ED175" s="400"/>
      <c r="EE175" s="400"/>
      <c r="EF175" s="400"/>
      <c r="EG175" s="400"/>
      <c r="EH175" s="400"/>
      <c r="EI175" s="400"/>
      <c r="EJ175" s="400"/>
      <c r="EK175" s="400"/>
      <c r="EL175" s="400"/>
      <c r="EM175" s="400"/>
      <c r="EN175" s="400"/>
      <c r="EO175" s="400"/>
      <c r="EP175" s="220"/>
      <c r="EQ175" s="18"/>
      <c r="ER175" s="18"/>
      <c r="ES175" s="18"/>
      <c r="ET175" s="18"/>
      <c r="EU175" s="18"/>
      <c r="EV175" s="18"/>
      <c r="EW175" s="18"/>
      <c r="EX175" s="18"/>
      <c r="EY175" s="18"/>
      <c r="EZ175" s="18"/>
      <c r="FA175" s="18"/>
      <c r="FB175" s="18"/>
      <c r="FC175" s="18"/>
      <c r="FD175" s="18"/>
      <c r="FE175" s="18"/>
      <c r="FF175" s="18"/>
      <c r="FG175" s="18"/>
      <c r="FH175" s="18"/>
      <c r="FI175" s="18"/>
      <c r="FJ175" s="18"/>
      <c r="FK175" s="18"/>
      <c r="FL175" s="18"/>
      <c r="FM175" s="18"/>
      <c r="FN175" s="18"/>
      <c r="FO175" s="18"/>
      <c r="FP175" s="18"/>
      <c r="FQ175" s="18"/>
      <c r="FR175" s="18"/>
      <c r="FS175" s="18"/>
      <c r="FT175" s="18"/>
      <c r="FU175" s="18"/>
      <c r="FV175" s="18"/>
      <c r="FW175" s="18"/>
      <c r="FX175" s="18"/>
      <c r="FY175" s="18"/>
      <c r="FZ175" s="18"/>
      <c r="GA175" s="18"/>
      <c r="GB175" s="18"/>
      <c r="GC175" s="18"/>
      <c r="GD175" s="18"/>
      <c r="GE175" s="18"/>
      <c r="GF175" s="18"/>
      <c r="GG175" s="18"/>
      <c r="GH175" s="18"/>
      <c r="GI175" s="18"/>
      <c r="GJ175" s="18"/>
      <c r="GK175" s="18"/>
      <c r="GL175" s="18"/>
      <c r="GM175" s="18"/>
      <c r="GN175" s="18"/>
      <c r="GO175" s="18"/>
      <c r="GP175" s="18"/>
      <c r="GQ175" s="18"/>
      <c r="GR175" s="18"/>
      <c r="GS175" s="18"/>
      <c r="GT175" s="18"/>
      <c r="GU175" s="18"/>
      <c r="GV175" s="18"/>
      <c r="GW175" s="18"/>
      <c r="GX175" s="18"/>
      <c r="GY175" s="18"/>
      <c r="GZ175" s="18"/>
      <c r="HA175" s="18"/>
      <c r="HB175" s="18"/>
      <c r="HC175" s="18"/>
      <c r="HD175" s="18"/>
      <c r="HE175" s="18"/>
      <c r="HF175" s="18"/>
      <c r="HG175" s="18"/>
      <c r="HH175" s="18"/>
      <c r="HI175" s="18"/>
      <c r="HJ175" s="18"/>
      <c r="HK175" s="18"/>
      <c r="HL175" s="18"/>
      <c r="HM175" s="18"/>
      <c r="HN175" s="18"/>
      <c r="HO175" s="18"/>
      <c r="HP175" s="18"/>
      <c r="HQ175" s="18"/>
      <c r="HR175" s="18"/>
      <c r="HS175" s="18"/>
      <c r="HT175" s="18"/>
      <c r="HU175" s="18"/>
      <c r="HV175" s="18"/>
      <c r="HW175" s="18"/>
      <c r="HX175" s="18"/>
      <c r="HY175" s="18"/>
      <c r="HZ175" s="18"/>
      <c r="IA175" s="18"/>
      <c r="IB175" s="18"/>
      <c r="IC175" s="18"/>
      <c r="ID175" s="18"/>
      <c r="IE175" s="18"/>
      <c r="IF175" s="18"/>
      <c r="IG175" s="18"/>
      <c r="IH175" s="18"/>
      <c r="II175" s="18"/>
      <c r="IJ175" s="18"/>
      <c r="IK175" s="18"/>
      <c r="IL175" s="18"/>
      <c r="IM175" s="18"/>
      <c r="IN175" s="18"/>
      <c r="IO175" s="18"/>
      <c r="IP175" s="18"/>
      <c r="IQ175" s="18"/>
      <c r="IR175" s="18"/>
      <c r="IS175" s="18"/>
      <c r="IT175" s="18"/>
      <c r="IU175" s="18"/>
      <c r="IV175" s="18"/>
      <c r="IW175" s="18"/>
      <c r="IX175" s="18"/>
      <c r="IY175" s="18"/>
      <c r="IZ175" s="18"/>
      <c r="JA175" s="18"/>
      <c r="JB175" s="18"/>
      <c r="JC175" s="18"/>
      <c r="JD175" s="18"/>
      <c r="JE175" s="18"/>
      <c r="JF175" s="18"/>
      <c r="JG175" s="18"/>
      <c r="JH175" s="18"/>
      <c r="JI175" s="18"/>
      <c r="JJ175" s="18"/>
      <c r="JK175" s="18"/>
      <c r="JL175" s="18"/>
      <c r="JM175" s="18"/>
      <c r="JN175" s="18"/>
      <c r="JO175" s="18"/>
      <c r="JP175" s="18"/>
      <c r="JQ175" s="18"/>
      <c r="JR175" s="18"/>
      <c r="JS175" s="18"/>
      <c r="JT175" s="18"/>
      <c r="JU175" s="18"/>
      <c r="JV175" s="18"/>
      <c r="JW175" s="18"/>
      <c r="JX175" s="18"/>
      <c r="JZ175" s="263"/>
      <c r="KA175" s="263"/>
      <c r="KB175" s="263"/>
      <c r="KC175" s="263"/>
      <c r="KD175" s="263"/>
      <c r="KE175" s="263"/>
      <c r="KF175" s="263"/>
      <c r="KG175" s="263"/>
      <c r="KH175" s="263"/>
      <c r="KI175" s="263"/>
      <c r="KJ175" s="263"/>
      <c r="KK175" s="263"/>
      <c r="KL175" s="263"/>
      <c r="KM175" s="263"/>
      <c r="KN175" s="263"/>
      <c r="KO175" s="263"/>
      <c r="KP175" s="263"/>
      <c r="KQ175" s="263"/>
      <c r="KR175" s="263"/>
      <c r="KS175" s="263"/>
      <c r="KT175" s="263"/>
      <c r="KU175" s="263"/>
      <c r="KV175" s="263"/>
      <c r="KW175" s="263"/>
      <c r="KX175" s="263"/>
      <c r="KY175" s="263"/>
      <c r="KZ175" s="263"/>
      <c r="LA175" s="263"/>
      <c r="LB175" s="263"/>
      <c r="LC175" s="263"/>
      <c r="LD175" s="263"/>
      <c r="LE175" s="263"/>
      <c r="LF175" s="263"/>
      <c r="LG175" s="263"/>
      <c r="LH175" s="263"/>
      <c r="LI175" s="263"/>
      <c r="LJ175" s="263"/>
      <c r="LK175" s="263"/>
      <c r="LL175" s="263"/>
      <c r="LM175" s="263"/>
      <c r="LN175" s="263"/>
      <c r="LO175" s="263"/>
      <c r="LP175" s="263"/>
      <c r="LQ175" s="263"/>
      <c r="LR175" s="263"/>
      <c r="LS175" s="263"/>
      <c r="LT175" s="263"/>
      <c r="LU175" s="263"/>
      <c r="LV175" s="263"/>
      <c r="LW175" s="263"/>
      <c r="LX175" s="263"/>
      <c r="LY175" s="263"/>
      <c r="LZ175" s="263"/>
      <c r="MA175" s="263"/>
      <c r="MB175" s="263"/>
      <c r="MC175" s="263"/>
      <c r="MD175" s="263"/>
      <c r="ME175" s="263"/>
      <c r="MF175" s="263"/>
      <c r="MG175" s="263"/>
      <c r="MH175" s="263"/>
      <c r="MI175" s="263"/>
      <c r="MJ175" s="263"/>
      <c r="MK175" s="263"/>
      <c r="ML175" s="263"/>
      <c r="MM175" s="263"/>
      <c r="MN175" s="263"/>
      <c r="MO175" s="263"/>
      <c r="MP175" s="263"/>
      <c r="MQ175" s="263"/>
      <c r="MR175" s="263"/>
      <c r="MS175" s="263"/>
      <c r="MT175" s="263"/>
      <c r="MU175" s="263"/>
      <c r="MV175" s="263"/>
      <c r="MW175" s="263"/>
      <c r="MX175" s="263"/>
      <c r="MY175" s="263"/>
      <c r="MZ175" s="263"/>
      <c r="NA175" s="263"/>
      <c r="NB175" s="263"/>
      <c r="NC175" s="263"/>
      <c r="ND175" s="263"/>
      <c r="NE175" s="263"/>
      <c r="NF175" s="263"/>
      <c r="NG175" s="263"/>
      <c r="NH175" s="263"/>
      <c r="NI175" s="263"/>
      <c r="NJ175" s="263"/>
      <c r="NK175" s="263"/>
      <c r="NL175" s="263"/>
      <c r="NM175" s="263"/>
      <c r="NN175" s="263"/>
      <c r="NO175" s="263"/>
      <c r="NP175" s="263"/>
      <c r="NQ175" s="263"/>
      <c r="NR175" s="263"/>
      <c r="NS175" s="263"/>
      <c r="NT175" s="263"/>
      <c r="NU175" s="263"/>
      <c r="NV175" s="263"/>
      <c r="NW175" s="263"/>
      <c r="NX175" s="263"/>
      <c r="NY175" s="263"/>
      <c r="NZ175" s="263"/>
      <c r="OA175" s="263"/>
      <c r="OB175" s="263"/>
      <c r="OC175" s="263"/>
      <c r="OD175" s="263"/>
      <c r="OE175" s="263"/>
      <c r="OF175" s="263"/>
      <c r="OG175" s="263"/>
      <c r="OH175" s="263"/>
      <c r="OI175" s="263"/>
      <c r="OJ175" s="263"/>
      <c r="OK175" s="263"/>
      <c r="OL175" s="263"/>
      <c r="OM175" s="263"/>
      <c r="ON175" s="263"/>
      <c r="OO175" s="263"/>
      <c r="OP175" s="263"/>
      <c r="OQ175" s="263"/>
      <c r="OR175" s="263"/>
      <c r="OS175" s="263"/>
      <c r="OT175" s="263"/>
      <c r="OU175" s="263"/>
      <c r="OV175" s="263"/>
      <c r="OW175" s="263"/>
      <c r="OX175" s="263"/>
      <c r="OY175" s="263"/>
      <c r="OZ175" s="263"/>
      <c r="PA175" s="263"/>
      <c r="PB175" s="263"/>
      <c r="PC175" s="263"/>
      <c r="PD175" s="263"/>
      <c r="PE175" s="263"/>
      <c r="PF175" s="263"/>
      <c r="PG175" s="263"/>
      <c r="PH175" s="263"/>
    </row>
    <row r="176">
      <c r="B176" s="431" t="n">
        <f>B137</f>
        <v>0</v>
      </c>
      <c r="C176" s="404"/>
      <c r="D176" s="433" t="s">
        <v>289</v>
      </c>
      <c r="E176" s="40" t="n">
        <f>+H176/Valuation_Trended</f>
        <v>0</v>
      </c>
      <c r="F176" s="40" t="n">
        <f>+I176/Valuation_Trended</f>
        <v>0</v>
      </c>
      <c r="G176" s="45"/>
      <c r="H176" s="478" t="n">
        <f>+I137</f>
        <v>0</v>
      </c>
      <c r="I176" s="513" t="n">
        <f>MAX(SUM(INDEX($L$137:$EN$137,1,Timing_Reversion_Month+1):INDEX($L$137:$EN$137,1,Timing_Reversion_Month+12)))</f>
        <v>0</v>
      </c>
      <c r="J176" s="399"/>
      <c r="K176" s="400"/>
      <c r="L176" s="400"/>
      <c r="M176" s="400"/>
      <c r="N176" s="400"/>
      <c r="O176" s="400"/>
      <c r="P176" s="400"/>
      <c r="Q176" s="400"/>
      <c r="R176" s="400"/>
      <c r="S176" s="400"/>
      <c r="T176" s="400"/>
      <c r="U176" s="400"/>
      <c r="V176" s="400"/>
      <c r="W176" s="400"/>
      <c r="X176" s="400"/>
      <c r="Y176" s="400"/>
      <c r="Z176" s="400"/>
      <c r="AA176" s="400"/>
      <c r="AB176" s="400"/>
      <c r="AC176" s="400"/>
      <c r="AD176" s="400"/>
      <c r="AE176" s="400"/>
      <c r="AF176" s="400"/>
      <c r="AG176" s="400"/>
      <c r="AH176" s="400"/>
      <c r="AI176" s="400"/>
      <c r="AJ176" s="400"/>
      <c r="AK176" s="400"/>
      <c r="AL176" s="400"/>
      <c r="AM176" s="400"/>
      <c r="AN176" s="400"/>
      <c r="AO176" s="400"/>
      <c r="AP176" s="400"/>
      <c r="AQ176" s="400"/>
      <c r="AR176" s="400"/>
      <c r="AS176" s="400"/>
      <c r="AT176" s="400"/>
      <c r="AU176" s="400"/>
      <c r="AV176" s="400"/>
      <c r="AW176" s="400"/>
      <c r="AX176" s="400"/>
      <c r="AY176" s="400"/>
      <c r="AZ176" s="400"/>
      <c r="BA176" s="400"/>
      <c r="BB176" s="400"/>
      <c r="BC176" s="400"/>
      <c r="BD176" s="400"/>
      <c r="BE176" s="400"/>
      <c r="BF176" s="400"/>
      <c r="BG176" s="400"/>
      <c r="BH176" s="400"/>
      <c r="BI176" s="400"/>
      <c r="BJ176" s="400"/>
      <c r="BK176" s="400"/>
      <c r="BL176" s="400"/>
      <c r="BM176" s="400"/>
      <c r="BN176" s="400"/>
      <c r="BO176" s="400"/>
      <c r="BP176" s="400"/>
      <c r="BQ176" s="400"/>
      <c r="BR176" s="400"/>
      <c r="BS176" s="400"/>
      <c r="BT176" s="400"/>
      <c r="BU176" s="400"/>
      <c r="BV176" s="400"/>
      <c r="BW176" s="400"/>
      <c r="BX176" s="400"/>
      <c r="BY176" s="400"/>
      <c r="BZ176" s="400"/>
      <c r="CA176" s="400"/>
      <c r="CB176" s="400"/>
      <c r="CC176" s="400"/>
      <c r="CD176" s="400"/>
      <c r="CE176" s="400"/>
      <c r="CF176" s="400"/>
      <c r="CG176" s="400"/>
      <c r="CH176" s="400"/>
      <c r="CI176" s="400"/>
      <c r="CJ176" s="400"/>
      <c r="CK176" s="400"/>
      <c r="CL176" s="400"/>
      <c r="CM176" s="400"/>
      <c r="CN176" s="400"/>
      <c r="CO176" s="400"/>
      <c r="CP176" s="400"/>
      <c r="CQ176" s="400"/>
      <c r="CR176" s="400"/>
      <c r="CS176" s="400"/>
      <c r="CT176" s="400"/>
      <c r="CU176" s="400"/>
      <c r="CV176" s="400"/>
      <c r="CW176" s="400"/>
      <c r="CX176" s="400"/>
      <c r="CY176" s="400"/>
      <c r="CZ176" s="400"/>
      <c r="DA176" s="400"/>
      <c r="DB176" s="400"/>
      <c r="DC176" s="400"/>
      <c r="DD176" s="400"/>
      <c r="DE176" s="400"/>
      <c r="DF176" s="400"/>
      <c r="DG176" s="400"/>
      <c r="DH176" s="400"/>
      <c r="DI176" s="400"/>
      <c r="DJ176" s="400"/>
      <c r="DK176" s="400"/>
      <c r="DL176" s="400"/>
      <c r="DM176" s="400"/>
      <c r="DN176" s="400"/>
      <c r="DO176" s="400"/>
      <c r="DP176" s="400"/>
      <c r="DQ176" s="400"/>
      <c r="DR176" s="400"/>
      <c r="DS176" s="400"/>
      <c r="DT176" s="400"/>
      <c r="DU176" s="400"/>
      <c r="DV176" s="400"/>
      <c r="DW176" s="400"/>
      <c r="DX176" s="400"/>
      <c r="DY176" s="400"/>
      <c r="DZ176" s="400"/>
      <c r="EA176" s="400"/>
      <c r="EB176" s="400"/>
      <c r="EC176" s="400"/>
      <c r="ED176" s="400"/>
      <c r="EE176" s="400"/>
      <c r="EF176" s="400"/>
      <c r="EG176" s="400"/>
      <c r="EH176" s="400"/>
      <c r="EI176" s="400"/>
      <c r="EJ176" s="400"/>
      <c r="EK176" s="400"/>
      <c r="EL176" s="400"/>
      <c r="EM176" s="400"/>
      <c r="EN176" s="400"/>
      <c r="EO176" s="400"/>
      <c r="EP176" s="220"/>
      <c r="EQ176" s="18"/>
      <c r="ER176" s="18"/>
      <c r="ES176" s="18"/>
      <c r="ET176" s="18"/>
      <c r="EU176" s="18"/>
      <c r="EV176" s="18"/>
      <c r="EW176" s="18"/>
      <c r="EX176" s="18"/>
      <c r="EY176" s="18"/>
      <c r="EZ176" s="18"/>
      <c r="FA176" s="18"/>
      <c r="FB176" s="18"/>
      <c r="FC176" s="18"/>
      <c r="FD176" s="18"/>
      <c r="FE176" s="18"/>
      <c r="FF176" s="18"/>
      <c r="FG176" s="18"/>
      <c r="FH176" s="18"/>
      <c r="FI176" s="18"/>
      <c r="FJ176" s="18"/>
      <c r="FK176" s="18"/>
      <c r="FL176" s="18"/>
      <c r="FM176" s="18"/>
      <c r="FN176" s="18"/>
      <c r="FO176" s="18"/>
      <c r="FP176" s="18"/>
      <c r="FQ176" s="18"/>
      <c r="FR176" s="18"/>
      <c r="FS176" s="18"/>
      <c r="FT176" s="18"/>
      <c r="FU176" s="18"/>
      <c r="FV176" s="18"/>
      <c r="FW176" s="18"/>
      <c r="FX176" s="18"/>
      <c r="FY176" s="18"/>
      <c r="FZ176" s="18"/>
      <c r="GA176" s="18"/>
      <c r="GB176" s="18"/>
      <c r="GC176" s="18"/>
      <c r="GD176" s="18"/>
      <c r="GE176" s="18"/>
      <c r="GF176" s="18"/>
      <c r="GG176" s="18"/>
      <c r="GH176" s="18"/>
      <c r="GI176" s="18"/>
      <c r="GJ176" s="18"/>
      <c r="GK176" s="18"/>
      <c r="GL176" s="18"/>
      <c r="GM176" s="18"/>
      <c r="GN176" s="18"/>
      <c r="GO176" s="18"/>
      <c r="GP176" s="18"/>
      <c r="GQ176" s="18"/>
      <c r="GR176" s="18"/>
      <c r="GS176" s="18"/>
      <c r="GT176" s="18"/>
      <c r="GU176" s="18"/>
      <c r="GV176" s="18"/>
      <c r="GW176" s="18"/>
      <c r="GX176" s="18"/>
      <c r="GY176" s="18"/>
      <c r="GZ176" s="18"/>
      <c r="HA176" s="18"/>
      <c r="HB176" s="18"/>
      <c r="HC176" s="18"/>
      <c r="HD176" s="18"/>
      <c r="HE176" s="18"/>
      <c r="HF176" s="18"/>
      <c r="HG176" s="18"/>
      <c r="HH176" s="18"/>
      <c r="HI176" s="18"/>
      <c r="HJ176" s="18"/>
      <c r="HK176" s="18"/>
      <c r="HL176" s="18"/>
      <c r="HM176" s="18"/>
      <c r="HN176" s="18"/>
      <c r="HO176" s="18"/>
      <c r="HP176" s="18"/>
      <c r="HQ176" s="18"/>
      <c r="HR176" s="18"/>
      <c r="HS176" s="18"/>
      <c r="HT176" s="18"/>
      <c r="HU176" s="18"/>
      <c r="HV176" s="18"/>
      <c r="HW176" s="18"/>
      <c r="HX176" s="18"/>
      <c r="HY176" s="18"/>
      <c r="HZ176" s="18"/>
      <c r="IA176" s="18"/>
      <c r="IB176" s="18"/>
      <c r="IC176" s="18"/>
      <c r="ID176" s="18"/>
      <c r="IE176" s="18"/>
      <c r="IF176" s="18"/>
      <c r="IG176" s="18"/>
      <c r="IH176" s="18"/>
      <c r="II176" s="18"/>
      <c r="IJ176" s="18"/>
      <c r="IK176" s="18"/>
      <c r="IL176" s="18"/>
      <c r="IM176" s="18"/>
      <c r="IN176" s="18"/>
      <c r="IO176" s="18"/>
      <c r="IP176" s="18"/>
      <c r="IQ176" s="18"/>
      <c r="IR176" s="18"/>
      <c r="IS176" s="18"/>
      <c r="IT176" s="18"/>
      <c r="IU176" s="18"/>
      <c r="IV176" s="18"/>
      <c r="IW176" s="18"/>
      <c r="IX176" s="18"/>
      <c r="IY176" s="18"/>
      <c r="IZ176" s="18"/>
      <c r="JA176" s="18"/>
      <c r="JB176" s="18"/>
      <c r="JC176" s="18"/>
      <c r="JD176" s="18"/>
      <c r="JE176" s="18"/>
      <c r="JF176" s="18"/>
      <c r="JG176" s="18"/>
      <c r="JH176" s="18"/>
      <c r="JI176" s="18"/>
      <c r="JJ176" s="18"/>
      <c r="JK176" s="18"/>
      <c r="JL176" s="18"/>
      <c r="JM176" s="18"/>
      <c r="JN176" s="18"/>
      <c r="JO176" s="18"/>
      <c r="JP176" s="18"/>
      <c r="JQ176" s="18"/>
      <c r="JR176" s="18"/>
      <c r="JS176" s="18"/>
      <c r="JT176" s="18"/>
      <c r="JU176" s="18"/>
      <c r="JV176" s="18"/>
      <c r="JW176" s="18"/>
      <c r="JX176" s="18"/>
      <c r="JZ176" s="263"/>
      <c r="KA176" s="263"/>
      <c r="KB176" s="263"/>
      <c r="KC176" s="263"/>
      <c r="KD176" s="263"/>
      <c r="KE176" s="263"/>
      <c r="KF176" s="263"/>
      <c r="KG176" s="263"/>
      <c r="KH176" s="263"/>
      <c r="KI176" s="263"/>
      <c r="KJ176" s="263"/>
      <c r="KK176" s="263"/>
      <c r="KL176" s="263"/>
      <c r="KM176" s="263"/>
      <c r="KN176" s="263"/>
      <c r="KO176" s="263"/>
      <c r="KP176" s="263"/>
      <c r="KQ176" s="263"/>
      <c r="KR176" s="263"/>
      <c r="KS176" s="263"/>
      <c r="KT176" s="263"/>
      <c r="KU176" s="263"/>
      <c r="KV176" s="263"/>
      <c r="KW176" s="263"/>
      <c r="KX176" s="263"/>
      <c r="KY176" s="263"/>
      <c r="KZ176" s="263"/>
      <c r="LA176" s="263"/>
      <c r="LB176" s="263"/>
      <c r="LC176" s="263"/>
      <c r="LD176" s="263"/>
      <c r="LE176" s="263"/>
      <c r="LF176" s="263"/>
      <c r="LG176" s="263"/>
      <c r="LH176" s="263"/>
      <c r="LI176" s="263"/>
      <c r="LJ176" s="263"/>
      <c r="LK176" s="263"/>
      <c r="LL176" s="263"/>
      <c r="LM176" s="263"/>
      <c r="LN176" s="263"/>
      <c r="LO176" s="263"/>
      <c r="LP176" s="263"/>
      <c r="LQ176" s="263"/>
      <c r="LR176" s="263"/>
      <c r="LS176" s="263"/>
      <c r="LT176" s="263"/>
      <c r="LU176" s="263"/>
      <c r="LV176" s="263"/>
      <c r="LW176" s="263"/>
      <c r="LX176" s="263"/>
      <c r="LY176" s="263"/>
      <c r="LZ176" s="263"/>
      <c r="MA176" s="263"/>
      <c r="MB176" s="263"/>
      <c r="MC176" s="263"/>
      <c r="MD176" s="263"/>
      <c r="ME176" s="263"/>
      <c r="MF176" s="263"/>
      <c r="MG176" s="263"/>
      <c r="MH176" s="263"/>
      <c r="MI176" s="263"/>
      <c r="MJ176" s="263"/>
      <c r="MK176" s="263"/>
      <c r="ML176" s="263"/>
      <c r="MM176" s="263"/>
      <c r="MN176" s="263"/>
      <c r="MO176" s="263"/>
      <c r="MP176" s="263"/>
      <c r="MQ176" s="263"/>
      <c r="MR176" s="263"/>
      <c r="MS176" s="263"/>
      <c r="MT176" s="263"/>
      <c r="MU176" s="263"/>
      <c r="MV176" s="263"/>
      <c r="MW176" s="263"/>
      <c r="MX176" s="263"/>
      <c r="MY176" s="263"/>
      <c r="MZ176" s="263"/>
      <c r="NA176" s="263"/>
      <c r="NB176" s="263"/>
      <c r="NC176" s="263"/>
      <c r="ND176" s="263"/>
      <c r="NE176" s="263"/>
      <c r="NF176" s="263"/>
      <c r="NG176" s="263"/>
      <c r="NH176" s="263"/>
      <c r="NI176" s="263"/>
      <c r="NJ176" s="263"/>
      <c r="NK176" s="263"/>
      <c r="NL176" s="263"/>
      <c r="NM176" s="263"/>
      <c r="NN176" s="263"/>
      <c r="NO176" s="263"/>
      <c r="NP176" s="263"/>
      <c r="NQ176" s="263"/>
      <c r="NR176" s="263"/>
      <c r="NS176" s="263"/>
      <c r="NT176" s="263"/>
      <c r="NU176" s="263"/>
      <c r="NV176" s="263"/>
      <c r="NW176" s="263"/>
      <c r="NX176" s="263"/>
      <c r="NY176" s="263"/>
      <c r="NZ176" s="263"/>
      <c r="OA176" s="263"/>
      <c r="OB176" s="263"/>
      <c r="OC176" s="263"/>
      <c r="OD176" s="263"/>
      <c r="OE176" s="263"/>
      <c r="OF176" s="263"/>
      <c r="OG176" s="263"/>
      <c r="OH176" s="263"/>
      <c r="OI176" s="263"/>
      <c r="OJ176" s="263"/>
      <c r="OK176" s="263"/>
      <c r="OL176" s="263"/>
      <c r="OM176" s="263"/>
      <c r="ON176" s="263"/>
      <c r="OO176" s="263"/>
      <c r="OP176" s="263"/>
      <c r="OQ176" s="263"/>
      <c r="OR176" s="263"/>
      <c r="OS176" s="263"/>
      <c r="OT176" s="263"/>
      <c r="OU176" s="263"/>
      <c r="OV176" s="263"/>
      <c r="OW176" s="263"/>
      <c r="OX176" s="263"/>
      <c r="OY176" s="263"/>
      <c r="OZ176" s="263"/>
      <c r="PA176" s="263"/>
      <c r="PB176" s="263"/>
      <c r="PC176" s="263"/>
      <c r="PD176" s="263"/>
      <c r="PE176" s="263"/>
      <c r="PF176" s="263"/>
      <c r="PG176" s="263"/>
      <c r="PH176" s="263"/>
    </row>
    <row r="177">
      <c r="B177" s="34" t="s">
        <v>347</v>
      </c>
      <c r="C177" s="404"/>
      <c r="D177" s="404"/>
      <c r="E177" s="508"/>
      <c r="F177" s="508"/>
      <c r="G177" s="41"/>
      <c r="H177" s="449" t="n">
        <f>SUM(H173:H176)</f>
        <v>3288278.6208900046</v>
      </c>
      <c r="I177" s="449" t="n">
        <f>SUM(I173:I176)</f>
        <v>3459910.232611992</v>
      </c>
      <c r="J177" s="399"/>
      <c r="K177" s="400"/>
      <c r="L177" s="400"/>
      <c r="M177" s="400"/>
      <c r="N177" s="400"/>
      <c r="O177" s="400"/>
      <c r="P177" s="400"/>
      <c r="Q177" s="400"/>
      <c r="R177" s="400"/>
      <c r="S177" s="400"/>
      <c r="T177" s="400"/>
      <c r="U177" s="400"/>
      <c r="V177" s="400"/>
      <c r="W177" s="400"/>
      <c r="X177" s="400"/>
      <c r="Y177" s="400"/>
      <c r="Z177" s="400"/>
      <c r="AA177" s="400"/>
      <c r="AB177" s="400"/>
      <c r="AC177" s="400"/>
      <c r="AD177" s="400"/>
      <c r="AE177" s="400"/>
      <c r="AF177" s="400"/>
      <c r="AG177" s="400"/>
      <c r="AH177" s="400"/>
      <c r="AI177" s="400"/>
      <c r="AJ177" s="400"/>
      <c r="AK177" s="400"/>
      <c r="AL177" s="400"/>
      <c r="AM177" s="400"/>
      <c r="AN177" s="400"/>
      <c r="AO177" s="400"/>
      <c r="AP177" s="400"/>
      <c r="AQ177" s="400"/>
      <c r="AR177" s="400"/>
      <c r="AS177" s="400"/>
      <c r="AT177" s="400"/>
      <c r="AU177" s="400"/>
      <c r="AV177" s="400"/>
      <c r="AW177" s="400"/>
      <c r="AX177" s="400"/>
      <c r="AY177" s="400"/>
      <c r="AZ177" s="400"/>
      <c r="BA177" s="400"/>
      <c r="BB177" s="400"/>
      <c r="BC177" s="400"/>
      <c r="BD177" s="400"/>
      <c r="BE177" s="400"/>
      <c r="BF177" s="400"/>
      <c r="BG177" s="400"/>
      <c r="BH177" s="400"/>
      <c r="BI177" s="400"/>
      <c r="BJ177" s="400"/>
      <c r="BK177" s="400"/>
      <c r="BL177" s="400"/>
      <c r="BM177" s="400"/>
      <c r="BN177" s="400"/>
      <c r="BO177" s="400"/>
      <c r="BP177" s="400"/>
      <c r="BQ177" s="400"/>
      <c r="BR177" s="400"/>
      <c r="BS177" s="400"/>
      <c r="BT177" s="400"/>
      <c r="BU177" s="400"/>
      <c r="BV177" s="400"/>
      <c r="BW177" s="400"/>
      <c r="BX177" s="400"/>
      <c r="BY177" s="400"/>
      <c r="BZ177" s="400"/>
      <c r="CA177" s="400"/>
      <c r="CB177" s="400"/>
      <c r="CC177" s="400"/>
      <c r="CD177" s="400"/>
      <c r="CE177" s="400"/>
      <c r="CF177" s="400"/>
      <c r="CG177" s="400"/>
      <c r="CH177" s="400"/>
      <c r="CI177" s="400"/>
      <c r="CJ177" s="400"/>
      <c r="CK177" s="400"/>
      <c r="CL177" s="400"/>
      <c r="CM177" s="400"/>
      <c r="CN177" s="400"/>
      <c r="CO177" s="400"/>
      <c r="CP177" s="400"/>
      <c r="CQ177" s="400"/>
      <c r="CR177" s="400"/>
      <c r="CS177" s="400"/>
      <c r="CT177" s="400"/>
      <c r="CU177" s="400"/>
      <c r="CV177" s="400"/>
      <c r="CW177" s="400"/>
      <c r="CX177" s="400"/>
      <c r="CY177" s="400"/>
      <c r="CZ177" s="400"/>
      <c r="DA177" s="400"/>
      <c r="DB177" s="400"/>
      <c r="DC177" s="400"/>
      <c r="DD177" s="400"/>
      <c r="DE177" s="400"/>
      <c r="DF177" s="400"/>
      <c r="DG177" s="400"/>
      <c r="DH177" s="400"/>
      <c r="DI177" s="400"/>
      <c r="DJ177" s="400"/>
      <c r="DK177" s="400"/>
      <c r="DL177" s="400"/>
      <c r="DM177" s="400"/>
      <c r="DN177" s="400"/>
      <c r="DO177" s="400"/>
      <c r="DP177" s="400"/>
      <c r="DQ177" s="400"/>
      <c r="DR177" s="400"/>
      <c r="DS177" s="400"/>
      <c r="DT177" s="400"/>
      <c r="DU177" s="400"/>
      <c r="DV177" s="400"/>
      <c r="DW177" s="400"/>
      <c r="DX177" s="400"/>
      <c r="DY177" s="400"/>
      <c r="DZ177" s="400"/>
      <c r="EA177" s="400"/>
      <c r="EB177" s="400"/>
      <c r="EC177" s="400"/>
      <c r="ED177" s="400"/>
      <c r="EE177" s="400"/>
      <c r="EF177" s="400"/>
      <c r="EG177" s="400"/>
      <c r="EH177" s="400"/>
      <c r="EI177" s="400"/>
      <c r="EJ177" s="400"/>
      <c r="EK177" s="400"/>
      <c r="EL177" s="400"/>
      <c r="EM177" s="400"/>
      <c r="EN177" s="400"/>
      <c r="EO177" s="400"/>
      <c r="EP177" s="220"/>
      <c r="EQ177" s="18"/>
      <c r="ER177" s="18"/>
      <c r="ES177" s="18"/>
      <c r="ET177" s="18"/>
      <c r="EU177" s="18"/>
      <c r="EV177" s="18"/>
      <c r="EW177" s="18"/>
      <c r="EX177" s="18"/>
      <c r="EY177" s="18"/>
      <c r="EZ177" s="18"/>
      <c r="FA177" s="18"/>
      <c r="FB177" s="18"/>
      <c r="FC177" s="18"/>
      <c r="FD177" s="18"/>
      <c r="FE177" s="18"/>
      <c r="FF177" s="18"/>
      <c r="FG177" s="18"/>
      <c r="FH177" s="18"/>
      <c r="FI177" s="18"/>
      <c r="FJ177" s="18"/>
      <c r="FK177" s="18"/>
      <c r="FL177" s="18"/>
      <c r="FM177" s="18"/>
      <c r="FN177" s="18"/>
      <c r="FO177" s="18"/>
      <c r="FP177" s="18"/>
      <c r="FQ177" s="18"/>
      <c r="FR177" s="18"/>
      <c r="FS177" s="18"/>
      <c r="FT177" s="18"/>
      <c r="FU177" s="18"/>
      <c r="FV177" s="18"/>
      <c r="FW177" s="18"/>
      <c r="FX177" s="18"/>
      <c r="FY177" s="18"/>
      <c r="FZ177" s="18"/>
      <c r="GA177" s="18"/>
      <c r="GB177" s="18"/>
      <c r="GC177" s="18"/>
      <c r="GD177" s="18"/>
      <c r="GE177" s="18"/>
      <c r="GF177" s="18"/>
      <c r="GG177" s="18"/>
      <c r="GH177" s="18"/>
      <c r="GI177" s="18"/>
      <c r="GJ177" s="18"/>
      <c r="GK177" s="18"/>
      <c r="GL177" s="18"/>
      <c r="GM177" s="18"/>
      <c r="GN177" s="18"/>
      <c r="GO177" s="18"/>
      <c r="GP177" s="18"/>
      <c r="GQ177" s="18"/>
      <c r="GR177" s="18"/>
      <c r="GS177" s="18"/>
      <c r="GT177" s="18"/>
      <c r="GU177" s="18"/>
      <c r="GV177" s="18"/>
      <c r="GW177" s="18"/>
      <c r="GX177" s="18"/>
      <c r="GY177" s="18"/>
      <c r="GZ177" s="18"/>
      <c r="HA177" s="18"/>
      <c r="HB177" s="18"/>
      <c r="HC177" s="18"/>
      <c r="HD177" s="18"/>
      <c r="HE177" s="18"/>
      <c r="HF177" s="18"/>
      <c r="HG177" s="18"/>
      <c r="HH177" s="18"/>
      <c r="HI177" s="18"/>
      <c r="HJ177" s="18"/>
      <c r="HK177" s="18"/>
      <c r="HL177" s="18"/>
      <c r="HM177" s="18"/>
      <c r="HN177" s="18"/>
      <c r="HO177" s="18"/>
      <c r="HP177" s="18"/>
      <c r="HQ177" s="18"/>
      <c r="HR177" s="18"/>
      <c r="HS177" s="18"/>
      <c r="HT177" s="18"/>
      <c r="HU177" s="18"/>
      <c r="HV177" s="18"/>
      <c r="HW177" s="18"/>
      <c r="HX177" s="18"/>
      <c r="HY177" s="18"/>
      <c r="HZ177" s="18"/>
      <c r="IA177" s="18"/>
      <c r="IB177" s="18"/>
      <c r="IC177" s="18"/>
      <c r="ID177" s="18"/>
      <c r="IE177" s="18"/>
      <c r="IF177" s="18"/>
      <c r="IG177" s="18"/>
      <c r="IH177" s="18"/>
      <c r="II177" s="18"/>
      <c r="IJ177" s="18"/>
      <c r="IK177" s="18"/>
      <c r="IL177" s="18"/>
      <c r="IM177" s="18"/>
      <c r="IN177" s="18"/>
      <c r="IO177" s="18"/>
      <c r="IP177" s="18"/>
      <c r="IQ177" s="18"/>
      <c r="IR177" s="18"/>
      <c r="IS177" s="18"/>
      <c r="IT177" s="18"/>
      <c r="IU177" s="18"/>
      <c r="IV177" s="18"/>
      <c r="IW177" s="18"/>
      <c r="IX177" s="18"/>
      <c r="IY177" s="18"/>
      <c r="IZ177" s="18"/>
      <c r="JA177" s="18"/>
      <c r="JB177" s="18"/>
      <c r="JC177" s="18"/>
      <c r="JD177" s="18"/>
      <c r="JE177" s="18"/>
      <c r="JF177" s="18"/>
      <c r="JG177" s="18"/>
      <c r="JH177" s="18"/>
      <c r="JI177" s="18"/>
      <c r="JJ177" s="18"/>
      <c r="JK177" s="18"/>
      <c r="JL177" s="18"/>
      <c r="JM177" s="18"/>
      <c r="JN177" s="18"/>
      <c r="JO177" s="18"/>
      <c r="JP177" s="18"/>
      <c r="JQ177" s="18"/>
      <c r="JR177" s="18"/>
      <c r="JS177" s="18"/>
      <c r="JT177" s="18"/>
      <c r="JU177" s="18"/>
      <c r="JV177" s="18"/>
      <c r="JW177" s="18"/>
      <c r="JX177" s="18"/>
      <c r="JZ177" s="263"/>
      <c r="KA177" s="263"/>
      <c r="KB177" s="263"/>
      <c r="KC177" s="263"/>
      <c r="KD177" s="263"/>
      <c r="KE177" s="263"/>
      <c r="KF177" s="263"/>
      <c r="KG177" s="263"/>
      <c r="KH177" s="263"/>
      <c r="KI177" s="263"/>
      <c r="KJ177" s="263"/>
      <c r="KK177" s="263"/>
      <c r="KL177" s="263"/>
      <c r="KM177" s="263"/>
      <c r="KN177" s="263"/>
      <c r="KO177" s="263"/>
      <c r="KP177" s="263"/>
      <c r="KQ177" s="263"/>
      <c r="KR177" s="263"/>
      <c r="KS177" s="263"/>
      <c r="KT177" s="263"/>
      <c r="KU177" s="263"/>
      <c r="KV177" s="263"/>
      <c r="KW177" s="263"/>
      <c r="KX177" s="263"/>
      <c r="KY177" s="263"/>
      <c r="KZ177" s="263"/>
      <c r="LA177" s="263"/>
      <c r="LB177" s="263"/>
      <c r="LC177" s="263"/>
      <c r="LD177" s="263"/>
      <c r="LE177" s="263"/>
      <c r="LF177" s="263"/>
      <c r="LG177" s="263"/>
      <c r="LH177" s="263"/>
      <c r="LI177" s="263"/>
      <c r="LJ177" s="263"/>
      <c r="LK177" s="263"/>
      <c r="LL177" s="263"/>
      <c r="LM177" s="263"/>
      <c r="LN177" s="263"/>
      <c r="LO177" s="263"/>
      <c r="LP177" s="263"/>
      <c r="LQ177" s="263"/>
      <c r="LR177" s="263"/>
      <c r="LS177" s="263"/>
      <c r="LT177" s="263"/>
      <c r="LU177" s="263"/>
      <c r="LV177" s="263"/>
      <c r="LW177" s="263"/>
      <c r="LX177" s="263"/>
      <c r="LY177" s="263"/>
      <c r="LZ177" s="263"/>
      <c r="MA177" s="263"/>
      <c r="MB177" s="263"/>
      <c r="MC177" s="263"/>
      <c r="MD177" s="263"/>
      <c r="ME177" s="263"/>
      <c r="MF177" s="263"/>
      <c r="MG177" s="263"/>
      <c r="MH177" s="263"/>
      <c r="MI177" s="263"/>
      <c r="MJ177" s="263"/>
      <c r="MK177" s="263"/>
      <c r="ML177" s="263"/>
      <c r="MM177" s="263"/>
      <c r="MN177" s="263"/>
      <c r="MO177" s="263"/>
      <c r="MP177" s="263"/>
      <c r="MQ177" s="263"/>
      <c r="MR177" s="263"/>
      <c r="MS177" s="263"/>
      <c r="MT177" s="263"/>
      <c r="MU177" s="263"/>
      <c r="MV177" s="263"/>
      <c r="MW177" s="263"/>
      <c r="MX177" s="263"/>
      <c r="MY177" s="263"/>
      <c r="MZ177" s="263"/>
      <c r="NA177" s="263"/>
      <c r="NB177" s="263"/>
      <c r="NC177" s="263"/>
      <c r="ND177" s="263"/>
      <c r="NE177" s="263"/>
      <c r="NF177" s="263"/>
      <c r="NG177" s="263"/>
      <c r="NH177" s="263"/>
      <c r="NI177" s="263"/>
      <c r="NJ177" s="263"/>
      <c r="NK177" s="263"/>
      <c r="NL177" s="263"/>
      <c r="NM177" s="263"/>
      <c r="NN177" s="263"/>
      <c r="NO177" s="263"/>
      <c r="NP177" s="263"/>
      <c r="NQ177" s="263"/>
      <c r="NR177" s="263"/>
      <c r="NS177" s="263"/>
      <c r="NT177" s="263"/>
      <c r="NU177" s="263"/>
      <c r="NV177" s="263"/>
      <c r="NW177" s="263"/>
      <c r="NX177" s="263"/>
      <c r="NY177" s="263"/>
      <c r="NZ177" s="263"/>
      <c r="OA177" s="263"/>
      <c r="OB177" s="263"/>
      <c r="OC177" s="263"/>
      <c r="OD177" s="263"/>
      <c r="OE177" s="263"/>
      <c r="OF177" s="263"/>
      <c r="OG177" s="263"/>
      <c r="OH177" s="263"/>
      <c r="OI177" s="263"/>
      <c r="OJ177" s="263"/>
      <c r="OK177" s="263"/>
      <c r="OL177" s="263"/>
      <c r="OM177" s="263"/>
      <c r="ON177" s="263"/>
      <c r="OO177" s="263"/>
      <c r="OP177" s="263"/>
      <c r="OQ177" s="263"/>
      <c r="OR177" s="263"/>
      <c r="OS177" s="263"/>
      <c r="OT177" s="263"/>
      <c r="OU177" s="263"/>
      <c r="OV177" s="263"/>
      <c r="OW177" s="263"/>
      <c r="OX177" s="263"/>
      <c r="OY177" s="263"/>
      <c r="OZ177" s="263"/>
      <c r="PA177" s="263"/>
      <c r="PB177" s="263"/>
      <c r="PC177" s="263"/>
      <c r="PD177" s="263"/>
      <c r="PE177" s="263"/>
      <c r="PF177" s="263"/>
      <c r="PG177" s="263"/>
      <c r="PH177" s="263"/>
    </row>
    <row r="178">
      <c r="B178" s="448"/>
      <c r="C178" s="404"/>
      <c r="D178" s="404"/>
      <c r="E178" s="508"/>
      <c r="F178" s="508"/>
      <c r="G178" s="41"/>
      <c r="H178" s="41"/>
      <c r="I178" s="41"/>
      <c r="J178" s="399"/>
      <c r="K178" s="400"/>
      <c r="L178" s="400"/>
      <c r="M178" s="400"/>
      <c r="N178" s="400"/>
      <c r="O178" s="400"/>
      <c r="P178" s="400"/>
      <c r="Q178" s="400"/>
      <c r="R178" s="400"/>
      <c r="S178" s="400"/>
      <c r="T178" s="400"/>
      <c r="U178" s="400"/>
      <c r="V178" s="400"/>
      <c r="W178" s="400"/>
      <c r="X178" s="400"/>
      <c r="Y178" s="400"/>
      <c r="Z178" s="400"/>
      <c r="AA178" s="400"/>
      <c r="AB178" s="400"/>
      <c r="AC178" s="400"/>
      <c r="AD178" s="400"/>
      <c r="AE178" s="400"/>
      <c r="AF178" s="400"/>
      <c r="AG178" s="400"/>
      <c r="AH178" s="400"/>
      <c r="AI178" s="400"/>
      <c r="AJ178" s="400"/>
      <c r="AK178" s="400"/>
      <c r="AL178" s="400"/>
      <c r="AM178" s="400"/>
      <c r="AN178" s="400"/>
      <c r="AO178" s="400"/>
      <c r="AP178" s="400"/>
      <c r="AQ178" s="400"/>
      <c r="AR178" s="400"/>
      <c r="AS178" s="400"/>
      <c r="AT178" s="400"/>
      <c r="AU178" s="400"/>
      <c r="AV178" s="400"/>
      <c r="AW178" s="400"/>
      <c r="AX178" s="400"/>
      <c r="AY178" s="400"/>
      <c r="AZ178" s="400"/>
      <c r="BA178" s="400"/>
      <c r="BB178" s="400"/>
      <c r="BC178" s="400"/>
      <c r="BD178" s="400"/>
      <c r="BE178" s="400"/>
      <c r="BF178" s="400"/>
      <c r="BG178" s="400"/>
      <c r="BH178" s="400"/>
      <c r="BI178" s="400"/>
      <c r="BJ178" s="400"/>
      <c r="BK178" s="400"/>
      <c r="BL178" s="400"/>
      <c r="BM178" s="400"/>
      <c r="BN178" s="400"/>
      <c r="BO178" s="400"/>
      <c r="BP178" s="400"/>
      <c r="BQ178" s="400"/>
      <c r="BR178" s="400"/>
      <c r="BS178" s="400"/>
      <c r="BT178" s="400"/>
      <c r="BU178" s="400"/>
      <c r="BV178" s="400"/>
      <c r="BW178" s="400"/>
      <c r="BX178" s="400"/>
      <c r="BY178" s="400"/>
      <c r="BZ178" s="400"/>
      <c r="CA178" s="400"/>
      <c r="CB178" s="400"/>
      <c r="CC178" s="400"/>
      <c r="CD178" s="400"/>
      <c r="CE178" s="400"/>
      <c r="CF178" s="400"/>
      <c r="CG178" s="400"/>
      <c r="CH178" s="400"/>
      <c r="CI178" s="400"/>
      <c r="CJ178" s="400"/>
      <c r="CK178" s="400"/>
      <c r="CL178" s="400"/>
      <c r="CM178" s="400"/>
      <c r="CN178" s="400"/>
      <c r="CO178" s="400"/>
      <c r="CP178" s="400"/>
      <c r="CQ178" s="400"/>
      <c r="CR178" s="400"/>
      <c r="CS178" s="400"/>
      <c r="CT178" s="400"/>
      <c r="CU178" s="400"/>
      <c r="CV178" s="400"/>
      <c r="CW178" s="400"/>
      <c r="CX178" s="400"/>
      <c r="CY178" s="400"/>
      <c r="CZ178" s="400"/>
      <c r="DA178" s="400"/>
      <c r="DB178" s="400"/>
      <c r="DC178" s="400"/>
      <c r="DD178" s="400"/>
      <c r="DE178" s="400"/>
      <c r="DF178" s="400"/>
      <c r="DG178" s="400"/>
      <c r="DH178" s="400"/>
      <c r="DI178" s="400"/>
      <c r="DJ178" s="400"/>
      <c r="DK178" s="400"/>
      <c r="DL178" s="400"/>
      <c r="DM178" s="400"/>
      <c r="DN178" s="400"/>
      <c r="DO178" s="400"/>
      <c r="DP178" s="400"/>
      <c r="DQ178" s="400"/>
      <c r="DR178" s="400"/>
      <c r="DS178" s="400"/>
      <c r="DT178" s="400"/>
      <c r="DU178" s="400"/>
      <c r="DV178" s="400"/>
      <c r="DW178" s="400"/>
      <c r="DX178" s="400"/>
      <c r="DY178" s="400"/>
      <c r="DZ178" s="400"/>
      <c r="EA178" s="400"/>
      <c r="EB178" s="400"/>
      <c r="EC178" s="400"/>
      <c r="ED178" s="400"/>
      <c r="EE178" s="400"/>
      <c r="EF178" s="400"/>
      <c r="EG178" s="400"/>
      <c r="EH178" s="400"/>
      <c r="EI178" s="400"/>
      <c r="EJ178" s="400"/>
      <c r="EK178" s="400"/>
      <c r="EL178" s="400"/>
      <c r="EM178" s="400"/>
      <c r="EN178" s="400"/>
      <c r="EO178" s="400"/>
      <c r="EP178" s="220"/>
      <c r="EQ178" s="18"/>
      <c r="ER178" s="18"/>
      <c r="ES178" s="18"/>
      <c r="ET178" s="18"/>
      <c r="EU178" s="18"/>
      <c r="EV178" s="18"/>
      <c r="EW178" s="18"/>
      <c r="EX178" s="18"/>
      <c r="EY178" s="18"/>
      <c r="EZ178" s="18"/>
      <c r="FA178" s="18"/>
      <c r="FB178" s="18"/>
      <c r="FC178" s="18"/>
      <c r="FD178" s="18"/>
      <c r="FE178" s="18"/>
      <c r="FF178" s="18"/>
      <c r="FG178" s="18"/>
      <c r="FH178" s="18"/>
      <c r="FI178" s="18"/>
      <c r="FJ178" s="18"/>
      <c r="FK178" s="18"/>
      <c r="FL178" s="18"/>
      <c r="FM178" s="18"/>
      <c r="FN178" s="18"/>
      <c r="FO178" s="18"/>
      <c r="FP178" s="18"/>
      <c r="FQ178" s="18"/>
      <c r="FR178" s="18"/>
      <c r="FS178" s="18"/>
      <c r="FT178" s="18"/>
      <c r="FU178" s="18"/>
      <c r="FV178" s="18"/>
      <c r="FW178" s="18"/>
      <c r="FX178" s="18"/>
      <c r="FY178" s="18"/>
      <c r="FZ178" s="18"/>
      <c r="GA178" s="18"/>
      <c r="GB178" s="18"/>
      <c r="GC178" s="18"/>
      <c r="GD178" s="18"/>
      <c r="GE178" s="18"/>
      <c r="GF178" s="18"/>
      <c r="GG178" s="18"/>
      <c r="GH178" s="18"/>
      <c r="GI178" s="18"/>
      <c r="GJ178" s="18"/>
      <c r="GK178" s="18"/>
      <c r="GL178" s="18"/>
      <c r="GM178" s="18"/>
      <c r="GN178" s="18"/>
      <c r="GO178" s="18"/>
      <c r="GP178" s="18"/>
      <c r="GQ178" s="18"/>
      <c r="GR178" s="18"/>
      <c r="GS178" s="18"/>
      <c r="GT178" s="18"/>
      <c r="GU178" s="18"/>
      <c r="GV178" s="18"/>
      <c r="GW178" s="18"/>
      <c r="GX178" s="18"/>
      <c r="GY178" s="18"/>
      <c r="GZ178" s="18"/>
      <c r="HA178" s="18"/>
      <c r="HB178" s="18"/>
      <c r="HC178" s="18"/>
      <c r="HD178" s="18"/>
      <c r="HE178" s="18"/>
      <c r="HF178" s="18"/>
      <c r="HG178" s="18"/>
      <c r="HH178" s="18"/>
      <c r="HI178" s="18"/>
      <c r="HJ178" s="18"/>
      <c r="HK178" s="18"/>
      <c r="HL178" s="18"/>
      <c r="HM178" s="18"/>
      <c r="HN178" s="18"/>
      <c r="HO178" s="18"/>
      <c r="HP178" s="18"/>
      <c r="HQ178" s="18"/>
      <c r="HR178" s="18"/>
      <c r="HS178" s="18"/>
      <c r="HT178" s="18"/>
      <c r="HU178" s="18"/>
      <c r="HV178" s="18"/>
      <c r="HW178" s="18"/>
      <c r="HX178" s="18"/>
      <c r="HY178" s="18"/>
      <c r="HZ178" s="18"/>
      <c r="IA178" s="18"/>
      <c r="IB178" s="18"/>
      <c r="IC178" s="18"/>
      <c r="ID178" s="18"/>
      <c r="IE178" s="18"/>
      <c r="IF178" s="18"/>
      <c r="IG178" s="18"/>
      <c r="IH178" s="18"/>
      <c r="II178" s="18"/>
      <c r="IJ178" s="18"/>
      <c r="IK178" s="18"/>
      <c r="IL178" s="18"/>
      <c r="IM178" s="18"/>
      <c r="IN178" s="18"/>
      <c r="IO178" s="18"/>
      <c r="IP178" s="18"/>
      <c r="IQ178" s="18"/>
      <c r="IR178" s="18"/>
      <c r="IS178" s="18"/>
      <c r="IT178" s="18"/>
      <c r="IU178" s="18"/>
      <c r="IV178" s="18"/>
      <c r="IW178" s="18"/>
      <c r="IX178" s="18"/>
      <c r="IY178" s="18"/>
      <c r="IZ178" s="18"/>
      <c r="JA178" s="18"/>
      <c r="JB178" s="18"/>
      <c r="JC178" s="18"/>
      <c r="JD178" s="18"/>
      <c r="JE178" s="18"/>
      <c r="JF178" s="18"/>
      <c r="JG178" s="18"/>
      <c r="JH178" s="18"/>
      <c r="JI178" s="18"/>
      <c r="JJ178" s="18"/>
      <c r="JK178" s="18"/>
      <c r="JL178" s="18"/>
      <c r="JM178" s="18"/>
      <c r="JN178" s="18"/>
      <c r="JO178" s="18"/>
      <c r="JP178" s="18"/>
      <c r="JQ178" s="18"/>
      <c r="JR178" s="18"/>
      <c r="JS178" s="18"/>
      <c r="JT178" s="18"/>
      <c r="JU178" s="18"/>
      <c r="JV178" s="18"/>
      <c r="JW178" s="18"/>
      <c r="JX178" s="18"/>
      <c r="JZ178" s="263"/>
      <c r="KA178" s="263"/>
      <c r="KB178" s="263"/>
      <c r="KC178" s="263"/>
      <c r="KD178" s="263"/>
      <c r="KE178" s="263"/>
      <c r="KF178" s="263"/>
      <c r="KG178" s="263"/>
      <c r="KH178" s="263"/>
      <c r="KI178" s="263"/>
      <c r="KJ178" s="263"/>
      <c r="KK178" s="263"/>
      <c r="KL178" s="263"/>
      <c r="KM178" s="263"/>
      <c r="KN178" s="263"/>
      <c r="KO178" s="263"/>
      <c r="KP178" s="263"/>
      <c r="KQ178" s="263"/>
      <c r="KR178" s="263"/>
      <c r="KS178" s="263"/>
      <c r="KT178" s="263"/>
      <c r="KU178" s="263"/>
      <c r="KV178" s="263"/>
      <c r="KW178" s="263"/>
      <c r="KX178" s="263"/>
      <c r="KY178" s="263"/>
      <c r="KZ178" s="263"/>
      <c r="LA178" s="263"/>
      <c r="LB178" s="263"/>
      <c r="LC178" s="263"/>
      <c r="LD178" s="263"/>
      <c r="LE178" s="263"/>
      <c r="LF178" s="263"/>
      <c r="LG178" s="263"/>
      <c r="LH178" s="263"/>
      <c r="LI178" s="263"/>
      <c r="LJ178" s="263"/>
      <c r="LK178" s="263"/>
      <c r="LL178" s="263"/>
      <c r="LM178" s="263"/>
      <c r="LN178" s="263"/>
      <c r="LO178" s="263"/>
      <c r="LP178" s="263"/>
      <c r="LQ178" s="263"/>
      <c r="LR178" s="263"/>
      <c r="LS178" s="263"/>
      <c r="LT178" s="263"/>
      <c r="LU178" s="263"/>
      <c r="LV178" s="263"/>
      <c r="LW178" s="263"/>
      <c r="LX178" s="263"/>
      <c r="LY178" s="263"/>
      <c r="LZ178" s="263"/>
      <c r="MA178" s="263"/>
      <c r="MB178" s="263"/>
      <c r="MC178" s="263"/>
      <c r="MD178" s="263"/>
      <c r="ME178" s="263"/>
      <c r="MF178" s="263"/>
      <c r="MG178" s="263"/>
      <c r="MH178" s="263"/>
      <c r="MI178" s="263"/>
      <c r="MJ178" s="263"/>
      <c r="MK178" s="263"/>
      <c r="ML178" s="263"/>
      <c r="MM178" s="263"/>
      <c r="MN178" s="263"/>
      <c r="MO178" s="263"/>
      <c r="MP178" s="263"/>
      <c r="MQ178" s="263"/>
      <c r="MR178" s="263"/>
      <c r="MS178" s="263"/>
      <c r="MT178" s="263"/>
      <c r="MU178" s="263"/>
      <c r="MV178" s="263"/>
      <c r="MW178" s="263"/>
      <c r="MX178" s="263"/>
      <c r="MY178" s="263"/>
      <c r="MZ178" s="263"/>
      <c r="NA178" s="263"/>
      <c r="NB178" s="263"/>
      <c r="NC178" s="263"/>
      <c r="ND178" s="263"/>
      <c r="NE178" s="263"/>
      <c r="NF178" s="263"/>
      <c r="NG178" s="263"/>
      <c r="NH178" s="263"/>
      <c r="NI178" s="263"/>
      <c r="NJ178" s="263"/>
      <c r="NK178" s="263"/>
      <c r="NL178" s="263"/>
      <c r="NM178" s="263"/>
      <c r="NN178" s="263"/>
      <c r="NO178" s="263"/>
      <c r="NP178" s="263"/>
      <c r="NQ178" s="263"/>
      <c r="NR178" s="263"/>
      <c r="NS178" s="263"/>
      <c r="NT178" s="263"/>
      <c r="NU178" s="263"/>
      <c r="NV178" s="263"/>
      <c r="NW178" s="263"/>
      <c r="NX178" s="263"/>
      <c r="NY178" s="263"/>
      <c r="NZ178" s="263"/>
      <c r="OA178" s="263"/>
      <c r="OB178" s="263"/>
      <c r="OC178" s="263"/>
      <c r="OD178" s="263"/>
      <c r="OE178" s="263"/>
      <c r="OF178" s="263"/>
      <c r="OG178" s="263"/>
      <c r="OH178" s="263"/>
      <c r="OI178" s="263"/>
      <c r="OJ178" s="263"/>
      <c r="OK178" s="263"/>
      <c r="OL178" s="263"/>
      <c r="OM178" s="263"/>
      <c r="ON178" s="263"/>
      <c r="OO178" s="263"/>
      <c r="OP178" s="263"/>
      <c r="OQ178" s="263"/>
      <c r="OR178" s="263"/>
      <c r="OS178" s="263"/>
      <c r="OT178" s="263"/>
      <c r="OU178" s="263"/>
      <c r="OV178" s="263"/>
      <c r="OW178" s="263"/>
      <c r="OX178" s="263"/>
      <c r="OY178" s="263"/>
      <c r="OZ178" s="263"/>
      <c r="PA178" s="263"/>
      <c r="PB178" s="263"/>
      <c r="PC178" s="263"/>
      <c r="PD178" s="263"/>
      <c r="PE178" s="263"/>
      <c r="PF178" s="263"/>
      <c r="PG178" s="263"/>
      <c r="PH178" s="263"/>
    </row>
    <row r="179">
      <c r="B179" s="448" t="s">
        <v>348</v>
      </c>
      <c r="C179" s="404"/>
      <c r="D179" s="404"/>
      <c r="E179" s="508"/>
      <c r="F179" s="508"/>
      <c r="G179" s="41"/>
      <c r="H179" s="449" t="n">
        <f>+H171-H177</f>
        <v>45541921.74739582</v>
      </c>
      <c r="I179" s="449" t="n">
        <f>+I171-I177</f>
        <v>71360240.51673429</v>
      </c>
      <c r="J179" s="399"/>
      <c r="K179" s="400"/>
      <c r="L179" s="400"/>
      <c r="M179" s="400"/>
      <c r="N179" s="400"/>
      <c r="O179" s="400"/>
      <c r="P179" s="400"/>
      <c r="Q179" s="400"/>
      <c r="R179" s="400"/>
      <c r="S179" s="400"/>
      <c r="T179" s="400"/>
      <c r="U179" s="400"/>
      <c r="V179" s="400"/>
      <c r="W179" s="400"/>
      <c r="X179" s="400"/>
      <c r="Y179" s="400"/>
      <c r="Z179" s="400"/>
      <c r="AA179" s="400"/>
      <c r="AB179" s="400"/>
      <c r="AC179" s="400"/>
      <c r="AD179" s="400"/>
      <c r="AE179" s="400"/>
      <c r="AF179" s="400"/>
      <c r="AG179" s="400"/>
      <c r="AH179" s="400"/>
      <c r="AI179" s="400"/>
      <c r="AJ179" s="400"/>
      <c r="AK179" s="400"/>
      <c r="AL179" s="400"/>
      <c r="AM179" s="400"/>
      <c r="AN179" s="400"/>
      <c r="AO179" s="400"/>
      <c r="AP179" s="400"/>
      <c r="AQ179" s="400"/>
      <c r="AR179" s="400"/>
      <c r="AS179" s="400"/>
      <c r="AT179" s="400"/>
      <c r="AU179" s="400"/>
      <c r="AV179" s="400"/>
      <c r="AW179" s="400"/>
      <c r="AX179" s="400"/>
      <c r="AY179" s="400"/>
      <c r="AZ179" s="400"/>
      <c r="BA179" s="400"/>
      <c r="BB179" s="400"/>
      <c r="BC179" s="400"/>
      <c r="BD179" s="400"/>
      <c r="BE179" s="400"/>
      <c r="BF179" s="400"/>
      <c r="BG179" s="400"/>
      <c r="BH179" s="400"/>
      <c r="BI179" s="400"/>
      <c r="BJ179" s="400"/>
      <c r="BK179" s="400"/>
      <c r="BL179" s="400"/>
      <c r="BM179" s="400"/>
      <c r="BN179" s="400"/>
      <c r="BO179" s="400"/>
      <c r="BP179" s="400"/>
      <c r="BQ179" s="400"/>
      <c r="BR179" s="400"/>
      <c r="BS179" s="400"/>
      <c r="BT179" s="400"/>
      <c r="BU179" s="400"/>
      <c r="BV179" s="400"/>
      <c r="BW179" s="400"/>
      <c r="BX179" s="400"/>
      <c r="BY179" s="400"/>
      <c r="BZ179" s="400"/>
      <c r="CA179" s="400"/>
      <c r="CB179" s="400"/>
      <c r="CC179" s="400"/>
      <c r="CD179" s="400"/>
      <c r="CE179" s="400"/>
      <c r="CF179" s="400"/>
      <c r="CG179" s="400"/>
      <c r="CH179" s="400"/>
      <c r="CI179" s="400"/>
      <c r="CJ179" s="400"/>
      <c r="CK179" s="400"/>
      <c r="CL179" s="400"/>
      <c r="CM179" s="400"/>
      <c r="CN179" s="400"/>
      <c r="CO179" s="400"/>
      <c r="CP179" s="400"/>
      <c r="CQ179" s="400"/>
      <c r="CR179" s="400"/>
      <c r="CS179" s="400"/>
      <c r="CT179" s="400"/>
      <c r="CU179" s="400"/>
      <c r="CV179" s="400"/>
      <c r="CW179" s="400"/>
      <c r="CX179" s="400"/>
      <c r="CY179" s="400"/>
      <c r="CZ179" s="400"/>
      <c r="DA179" s="400"/>
      <c r="DB179" s="400"/>
      <c r="DC179" s="400"/>
      <c r="DD179" s="400"/>
      <c r="DE179" s="400"/>
      <c r="DF179" s="400"/>
      <c r="DG179" s="400"/>
      <c r="DH179" s="400"/>
      <c r="DI179" s="400"/>
      <c r="DJ179" s="400"/>
      <c r="DK179" s="400"/>
      <c r="DL179" s="400"/>
      <c r="DM179" s="400"/>
      <c r="DN179" s="400"/>
      <c r="DO179" s="400"/>
      <c r="DP179" s="400"/>
      <c r="DQ179" s="400"/>
      <c r="DR179" s="400"/>
      <c r="DS179" s="400"/>
      <c r="DT179" s="400"/>
      <c r="DU179" s="400"/>
      <c r="DV179" s="400"/>
      <c r="DW179" s="400"/>
      <c r="DX179" s="400"/>
      <c r="DY179" s="400"/>
      <c r="DZ179" s="400"/>
      <c r="EA179" s="400"/>
      <c r="EB179" s="400"/>
      <c r="EC179" s="400"/>
      <c r="ED179" s="400"/>
      <c r="EE179" s="400"/>
      <c r="EF179" s="400"/>
      <c r="EG179" s="400"/>
      <c r="EH179" s="400"/>
      <c r="EI179" s="400"/>
      <c r="EJ179" s="400"/>
      <c r="EK179" s="400"/>
      <c r="EL179" s="400"/>
      <c r="EM179" s="400"/>
      <c r="EN179" s="400"/>
      <c r="EO179" s="400"/>
      <c r="EP179" s="220"/>
      <c r="EQ179" s="18"/>
      <c r="ER179" s="18"/>
      <c r="ES179" s="18"/>
      <c r="ET179" s="18"/>
      <c r="EU179" s="18"/>
      <c r="EV179" s="18"/>
      <c r="EW179" s="18"/>
      <c r="EX179" s="18"/>
      <c r="EY179" s="18"/>
      <c r="EZ179" s="18"/>
      <c r="FA179" s="18"/>
      <c r="FB179" s="18"/>
      <c r="FC179" s="18"/>
      <c r="FD179" s="18"/>
      <c r="FE179" s="18"/>
      <c r="FF179" s="18"/>
      <c r="FG179" s="18"/>
      <c r="FH179" s="18"/>
      <c r="FI179" s="18"/>
      <c r="FJ179" s="18"/>
      <c r="FK179" s="18"/>
      <c r="FL179" s="18"/>
      <c r="FM179" s="18"/>
      <c r="FN179" s="18"/>
      <c r="FO179" s="18"/>
      <c r="FP179" s="18"/>
      <c r="FQ179" s="18"/>
      <c r="FR179" s="18"/>
      <c r="FS179" s="18"/>
      <c r="FT179" s="18"/>
      <c r="FU179" s="18"/>
      <c r="FV179" s="18"/>
      <c r="FW179" s="18"/>
      <c r="FX179" s="18"/>
      <c r="FY179" s="18"/>
      <c r="FZ179" s="18"/>
      <c r="GA179" s="18"/>
      <c r="GB179" s="18"/>
      <c r="GC179" s="18"/>
      <c r="GD179" s="18"/>
      <c r="GE179" s="18"/>
      <c r="GF179" s="18"/>
      <c r="GG179" s="18"/>
      <c r="GH179" s="18"/>
      <c r="GI179" s="18"/>
      <c r="GJ179" s="18"/>
      <c r="GK179" s="18"/>
      <c r="GL179" s="18"/>
      <c r="GM179" s="18"/>
      <c r="GN179" s="18"/>
      <c r="GO179" s="18"/>
      <c r="GP179" s="18"/>
      <c r="GQ179" s="18"/>
      <c r="GR179" s="18"/>
      <c r="GS179" s="18"/>
      <c r="GT179" s="18"/>
      <c r="GU179" s="18"/>
      <c r="GV179" s="18"/>
      <c r="GW179" s="18"/>
      <c r="GX179" s="18"/>
      <c r="GY179" s="18"/>
      <c r="GZ179" s="18"/>
      <c r="HA179" s="18"/>
      <c r="HB179" s="18"/>
      <c r="HC179" s="18"/>
      <c r="HD179" s="18"/>
      <c r="HE179" s="18"/>
      <c r="HF179" s="18"/>
      <c r="HG179" s="18"/>
      <c r="HH179" s="18"/>
      <c r="HI179" s="18"/>
      <c r="HJ179" s="18"/>
      <c r="HK179" s="18"/>
      <c r="HL179" s="18"/>
      <c r="HM179" s="18"/>
      <c r="HN179" s="18"/>
      <c r="HO179" s="18"/>
      <c r="HP179" s="18"/>
      <c r="HQ179" s="18"/>
      <c r="HR179" s="18"/>
      <c r="HS179" s="18"/>
      <c r="HT179" s="18"/>
      <c r="HU179" s="18"/>
      <c r="HV179" s="18"/>
      <c r="HW179" s="18"/>
      <c r="HX179" s="18"/>
      <c r="HY179" s="18"/>
      <c r="HZ179" s="18"/>
      <c r="IA179" s="18"/>
      <c r="IB179" s="18"/>
      <c r="IC179" s="18"/>
      <c r="ID179" s="18"/>
      <c r="IE179" s="18"/>
      <c r="IF179" s="18"/>
      <c r="IG179" s="18"/>
      <c r="IH179" s="18"/>
      <c r="II179" s="18"/>
      <c r="IJ179" s="18"/>
      <c r="IK179" s="18"/>
      <c r="IL179" s="18"/>
      <c r="IM179" s="18"/>
      <c r="IN179" s="18"/>
      <c r="IO179" s="18"/>
      <c r="IP179" s="18"/>
      <c r="IQ179" s="18"/>
      <c r="IR179" s="18"/>
      <c r="IS179" s="18"/>
      <c r="IT179" s="18"/>
      <c r="IU179" s="18"/>
      <c r="IV179" s="18"/>
      <c r="IW179" s="18"/>
      <c r="IX179" s="18"/>
      <c r="IY179" s="18"/>
      <c r="IZ179" s="18"/>
      <c r="JA179" s="18"/>
      <c r="JB179" s="18"/>
      <c r="JC179" s="18"/>
      <c r="JD179" s="18"/>
      <c r="JE179" s="18"/>
      <c r="JF179" s="18"/>
      <c r="JG179" s="18"/>
      <c r="JH179" s="18"/>
      <c r="JI179" s="18"/>
      <c r="JJ179" s="18"/>
      <c r="JK179" s="18"/>
      <c r="JL179" s="18"/>
      <c r="JM179" s="18"/>
      <c r="JN179" s="18"/>
      <c r="JO179" s="18"/>
      <c r="JP179" s="18"/>
      <c r="JQ179" s="18"/>
      <c r="JR179" s="18"/>
      <c r="JS179" s="18"/>
      <c r="JT179" s="18"/>
      <c r="JU179" s="18"/>
      <c r="JV179" s="18"/>
      <c r="JW179" s="18"/>
      <c r="JX179" s="18"/>
      <c r="JZ179" s="263"/>
      <c r="KA179" s="263"/>
      <c r="KB179" s="263"/>
      <c r="KC179" s="263"/>
      <c r="KD179" s="263"/>
      <c r="KE179" s="263"/>
      <c r="KF179" s="263"/>
      <c r="KG179" s="263"/>
      <c r="KH179" s="263"/>
      <c r="KI179" s="263"/>
      <c r="KJ179" s="263"/>
      <c r="KK179" s="263"/>
      <c r="KL179" s="263"/>
      <c r="KM179" s="263"/>
      <c r="KN179" s="263"/>
      <c r="KO179" s="263"/>
      <c r="KP179" s="263"/>
      <c r="KQ179" s="263"/>
      <c r="KR179" s="263"/>
      <c r="KS179" s="263"/>
      <c r="KT179" s="263"/>
      <c r="KU179" s="263"/>
      <c r="KV179" s="263"/>
      <c r="KW179" s="263"/>
      <c r="KX179" s="263"/>
      <c r="KY179" s="263"/>
      <c r="KZ179" s="263"/>
      <c r="LA179" s="263"/>
      <c r="LB179" s="263"/>
      <c r="LC179" s="263"/>
      <c r="LD179" s="263"/>
      <c r="LE179" s="263"/>
      <c r="LF179" s="263"/>
      <c r="LG179" s="263"/>
      <c r="LH179" s="263"/>
      <c r="LI179" s="263"/>
      <c r="LJ179" s="263"/>
      <c r="LK179" s="263"/>
      <c r="LL179" s="263"/>
      <c r="LM179" s="263"/>
      <c r="LN179" s="263"/>
      <c r="LO179" s="263"/>
      <c r="LP179" s="263"/>
      <c r="LQ179" s="263"/>
      <c r="LR179" s="263"/>
      <c r="LS179" s="263"/>
      <c r="LT179" s="263"/>
      <c r="LU179" s="263"/>
      <c r="LV179" s="263"/>
      <c r="LW179" s="263"/>
      <c r="LX179" s="263"/>
      <c r="LY179" s="263"/>
      <c r="LZ179" s="263"/>
      <c r="MA179" s="263"/>
      <c r="MB179" s="263"/>
      <c r="MC179" s="263"/>
      <c r="MD179" s="263"/>
      <c r="ME179" s="263"/>
      <c r="MF179" s="263"/>
      <c r="MG179" s="263"/>
      <c r="MH179" s="263"/>
      <c r="MI179" s="263"/>
      <c r="MJ179" s="263"/>
      <c r="MK179" s="263"/>
      <c r="ML179" s="263"/>
      <c r="MM179" s="263"/>
      <c r="MN179" s="263"/>
      <c r="MO179" s="263"/>
      <c r="MP179" s="263"/>
      <c r="MQ179" s="263"/>
      <c r="MR179" s="263"/>
      <c r="MS179" s="263"/>
      <c r="MT179" s="263"/>
      <c r="MU179" s="263"/>
      <c r="MV179" s="263"/>
      <c r="MW179" s="263"/>
      <c r="MX179" s="263"/>
      <c r="MY179" s="263"/>
      <c r="MZ179" s="263"/>
      <c r="NA179" s="263"/>
      <c r="NB179" s="263"/>
      <c r="NC179" s="263"/>
      <c r="ND179" s="263"/>
      <c r="NE179" s="263"/>
      <c r="NF179" s="263"/>
      <c r="NG179" s="263"/>
      <c r="NH179" s="263"/>
      <c r="NI179" s="263"/>
      <c r="NJ179" s="263"/>
      <c r="NK179" s="263"/>
      <c r="NL179" s="263"/>
      <c r="NM179" s="263"/>
      <c r="NN179" s="263"/>
      <c r="NO179" s="263"/>
      <c r="NP179" s="263"/>
      <c r="NQ179" s="263"/>
      <c r="NR179" s="263"/>
      <c r="NS179" s="263"/>
      <c r="NT179" s="263"/>
      <c r="NU179" s="263"/>
      <c r="NV179" s="263"/>
      <c r="NW179" s="263"/>
      <c r="NX179" s="263"/>
      <c r="NY179" s="263"/>
      <c r="NZ179" s="263"/>
      <c r="OA179" s="263"/>
      <c r="OB179" s="263"/>
      <c r="OC179" s="263"/>
      <c r="OD179" s="263"/>
      <c r="OE179" s="263"/>
      <c r="OF179" s="263"/>
      <c r="OG179" s="263"/>
      <c r="OH179" s="263"/>
      <c r="OI179" s="263"/>
      <c r="OJ179" s="263"/>
      <c r="OK179" s="263"/>
      <c r="OL179" s="263"/>
      <c r="OM179" s="263"/>
      <c r="ON179" s="263"/>
      <c r="OO179" s="263"/>
      <c r="OP179" s="263"/>
      <c r="OQ179" s="263"/>
      <c r="OR179" s="263"/>
      <c r="OS179" s="263"/>
      <c r="OT179" s="263"/>
      <c r="OU179" s="263"/>
      <c r="OV179" s="263"/>
      <c r="OW179" s="263"/>
      <c r="OX179" s="263"/>
      <c r="OY179" s="263"/>
      <c r="OZ179" s="263"/>
      <c r="PA179" s="263"/>
      <c r="PB179" s="263"/>
      <c r="PC179" s="263"/>
      <c r="PD179" s="263"/>
      <c r="PE179" s="263"/>
      <c r="PF179" s="263"/>
      <c r="PG179" s="263"/>
      <c r="PH179" s="263"/>
    </row>
    <row r="180">
      <c r="B180" s="448"/>
      <c r="C180" s="404"/>
      <c r="D180" s="404"/>
      <c r="E180" s="508"/>
      <c r="F180" s="508"/>
      <c r="G180" s="41"/>
      <c r="H180" s="41"/>
      <c r="I180" s="41"/>
      <c r="J180" s="399"/>
      <c r="K180" s="400"/>
      <c r="L180" s="400"/>
      <c r="M180" s="400"/>
      <c r="N180" s="400"/>
      <c r="O180" s="400"/>
      <c r="P180" s="400"/>
      <c r="Q180" s="400"/>
      <c r="R180" s="400"/>
      <c r="S180" s="400"/>
      <c r="T180" s="400"/>
      <c r="U180" s="400"/>
      <c r="V180" s="400"/>
      <c r="W180" s="400"/>
      <c r="X180" s="400"/>
      <c r="Y180" s="400"/>
      <c r="Z180" s="400"/>
      <c r="AA180" s="400"/>
      <c r="AB180" s="400"/>
      <c r="AC180" s="400"/>
      <c r="AD180" s="400"/>
      <c r="AE180" s="400"/>
      <c r="AF180" s="400"/>
      <c r="AG180" s="400"/>
      <c r="AH180" s="400"/>
      <c r="AI180" s="400"/>
      <c r="AJ180" s="400"/>
      <c r="AK180" s="400"/>
      <c r="AL180" s="400"/>
      <c r="AM180" s="400"/>
      <c r="AN180" s="400"/>
      <c r="AO180" s="400"/>
      <c r="AP180" s="400"/>
      <c r="AQ180" s="400"/>
      <c r="AR180" s="400"/>
      <c r="AS180" s="400"/>
      <c r="AT180" s="400"/>
      <c r="AU180" s="400"/>
      <c r="AV180" s="400"/>
      <c r="AW180" s="400"/>
      <c r="AX180" s="400"/>
      <c r="AY180" s="400"/>
      <c r="AZ180" s="400"/>
      <c r="BA180" s="400"/>
      <c r="BB180" s="400"/>
      <c r="BC180" s="400"/>
      <c r="BD180" s="400"/>
      <c r="BE180" s="400"/>
      <c r="BF180" s="400"/>
      <c r="BG180" s="400"/>
      <c r="BH180" s="400"/>
      <c r="BI180" s="400"/>
      <c r="BJ180" s="400"/>
      <c r="BK180" s="400"/>
      <c r="BL180" s="400"/>
      <c r="BM180" s="400"/>
      <c r="BN180" s="400"/>
      <c r="BO180" s="400"/>
      <c r="BP180" s="400"/>
      <c r="BQ180" s="400"/>
      <c r="BR180" s="400"/>
      <c r="BS180" s="400"/>
      <c r="BT180" s="400"/>
      <c r="BU180" s="400"/>
      <c r="BV180" s="400"/>
      <c r="BW180" s="400"/>
      <c r="BX180" s="400"/>
      <c r="BY180" s="400"/>
      <c r="BZ180" s="400"/>
      <c r="CA180" s="400"/>
      <c r="CB180" s="400"/>
      <c r="CC180" s="400"/>
      <c r="CD180" s="400"/>
      <c r="CE180" s="400"/>
      <c r="CF180" s="400"/>
      <c r="CG180" s="400"/>
      <c r="CH180" s="400"/>
      <c r="CI180" s="400"/>
      <c r="CJ180" s="400"/>
      <c r="CK180" s="400"/>
      <c r="CL180" s="400"/>
      <c r="CM180" s="400"/>
      <c r="CN180" s="400"/>
      <c r="CO180" s="400"/>
      <c r="CP180" s="400"/>
      <c r="CQ180" s="400"/>
      <c r="CR180" s="400"/>
      <c r="CS180" s="400"/>
      <c r="CT180" s="400"/>
      <c r="CU180" s="400"/>
      <c r="CV180" s="400"/>
      <c r="CW180" s="400"/>
      <c r="CX180" s="400"/>
      <c r="CY180" s="400"/>
      <c r="CZ180" s="400"/>
      <c r="DA180" s="400"/>
      <c r="DB180" s="400"/>
      <c r="DC180" s="400"/>
      <c r="DD180" s="400"/>
      <c r="DE180" s="400"/>
      <c r="DF180" s="400"/>
      <c r="DG180" s="400"/>
      <c r="DH180" s="400"/>
      <c r="DI180" s="400"/>
      <c r="DJ180" s="400"/>
      <c r="DK180" s="400"/>
      <c r="DL180" s="400"/>
      <c r="DM180" s="400"/>
      <c r="DN180" s="400"/>
      <c r="DO180" s="400"/>
      <c r="DP180" s="400"/>
      <c r="DQ180" s="400"/>
      <c r="DR180" s="400"/>
      <c r="DS180" s="400"/>
      <c r="DT180" s="400"/>
      <c r="DU180" s="400"/>
      <c r="DV180" s="400"/>
      <c r="DW180" s="400"/>
      <c r="DX180" s="400"/>
      <c r="DY180" s="400"/>
      <c r="DZ180" s="400"/>
      <c r="EA180" s="400"/>
      <c r="EB180" s="400"/>
      <c r="EC180" s="400"/>
      <c r="ED180" s="400"/>
      <c r="EE180" s="400"/>
      <c r="EF180" s="400"/>
      <c r="EG180" s="400"/>
      <c r="EH180" s="400"/>
      <c r="EI180" s="400"/>
      <c r="EJ180" s="400"/>
      <c r="EK180" s="400"/>
      <c r="EL180" s="400"/>
      <c r="EM180" s="400"/>
      <c r="EN180" s="400"/>
      <c r="EO180" s="400"/>
      <c r="EP180" s="220"/>
      <c r="EQ180" s="18"/>
      <c r="ER180" s="18"/>
      <c r="ES180" s="18"/>
      <c r="ET180" s="18"/>
      <c r="EU180" s="18"/>
      <c r="EV180" s="18"/>
      <c r="EW180" s="18"/>
      <c r="EX180" s="18"/>
      <c r="EY180" s="18"/>
      <c r="EZ180" s="18"/>
      <c r="FA180" s="18"/>
      <c r="FB180" s="18"/>
      <c r="FC180" s="18"/>
      <c r="FD180" s="18"/>
      <c r="FE180" s="18"/>
      <c r="FF180" s="18"/>
      <c r="FG180" s="18"/>
      <c r="FH180" s="18"/>
      <c r="FI180" s="18"/>
      <c r="FJ180" s="18"/>
      <c r="FK180" s="18"/>
      <c r="FL180" s="18"/>
      <c r="FM180" s="18"/>
      <c r="FN180" s="18"/>
      <c r="FO180" s="18"/>
      <c r="FP180" s="18"/>
      <c r="FQ180" s="18"/>
      <c r="FR180" s="18"/>
      <c r="FS180" s="18"/>
      <c r="FT180" s="18"/>
      <c r="FU180" s="18"/>
      <c r="FV180" s="18"/>
      <c r="FW180" s="18"/>
      <c r="FX180" s="18"/>
      <c r="FY180" s="18"/>
      <c r="FZ180" s="18"/>
      <c r="GA180" s="18"/>
      <c r="GB180" s="18"/>
      <c r="GC180" s="18"/>
      <c r="GD180" s="18"/>
      <c r="GE180" s="18"/>
      <c r="GF180" s="18"/>
      <c r="GG180" s="18"/>
      <c r="GH180" s="18"/>
      <c r="GI180" s="18"/>
      <c r="GJ180" s="18"/>
      <c r="GK180" s="18"/>
      <c r="GL180" s="18"/>
      <c r="GM180" s="18"/>
      <c r="GN180" s="18"/>
      <c r="GO180" s="18"/>
      <c r="GP180" s="18"/>
      <c r="GQ180" s="18"/>
      <c r="GR180" s="18"/>
      <c r="GS180" s="18"/>
      <c r="GT180" s="18"/>
      <c r="GU180" s="18"/>
      <c r="GV180" s="18"/>
      <c r="GW180" s="18"/>
      <c r="GX180" s="18"/>
      <c r="GY180" s="18"/>
      <c r="GZ180" s="18"/>
      <c r="HA180" s="18"/>
      <c r="HB180" s="18"/>
      <c r="HC180" s="18"/>
      <c r="HD180" s="18"/>
      <c r="HE180" s="18"/>
      <c r="HF180" s="18"/>
      <c r="HG180" s="18"/>
      <c r="HH180" s="18"/>
      <c r="HI180" s="18"/>
      <c r="HJ180" s="18"/>
      <c r="HK180" s="18"/>
      <c r="HL180" s="18"/>
      <c r="HM180" s="18"/>
      <c r="HN180" s="18"/>
      <c r="HO180" s="18"/>
      <c r="HP180" s="18"/>
      <c r="HQ180" s="18"/>
      <c r="HR180" s="18"/>
      <c r="HS180" s="18"/>
      <c r="HT180" s="18"/>
      <c r="HU180" s="18"/>
      <c r="HV180" s="18"/>
      <c r="HW180" s="18"/>
      <c r="HX180" s="18"/>
      <c r="HY180" s="18"/>
      <c r="HZ180" s="18"/>
      <c r="IA180" s="18"/>
      <c r="IB180" s="18"/>
      <c r="IC180" s="18"/>
      <c r="ID180" s="18"/>
      <c r="IE180" s="18"/>
      <c r="IF180" s="18"/>
      <c r="IG180" s="18"/>
      <c r="IH180" s="18"/>
      <c r="II180" s="18"/>
      <c r="IJ180" s="18"/>
      <c r="IK180" s="18"/>
      <c r="IL180" s="18"/>
      <c r="IM180" s="18"/>
      <c r="IN180" s="18"/>
      <c r="IO180" s="18"/>
      <c r="IP180" s="18"/>
      <c r="IQ180" s="18"/>
      <c r="IR180" s="18"/>
      <c r="IS180" s="18"/>
      <c r="IT180" s="18"/>
      <c r="IU180" s="18"/>
      <c r="IV180" s="18"/>
      <c r="IW180" s="18"/>
      <c r="IX180" s="18"/>
      <c r="IY180" s="18"/>
      <c r="IZ180" s="18"/>
      <c r="JA180" s="18"/>
      <c r="JB180" s="18"/>
      <c r="JC180" s="18"/>
      <c r="JD180" s="18"/>
      <c r="JE180" s="18"/>
      <c r="JF180" s="18"/>
      <c r="JG180" s="18"/>
      <c r="JH180" s="18"/>
      <c r="JI180" s="18"/>
      <c r="JJ180" s="18"/>
      <c r="JK180" s="18"/>
      <c r="JL180" s="18"/>
      <c r="JM180" s="18"/>
      <c r="JN180" s="18"/>
      <c r="JO180" s="18"/>
      <c r="JP180" s="18"/>
      <c r="JQ180" s="18"/>
      <c r="JR180" s="18"/>
      <c r="JS180" s="18"/>
      <c r="JT180" s="18"/>
      <c r="JU180" s="18"/>
      <c r="JV180" s="18"/>
      <c r="JW180" s="18"/>
      <c r="JX180" s="18"/>
      <c r="JZ180" s="263"/>
      <c r="KA180" s="263"/>
      <c r="KB180" s="263"/>
      <c r="KC180" s="263"/>
      <c r="KD180" s="263"/>
      <c r="KE180" s="263"/>
      <c r="KF180" s="263"/>
      <c r="KG180" s="263"/>
      <c r="KH180" s="263"/>
      <c r="KI180" s="263"/>
      <c r="KJ180" s="263"/>
      <c r="KK180" s="263"/>
      <c r="KL180" s="263"/>
      <c r="KM180" s="263"/>
      <c r="KN180" s="263"/>
      <c r="KO180" s="263"/>
      <c r="KP180" s="263"/>
      <c r="KQ180" s="263"/>
      <c r="KR180" s="263"/>
      <c r="KS180" s="263"/>
      <c r="KT180" s="263"/>
      <c r="KU180" s="263"/>
      <c r="KV180" s="263"/>
      <c r="KW180" s="263"/>
      <c r="KX180" s="263"/>
      <c r="KY180" s="263"/>
      <c r="KZ180" s="263"/>
      <c r="LA180" s="263"/>
      <c r="LB180" s="263"/>
      <c r="LC180" s="263"/>
      <c r="LD180" s="263"/>
      <c r="LE180" s="263"/>
      <c r="LF180" s="263"/>
      <c r="LG180" s="263"/>
      <c r="LH180" s="263"/>
      <c r="LI180" s="263"/>
      <c r="LJ180" s="263"/>
      <c r="LK180" s="263"/>
      <c r="LL180" s="263"/>
      <c r="LM180" s="263"/>
      <c r="LN180" s="263"/>
      <c r="LO180" s="263"/>
      <c r="LP180" s="263"/>
      <c r="LQ180" s="263"/>
      <c r="LR180" s="263"/>
      <c r="LS180" s="263"/>
      <c r="LT180" s="263"/>
      <c r="LU180" s="263"/>
      <c r="LV180" s="263"/>
      <c r="LW180" s="263"/>
      <c r="LX180" s="263"/>
      <c r="LY180" s="263"/>
      <c r="LZ180" s="263"/>
      <c r="MA180" s="263"/>
      <c r="MB180" s="263"/>
      <c r="MC180" s="263"/>
      <c r="MD180" s="263"/>
      <c r="ME180" s="263"/>
      <c r="MF180" s="263"/>
      <c r="MG180" s="263"/>
      <c r="MH180" s="263"/>
      <c r="MI180" s="263"/>
      <c r="MJ180" s="263"/>
      <c r="MK180" s="263"/>
      <c r="ML180" s="263"/>
      <c r="MM180" s="263"/>
      <c r="MN180" s="263"/>
      <c r="MO180" s="263"/>
      <c r="MP180" s="263"/>
      <c r="MQ180" s="263"/>
      <c r="MR180" s="263"/>
      <c r="MS180" s="263"/>
      <c r="MT180" s="263"/>
      <c r="MU180" s="263"/>
      <c r="MV180" s="263"/>
      <c r="MW180" s="263"/>
      <c r="MX180" s="263"/>
      <c r="MY180" s="263"/>
      <c r="MZ180" s="263"/>
      <c r="NA180" s="263"/>
      <c r="NB180" s="263"/>
      <c r="NC180" s="263"/>
      <c r="ND180" s="263"/>
      <c r="NE180" s="263"/>
      <c r="NF180" s="263"/>
      <c r="NG180" s="263"/>
      <c r="NH180" s="263"/>
      <c r="NI180" s="263"/>
      <c r="NJ180" s="263"/>
      <c r="NK180" s="263"/>
      <c r="NL180" s="263"/>
      <c r="NM180" s="263"/>
      <c r="NN180" s="263"/>
      <c r="NO180" s="263"/>
      <c r="NP180" s="263"/>
      <c r="NQ180" s="263"/>
      <c r="NR180" s="263"/>
      <c r="NS180" s="263"/>
      <c r="NT180" s="263"/>
      <c r="NU180" s="263"/>
      <c r="NV180" s="263"/>
      <c r="NW180" s="263"/>
      <c r="NX180" s="263"/>
      <c r="NY180" s="263"/>
      <c r="NZ180" s="263"/>
      <c r="OA180" s="263"/>
      <c r="OB180" s="263"/>
      <c r="OC180" s="263"/>
      <c r="OD180" s="263"/>
      <c r="OE180" s="263"/>
      <c r="OF180" s="263"/>
      <c r="OG180" s="263"/>
      <c r="OH180" s="263"/>
      <c r="OI180" s="263"/>
      <c r="OJ180" s="263"/>
      <c r="OK180" s="263"/>
      <c r="OL180" s="263"/>
      <c r="OM180" s="263"/>
      <c r="ON180" s="263"/>
      <c r="OO180" s="263"/>
      <c r="OP180" s="263"/>
      <c r="OQ180" s="263"/>
      <c r="OR180" s="263"/>
      <c r="OS180" s="263"/>
      <c r="OT180" s="263"/>
      <c r="OU180" s="263"/>
      <c r="OV180" s="263"/>
      <c r="OW180" s="263"/>
      <c r="OX180" s="263"/>
      <c r="OY180" s="263"/>
      <c r="OZ180" s="263"/>
      <c r="PA180" s="263"/>
      <c r="PB180" s="263"/>
      <c r="PC180" s="263"/>
      <c r="PD180" s="263"/>
      <c r="PE180" s="263"/>
      <c r="PF180" s="263"/>
      <c r="PG180" s="263"/>
      <c r="PH180" s="263"/>
    </row>
    <row r="181">
      <c r="B181" s="431" t="s">
        <v>349</v>
      </c>
      <c r="C181" s="404"/>
      <c r="D181" s="404"/>
      <c r="E181" s="416"/>
      <c r="F181" s="416"/>
      <c r="G181" s="41"/>
      <c r="H181" s="449" t="n">
        <f>+I151</f>
        <v>985045.2375</v>
      </c>
      <c r="I181" s="420" t="n">
        <f>MAX(SUM(INDEX($L$151:$EN$151,1,Timing_Reversion_Month+1):INDEX($L$151:$EN$151,1,Timing_Reversion_Month+12)))</f>
        <v>1024841.0650949999</v>
      </c>
      <c r="J181" s="399"/>
      <c r="K181" s="400"/>
      <c r="L181" s="400"/>
      <c r="M181" s="400"/>
      <c r="N181" s="400"/>
      <c r="O181" s="400"/>
      <c r="P181" s="400"/>
      <c r="Q181" s="400"/>
      <c r="R181" s="400"/>
      <c r="S181" s="400"/>
      <c r="T181" s="400"/>
      <c r="U181" s="400"/>
      <c r="V181" s="400"/>
      <c r="W181" s="400"/>
      <c r="X181" s="400"/>
      <c r="Y181" s="400"/>
      <c r="Z181" s="400"/>
      <c r="AA181" s="400"/>
      <c r="AB181" s="400"/>
      <c r="AC181" s="400"/>
      <c r="AD181" s="400"/>
      <c r="AE181" s="400"/>
      <c r="AF181" s="400"/>
      <c r="AG181" s="400"/>
      <c r="AH181" s="400"/>
      <c r="AI181" s="400"/>
      <c r="AJ181" s="400"/>
      <c r="AK181" s="400"/>
      <c r="AL181" s="400"/>
      <c r="AM181" s="400"/>
      <c r="AN181" s="400"/>
      <c r="AO181" s="400"/>
      <c r="AP181" s="400"/>
      <c r="AQ181" s="400"/>
      <c r="AR181" s="400"/>
      <c r="AS181" s="400"/>
      <c r="AT181" s="400"/>
      <c r="AU181" s="400"/>
      <c r="AV181" s="400"/>
      <c r="AW181" s="400"/>
      <c r="AX181" s="400"/>
      <c r="AY181" s="400"/>
      <c r="AZ181" s="400"/>
      <c r="BA181" s="400"/>
      <c r="BB181" s="400"/>
      <c r="BC181" s="400"/>
      <c r="BD181" s="400"/>
      <c r="BE181" s="400"/>
      <c r="BF181" s="400"/>
      <c r="BG181" s="400"/>
      <c r="BH181" s="400"/>
      <c r="BI181" s="400"/>
      <c r="BJ181" s="400"/>
      <c r="BK181" s="400"/>
      <c r="BL181" s="400"/>
      <c r="BM181" s="400"/>
      <c r="BN181" s="400"/>
      <c r="BO181" s="400"/>
      <c r="BP181" s="400"/>
      <c r="BQ181" s="400"/>
      <c r="BR181" s="400"/>
      <c r="BS181" s="400"/>
      <c r="BT181" s="400"/>
      <c r="BU181" s="400"/>
      <c r="BV181" s="400"/>
      <c r="BW181" s="400"/>
      <c r="BX181" s="400"/>
      <c r="BY181" s="400"/>
      <c r="BZ181" s="400"/>
      <c r="CA181" s="400"/>
      <c r="CB181" s="400"/>
      <c r="CC181" s="400"/>
      <c r="CD181" s="400"/>
      <c r="CE181" s="400"/>
      <c r="CF181" s="400"/>
      <c r="CG181" s="400"/>
      <c r="CH181" s="400"/>
      <c r="CI181" s="400"/>
      <c r="CJ181" s="400"/>
      <c r="CK181" s="400"/>
      <c r="CL181" s="400"/>
      <c r="CM181" s="400"/>
      <c r="CN181" s="400"/>
      <c r="CO181" s="400"/>
      <c r="CP181" s="400"/>
      <c r="CQ181" s="400"/>
      <c r="CR181" s="400"/>
      <c r="CS181" s="400"/>
      <c r="CT181" s="400"/>
      <c r="CU181" s="400"/>
      <c r="CV181" s="400"/>
      <c r="CW181" s="400"/>
      <c r="CX181" s="400"/>
      <c r="CY181" s="400"/>
      <c r="CZ181" s="400"/>
      <c r="DA181" s="400"/>
      <c r="DB181" s="400"/>
      <c r="DC181" s="400"/>
      <c r="DD181" s="400"/>
      <c r="DE181" s="400"/>
      <c r="DF181" s="400"/>
      <c r="DG181" s="400"/>
      <c r="DH181" s="400"/>
      <c r="DI181" s="400"/>
      <c r="DJ181" s="400"/>
      <c r="DK181" s="400"/>
      <c r="DL181" s="400"/>
      <c r="DM181" s="400"/>
      <c r="DN181" s="400"/>
      <c r="DO181" s="400"/>
      <c r="DP181" s="400"/>
      <c r="DQ181" s="400"/>
      <c r="DR181" s="400"/>
      <c r="DS181" s="400"/>
      <c r="DT181" s="400"/>
      <c r="DU181" s="400"/>
      <c r="DV181" s="400"/>
      <c r="DW181" s="400"/>
      <c r="DX181" s="400"/>
      <c r="DY181" s="400"/>
      <c r="DZ181" s="400"/>
      <c r="EA181" s="400"/>
      <c r="EB181" s="400"/>
      <c r="EC181" s="400"/>
      <c r="ED181" s="400"/>
      <c r="EE181" s="400"/>
      <c r="EF181" s="400"/>
      <c r="EG181" s="400"/>
      <c r="EH181" s="400"/>
      <c r="EI181" s="400"/>
      <c r="EJ181" s="400"/>
      <c r="EK181" s="400"/>
      <c r="EL181" s="400"/>
      <c r="EM181" s="400"/>
      <c r="EN181" s="400"/>
      <c r="EO181" s="400"/>
      <c r="EP181" s="220"/>
      <c r="EQ181" s="18"/>
      <c r="ER181" s="18"/>
      <c r="ES181" s="18"/>
      <c r="ET181" s="18"/>
      <c r="EU181" s="18"/>
      <c r="EV181" s="18"/>
      <c r="EW181" s="18"/>
      <c r="EX181" s="18"/>
      <c r="EY181" s="18"/>
      <c r="EZ181" s="18"/>
      <c r="FA181" s="18"/>
      <c r="FB181" s="18"/>
      <c r="FC181" s="18"/>
      <c r="FD181" s="18"/>
      <c r="FE181" s="18"/>
      <c r="FF181" s="18"/>
      <c r="FG181" s="18"/>
      <c r="FH181" s="18"/>
      <c r="FI181" s="18"/>
      <c r="FJ181" s="18"/>
      <c r="FK181" s="18"/>
      <c r="FL181" s="18"/>
      <c r="FM181" s="18"/>
      <c r="FN181" s="18"/>
      <c r="FO181" s="18"/>
      <c r="FP181" s="18"/>
      <c r="FQ181" s="18"/>
      <c r="FR181" s="18"/>
      <c r="FS181" s="18"/>
      <c r="FT181" s="18"/>
      <c r="FU181" s="18"/>
      <c r="FV181" s="18"/>
      <c r="FW181" s="18"/>
      <c r="FX181" s="18"/>
      <c r="FY181" s="18"/>
      <c r="FZ181" s="18"/>
      <c r="GA181" s="18"/>
      <c r="GB181" s="18"/>
      <c r="GC181" s="18"/>
      <c r="GD181" s="18"/>
      <c r="GE181" s="18"/>
      <c r="GF181" s="18"/>
      <c r="GG181" s="18"/>
      <c r="GH181" s="18"/>
      <c r="GI181" s="18"/>
      <c r="GJ181" s="18"/>
      <c r="GK181" s="18"/>
      <c r="GL181" s="18"/>
      <c r="GM181" s="18"/>
      <c r="GN181" s="18"/>
      <c r="GO181" s="18"/>
      <c r="GP181" s="18"/>
      <c r="GQ181" s="18"/>
      <c r="GR181" s="18"/>
      <c r="GS181" s="18"/>
      <c r="GT181" s="18"/>
      <c r="GU181" s="18"/>
      <c r="GV181" s="18"/>
      <c r="GW181" s="18"/>
      <c r="GX181" s="18"/>
      <c r="GY181" s="18"/>
      <c r="GZ181" s="18"/>
      <c r="HA181" s="18"/>
      <c r="HB181" s="18"/>
      <c r="HC181" s="18"/>
      <c r="HD181" s="18"/>
      <c r="HE181" s="18"/>
      <c r="HF181" s="18"/>
      <c r="HG181" s="18"/>
      <c r="HH181" s="18"/>
      <c r="HI181" s="18"/>
      <c r="HJ181" s="18"/>
      <c r="HK181" s="18"/>
      <c r="HL181" s="18"/>
      <c r="HM181" s="18"/>
      <c r="HN181" s="18"/>
      <c r="HO181" s="18"/>
      <c r="HP181" s="18"/>
      <c r="HQ181" s="18"/>
      <c r="HR181" s="18"/>
      <c r="HS181" s="18"/>
      <c r="HT181" s="18"/>
      <c r="HU181" s="18"/>
      <c r="HV181" s="18"/>
      <c r="HW181" s="18"/>
      <c r="HX181" s="18"/>
      <c r="HY181" s="18"/>
      <c r="HZ181" s="18"/>
      <c r="IA181" s="18"/>
      <c r="IB181" s="18"/>
      <c r="IC181" s="18"/>
      <c r="ID181" s="18"/>
      <c r="IE181" s="18"/>
      <c r="IF181" s="18"/>
      <c r="IG181" s="18"/>
      <c r="IH181" s="18"/>
      <c r="II181" s="18"/>
      <c r="IJ181" s="18"/>
      <c r="IK181" s="18"/>
      <c r="IL181" s="18"/>
      <c r="IM181" s="18"/>
      <c r="IN181" s="18"/>
      <c r="IO181" s="18"/>
      <c r="IP181" s="18"/>
      <c r="IQ181" s="18"/>
      <c r="IR181" s="18"/>
      <c r="IS181" s="18"/>
      <c r="IT181" s="18"/>
      <c r="IU181" s="18"/>
      <c r="IV181" s="18"/>
      <c r="IW181" s="18"/>
      <c r="IX181" s="18"/>
      <c r="IY181" s="18"/>
      <c r="IZ181" s="18"/>
      <c r="JA181" s="18"/>
      <c r="JB181" s="18"/>
      <c r="JC181" s="18"/>
      <c r="JD181" s="18"/>
      <c r="JE181" s="18"/>
      <c r="JF181" s="18"/>
      <c r="JG181" s="18"/>
      <c r="JH181" s="18"/>
      <c r="JI181" s="18"/>
      <c r="JJ181" s="18"/>
      <c r="JK181" s="18"/>
      <c r="JL181" s="18"/>
      <c r="JM181" s="18"/>
      <c r="JN181" s="18"/>
      <c r="JO181" s="18"/>
      <c r="JP181" s="18"/>
      <c r="JQ181" s="18"/>
      <c r="JR181" s="18"/>
      <c r="JS181" s="18"/>
      <c r="JT181" s="18"/>
      <c r="JU181" s="18"/>
      <c r="JV181" s="18"/>
      <c r="JW181" s="18"/>
      <c r="JX181" s="18"/>
      <c r="JZ181" s="263"/>
      <c r="KA181" s="263"/>
      <c r="KB181" s="263"/>
      <c r="KC181" s="263"/>
      <c r="KD181" s="263"/>
      <c r="KE181" s="263"/>
      <c r="KF181" s="263"/>
      <c r="KG181" s="263"/>
      <c r="KH181" s="263"/>
      <c r="KI181" s="263"/>
      <c r="KJ181" s="263"/>
      <c r="KK181" s="263"/>
      <c r="KL181" s="263"/>
      <c r="KM181" s="263"/>
      <c r="KN181" s="263"/>
      <c r="KO181" s="263"/>
      <c r="KP181" s="263"/>
      <c r="KQ181" s="263"/>
      <c r="KR181" s="263"/>
      <c r="KS181" s="263"/>
      <c r="KT181" s="263"/>
      <c r="KU181" s="263"/>
      <c r="KV181" s="263"/>
      <c r="KW181" s="263"/>
      <c r="KX181" s="263"/>
      <c r="KY181" s="263"/>
      <c r="KZ181" s="263"/>
      <c r="LA181" s="263"/>
      <c r="LB181" s="263"/>
      <c r="LC181" s="263"/>
      <c r="LD181" s="263"/>
      <c r="LE181" s="263"/>
      <c r="LF181" s="263"/>
      <c r="LG181" s="263"/>
      <c r="LH181" s="263"/>
      <c r="LI181" s="263"/>
      <c r="LJ181" s="263"/>
      <c r="LK181" s="263"/>
      <c r="LL181" s="263"/>
      <c r="LM181" s="263"/>
      <c r="LN181" s="263"/>
      <c r="LO181" s="263"/>
      <c r="LP181" s="263"/>
      <c r="LQ181" s="263"/>
      <c r="LR181" s="263"/>
      <c r="LS181" s="263"/>
      <c r="LT181" s="263"/>
      <c r="LU181" s="263"/>
      <c r="LV181" s="263"/>
      <c r="LW181" s="263"/>
      <c r="LX181" s="263"/>
      <c r="LY181" s="263"/>
      <c r="LZ181" s="263"/>
      <c r="MA181" s="263"/>
      <c r="MB181" s="263"/>
      <c r="MC181" s="263"/>
      <c r="MD181" s="263"/>
      <c r="ME181" s="263"/>
      <c r="MF181" s="263"/>
      <c r="MG181" s="263"/>
      <c r="MH181" s="263"/>
      <c r="MI181" s="263"/>
      <c r="MJ181" s="263"/>
      <c r="MK181" s="263"/>
      <c r="ML181" s="263"/>
      <c r="MM181" s="263"/>
      <c r="MN181" s="263"/>
      <c r="MO181" s="263"/>
      <c r="MP181" s="263"/>
      <c r="MQ181" s="263"/>
      <c r="MR181" s="263"/>
      <c r="MS181" s="263"/>
      <c r="MT181" s="263"/>
      <c r="MU181" s="263"/>
      <c r="MV181" s="263"/>
      <c r="MW181" s="263"/>
      <c r="MX181" s="263"/>
      <c r="MY181" s="263"/>
      <c r="MZ181" s="263"/>
      <c r="NA181" s="263"/>
      <c r="NB181" s="263"/>
      <c r="NC181" s="263"/>
      <c r="ND181" s="263"/>
      <c r="NE181" s="263"/>
      <c r="NF181" s="263"/>
      <c r="NG181" s="263"/>
      <c r="NH181" s="263"/>
      <c r="NI181" s="263"/>
      <c r="NJ181" s="263"/>
      <c r="NK181" s="263"/>
      <c r="NL181" s="263"/>
      <c r="NM181" s="263"/>
      <c r="NN181" s="263"/>
      <c r="NO181" s="263"/>
      <c r="NP181" s="263"/>
      <c r="NQ181" s="263"/>
      <c r="NR181" s="263"/>
      <c r="NS181" s="263"/>
      <c r="NT181" s="263"/>
      <c r="NU181" s="263"/>
      <c r="NV181" s="263"/>
      <c r="NW181" s="263"/>
      <c r="NX181" s="263"/>
      <c r="NY181" s="263"/>
      <c r="NZ181" s="263"/>
      <c r="OA181" s="263"/>
      <c r="OB181" s="263"/>
      <c r="OC181" s="263"/>
      <c r="OD181" s="263"/>
      <c r="OE181" s="263"/>
      <c r="OF181" s="263"/>
      <c r="OG181" s="263"/>
      <c r="OH181" s="263"/>
      <c r="OI181" s="263"/>
      <c r="OJ181" s="263"/>
      <c r="OK181" s="263"/>
      <c r="OL181" s="263"/>
      <c r="OM181" s="263"/>
      <c r="ON181" s="263"/>
      <c r="OO181" s="263"/>
      <c r="OP181" s="263"/>
      <c r="OQ181" s="263"/>
      <c r="OR181" s="263"/>
      <c r="OS181" s="263"/>
      <c r="OT181" s="263"/>
      <c r="OU181" s="263"/>
      <c r="OV181" s="263"/>
      <c r="OW181" s="263"/>
      <c r="OX181" s="263"/>
      <c r="OY181" s="263"/>
      <c r="OZ181" s="263"/>
      <c r="PA181" s="263"/>
      <c r="PB181" s="263"/>
      <c r="PC181" s="263"/>
      <c r="PD181" s="263"/>
      <c r="PE181" s="263"/>
      <c r="PF181" s="263"/>
      <c r="PG181" s="263"/>
      <c r="PH181" s="263"/>
    </row>
    <row r="182">
      <c r="B182" s="431" t="s">
        <v>308</v>
      </c>
      <c r="C182" s="404"/>
      <c r="D182" s="433"/>
      <c r="E182" s="40"/>
      <c r="F182" s="40"/>
      <c r="G182" s="45"/>
      <c r="H182" s="478" t="n">
        <f>+I152</f>
        <v>78312.38</v>
      </c>
      <c r="I182" s="513" t="n">
        <f>MAX(SUM(INDEX($L$152:$EN$152,1,Timing_Reversion_Month+1):INDEX($L$152:$EN$152,1,Timing_Reversion_Month+12)))</f>
        <v>81476.200152</v>
      </c>
      <c r="J182" s="399"/>
      <c r="K182" s="400"/>
      <c r="L182" s="400"/>
      <c r="M182" s="400"/>
      <c r="N182" s="400"/>
      <c r="O182" s="400"/>
      <c r="P182" s="400"/>
      <c r="Q182" s="400"/>
      <c r="R182" s="400"/>
      <c r="S182" s="400"/>
      <c r="T182" s="400"/>
      <c r="U182" s="400"/>
      <c r="V182" s="400"/>
      <c r="W182" s="400"/>
      <c r="X182" s="400"/>
      <c r="Y182" s="400"/>
      <c r="Z182" s="400"/>
      <c r="AA182" s="400"/>
      <c r="AB182" s="400"/>
      <c r="AC182" s="400"/>
      <c r="AD182" s="400"/>
      <c r="AE182" s="400"/>
      <c r="AF182" s="400"/>
      <c r="AG182" s="400"/>
      <c r="AH182" s="400"/>
      <c r="AI182" s="400"/>
      <c r="AJ182" s="400"/>
      <c r="AK182" s="400"/>
      <c r="AL182" s="400"/>
      <c r="AM182" s="400"/>
      <c r="AN182" s="400"/>
      <c r="AO182" s="400"/>
      <c r="AP182" s="400"/>
      <c r="AQ182" s="400"/>
      <c r="AR182" s="400"/>
      <c r="AS182" s="400"/>
      <c r="AT182" s="400"/>
      <c r="AU182" s="400"/>
      <c r="AV182" s="400"/>
      <c r="AW182" s="400"/>
      <c r="AX182" s="400"/>
      <c r="AY182" s="400"/>
      <c r="AZ182" s="400"/>
      <c r="BA182" s="400"/>
      <c r="BB182" s="400"/>
      <c r="BC182" s="400"/>
      <c r="BD182" s="400"/>
      <c r="BE182" s="400"/>
      <c r="BF182" s="400"/>
      <c r="BG182" s="400"/>
      <c r="BH182" s="400"/>
      <c r="BI182" s="400"/>
      <c r="BJ182" s="400"/>
      <c r="BK182" s="400"/>
      <c r="BL182" s="400"/>
      <c r="BM182" s="400"/>
      <c r="BN182" s="400"/>
      <c r="BO182" s="400"/>
      <c r="BP182" s="400"/>
      <c r="BQ182" s="400"/>
      <c r="BR182" s="400"/>
      <c r="BS182" s="400"/>
      <c r="BT182" s="400"/>
      <c r="BU182" s="400"/>
      <c r="BV182" s="400"/>
      <c r="BW182" s="400"/>
      <c r="BX182" s="400"/>
      <c r="BY182" s="400"/>
      <c r="BZ182" s="400"/>
      <c r="CA182" s="400"/>
      <c r="CB182" s="400"/>
      <c r="CC182" s="400"/>
      <c r="CD182" s="400"/>
      <c r="CE182" s="400"/>
      <c r="CF182" s="400"/>
      <c r="CG182" s="400"/>
      <c r="CH182" s="400"/>
      <c r="CI182" s="400"/>
      <c r="CJ182" s="400"/>
      <c r="CK182" s="400"/>
      <c r="CL182" s="400"/>
      <c r="CM182" s="400"/>
      <c r="CN182" s="400"/>
      <c r="CO182" s="400"/>
      <c r="CP182" s="400"/>
      <c r="CQ182" s="400"/>
      <c r="CR182" s="400"/>
      <c r="CS182" s="400"/>
      <c r="CT182" s="400"/>
      <c r="CU182" s="400"/>
      <c r="CV182" s="400"/>
      <c r="CW182" s="400"/>
      <c r="CX182" s="400"/>
      <c r="CY182" s="400"/>
      <c r="CZ182" s="400"/>
      <c r="DA182" s="400"/>
      <c r="DB182" s="400"/>
      <c r="DC182" s="400"/>
      <c r="DD182" s="400"/>
      <c r="DE182" s="400"/>
      <c r="DF182" s="400"/>
      <c r="DG182" s="400"/>
      <c r="DH182" s="400"/>
      <c r="DI182" s="400"/>
      <c r="DJ182" s="400"/>
      <c r="DK182" s="400"/>
      <c r="DL182" s="400"/>
      <c r="DM182" s="400"/>
      <c r="DN182" s="400"/>
      <c r="DO182" s="400"/>
      <c r="DP182" s="400"/>
      <c r="DQ182" s="400"/>
      <c r="DR182" s="400"/>
      <c r="DS182" s="400"/>
      <c r="DT182" s="400"/>
      <c r="DU182" s="400"/>
      <c r="DV182" s="400"/>
      <c r="DW182" s="400"/>
      <c r="DX182" s="400"/>
      <c r="DY182" s="400"/>
      <c r="DZ182" s="400"/>
      <c r="EA182" s="400"/>
      <c r="EB182" s="400"/>
      <c r="EC182" s="400"/>
      <c r="ED182" s="400"/>
      <c r="EE182" s="400"/>
      <c r="EF182" s="400"/>
      <c r="EG182" s="400"/>
      <c r="EH182" s="400"/>
      <c r="EI182" s="400"/>
      <c r="EJ182" s="400"/>
      <c r="EK182" s="400"/>
      <c r="EL182" s="400"/>
      <c r="EM182" s="400"/>
      <c r="EN182" s="400"/>
      <c r="EO182" s="400"/>
      <c r="EP182" s="220"/>
      <c r="EQ182" s="18"/>
      <c r="ER182" s="18"/>
      <c r="ES182" s="18"/>
      <c r="ET182" s="18"/>
      <c r="EU182" s="18"/>
      <c r="EV182" s="18"/>
      <c r="EW182" s="18"/>
      <c r="EX182" s="18"/>
      <c r="EY182" s="18"/>
      <c r="EZ182" s="18"/>
      <c r="FA182" s="18"/>
      <c r="FB182" s="18"/>
      <c r="FC182" s="18"/>
      <c r="FD182" s="18"/>
      <c r="FE182" s="18"/>
      <c r="FF182" s="18"/>
      <c r="FG182" s="18"/>
      <c r="FH182" s="18"/>
      <c r="FI182" s="18"/>
      <c r="FJ182" s="18"/>
      <c r="FK182" s="18"/>
      <c r="FL182" s="18"/>
      <c r="FM182" s="18"/>
      <c r="FN182" s="18"/>
      <c r="FO182" s="18"/>
      <c r="FP182" s="18"/>
      <c r="FQ182" s="18"/>
      <c r="FR182" s="18"/>
      <c r="FS182" s="18"/>
      <c r="FT182" s="18"/>
      <c r="FU182" s="18"/>
      <c r="FV182" s="18"/>
      <c r="FW182" s="18"/>
      <c r="FX182" s="18"/>
      <c r="FY182" s="18"/>
      <c r="FZ182" s="18"/>
      <c r="GA182" s="18"/>
      <c r="GB182" s="18"/>
      <c r="GC182" s="18"/>
      <c r="GD182" s="18"/>
      <c r="GE182" s="18"/>
      <c r="GF182" s="18"/>
      <c r="GG182" s="18"/>
      <c r="GH182" s="18"/>
      <c r="GI182" s="18"/>
      <c r="GJ182" s="18"/>
      <c r="GK182" s="18"/>
      <c r="GL182" s="18"/>
      <c r="GM182" s="18"/>
      <c r="GN182" s="18"/>
      <c r="GO182" s="18"/>
      <c r="GP182" s="18"/>
      <c r="GQ182" s="18"/>
      <c r="GR182" s="18"/>
      <c r="GS182" s="18"/>
      <c r="GT182" s="18"/>
      <c r="GU182" s="18"/>
      <c r="GV182" s="18"/>
      <c r="GW182" s="18"/>
      <c r="GX182" s="18"/>
      <c r="GY182" s="18"/>
      <c r="GZ182" s="18"/>
      <c r="HA182" s="18"/>
      <c r="HB182" s="18"/>
      <c r="HC182" s="18"/>
      <c r="HD182" s="18"/>
      <c r="HE182" s="18"/>
      <c r="HF182" s="18"/>
      <c r="HG182" s="18"/>
      <c r="HH182" s="18"/>
      <c r="HI182" s="18"/>
      <c r="HJ182" s="18"/>
      <c r="HK182" s="18"/>
      <c r="HL182" s="18"/>
      <c r="HM182" s="18"/>
      <c r="HN182" s="18"/>
      <c r="HO182" s="18"/>
      <c r="HP182" s="18"/>
      <c r="HQ182" s="18"/>
      <c r="HR182" s="18"/>
      <c r="HS182" s="18"/>
      <c r="HT182" s="18"/>
      <c r="HU182" s="18"/>
      <c r="HV182" s="18"/>
      <c r="HW182" s="18"/>
      <c r="HX182" s="18"/>
      <c r="HY182" s="18"/>
      <c r="HZ182" s="18"/>
      <c r="IA182" s="18"/>
      <c r="IB182" s="18"/>
      <c r="IC182" s="18"/>
      <c r="ID182" s="18"/>
      <c r="IE182" s="18"/>
      <c r="IF182" s="18"/>
      <c r="IG182" s="18"/>
      <c r="IH182" s="18"/>
      <c r="II182" s="18"/>
      <c r="IJ182" s="18"/>
      <c r="IK182" s="18"/>
      <c r="IL182" s="18"/>
      <c r="IM182" s="18"/>
      <c r="IN182" s="18"/>
      <c r="IO182" s="18"/>
      <c r="IP182" s="18"/>
      <c r="IQ182" s="18"/>
      <c r="IR182" s="18"/>
      <c r="IS182" s="18"/>
      <c r="IT182" s="18"/>
      <c r="IU182" s="18"/>
      <c r="IV182" s="18"/>
      <c r="IW182" s="18"/>
      <c r="IX182" s="18"/>
      <c r="IY182" s="18"/>
      <c r="IZ182" s="18"/>
      <c r="JA182" s="18"/>
      <c r="JB182" s="18"/>
      <c r="JC182" s="18"/>
      <c r="JD182" s="18"/>
      <c r="JE182" s="18"/>
      <c r="JF182" s="18"/>
      <c r="JG182" s="18"/>
      <c r="JH182" s="18"/>
      <c r="JI182" s="18"/>
      <c r="JJ182" s="18"/>
      <c r="JK182" s="18"/>
      <c r="JL182" s="18"/>
      <c r="JM182" s="18"/>
      <c r="JN182" s="18"/>
      <c r="JO182" s="18"/>
      <c r="JP182" s="18"/>
      <c r="JQ182" s="18"/>
      <c r="JR182" s="18"/>
      <c r="JS182" s="18"/>
      <c r="JT182" s="18"/>
      <c r="JU182" s="18"/>
      <c r="JV182" s="18"/>
      <c r="JW182" s="18"/>
      <c r="JX182" s="18"/>
      <c r="JZ182" s="263"/>
      <c r="KA182" s="263"/>
      <c r="KB182" s="263"/>
      <c r="KC182" s="263"/>
      <c r="KD182" s="263"/>
      <c r="KE182" s="263"/>
      <c r="KF182" s="263"/>
      <c r="KG182" s="263"/>
      <c r="KH182" s="263"/>
      <c r="KI182" s="263"/>
      <c r="KJ182" s="263"/>
      <c r="KK182" s="263"/>
      <c r="KL182" s="263"/>
      <c r="KM182" s="263"/>
      <c r="KN182" s="263"/>
      <c r="KO182" s="263"/>
      <c r="KP182" s="263"/>
      <c r="KQ182" s="263"/>
      <c r="KR182" s="263"/>
      <c r="KS182" s="263"/>
      <c r="KT182" s="263"/>
      <c r="KU182" s="263"/>
      <c r="KV182" s="263"/>
      <c r="KW182" s="263"/>
      <c r="KX182" s="263"/>
      <c r="KY182" s="263"/>
      <c r="KZ182" s="263"/>
      <c r="LA182" s="263"/>
      <c r="LB182" s="263"/>
      <c r="LC182" s="263"/>
      <c r="LD182" s="263"/>
      <c r="LE182" s="263"/>
      <c r="LF182" s="263"/>
      <c r="LG182" s="263"/>
      <c r="LH182" s="263"/>
      <c r="LI182" s="263"/>
      <c r="LJ182" s="263"/>
      <c r="LK182" s="263"/>
      <c r="LL182" s="263"/>
      <c r="LM182" s="263"/>
      <c r="LN182" s="263"/>
      <c r="LO182" s="263"/>
      <c r="LP182" s="263"/>
      <c r="LQ182" s="263"/>
      <c r="LR182" s="263"/>
      <c r="LS182" s="263"/>
      <c r="LT182" s="263"/>
      <c r="LU182" s="263"/>
      <c r="LV182" s="263"/>
      <c r="LW182" s="263"/>
      <c r="LX182" s="263"/>
      <c r="LY182" s="263"/>
      <c r="LZ182" s="263"/>
      <c r="MA182" s="263"/>
      <c r="MB182" s="263"/>
      <c r="MC182" s="263"/>
      <c r="MD182" s="263"/>
      <c r="ME182" s="263"/>
      <c r="MF182" s="263"/>
      <c r="MG182" s="263"/>
      <c r="MH182" s="263"/>
      <c r="MI182" s="263"/>
      <c r="MJ182" s="263"/>
      <c r="MK182" s="263"/>
      <c r="ML182" s="263"/>
      <c r="MM182" s="263"/>
      <c r="MN182" s="263"/>
      <c r="MO182" s="263"/>
      <c r="MP182" s="263"/>
      <c r="MQ182" s="263"/>
      <c r="MR182" s="263"/>
      <c r="MS182" s="263"/>
      <c r="MT182" s="263"/>
      <c r="MU182" s="263"/>
      <c r="MV182" s="263"/>
      <c r="MW182" s="263"/>
      <c r="MX182" s="263"/>
      <c r="MY182" s="263"/>
      <c r="MZ182" s="263"/>
      <c r="NA182" s="263"/>
      <c r="NB182" s="263"/>
      <c r="NC182" s="263"/>
      <c r="ND182" s="263"/>
      <c r="NE182" s="263"/>
      <c r="NF182" s="263"/>
      <c r="NG182" s="263"/>
      <c r="NH182" s="263"/>
      <c r="NI182" s="263"/>
      <c r="NJ182" s="263"/>
      <c r="NK182" s="263"/>
      <c r="NL182" s="263"/>
      <c r="NM182" s="263"/>
      <c r="NN182" s="263"/>
      <c r="NO182" s="263"/>
      <c r="NP182" s="263"/>
      <c r="NQ182" s="263"/>
      <c r="NR182" s="263"/>
      <c r="NS182" s="263"/>
      <c r="NT182" s="263"/>
      <c r="NU182" s="263"/>
      <c r="NV182" s="263"/>
      <c r="NW182" s="263"/>
      <c r="NX182" s="263"/>
      <c r="NY182" s="263"/>
      <c r="NZ182" s="263"/>
      <c r="OA182" s="263"/>
      <c r="OB182" s="263"/>
      <c r="OC182" s="263"/>
      <c r="OD182" s="263"/>
      <c r="OE182" s="263"/>
      <c r="OF182" s="263"/>
      <c r="OG182" s="263"/>
      <c r="OH182" s="263"/>
      <c r="OI182" s="263"/>
      <c r="OJ182" s="263"/>
      <c r="OK182" s="263"/>
      <c r="OL182" s="263"/>
      <c r="OM182" s="263"/>
      <c r="ON182" s="263"/>
      <c r="OO182" s="263"/>
      <c r="OP182" s="263"/>
      <c r="OQ182" s="263"/>
      <c r="OR182" s="263"/>
      <c r="OS182" s="263"/>
      <c r="OT182" s="263"/>
      <c r="OU182" s="263"/>
      <c r="OV182" s="263"/>
      <c r="OW182" s="263"/>
      <c r="OX182" s="263"/>
      <c r="OY182" s="263"/>
      <c r="OZ182" s="263"/>
      <c r="PA182" s="263"/>
      <c r="PB182" s="263"/>
      <c r="PC182" s="263"/>
      <c r="PD182" s="263"/>
      <c r="PE182" s="263"/>
      <c r="PF182" s="263"/>
      <c r="PG182" s="263"/>
      <c r="PH182" s="263"/>
    </row>
    <row r="183">
      <c r="B183" s="34" t="s">
        <v>309</v>
      </c>
      <c r="C183" s="404"/>
      <c r="D183" s="404"/>
      <c r="E183" s="508"/>
      <c r="F183" s="508"/>
      <c r="G183" s="41"/>
      <c r="H183" s="449" t="n">
        <f>SUM(H181:H182)</f>
        <v>1063357.6175000002</v>
      </c>
      <c r="I183" s="449" t="n">
        <f>SUM(I181:I182)</f>
        <v>1106317.265247</v>
      </c>
      <c r="J183" s="399"/>
      <c r="K183" s="400"/>
      <c r="L183" s="400"/>
      <c r="M183" s="400"/>
      <c r="N183" s="400"/>
      <c r="O183" s="400"/>
      <c r="P183" s="400"/>
      <c r="Q183" s="400"/>
      <c r="R183" s="400"/>
      <c r="S183" s="400"/>
      <c r="T183" s="400"/>
      <c r="U183" s="400"/>
      <c r="V183" s="400"/>
      <c r="W183" s="400"/>
      <c r="X183" s="400"/>
      <c r="Y183" s="400"/>
      <c r="Z183" s="400"/>
      <c r="AA183" s="400"/>
      <c r="AB183" s="400"/>
      <c r="AC183" s="400"/>
      <c r="AD183" s="400"/>
      <c r="AE183" s="400"/>
      <c r="AF183" s="400"/>
      <c r="AG183" s="400"/>
      <c r="AH183" s="400"/>
      <c r="AI183" s="400"/>
      <c r="AJ183" s="400"/>
      <c r="AK183" s="400"/>
      <c r="AL183" s="400"/>
      <c r="AM183" s="400"/>
      <c r="AN183" s="400"/>
      <c r="AO183" s="400"/>
      <c r="AP183" s="400"/>
      <c r="AQ183" s="400"/>
      <c r="AR183" s="400"/>
      <c r="AS183" s="400"/>
      <c r="AT183" s="400"/>
      <c r="AU183" s="400"/>
      <c r="AV183" s="400"/>
      <c r="AW183" s="400"/>
      <c r="AX183" s="400"/>
      <c r="AY183" s="400"/>
      <c r="AZ183" s="400"/>
      <c r="BA183" s="400"/>
      <c r="BB183" s="400"/>
      <c r="BC183" s="400"/>
      <c r="BD183" s="400"/>
      <c r="BE183" s="400"/>
      <c r="BF183" s="400"/>
      <c r="BG183" s="400"/>
      <c r="BH183" s="400"/>
      <c r="BI183" s="400"/>
      <c r="BJ183" s="400"/>
      <c r="BK183" s="400"/>
      <c r="BL183" s="400"/>
      <c r="BM183" s="400"/>
      <c r="BN183" s="400"/>
      <c r="BO183" s="400"/>
      <c r="BP183" s="400"/>
      <c r="BQ183" s="400"/>
      <c r="BR183" s="400"/>
      <c r="BS183" s="400"/>
      <c r="BT183" s="400"/>
      <c r="BU183" s="400"/>
      <c r="BV183" s="400"/>
      <c r="BW183" s="400"/>
      <c r="BX183" s="400"/>
      <c r="BY183" s="400"/>
      <c r="BZ183" s="400"/>
      <c r="CA183" s="400"/>
      <c r="CB183" s="400"/>
      <c r="CC183" s="400"/>
      <c r="CD183" s="400"/>
      <c r="CE183" s="400"/>
      <c r="CF183" s="400"/>
      <c r="CG183" s="400"/>
      <c r="CH183" s="400"/>
      <c r="CI183" s="400"/>
      <c r="CJ183" s="400"/>
      <c r="CK183" s="400"/>
      <c r="CL183" s="400"/>
      <c r="CM183" s="400"/>
      <c r="CN183" s="400"/>
      <c r="CO183" s="400"/>
      <c r="CP183" s="400"/>
      <c r="CQ183" s="400"/>
      <c r="CR183" s="400"/>
      <c r="CS183" s="400"/>
      <c r="CT183" s="400"/>
      <c r="CU183" s="400"/>
      <c r="CV183" s="400"/>
      <c r="CW183" s="400"/>
      <c r="CX183" s="400"/>
      <c r="CY183" s="400"/>
      <c r="CZ183" s="400"/>
      <c r="DA183" s="400"/>
      <c r="DB183" s="400"/>
      <c r="DC183" s="400"/>
      <c r="DD183" s="400"/>
      <c r="DE183" s="400"/>
      <c r="DF183" s="400"/>
      <c r="DG183" s="400"/>
      <c r="DH183" s="400"/>
      <c r="DI183" s="400"/>
      <c r="DJ183" s="400"/>
      <c r="DK183" s="400"/>
      <c r="DL183" s="400"/>
      <c r="DM183" s="400"/>
      <c r="DN183" s="400"/>
      <c r="DO183" s="400"/>
      <c r="DP183" s="400"/>
      <c r="DQ183" s="400"/>
      <c r="DR183" s="400"/>
      <c r="DS183" s="400"/>
      <c r="DT183" s="400"/>
      <c r="DU183" s="400"/>
      <c r="DV183" s="400"/>
      <c r="DW183" s="400"/>
      <c r="DX183" s="400"/>
      <c r="DY183" s="400"/>
      <c r="DZ183" s="400"/>
      <c r="EA183" s="400"/>
      <c r="EB183" s="400"/>
      <c r="EC183" s="400"/>
      <c r="ED183" s="400"/>
      <c r="EE183" s="400"/>
      <c r="EF183" s="400"/>
      <c r="EG183" s="400"/>
      <c r="EH183" s="400"/>
      <c r="EI183" s="400"/>
      <c r="EJ183" s="400"/>
      <c r="EK183" s="400"/>
      <c r="EL183" s="400"/>
      <c r="EM183" s="400"/>
      <c r="EN183" s="400"/>
      <c r="EO183" s="400"/>
      <c r="EP183" s="220"/>
      <c r="EQ183" s="18"/>
      <c r="ER183" s="18"/>
      <c r="ES183" s="18"/>
      <c r="ET183" s="18"/>
      <c r="EU183" s="18"/>
      <c r="EV183" s="18"/>
      <c r="EW183" s="18"/>
      <c r="EX183" s="18"/>
      <c r="EY183" s="18"/>
      <c r="EZ183" s="18"/>
      <c r="FA183" s="18"/>
      <c r="FB183" s="18"/>
      <c r="FC183" s="18"/>
      <c r="FD183" s="18"/>
      <c r="FE183" s="18"/>
      <c r="FF183" s="18"/>
      <c r="FG183" s="18"/>
      <c r="FH183" s="18"/>
      <c r="FI183" s="18"/>
      <c r="FJ183" s="18"/>
      <c r="FK183" s="18"/>
      <c r="FL183" s="18"/>
      <c r="FM183" s="18"/>
      <c r="FN183" s="18"/>
      <c r="FO183" s="18"/>
      <c r="FP183" s="18"/>
      <c r="FQ183" s="18"/>
      <c r="FR183" s="18"/>
      <c r="FS183" s="18"/>
      <c r="FT183" s="18"/>
      <c r="FU183" s="18"/>
      <c r="FV183" s="18"/>
      <c r="FW183" s="18"/>
      <c r="FX183" s="18"/>
      <c r="FY183" s="18"/>
      <c r="FZ183" s="18"/>
      <c r="GA183" s="18"/>
      <c r="GB183" s="18"/>
      <c r="GC183" s="18"/>
      <c r="GD183" s="18"/>
      <c r="GE183" s="18"/>
      <c r="GF183" s="18"/>
      <c r="GG183" s="18"/>
      <c r="GH183" s="18"/>
      <c r="GI183" s="18"/>
      <c r="GJ183" s="18"/>
      <c r="GK183" s="18"/>
      <c r="GL183" s="18"/>
      <c r="GM183" s="18"/>
      <c r="GN183" s="18"/>
      <c r="GO183" s="18"/>
      <c r="GP183" s="18"/>
      <c r="GQ183" s="18"/>
      <c r="GR183" s="18"/>
      <c r="GS183" s="18"/>
      <c r="GT183" s="18"/>
      <c r="GU183" s="18"/>
      <c r="GV183" s="18"/>
      <c r="GW183" s="18"/>
      <c r="GX183" s="18"/>
      <c r="GY183" s="18"/>
      <c r="GZ183" s="18"/>
      <c r="HA183" s="18"/>
      <c r="HB183" s="18"/>
      <c r="HC183" s="18"/>
      <c r="HD183" s="18"/>
      <c r="HE183" s="18"/>
      <c r="HF183" s="18"/>
      <c r="HG183" s="18"/>
      <c r="HH183" s="18"/>
      <c r="HI183" s="18"/>
      <c r="HJ183" s="18"/>
      <c r="HK183" s="18"/>
      <c r="HL183" s="18"/>
      <c r="HM183" s="18"/>
      <c r="HN183" s="18"/>
      <c r="HO183" s="18"/>
      <c r="HP183" s="18"/>
      <c r="HQ183" s="18"/>
      <c r="HR183" s="18"/>
      <c r="HS183" s="18"/>
      <c r="HT183" s="18"/>
      <c r="HU183" s="18"/>
      <c r="HV183" s="18"/>
      <c r="HW183" s="18"/>
      <c r="HX183" s="18"/>
      <c r="HY183" s="18"/>
      <c r="HZ183" s="18"/>
      <c r="IA183" s="18"/>
      <c r="IB183" s="18"/>
      <c r="IC183" s="18"/>
      <c r="ID183" s="18"/>
      <c r="IE183" s="18"/>
      <c r="IF183" s="18"/>
      <c r="IG183" s="18"/>
      <c r="IH183" s="18"/>
      <c r="II183" s="18"/>
      <c r="IJ183" s="18"/>
      <c r="IK183" s="18"/>
      <c r="IL183" s="18"/>
      <c r="IM183" s="18"/>
      <c r="IN183" s="18"/>
      <c r="IO183" s="18"/>
      <c r="IP183" s="18"/>
      <c r="IQ183" s="18"/>
      <c r="IR183" s="18"/>
      <c r="IS183" s="18"/>
      <c r="IT183" s="18"/>
      <c r="IU183" s="18"/>
      <c r="IV183" s="18"/>
      <c r="IW183" s="18"/>
      <c r="IX183" s="18"/>
      <c r="IY183" s="18"/>
      <c r="IZ183" s="18"/>
      <c r="JA183" s="18"/>
      <c r="JB183" s="18"/>
      <c r="JC183" s="18"/>
      <c r="JD183" s="18"/>
      <c r="JE183" s="18"/>
      <c r="JF183" s="18"/>
      <c r="JG183" s="18"/>
      <c r="JH183" s="18"/>
      <c r="JI183" s="18"/>
      <c r="JJ183" s="18"/>
      <c r="JK183" s="18"/>
      <c r="JL183" s="18"/>
      <c r="JM183" s="18"/>
      <c r="JN183" s="18"/>
      <c r="JO183" s="18"/>
      <c r="JP183" s="18"/>
      <c r="JQ183" s="18"/>
      <c r="JR183" s="18"/>
      <c r="JS183" s="18"/>
      <c r="JT183" s="18"/>
      <c r="JU183" s="18"/>
      <c r="JV183" s="18"/>
      <c r="JW183" s="18"/>
      <c r="JX183" s="18"/>
      <c r="JZ183" s="263"/>
      <c r="KA183" s="263"/>
      <c r="KB183" s="263"/>
      <c r="KC183" s="263"/>
      <c r="KD183" s="263"/>
      <c r="KE183" s="263"/>
      <c r="KF183" s="263"/>
      <c r="KG183" s="263"/>
      <c r="KH183" s="263"/>
      <c r="KI183" s="263"/>
      <c r="KJ183" s="263"/>
      <c r="KK183" s="263"/>
      <c r="KL183" s="263"/>
      <c r="KM183" s="263"/>
      <c r="KN183" s="263"/>
      <c r="KO183" s="263"/>
      <c r="KP183" s="263"/>
      <c r="KQ183" s="263"/>
      <c r="KR183" s="263"/>
      <c r="KS183" s="263"/>
      <c r="KT183" s="263"/>
      <c r="KU183" s="263"/>
      <c r="KV183" s="263"/>
      <c r="KW183" s="263"/>
      <c r="KX183" s="263"/>
      <c r="KY183" s="263"/>
      <c r="KZ183" s="263"/>
      <c r="LA183" s="263"/>
      <c r="LB183" s="263"/>
      <c r="LC183" s="263"/>
      <c r="LD183" s="263"/>
      <c r="LE183" s="263"/>
      <c r="LF183" s="263"/>
      <c r="LG183" s="263"/>
      <c r="LH183" s="263"/>
      <c r="LI183" s="263"/>
      <c r="LJ183" s="263"/>
      <c r="LK183" s="263"/>
      <c r="LL183" s="263"/>
      <c r="LM183" s="263"/>
      <c r="LN183" s="263"/>
      <c r="LO183" s="263"/>
      <c r="LP183" s="263"/>
      <c r="LQ183" s="263"/>
      <c r="LR183" s="263"/>
      <c r="LS183" s="263"/>
      <c r="LT183" s="263"/>
      <c r="LU183" s="263"/>
      <c r="LV183" s="263"/>
      <c r="LW183" s="263"/>
      <c r="LX183" s="263"/>
      <c r="LY183" s="263"/>
      <c r="LZ183" s="263"/>
      <c r="MA183" s="263"/>
      <c r="MB183" s="263"/>
      <c r="MC183" s="263"/>
      <c r="MD183" s="263"/>
      <c r="ME183" s="263"/>
      <c r="MF183" s="263"/>
      <c r="MG183" s="263"/>
      <c r="MH183" s="263"/>
      <c r="MI183" s="263"/>
      <c r="MJ183" s="263"/>
      <c r="MK183" s="263"/>
      <c r="ML183" s="263"/>
      <c r="MM183" s="263"/>
      <c r="MN183" s="263"/>
      <c r="MO183" s="263"/>
      <c r="MP183" s="263"/>
      <c r="MQ183" s="263"/>
      <c r="MR183" s="263"/>
      <c r="MS183" s="263"/>
      <c r="MT183" s="263"/>
      <c r="MU183" s="263"/>
      <c r="MV183" s="263"/>
      <c r="MW183" s="263"/>
      <c r="MX183" s="263"/>
      <c r="MY183" s="263"/>
      <c r="MZ183" s="263"/>
      <c r="NA183" s="263"/>
      <c r="NB183" s="263"/>
      <c r="NC183" s="263"/>
      <c r="ND183" s="263"/>
      <c r="NE183" s="263"/>
      <c r="NF183" s="263"/>
      <c r="NG183" s="263"/>
      <c r="NH183" s="263"/>
      <c r="NI183" s="263"/>
      <c r="NJ183" s="263"/>
      <c r="NK183" s="263"/>
      <c r="NL183" s="263"/>
      <c r="NM183" s="263"/>
      <c r="NN183" s="263"/>
      <c r="NO183" s="263"/>
      <c r="NP183" s="263"/>
      <c r="NQ183" s="263"/>
      <c r="NR183" s="263"/>
      <c r="NS183" s="263"/>
      <c r="NT183" s="263"/>
      <c r="NU183" s="263"/>
      <c r="NV183" s="263"/>
      <c r="NW183" s="263"/>
      <c r="NX183" s="263"/>
      <c r="NY183" s="263"/>
      <c r="NZ183" s="263"/>
      <c r="OA183" s="263"/>
      <c r="OB183" s="263"/>
      <c r="OC183" s="263"/>
      <c r="OD183" s="263"/>
      <c r="OE183" s="263"/>
      <c r="OF183" s="263"/>
      <c r="OG183" s="263"/>
      <c r="OH183" s="263"/>
      <c r="OI183" s="263"/>
      <c r="OJ183" s="263"/>
      <c r="OK183" s="263"/>
      <c r="OL183" s="263"/>
      <c r="OM183" s="263"/>
      <c r="ON183" s="263"/>
      <c r="OO183" s="263"/>
      <c r="OP183" s="263"/>
      <c r="OQ183" s="263"/>
      <c r="OR183" s="263"/>
      <c r="OS183" s="263"/>
      <c r="OT183" s="263"/>
      <c r="OU183" s="263"/>
      <c r="OV183" s="263"/>
      <c r="OW183" s="263"/>
      <c r="OX183" s="263"/>
      <c r="OY183" s="263"/>
      <c r="OZ183" s="263"/>
      <c r="PA183" s="263"/>
      <c r="PB183" s="263"/>
      <c r="PC183" s="263"/>
      <c r="PD183" s="263"/>
      <c r="PE183" s="263"/>
      <c r="PF183" s="263"/>
      <c r="PG183" s="263"/>
      <c r="PH183" s="263"/>
    </row>
    <row r="184">
      <c r="B184" s="34"/>
      <c r="C184" s="404"/>
      <c r="D184" s="404"/>
      <c r="E184" s="508"/>
      <c r="F184" s="508"/>
      <c r="G184" s="41"/>
      <c r="H184" s="41"/>
      <c r="I184" s="41"/>
      <c r="J184" s="399"/>
      <c r="K184" s="400"/>
      <c r="L184" s="400"/>
      <c r="M184" s="400"/>
      <c r="N184" s="400"/>
      <c r="O184" s="400"/>
      <c r="P184" s="400"/>
      <c r="Q184" s="400"/>
      <c r="R184" s="400"/>
      <c r="S184" s="400"/>
      <c r="T184" s="400"/>
      <c r="U184" s="400"/>
      <c r="V184" s="400"/>
      <c r="W184" s="400"/>
      <c r="X184" s="400"/>
      <c r="Y184" s="400"/>
      <c r="Z184" s="400"/>
      <c r="AA184" s="400"/>
      <c r="AB184" s="400"/>
      <c r="AC184" s="400"/>
      <c r="AD184" s="400"/>
      <c r="AE184" s="400"/>
      <c r="AF184" s="400"/>
      <c r="AG184" s="400"/>
      <c r="AH184" s="400"/>
      <c r="AI184" s="400"/>
      <c r="AJ184" s="400"/>
      <c r="AK184" s="400"/>
      <c r="AL184" s="400"/>
      <c r="AM184" s="400"/>
      <c r="AN184" s="400"/>
      <c r="AO184" s="400"/>
      <c r="AP184" s="400"/>
      <c r="AQ184" s="400"/>
      <c r="AR184" s="400"/>
      <c r="AS184" s="400"/>
      <c r="AT184" s="400"/>
      <c r="AU184" s="400"/>
      <c r="AV184" s="400"/>
      <c r="AW184" s="400"/>
      <c r="AX184" s="400"/>
      <c r="AY184" s="400"/>
      <c r="AZ184" s="400"/>
      <c r="BA184" s="400"/>
      <c r="BB184" s="400"/>
      <c r="BC184" s="400"/>
      <c r="BD184" s="400"/>
      <c r="BE184" s="400"/>
      <c r="BF184" s="400"/>
      <c r="BG184" s="400"/>
      <c r="BH184" s="400"/>
      <c r="BI184" s="400"/>
      <c r="BJ184" s="400"/>
      <c r="BK184" s="400"/>
      <c r="BL184" s="400"/>
      <c r="BM184" s="400"/>
      <c r="BN184" s="400"/>
      <c r="BO184" s="400"/>
      <c r="BP184" s="400"/>
      <c r="BQ184" s="400"/>
      <c r="BR184" s="400"/>
      <c r="BS184" s="400"/>
      <c r="BT184" s="400"/>
      <c r="BU184" s="400"/>
      <c r="BV184" s="400"/>
      <c r="BW184" s="400"/>
      <c r="BX184" s="400"/>
      <c r="BY184" s="400"/>
      <c r="BZ184" s="400"/>
      <c r="CA184" s="400"/>
      <c r="CB184" s="400"/>
      <c r="CC184" s="400"/>
      <c r="CD184" s="400"/>
      <c r="CE184" s="400"/>
      <c r="CF184" s="400"/>
      <c r="CG184" s="400"/>
      <c r="CH184" s="400"/>
      <c r="CI184" s="400"/>
      <c r="CJ184" s="400"/>
      <c r="CK184" s="400"/>
      <c r="CL184" s="400"/>
      <c r="CM184" s="400"/>
      <c r="CN184" s="400"/>
      <c r="CO184" s="400"/>
      <c r="CP184" s="400"/>
      <c r="CQ184" s="400"/>
      <c r="CR184" s="400"/>
      <c r="CS184" s="400"/>
      <c r="CT184" s="400"/>
      <c r="CU184" s="400"/>
      <c r="CV184" s="400"/>
      <c r="CW184" s="400"/>
      <c r="CX184" s="400"/>
      <c r="CY184" s="400"/>
      <c r="CZ184" s="400"/>
      <c r="DA184" s="400"/>
      <c r="DB184" s="400"/>
      <c r="DC184" s="400"/>
      <c r="DD184" s="400"/>
      <c r="DE184" s="400"/>
      <c r="DF184" s="400"/>
      <c r="DG184" s="400"/>
      <c r="DH184" s="400"/>
      <c r="DI184" s="400"/>
      <c r="DJ184" s="400"/>
      <c r="DK184" s="400"/>
      <c r="DL184" s="400"/>
      <c r="DM184" s="400"/>
      <c r="DN184" s="400"/>
      <c r="DO184" s="400"/>
      <c r="DP184" s="400"/>
      <c r="DQ184" s="400"/>
      <c r="DR184" s="400"/>
      <c r="DS184" s="400"/>
      <c r="DT184" s="400"/>
      <c r="DU184" s="400"/>
      <c r="DV184" s="400"/>
      <c r="DW184" s="400"/>
      <c r="DX184" s="400"/>
      <c r="DY184" s="400"/>
      <c r="DZ184" s="400"/>
      <c r="EA184" s="400"/>
      <c r="EB184" s="400"/>
      <c r="EC184" s="400"/>
      <c r="ED184" s="400"/>
      <c r="EE184" s="400"/>
      <c r="EF184" s="400"/>
      <c r="EG184" s="400"/>
      <c r="EH184" s="400"/>
      <c r="EI184" s="400"/>
      <c r="EJ184" s="400"/>
      <c r="EK184" s="400"/>
      <c r="EL184" s="400"/>
      <c r="EM184" s="400"/>
      <c r="EN184" s="400"/>
      <c r="EO184" s="400"/>
      <c r="EP184" s="220"/>
      <c r="EQ184" s="18"/>
      <c r="ER184" s="18"/>
      <c r="ES184" s="18"/>
      <c r="ET184" s="18"/>
      <c r="EU184" s="18"/>
      <c r="EV184" s="18"/>
      <c r="EW184" s="18"/>
      <c r="EX184" s="18"/>
      <c r="EY184" s="18"/>
      <c r="EZ184" s="18"/>
      <c r="FA184" s="18"/>
      <c r="FB184" s="18"/>
      <c r="FC184" s="18"/>
      <c r="FD184" s="18"/>
      <c r="FE184" s="18"/>
      <c r="FF184" s="18"/>
      <c r="FG184" s="18"/>
      <c r="FH184" s="18"/>
      <c r="FI184" s="18"/>
      <c r="FJ184" s="18"/>
      <c r="FK184" s="18"/>
      <c r="FL184" s="18"/>
      <c r="FM184" s="18"/>
      <c r="FN184" s="18"/>
      <c r="FO184" s="18"/>
      <c r="FP184" s="18"/>
      <c r="FQ184" s="18"/>
      <c r="FR184" s="18"/>
      <c r="FS184" s="18"/>
      <c r="FT184" s="18"/>
      <c r="FU184" s="18"/>
      <c r="FV184" s="18"/>
      <c r="FW184" s="18"/>
      <c r="FX184" s="18"/>
      <c r="FY184" s="18"/>
      <c r="FZ184" s="18"/>
      <c r="GA184" s="18"/>
      <c r="GB184" s="18"/>
      <c r="GC184" s="18"/>
      <c r="GD184" s="18"/>
      <c r="GE184" s="18"/>
      <c r="GF184" s="18"/>
      <c r="GG184" s="18"/>
      <c r="GH184" s="18"/>
      <c r="GI184" s="18"/>
      <c r="GJ184" s="18"/>
      <c r="GK184" s="18"/>
      <c r="GL184" s="18"/>
      <c r="GM184" s="18"/>
      <c r="GN184" s="18"/>
      <c r="GO184" s="18"/>
      <c r="GP184" s="18"/>
      <c r="GQ184" s="18"/>
      <c r="GR184" s="18"/>
      <c r="GS184" s="18"/>
      <c r="GT184" s="18"/>
      <c r="GU184" s="18"/>
      <c r="GV184" s="18"/>
      <c r="GW184" s="18"/>
      <c r="GX184" s="18"/>
      <c r="GY184" s="18"/>
      <c r="GZ184" s="18"/>
      <c r="HA184" s="18"/>
      <c r="HB184" s="18"/>
      <c r="HC184" s="18"/>
      <c r="HD184" s="18"/>
      <c r="HE184" s="18"/>
      <c r="HF184" s="18"/>
      <c r="HG184" s="18"/>
      <c r="HH184" s="18"/>
      <c r="HI184" s="18"/>
      <c r="HJ184" s="18"/>
      <c r="HK184" s="18"/>
      <c r="HL184" s="18"/>
      <c r="HM184" s="18"/>
      <c r="HN184" s="18"/>
      <c r="HO184" s="18"/>
      <c r="HP184" s="18"/>
      <c r="HQ184" s="18"/>
      <c r="HR184" s="18"/>
      <c r="HS184" s="18"/>
      <c r="HT184" s="18"/>
      <c r="HU184" s="18"/>
      <c r="HV184" s="18"/>
      <c r="HW184" s="18"/>
      <c r="HX184" s="18"/>
      <c r="HY184" s="18"/>
      <c r="HZ184" s="18"/>
      <c r="IA184" s="18"/>
      <c r="IB184" s="18"/>
      <c r="IC184" s="18"/>
      <c r="ID184" s="18"/>
      <c r="IE184" s="18"/>
      <c r="IF184" s="18"/>
      <c r="IG184" s="18"/>
      <c r="IH184" s="18"/>
      <c r="II184" s="18"/>
      <c r="IJ184" s="18"/>
      <c r="IK184" s="18"/>
      <c r="IL184" s="18"/>
      <c r="IM184" s="18"/>
      <c r="IN184" s="18"/>
      <c r="IO184" s="18"/>
      <c r="IP184" s="18"/>
      <c r="IQ184" s="18"/>
      <c r="IR184" s="18"/>
      <c r="IS184" s="18"/>
      <c r="IT184" s="18"/>
      <c r="IU184" s="18"/>
      <c r="IV184" s="18"/>
      <c r="IW184" s="18"/>
      <c r="IX184" s="18"/>
      <c r="IY184" s="18"/>
      <c r="IZ184" s="18"/>
      <c r="JA184" s="18"/>
      <c r="JB184" s="18"/>
      <c r="JC184" s="18"/>
      <c r="JD184" s="18"/>
      <c r="JE184" s="18"/>
      <c r="JF184" s="18"/>
      <c r="JG184" s="18"/>
      <c r="JH184" s="18"/>
      <c r="JI184" s="18"/>
      <c r="JJ184" s="18"/>
      <c r="JK184" s="18"/>
      <c r="JL184" s="18"/>
      <c r="JM184" s="18"/>
      <c r="JN184" s="18"/>
      <c r="JO184" s="18"/>
      <c r="JP184" s="18"/>
      <c r="JQ184" s="18"/>
      <c r="JR184" s="18"/>
      <c r="JS184" s="18"/>
      <c r="JT184" s="18"/>
      <c r="JU184" s="18"/>
      <c r="JV184" s="18"/>
      <c r="JW184" s="18"/>
      <c r="JX184" s="18"/>
      <c r="JZ184" s="263"/>
      <c r="KA184" s="263"/>
      <c r="KB184" s="263"/>
      <c r="KC184" s="263"/>
      <c r="KD184" s="263"/>
      <c r="KE184" s="263"/>
      <c r="KF184" s="263"/>
      <c r="KG184" s="263"/>
      <c r="KH184" s="263"/>
      <c r="KI184" s="263"/>
      <c r="KJ184" s="263"/>
      <c r="KK184" s="263"/>
      <c r="KL184" s="263"/>
      <c r="KM184" s="263"/>
      <c r="KN184" s="263"/>
      <c r="KO184" s="263"/>
      <c r="KP184" s="263"/>
      <c r="KQ184" s="263"/>
      <c r="KR184" s="263"/>
      <c r="KS184" s="263"/>
      <c r="KT184" s="263"/>
      <c r="KU184" s="263"/>
      <c r="KV184" s="263"/>
      <c r="KW184" s="263"/>
      <c r="KX184" s="263"/>
      <c r="KY184" s="263"/>
      <c r="KZ184" s="263"/>
      <c r="LA184" s="263"/>
      <c r="LB184" s="263"/>
      <c r="LC184" s="263"/>
      <c r="LD184" s="263"/>
      <c r="LE184" s="263"/>
      <c r="LF184" s="263"/>
      <c r="LG184" s="263"/>
      <c r="LH184" s="263"/>
      <c r="LI184" s="263"/>
      <c r="LJ184" s="263"/>
      <c r="LK184" s="263"/>
      <c r="LL184" s="263"/>
      <c r="LM184" s="263"/>
      <c r="LN184" s="263"/>
      <c r="LO184" s="263"/>
      <c r="LP184" s="263"/>
      <c r="LQ184" s="263"/>
      <c r="LR184" s="263"/>
      <c r="LS184" s="263"/>
      <c r="LT184" s="263"/>
      <c r="LU184" s="263"/>
      <c r="LV184" s="263"/>
      <c r="LW184" s="263"/>
      <c r="LX184" s="263"/>
      <c r="LY184" s="263"/>
      <c r="LZ184" s="263"/>
      <c r="MA184" s="263"/>
      <c r="MB184" s="263"/>
      <c r="MC184" s="263"/>
      <c r="MD184" s="263"/>
      <c r="ME184" s="263"/>
      <c r="MF184" s="263"/>
      <c r="MG184" s="263"/>
      <c r="MH184" s="263"/>
      <c r="MI184" s="263"/>
      <c r="MJ184" s="263"/>
      <c r="MK184" s="263"/>
      <c r="ML184" s="263"/>
      <c r="MM184" s="263"/>
      <c r="MN184" s="263"/>
      <c r="MO184" s="263"/>
      <c r="MP184" s="263"/>
      <c r="MQ184" s="263"/>
      <c r="MR184" s="263"/>
      <c r="MS184" s="263"/>
      <c r="MT184" s="263"/>
      <c r="MU184" s="263"/>
      <c r="MV184" s="263"/>
      <c r="MW184" s="263"/>
      <c r="MX184" s="263"/>
      <c r="MY184" s="263"/>
      <c r="MZ184" s="263"/>
      <c r="NA184" s="263"/>
      <c r="NB184" s="263"/>
      <c r="NC184" s="263"/>
      <c r="ND184" s="263"/>
      <c r="NE184" s="263"/>
      <c r="NF184" s="263"/>
      <c r="NG184" s="263"/>
      <c r="NH184" s="263"/>
      <c r="NI184" s="263"/>
      <c r="NJ184" s="263"/>
      <c r="NK184" s="263"/>
      <c r="NL184" s="263"/>
      <c r="NM184" s="263"/>
      <c r="NN184" s="263"/>
      <c r="NO184" s="263"/>
      <c r="NP184" s="263"/>
      <c r="NQ184" s="263"/>
      <c r="NR184" s="263"/>
      <c r="NS184" s="263"/>
      <c r="NT184" s="263"/>
      <c r="NU184" s="263"/>
      <c r="NV184" s="263"/>
      <c r="NW184" s="263"/>
      <c r="NX184" s="263"/>
      <c r="NY184" s="263"/>
      <c r="NZ184" s="263"/>
      <c r="OA184" s="263"/>
      <c r="OB184" s="263"/>
      <c r="OC184" s="263"/>
      <c r="OD184" s="263"/>
      <c r="OE184" s="263"/>
      <c r="OF184" s="263"/>
      <c r="OG184" s="263"/>
      <c r="OH184" s="263"/>
      <c r="OI184" s="263"/>
      <c r="OJ184" s="263"/>
      <c r="OK184" s="263"/>
      <c r="OL184" s="263"/>
      <c r="OM184" s="263"/>
      <c r="ON184" s="263"/>
      <c r="OO184" s="263"/>
      <c r="OP184" s="263"/>
      <c r="OQ184" s="263"/>
      <c r="OR184" s="263"/>
      <c r="OS184" s="263"/>
      <c r="OT184" s="263"/>
      <c r="OU184" s="263"/>
      <c r="OV184" s="263"/>
      <c r="OW184" s="263"/>
      <c r="OX184" s="263"/>
      <c r="OY184" s="263"/>
      <c r="OZ184" s="263"/>
      <c r="PA184" s="263"/>
      <c r="PB184" s="263"/>
      <c r="PC184" s="263"/>
      <c r="PD184" s="263"/>
      <c r="PE184" s="263"/>
      <c r="PF184" s="263"/>
      <c r="PG184" s="263"/>
      <c r="PH184" s="263"/>
    </row>
    <row r="185">
      <c r="B185" s="448" t="str">
        <f>B155</f>
        <v>CASH FLOW FROM OPERATIONS</v>
      </c>
      <c r="C185" s="404"/>
      <c r="D185" s="520"/>
      <c r="E185" s="520"/>
      <c r="F185" s="520"/>
      <c r="G185" s="41"/>
      <c r="H185" s="449" t="n">
        <f>+H179-H183</f>
        <v>44478564.12989582</v>
      </c>
      <c r="I185" s="428" t="n">
        <f>+I179-I183</f>
        <v>70253923.25148728</v>
      </c>
      <c r="J185" s="399"/>
      <c r="K185" s="400"/>
      <c r="L185" s="400"/>
      <c r="M185" s="400"/>
      <c r="N185" s="400"/>
      <c r="O185" s="400"/>
      <c r="P185" s="400"/>
      <c r="Q185" s="400"/>
      <c r="R185" s="400"/>
      <c r="S185" s="400"/>
      <c r="T185" s="400"/>
      <c r="U185" s="400"/>
      <c r="V185" s="400"/>
      <c r="W185" s="400"/>
      <c r="X185" s="400"/>
      <c r="Y185" s="400"/>
      <c r="Z185" s="400"/>
      <c r="AA185" s="400"/>
      <c r="AB185" s="400"/>
      <c r="AC185" s="400"/>
      <c r="AD185" s="400"/>
      <c r="AE185" s="400"/>
      <c r="AF185" s="400"/>
      <c r="AG185" s="400"/>
      <c r="AH185" s="400"/>
      <c r="AI185" s="400"/>
      <c r="AJ185" s="400"/>
      <c r="AK185" s="400"/>
      <c r="AL185" s="400"/>
      <c r="AM185" s="400"/>
      <c r="AN185" s="400"/>
      <c r="AO185" s="400"/>
      <c r="AP185" s="400"/>
      <c r="AQ185" s="400"/>
      <c r="AR185" s="400"/>
      <c r="AS185" s="400"/>
      <c r="AT185" s="400"/>
      <c r="AU185" s="400"/>
      <c r="AV185" s="400"/>
      <c r="AW185" s="400"/>
      <c r="AX185" s="400"/>
      <c r="AY185" s="400"/>
      <c r="AZ185" s="400"/>
      <c r="BA185" s="400"/>
      <c r="BB185" s="400"/>
      <c r="BC185" s="400"/>
      <c r="BD185" s="400"/>
      <c r="BE185" s="400"/>
      <c r="BF185" s="400"/>
      <c r="BG185" s="400"/>
      <c r="BH185" s="400"/>
      <c r="BI185" s="400"/>
      <c r="BJ185" s="400"/>
      <c r="BK185" s="400"/>
      <c r="BL185" s="400"/>
      <c r="BM185" s="400"/>
      <c r="BN185" s="400"/>
      <c r="BO185" s="400"/>
      <c r="BP185" s="400"/>
      <c r="BQ185" s="400"/>
      <c r="BR185" s="400"/>
      <c r="BS185" s="400"/>
      <c r="BT185" s="400"/>
      <c r="BU185" s="400"/>
      <c r="BV185" s="400"/>
      <c r="BW185" s="400"/>
      <c r="BX185" s="400"/>
      <c r="BY185" s="400"/>
      <c r="BZ185" s="400"/>
      <c r="CA185" s="400"/>
      <c r="CB185" s="400"/>
      <c r="CC185" s="400"/>
      <c r="CD185" s="400"/>
      <c r="CE185" s="400"/>
      <c r="CF185" s="400"/>
      <c r="CG185" s="400"/>
      <c r="CH185" s="400"/>
      <c r="CI185" s="400"/>
      <c r="CJ185" s="400"/>
      <c r="CK185" s="400"/>
      <c r="CL185" s="400"/>
      <c r="CM185" s="400"/>
      <c r="CN185" s="400"/>
      <c r="CO185" s="400"/>
      <c r="CP185" s="400"/>
      <c r="CQ185" s="400"/>
      <c r="CR185" s="400"/>
      <c r="CS185" s="400"/>
      <c r="CT185" s="400"/>
      <c r="CU185" s="400"/>
      <c r="CV185" s="400"/>
      <c r="CW185" s="400"/>
      <c r="CX185" s="400"/>
      <c r="CY185" s="400"/>
      <c r="CZ185" s="400"/>
      <c r="DA185" s="400"/>
      <c r="DB185" s="400"/>
      <c r="DC185" s="400"/>
      <c r="DD185" s="400"/>
      <c r="DE185" s="400"/>
      <c r="DF185" s="400"/>
      <c r="DG185" s="400"/>
      <c r="DH185" s="400"/>
      <c r="DI185" s="400"/>
      <c r="DJ185" s="400"/>
      <c r="DK185" s="400"/>
      <c r="DL185" s="400"/>
      <c r="DM185" s="400"/>
      <c r="DN185" s="400"/>
      <c r="DO185" s="400"/>
      <c r="DP185" s="400"/>
      <c r="DQ185" s="400"/>
      <c r="DR185" s="400"/>
      <c r="DS185" s="400"/>
      <c r="DT185" s="400"/>
      <c r="DU185" s="400"/>
      <c r="DV185" s="400"/>
      <c r="DW185" s="400"/>
      <c r="DX185" s="400"/>
      <c r="DY185" s="400"/>
      <c r="DZ185" s="400"/>
      <c r="EA185" s="400"/>
      <c r="EB185" s="400"/>
      <c r="EC185" s="400"/>
      <c r="ED185" s="400"/>
      <c r="EE185" s="400"/>
      <c r="EF185" s="400"/>
      <c r="EG185" s="400"/>
      <c r="EH185" s="400"/>
      <c r="EI185" s="400"/>
      <c r="EJ185" s="400"/>
      <c r="EK185" s="400"/>
      <c r="EL185" s="400"/>
      <c r="EM185" s="400"/>
      <c r="EN185" s="400"/>
      <c r="EO185" s="400"/>
      <c r="EP185" s="220"/>
      <c r="EQ185" s="18"/>
      <c r="ER185" s="18"/>
      <c r="ES185" s="18"/>
      <c r="ET185" s="18"/>
      <c r="EU185" s="18"/>
      <c r="EV185" s="18"/>
      <c r="EW185" s="18"/>
      <c r="EX185" s="18"/>
      <c r="EY185" s="18"/>
      <c r="EZ185" s="18"/>
      <c r="FA185" s="18"/>
      <c r="FB185" s="18"/>
      <c r="FC185" s="18"/>
      <c r="FD185" s="18"/>
      <c r="FE185" s="18"/>
      <c r="FF185" s="18"/>
      <c r="FG185" s="18"/>
      <c r="FH185" s="18"/>
      <c r="FI185" s="18"/>
      <c r="FJ185" s="18"/>
      <c r="FK185" s="18"/>
      <c r="FL185" s="18"/>
      <c r="FM185" s="18"/>
      <c r="FN185" s="18"/>
      <c r="FO185" s="18"/>
      <c r="FP185" s="18"/>
      <c r="FQ185" s="18"/>
      <c r="FR185" s="18"/>
      <c r="FS185" s="18"/>
      <c r="FT185" s="18"/>
      <c r="FU185" s="18"/>
      <c r="FV185" s="18"/>
      <c r="FW185" s="18"/>
      <c r="FX185" s="18"/>
      <c r="FY185" s="18"/>
      <c r="FZ185" s="18"/>
      <c r="GA185" s="18"/>
      <c r="GB185" s="18"/>
      <c r="GC185" s="18"/>
      <c r="GD185" s="18"/>
      <c r="GE185" s="18"/>
      <c r="GF185" s="18"/>
      <c r="GG185" s="18"/>
      <c r="GH185" s="18"/>
      <c r="GI185" s="18"/>
      <c r="GJ185" s="18"/>
      <c r="GK185" s="18"/>
      <c r="GL185" s="18"/>
      <c r="GM185" s="18"/>
      <c r="GN185" s="18"/>
      <c r="GO185" s="18"/>
      <c r="GP185" s="18"/>
      <c r="GQ185" s="18"/>
      <c r="GR185" s="18"/>
      <c r="GS185" s="18"/>
      <c r="GT185" s="18"/>
      <c r="GU185" s="18"/>
      <c r="GV185" s="18"/>
      <c r="GW185" s="18"/>
      <c r="GX185" s="18"/>
      <c r="GY185" s="18"/>
      <c r="GZ185" s="18"/>
      <c r="HA185" s="18"/>
      <c r="HB185" s="18"/>
      <c r="HC185" s="18"/>
      <c r="HD185" s="18"/>
      <c r="HE185" s="18"/>
      <c r="HF185" s="18"/>
      <c r="HG185" s="18"/>
      <c r="HH185" s="18"/>
      <c r="HI185" s="18"/>
      <c r="HJ185" s="18"/>
      <c r="HK185" s="18"/>
      <c r="HL185" s="18"/>
      <c r="HM185" s="18"/>
      <c r="HN185" s="18"/>
      <c r="HO185" s="18"/>
      <c r="HP185" s="18"/>
      <c r="HQ185" s="18"/>
      <c r="HR185" s="18"/>
      <c r="HS185" s="18"/>
      <c r="HT185" s="18"/>
      <c r="HU185" s="18"/>
      <c r="HV185" s="18"/>
      <c r="HW185" s="18"/>
      <c r="HX185" s="18"/>
      <c r="HY185" s="18"/>
      <c r="HZ185" s="18"/>
      <c r="IA185" s="18"/>
      <c r="IB185" s="18"/>
      <c r="IC185" s="18"/>
      <c r="ID185" s="18"/>
      <c r="IE185" s="18"/>
      <c r="IF185" s="18"/>
      <c r="IG185" s="18"/>
      <c r="IH185" s="18"/>
      <c r="II185" s="18"/>
      <c r="IJ185" s="18"/>
      <c r="IK185" s="18"/>
      <c r="IL185" s="18"/>
      <c r="IM185" s="18"/>
      <c r="IN185" s="18"/>
      <c r="IO185" s="18"/>
      <c r="IP185" s="18"/>
      <c r="IQ185" s="18"/>
      <c r="IR185" s="18"/>
      <c r="IS185" s="18"/>
      <c r="IT185" s="18"/>
      <c r="IU185" s="18"/>
      <c r="IV185" s="18"/>
      <c r="IW185" s="18"/>
      <c r="IX185" s="18"/>
      <c r="IY185" s="18"/>
      <c r="IZ185" s="18"/>
      <c r="JA185" s="18"/>
      <c r="JB185" s="18"/>
      <c r="JC185" s="18"/>
      <c r="JD185" s="18"/>
      <c r="JE185" s="18"/>
      <c r="JF185" s="18"/>
      <c r="JG185" s="18"/>
      <c r="JH185" s="18"/>
      <c r="JI185" s="18"/>
      <c r="JJ185" s="18"/>
      <c r="JK185" s="18"/>
      <c r="JL185" s="18"/>
      <c r="JM185" s="18"/>
      <c r="JN185" s="18"/>
      <c r="JO185" s="18"/>
      <c r="JP185" s="18"/>
      <c r="JQ185" s="18"/>
      <c r="JR185" s="18"/>
      <c r="JS185" s="18"/>
      <c r="JT185" s="18"/>
      <c r="JU185" s="18"/>
      <c r="JV185" s="18"/>
      <c r="JW185" s="18"/>
      <c r="JX185" s="18"/>
      <c r="JZ185" s="263"/>
      <c r="KA185" s="263"/>
      <c r="KB185" s="263"/>
      <c r="KC185" s="263"/>
      <c r="KD185" s="263"/>
      <c r="KE185" s="263"/>
      <c r="KF185" s="263"/>
      <c r="KG185" s="263"/>
      <c r="KH185" s="263"/>
      <c r="KI185" s="263"/>
      <c r="KJ185" s="263"/>
      <c r="KK185" s="263"/>
      <c r="KL185" s="263"/>
      <c r="KM185" s="263"/>
      <c r="KN185" s="263"/>
      <c r="KO185" s="263"/>
      <c r="KP185" s="263"/>
      <c r="KQ185" s="263"/>
      <c r="KR185" s="263"/>
      <c r="KS185" s="263"/>
      <c r="KT185" s="263"/>
      <c r="KU185" s="263"/>
      <c r="KV185" s="263"/>
      <c r="KW185" s="263"/>
      <c r="KX185" s="263"/>
      <c r="KY185" s="263"/>
      <c r="KZ185" s="263"/>
      <c r="LA185" s="263"/>
      <c r="LB185" s="263"/>
      <c r="LC185" s="263"/>
      <c r="LD185" s="263"/>
      <c r="LE185" s="263"/>
      <c r="LF185" s="263"/>
      <c r="LG185" s="263"/>
      <c r="LH185" s="263"/>
      <c r="LI185" s="263"/>
      <c r="LJ185" s="263"/>
      <c r="LK185" s="263"/>
      <c r="LL185" s="263"/>
      <c r="LM185" s="263"/>
      <c r="LN185" s="263"/>
      <c r="LO185" s="263"/>
      <c r="LP185" s="263"/>
      <c r="LQ185" s="263"/>
      <c r="LR185" s="263"/>
      <c r="LS185" s="263"/>
      <c r="LT185" s="263"/>
      <c r="LU185" s="263"/>
      <c r="LV185" s="263"/>
      <c r="LW185" s="263"/>
      <c r="LX185" s="263"/>
      <c r="LY185" s="263"/>
      <c r="LZ185" s="263"/>
      <c r="MA185" s="263"/>
      <c r="MB185" s="263"/>
      <c r="MC185" s="263"/>
      <c r="MD185" s="263"/>
      <c r="ME185" s="263"/>
      <c r="MF185" s="263"/>
      <c r="MG185" s="263"/>
      <c r="MH185" s="263"/>
      <c r="MI185" s="263"/>
      <c r="MJ185" s="263"/>
      <c r="MK185" s="263"/>
      <c r="ML185" s="263"/>
      <c r="MM185" s="263"/>
      <c r="MN185" s="263"/>
      <c r="MO185" s="263"/>
      <c r="MP185" s="263"/>
      <c r="MQ185" s="263"/>
      <c r="MR185" s="263"/>
      <c r="MS185" s="263"/>
      <c r="MT185" s="263"/>
      <c r="MU185" s="263"/>
      <c r="MV185" s="263"/>
      <c r="MW185" s="263"/>
      <c r="MX185" s="263"/>
      <c r="MY185" s="263"/>
      <c r="MZ185" s="263"/>
      <c r="NA185" s="263"/>
      <c r="NB185" s="263"/>
      <c r="NC185" s="263"/>
      <c r="ND185" s="263"/>
      <c r="NE185" s="263"/>
      <c r="NF185" s="263"/>
      <c r="NG185" s="263"/>
      <c r="NH185" s="263"/>
      <c r="NI185" s="263"/>
      <c r="NJ185" s="263"/>
      <c r="NK185" s="263"/>
      <c r="NL185" s="263"/>
      <c r="NM185" s="263"/>
      <c r="NN185" s="263"/>
      <c r="NO185" s="263"/>
      <c r="NP185" s="263"/>
      <c r="NQ185" s="263"/>
      <c r="NR185" s="263"/>
      <c r="NS185" s="263"/>
      <c r="NT185" s="263"/>
      <c r="NU185" s="263"/>
      <c r="NV185" s="263"/>
      <c r="NW185" s="263"/>
      <c r="NX185" s="263"/>
      <c r="NY185" s="263"/>
      <c r="NZ185" s="263"/>
      <c r="OA185" s="263"/>
      <c r="OB185" s="263"/>
      <c r="OC185" s="263"/>
      <c r="OD185" s="263"/>
      <c r="OE185" s="263"/>
      <c r="OF185" s="263"/>
      <c r="OG185" s="263"/>
      <c r="OH185" s="263"/>
      <c r="OI185" s="263"/>
      <c r="OJ185" s="263"/>
      <c r="OK185" s="263"/>
      <c r="OL185" s="263"/>
      <c r="OM185" s="263"/>
      <c r="ON185" s="263"/>
      <c r="OO185" s="263"/>
      <c r="OP185" s="263"/>
      <c r="OQ185" s="263"/>
      <c r="OR185" s="263"/>
      <c r="OS185" s="263"/>
      <c r="OT185" s="263"/>
      <c r="OU185" s="263"/>
      <c r="OV185" s="263"/>
      <c r="OW185" s="263"/>
      <c r="OX185" s="263"/>
      <c r="OY185" s="263"/>
      <c r="OZ185" s="263"/>
      <c r="PA185" s="263"/>
      <c r="PB185" s="263"/>
      <c r="PC185" s="263"/>
      <c r="PD185" s="263"/>
      <c r="PE185" s="263"/>
      <c r="PF185" s="263"/>
      <c r="PG185" s="263"/>
      <c r="PH185" s="263"/>
    </row>
    <row r="186">
      <c r="B186" s="448"/>
      <c r="C186" s="404"/>
      <c r="D186" s="520"/>
      <c r="E186" s="520"/>
      <c r="F186" s="520"/>
      <c r="G186" s="41"/>
      <c r="H186" s="41"/>
      <c r="I186" s="42"/>
      <c r="J186" s="399"/>
      <c r="K186" s="400"/>
      <c r="L186" s="400"/>
      <c r="M186" s="400"/>
      <c r="N186" s="400"/>
      <c r="O186" s="400"/>
      <c r="P186" s="400"/>
      <c r="Q186" s="400"/>
      <c r="R186" s="400"/>
      <c r="S186" s="400"/>
      <c r="T186" s="400"/>
      <c r="U186" s="400"/>
      <c r="V186" s="400"/>
      <c r="W186" s="400"/>
      <c r="X186" s="400"/>
      <c r="Y186" s="400"/>
      <c r="Z186" s="400"/>
      <c r="AA186" s="400"/>
      <c r="AB186" s="400"/>
      <c r="AC186" s="400"/>
      <c r="AD186" s="400"/>
      <c r="AE186" s="400"/>
      <c r="AF186" s="400"/>
      <c r="AG186" s="400"/>
      <c r="AH186" s="400"/>
      <c r="AI186" s="400"/>
      <c r="AJ186" s="400"/>
      <c r="AK186" s="400"/>
      <c r="AL186" s="400"/>
      <c r="AM186" s="400"/>
      <c r="AN186" s="400"/>
      <c r="AO186" s="400"/>
      <c r="AP186" s="400"/>
      <c r="AQ186" s="400"/>
      <c r="AR186" s="400"/>
      <c r="AS186" s="400"/>
      <c r="AT186" s="400"/>
      <c r="AU186" s="400"/>
      <c r="AV186" s="400"/>
      <c r="AW186" s="400"/>
      <c r="AX186" s="400"/>
      <c r="AY186" s="400"/>
      <c r="AZ186" s="400"/>
      <c r="BA186" s="400"/>
      <c r="BB186" s="400"/>
      <c r="BC186" s="400"/>
      <c r="BD186" s="400"/>
      <c r="BE186" s="400"/>
      <c r="BF186" s="400"/>
      <c r="BG186" s="400"/>
      <c r="BH186" s="400"/>
      <c r="BI186" s="400"/>
      <c r="BJ186" s="400"/>
      <c r="BK186" s="400"/>
      <c r="BL186" s="400"/>
      <c r="BM186" s="400"/>
      <c r="BN186" s="400"/>
      <c r="BO186" s="400"/>
      <c r="BP186" s="400"/>
      <c r="BQ186" s="400"/>
      <c r="BR186" s="400"/>
      <c r="BS186" s="400"/>
      <c r="BT186" s="400"/>
      <c r="BU186" s="400"/>
      <c r="BV186" s="400"/>
      <c r="BW186" s="400"/>
      <c r="BX186" s="400"/>
      <c r="BY186" s="400"/>
      <c r="BZ186" s="400"/>
      <c r="CA186" s="400"/>
      <c r="CB186" s="400"/>
      <c r="CC186" s="400"/>
      <c r="CD186" s="400"/>
      <c r="CE186" s="400"/>
      <c r="CF186" s="400"/>
      <c r="CG186" s="400"/>
      <c r="CH186" s="400"/>
      <c r="CI186" s="400"/>
      <c r="CJ186" s="400"/>
      <c r="CK186" s="400"/>
      <c r="CL186" s="400"/>
      <c r="CM186" s="400"/>
      <c r="CN186" s="400"/>
      <c r="CO186" s="400"/>
      <c r="CP186" s="400"/>
      <c r="CQ186" s="400"/>
      <c r="CR186" s="400"/>
      <c r="CS186" s="400"/>
      <c r="CT186" s="400"/>
      <c r="CU186" s="400"/>
      <c r="CV186" s="400"/>
      <c r="CW186" s="400"/>
      <c r="CX186" s="400"/>
      <c r="CY186" s="400"/>
      <c r="CZ186" s="400"/>
      <c r="DA186" s="400"/>
      <c r="DB186" s="400"/>
      <c r="DC186" s="400"/>
      <c r="DD186" s="400"/>
      <c r="DE186" s="400"/>
      <c r="DF186" s="400"/>
      <c r="DG186" s="400"/>
      <c r="DH186" s="400"/>
      <c r="DI186" s="400"/>
      <c r="DJ186" s="400"/>
      <c r="DK186" s="400"/>
      <c r="DL186" s="400"/>
      <c r="DM186" s="400"/>
      <c r="DN186" s="400"/>
      <c r="DO186" s="400"/>
      <c r="DP186" s="400"/>
      <c r="DQ186" s="400"/>
      <c r="DR186" s="400"/>
      <c r="DS186" s="400"/>
      <c r="DT186" s="400"/>
      <c r="DU186" s="400"/>
      <c r="DV186" s="400"/>
      <c r="DW186" s="400"/>
      <c r="DX186" s="400"/>
      <c r="DY186" s="400"/>
      <c r="DZ186" s="400"/>
      <c r="EA186" s="400"/>
      <c r="EB186" s="400"/>
      <c r="EC186" s="400"/>
      <c r="ED186" s="400"/>
      <c r="EE186" s="400"/>
      <c r="EF186" s="400"/>
      <c r="EG186" s="400"/>
      <c r="EH186" s="400"/>
      <c r="EI186" s="400"/>
      <c r="EJ186" s="400"/>
      <c r="EK186" s="400"/>
      <c r="EL186" s="400"/>
      <c r="EM186" s="400"/>
      <c r="EN186" s="400"/>
      <c r="EO186" s="400"/>
      <c r="EP186" s="220"/>
      <c r="EQ186" s="18"/>
      <c r="ER186" s="18"/>
      <c r="ES186" s="18"/>
      <c r="ET186" s="18"/>
      <c r="EU186" s="18"/>
      <c r="EV186" s="18"/>
      <c r="EW186" s="18"/>
      <c r="EX186" s="18"/>
      <c r="EY186" s="18"/>
      <c r="EZ186" s="18"/>
      <c r="FA186" s="18"/>
      <c r="FB186" s="18"/>
      <c r="FC186" s="18"/>
      <c r="FD186" s="18"/>
      <c r="FE186" s="18"/>
      <c r="FF186" s="18"/>
      <c r="FG186" s="18"/>
      <c r="FH186" s="18"/>
      <c r="FI186" s="18"/>
      <c r="FJ186" s="18"/>
      <c r="FK186" s="18"/>
      <c r="FL186" s="18"/>
      <c r="FM186" s="18"/>
      <c r="FN186" s="18"/>
      <c r="FO186" s="18"/>
      <c r="FP186" s="18"/>
      <c r="FQ186" s="18"/>
      <c r="FR186" s="18"/>
      <c r="FS186" s="18"/>
      <c r="FT186" s="18"/>
      <c r="FU186" s="18"/>
      <c r="FV186" s="18"/>
      <c r="FW186" s="18"/>
      <c r="FX186" s="18"/>
      <c r="FY186" s="18"/>
      <c r="FZ186" s="18"/>
      <c r="GA186" s="18"/>
      <c r="GB186" s="18"/>
      <c r="GC186" s="18"/>
      <c r="GD186" s="18"/>
      <c r="GE186" s="18"/>
      <c r="GF186" s="18"/>
      <c r="GG186" s="18"/>
      <c r="GH186" s="18"/>
      <c r="GI186" s="18"/>
      <c r="GJ186" s="18"/>
      <c r="GK186" s="18"/>
      <c r="GL186" s="18"/>
      <c r="GM186" s="18"/>
      <c r="GN186" s="18"/>
      <c r="GO186" s="18"/>
      <c r="GP186" s="18"/>
      <c r="GQ186" s="18"/>
      <c r="GR186" s="18"/>
      <c r="GS186" s="18"/>
      <c r="GT186" s="18"/>
      <c r="GU186" s="18"/>
      <c r="GV186" s="18"/>
      <c r="GW186" s="18"/>
      <c r="GX186" s="18"/>
      <c r="GY186" s="18"/>
      <c r="GZ186" s="18"/>
      <c r="HA186" s="18"/>
      <c r="HB186" s="18"/>
      <c r="HC186" s="18"/>
      <c r="HD186" s="18"/>
      <c r="HE186" s="18"/>
      <c r="HF186" s="18"/>
      <c r="HG186" s="18"/>
      <c r="HH186" s="18"/>
      <c r="HI186" s="18"/>
      <c r="HJ186" s="18"/>
      <c r="HK186" s="18"/>
      <c r="HL186" s="18"/>
      <c r="HM186" s="18"/>
      <c r="HN186" s="18"/>
      <c r="HO186" s="18"/>
      <c r="HP186" s="18"/>
      <c r="HQ186" s="18"/>
      <c r="HR186" s="18"/>
      <c r="HS186" s="18"/>
      <c r="HT186" s="18"/>
      <c r="HU186" s="18"/>
      <c r="HV186" s="18"/>
      <c r="HW186" s="18"/>
      <c r="HX186" s="18"/>
      <c r="HY186" s="18"/>
      <c r="HZ186" s="18"/>
      <c r="IA186" s="18"/>
      <c r="IB186" s="18"/>
      <c r="IC186" s="18"/>
      <c r="ID186" s="18"/>
      <c r="IE186" s="18"/>
      <c r="IF186" s="18"/>
      <c r="IG186" s="18"/>
      <c r="IH186" s="18"/>
      <c r="II186" s="18"/>
      <c r="IJ186" s="18"/>
      <c r="IK186" s="18"/>
      <c r="IL186" s="18"/>
      <c r="IM186" s="18"/>
      <c r="IN186" s="18"/>
      <c r="IO186" s="18"/>
      <c r="IP186" s="18"/>
      <c r="IQ186" s="18"/>
      <c r="IR186" s="18"/>
      <c r="IS186" s="18"/>
      <c r="IT186" s="18"/>
      <c r="IU186" s="18"/>
      <c r="IV186" s="18"/>
      <c r="IW186" s="18"/>
      <c r="IX186" s="18"/>
      <c r="IY186" s="18"/>
      <c r="IZ186" s="18"/>
      <c r="JA186" s="18"/>
      <c r="JB186" s="18"/>
      <c r="JC186" s="18"/>
      <c r="JD186" s="18"/>
      <c r="JE186" s="18"/>
      <c r="JF186" s="18"/>
      <c r="JG186" s="18"/>
      <c r="JH186" s="18"/>
      <c r="JI186" s="18"/>
      <c r="JJ186" s="18"/>
      <c r="JK186" s="18"/>
      <c r="JL186" s="18"/>
      <c r="JM186" s="18"/>
      <c r="JN186" s="18"/>
      <c r="JO186" s="18"/>
      <c r="JP186" s="18"/>
      <c r="JQ186" s="18"/>
      <c r="JR186" s="18"/>
      <c r="JS186" s="18"/>
      <c r="JT186" s="18"/>
      <c r="JU186" s="18"/>
      <c r="JV186" s="18"/>
      <c r="JW186" s="18"/>
      <c r="JX186" s="18"/>
      <c r="JZ186" s="263"/>
      <c r="KA186" s="263"/>
      <c r="KB186" s="263"/>
      <c r="KC186" s="263"/>
      <c r="KD186" s="263"/>
      <c r="KE186" s="263"/>
      <c r="KF186" s="263"/>
      <c r="KG186" s="263"/>
      <c r="KH186" s="263"/>
      <c r="KI186" s="263"/>
      <c r="KJ186" s="263"/>
      <c r="KK186" s="263"/>
      <c r="KL186" s="263"/>
      <c r="KM186" s="263"/>
      <c r="KN186" s="263"/>
      <c r="KO186" s="263"/>
      <c r="KP186" s="263"/>
      <c r="KQ186" s="263"/>
      <c r="KR186" s="263"/>
      <c r="KS186" s="263"/>
      <c r="KT186" s="263"/>
      <c r="KU186" s="263"/>
      <c r="KV186" s="263"/>
      <c r="KW186" s="263"/>
      <c r="KX186" s="263"/>
      <c r="KY186" s="263"/>
      <c r="KZ186" s="263"/>
      <c r="LA186" s="263"/>
      <c r="LB186" s="263"/>
      <c r="LC186" s="263"/>
      <c r="LD186" s="263"/>
      <c r="LE186" s="263"/>
      <c r="LF186" s="263"/>
      <c r="LG186" s="263"/>
      <c r="LH186" s="263"/>
      <c r="LI186" s="263"/>
      <c r="LJ186" s="263"/>
      <c r="LK186" s="263"/>
      <c r="LL186" s="263"/>
      <c r="LM186" s="263"/>
      <c r="LN186" s="263"/>
      <c r="LO186" s="263"/>
      <c r="LP186" s="263"/>
      <c r="LQ186" s="263"/>
      <c r="LR186" s="263"/>
      <c r="LS186" s="263"/>
      <c r="LT186" s="263"/>
      <c r="LU186" s="263"/>
      <c r="LV186" s="263"/>
      <c r="LW186" s="263"/>
      <c r="LX186" s="263"/>
      <c r="LY186" s="263"/>
      <c r="LZ186" s="263"/>
      <c r="MA186" s="263"/>
      <c r="MB186" s="263"/>
      <c r="MC186" s="263"/>
      <c r="MD186" s="263"/>
      <c r="ME186" s="263"/>
      <c r="MF186" s="263"/>
      <c r="MG186" s="263"/>
      <c r="MH186" s="263"/>
      <c r="MI186" s="263"/>
      <c r="MJ186" s="263"/>
      <c r="MK186" s="263"/>
      <c r="ML186" s="263"/>
      <c r="MM186" s="263"/>
      <c r="MN186" s="263"/>
      <c r="MO186" s="263"/>
      <c r="MP186" s="263"/>
      <c r="MQ186" s="263"/>
      <c r="MR186" s="263"/>
      <c r="MS186" s="263"/>
      <c r="MT186" s="263"/>
      <c r="MU186" s="263"/>
      <c r="MV186" s="263"/>
      <c r="MW186" s="263"/>
      <c r="MX186" s="263"/>
      <c r="MY186" s="263"/>
      <c r="MZ186" s="263"/>
      <c r="NA186" s="263"/>
      <c r="NB186" s="263"/>
      <c r="NC186" s="263"/>
      <c r="ND186" s="263"/>
      <c r="NE186" s="263"/>
      <c r="NF186" s="263"/>
      <c r="NG186" s="263"/>
      <c r="NH186" s="263"/>
      <c r="NI186" s="263"/>
      <c r="NJ186" s="263"/>
      <c r="NK186" s="263"/>
      <c r="NL186" s="263"/>
      <c r="NM186" s="263"/>
      <c r="NN186" s="263"/>
      <c r="NO186" s="263"/>
      <c r="NP186" s="263"/>
      <c r="NQ186" s="263"/>
      <c r="NR186" s="263"/>
      <c r="NS186" s="263"/>
      <c r="NT186" s="263"/>
      <c r="NU186" s="263"/>
      <c r="NV186" s="263"/>
      <c r="NW186" s="263"/>
      <c r="NX186" s="263"/>
      <c r="NY186" s="263"/>
      <c r="NZ186" s="263"/>
      <c r="OA186" s="263"/>
      <c r="OB186" s="263"/>
      <c r="OC186" s="263"/>
      <c r="OD186" s="263"/>
      <c r="OE186" s="263"/>
      <c r="OF186" s="263"/>
      <c r="OG186" s="263"/>
      <c r="OH186" s="263"/>
      <c r="OI186" s="263"/>
      <c r="OJ186" s="263"/>
      <c r="OK186" s="263"/>
      <c r="OL186" s="263"/>
      <c r="OM186" s="263"/>
      <c r="ON186" s="263"/>
      <c r="OO186" s="263"/>
      <c r="OP186" s="263"/>
      <c r="OQ186" s="263"/>
      <c r="OR186" s="263"/>
      <c r="OS186" s="263"/>
      <c r="OT186" s="263"/>
      <c r="OU186" s="263"/>
      <c r="OV186" s="263"/>
      <c r="OW186" s="263"/>
      <c r="OX186" s="263"/>
      <c r="OY186" s="263"/>
      <c r="OZ186" s="263"/>
      <c r="PA186" s="263"/>
      <c r="PB186" s="263"/>
      <c r="PC186" s="263"/>
      <c r="PD186" s="263"/>
      <c r="PE186" s="263"/>
      <c r="PF186" s="263"/>
      <c r="PG186" s="263"/>
      <c r="PH186" s="263"/>
    </row>
    <row r="187">
      <c r="B187" s="503" t="s">
        <v>350</v>
      </c>
      <c r="C187" s="503"/>
      <c r="D187" s="504" t="s">
        <v>79</v>
      </c>
      <c r="E187" s="504" t="s">
        <v>80</v>
      </c>
      <c r="F187" s="521" t="s">
        <v>351</v>
      </c>
      <c r="G187" s="506"/>
      <c r="H187" s="504"/>
      <c r="I187" s="504"/>
      <c r="J187" s="399"/>
      <c r="K187" s="400"/>
      <c r="L187" s="400"/>
      <c r="M187" s="400"/>
      <c r="N187" s="400"/>
      <c r="O187" s="400"/>
      <c r="P187" s="400"/>
      <c r="Q187" s="400"/>
      <c r="R187" s="400"/>
      <c r="S187" s="400"/>
      <c r="T187" s="400"/>
      <c r="U187" s="400"/>
      <c r="V187" s="400"/>
      <c r="W187" s="400"/>
      <c r="X187" s="400"/>
      <c r="Y187" s="400"/>
      <c r="Z187" s="400"/>
      <c r="AA187" s="400"/>
      <c r="AB187" s="400"/>
      <c r="AC187" s="400"/>
      <c r="AD187" s="400"/>
      <c r="AE187" s="400"/>
      <c r="AF187" s="400"/>
      <c r="AG187" s="400"/>
      <c r="AH187" s="400"/>
      <c r="AI187" s="400"/>
      <c r="AJ187" s="400"/>
      <c r="AK187" s="400"/>
      <c r="AL187" s="400"/>
      <c r="AM187" s="400"/>
      <c r="AN187" s="400"/>
      <c r="AO187" s="400"/>
      <c r="AP187" s="400"/>
      <c r="AQ187" s="400"/>
      <c r="AR187" s="400"/>
      <c r="AS187" s="400"/>
      <c r="AT187" s="400"/>
      <c r="AU187" s="400"/>
      <c r="AV187" s="400"/>
      <c r="AW187" s="400"/>
      <c r="AX187" s="400"/>
      <c r="AY187" s="400"/>
      <c r="AZ187" s="400"/>
      <c r="BA187" s="400"/>
      <c r="BB187" s="400"/>
      <c r="BC187" s="400"/>
      <c r="BD187" s="400"/>
      <c r="BE187" s="400"/>
      <c r="BF187" s="400"/>
      <c r="BG187" s="400"/>
      <c r="BH187" s="400"/>
      <c r="BI187" s="400"/>
      <c r="BJ187" s="400"/>
      <c r="BK187" s="400"/>
      <c r="BL187" s="400"/>
      <c r="BM187" s="400"/>
      <c r="BN187" s="400"/>
      <c r="BO187" s="400"/>
      <c r="BP187" s="400"/>
      <c r="BQ187" s="400"/>
      <c r="BR187" s="400"/>
      <c r="BS187" s="400"/>
      <c r="BT187" s="400"/>
      <c r="BU187" s="400"/>
      <c r="BV187" s="400"/>
      <c r="BW187" s="400"/>
      <c r="BX187" s="400"/>
      <c r="BY187" s="400"/>
      <c r="BZ187" s="400"/>
      <c r="CA187" s="400"/>
      <c r="CB187" s="400"/>
      <c r="CC187" s="400"/>
      <c r="CD187" s="400"/>
      <c r="CE187" s="400"/>
      <c r="CF187" s="400"/>
      <c r="CG187" s="400"/>
      <c r="CH187" s="400"/>
      <c r="CI187" s="400"/>
      <c r="CJ187" s="400"/>
      <c r="CK187" s="400"/>
      <c r="CL187" s="400"/>
      <c r="CM187" s="400"/>
      <c r="CN187" s="400"/>
      <c r="CO187" s="400"/>
      <c r="CP187" s="400"/>
      <c r="CQ187" s="400"/>
      <c r="CR187" s="400"/>
      <c r="CS187" s="400"/>
      <c r="CT187" s="400"/>
      <c r="CU187" s="400"/>
      <c r="CV187" s="400"/>
      <c r="CW187" s="400"/>
      <c r="CX187" s="400"/>
      <c r="CY187" s="400"/>
      <c r="CZ187" s="400"/>
      <c r="DA187" s="400"/>
      <c r="DB187" s="400"/>
      <c r="DC187" s="400"/>
      <c r="DD187" s="400"/>
      <c r="DE187" s="400"/>
      <c r="DF187" s="400"/>
      <c r="DG187" s="400"/>
      <c r="DH187" s="400"/>
      <c r="DI187" s="400"/>
      <c r="DJ187" s="400"/>
      <c r="DK187" s="400"/>
      <c r="DL187" s="400"/>
      <c r="DM187" s="400"/>
      <c r="DN187" s="400"/>
      <c r="DO187" s="400"/>
      <c r="DP187" s="400"/>
      <c r="DQ187" s="400"/>
      <c r="DR187" s="400"/>
      <c r="DS187" s="400"/>
      <c r="DT187" s="400"/>
      <c r="DU187" s="400"/>
      <c r="DV187" s="400"/>
      <c r="DW187" s="400"/>
      <c r="DX187" s="400"/>
      <c r="DY187" s="400"/>
      <c r="DZ187" s="400"/>
      <c r="EA187" s="400"/>
      <c r="EB187" s="400"/>
      <c r="EC187" s="400"/>
      <c r="ED187" s="400"/>
      <c r="EE187" s="400"/>
      <c r="EF187" s="400"/>
      <c r="EG187" s="400"/>
      <c r="EH187" s="400"/>
      <c r="EI187" s="400"/>
      <c r="EJ187" s="400"/>
      <c r="EK187" s="400"/>
      <c r="EL187" s="400"/>
      <c r="EM187" s="400"/>
      <c r="EN187" s="400"/>
      <c r="EO187" s="400"/>
      <c r="EP187" s="220"/>
      <c r="EQ187" s="18"/>
      <c r="ER187" s="18"/>
      <c r="ES187" s="18"/>
      <c r="ET187" s="18"/>
      <c r="EU187" s="18"/>
      <c r="EV187" s="18"/>
      <c r="EW187" s="18"/>
      <c r="EX187" s="18"/>
      <c r="EY187" s="18"/>
      <c r="EZ187" s="18"/>
      <c r="FA187" s="18"/>
      <c r="FB187" s="18"/>
      <c r="FC187" s="18"/>
      <c r="FD187" s="18"/>
      <c r="FE187" s="18"/>
      <c r="FF187" s="18"/>
      <c r="FG187" s="18"/>
      <c r="FH187" s="18"/>
      <c r="FI187" s="18"/>
      <c r="FJ187" s="18"/>
      <c r="FK187" s="18"/>
      <c r="FL187" s="18"/>
      <c r="FM187" s="18"/>
      <c r="FN187" s="18"/>
      <c r="FO187" s="18"/>
      <c r="FP187" s="18"/>
      <c r="FQ187" s="18"/>
      <c r="FR187" s="18"/>
      <c r="FS187" s="18"/>
      <c r="FT187" s="18"/>
      <c r="FU187" s="18"/>
      <c r="FV187" s="18"/>
      <c r="FW187" s="18"/>
      <c r="FX187" s="18"/>
      <c r="FY187" s="18"/>
      <c r="FZ187" s="18"/>
      <c r="GA187" s="18"/>
      <c r="GB187" s="18"/>
      <c r="GC187" s="18"/>
      <c r="GD187" s="18"/>
      <c r="GE187" s="18"/>
      <c r="GF187" s="18"/>
      <c r="GG187" s="18"/>
      <c r="GH187" s="18"/>
      <c r="GI187" s="18"/>
      <c r="GJ187" s="18"/>
      <c r="GK187" s="18"/>
      <c r="GL187" s="18"/>
      <c r="GM187" s="18"/>
      <c r="GN187" s="18"/>
      <c r="GO187" s="18"/>
      <c r="GP187" s="18"/>
      <c r="GQ187" s="18"/>
      <c r="GR187" s="18"/>
      <c r="GS187" s="18"/>
      <c r="GT187" s="18"/>
      <c r="GU187" s="18"/>
      <c r="GV187" s="18"/>
      <c r="GW187" s="18"/>
      <c r="GX187" s="18"/>
      <c r="GY187" s="18"/>
      <c r="GZ187" s="18"/>
      <c r="HA187" s="18"/>
      <c r="HB187" s="18"/>
      <c r="HC187" s="18"/>
      <c r="HD187" s="18"/>
      <c r="HE187" s="18"/>
      <c r="HF187" s="18"/>
      <c r="HG187" s="18"/>
      <c r="HH187" s="18"/>
      <c r="HI187" s="18"/>
      <c r="HJ187" s="18"/>
      <c r="HK187" s="18"/>
      <c r="HL187" s="18"/>
      <c r="HM187" s="18"/>
      <c r="HN187" s="18"/>
      <c r="HO187" s="18"/>
      <c r="HP187" s="18"/>
      <c r="HQ187" s="18"/>
      <c r="HR187" s="18"/>
      <c r="HS187" s="18"/>
      <c r="HT187" s="18"/>
      <c r="HU187" s="18"/>
      <c r="HV187" s="18"/>
      <c r="HW187" s="18"/>
      <c r="HX187" s="18"/>
      <c r="HY187" s="18"/>
      <c r="HZ187" s="18"/>
      <c r="IA187" s="18"/>
      <c r="IB187" s="18"/>
      <c r="IC187" s="18"/>
      <c r="ID187" s="18"/>
      <c r="IE187" s="18"/>
      <c r="IF187" s="18"/>
      <c r="IG187" s="18"/>
      <c r="IH187" s="18"/>
      <c r="II187" s="18"/>
      <c r="IJ187" s="18"/>
      <c r="IK187" s="18"/>
      <c r="IL187" s="18"/>
      <c r="IM187" s="18"/>
      <c r="IN187" s="18"/>
      <c r="IO187" s="18"/>
      <c r="IP187" s="18"/>
      <c r="IQ187" s="18"/>
      <c r="IR187" s="18"/>
      <c r="IS187" s="18"/>
      <c r="IT187" s="18"/>
      <c r="IU187" s="18"/>
      <c r="IV187" s="18"/>
      <c r="IW187" s="18"/>
      <c r="IX187" s="18"/>
      <c r="IY187" s="18"/>
      <c r="IZ187" s="18"/>
      <c r="JA187" s="18"/>
      <c r="JB187" s="18"/>
      <c r="JC187" s="18"/>
      <c r="JD187" s="18"/>
      <c r="JE187" s="18"/>
      <c r="JF187" s="18"/>
      <c r="JG187" s="18"/>
      <c r="JH187" s="18"/>
      <c r="JI187" s="18"/>
      <c r="JJ187" s="18"/>
      <c r="JK187" s="18"/>
      <c r="JL187" s="18"/>
      <c r="JM187" s="18"/>
      <c r="JN187" s="18"/>
      <c r="JO187" s="18"/>
      <c r="JP187" s="18"/>
      <c r="JQ187" s="18"/>
      <c r="JR187" s="18"/>
      <c r="JS187" s="18"/>
      <c r="JT187" s="18"/>
      <c r="JU187" s="18"/>
      <c r="JV187" s="18"/>
      <c r="JW187" s="18"/>
      <c r="JX187" s="18"/>
      <c r="JZ187" s="263"/>
      <c r="KA187" s="263"/>
      <c r="KB187" s="263"/>
      <c r="KC187" s="263"/>
      <c r="KD187" s="263"/>
      <c r="KE187" s="263"/>
      <c r="KF187" s="263"/>
      <c r="KG187" s="263"/>
      <c r="KH187" s="263"/>
      <c r="KI187" s="263"/>
      <c r="KJ187" s="263"/>
      <c r="KK187" s="263"/>
      <c r="KL187" s="263"/>
      <c r="KM187" s="263"/>
      <c r="KN187" s="263"/>
      <c r="KO187" s="263"/>
      <c r="KP187" s="263"/>
      <c r="KQ187" s="263"/>
      <c r="KR187" s="263"/>
      <c r="KS187" s="263"/>
      <c r="KT187" s="263"/>
      <c r="KU187" s="263"/>
      <c r="KV187" s="263"/>
      <c r="KW187" s="263"/>
      <c r="KX187" s="263"/>
      <c r="KY187" s="263"/>
      <c r="KZ187" s="263"/>
      <c r="LA187" s="263"/>
      <c r="LB187" s="263"/>
      <c r="LC187" s="263"/>
      <c r="LD187" s="263"/>
      <c r="LE187" s="263"/>
      <c r="LF187" s="263"/>
      <c r="LG187" s="263"/>
      <c r="LH187" s="263"/>
      <c r="LI187" s="263"/>
      <c r="LJ187" s="263"/>
      <c r="LK187" s="263"/>
      <c r="LL187" s="263"/>
      <c r="LM187" s="263"/>
      <c r="LN187" s="263"/>
      <c r="LO187" s="263"/>
      <c r="LP187" s="263"/>
      <c r="LQ187" s="263"/>
      <c r="LR187" s="263"/>
      <c r="LS187" s="263"/>
      <c r="LT187" s="263"/>
      <c r="LU187" s="263"/>
      <c r="LV187" s="263"/>
      <c r="LW187" s="263"/>
      <c r="LX187" s="263"/>
      <c r="LY187" s="263"/>
      <c r="LZ187" s="263"/>
      <c r="MA187" s="263"/>
      <c r="MB187" s="263"/>
      <c r="MC187" s="263"/>
      <c r="MD187" s="263"/>
      <c r="ME187" s="263"/>
      <c r="MF187" s="263"/>
      <c r="MG187" s="263"/>
      <c r="MH187" s="263"/>
      <c r="MI187" s="263"/>
      <c r="MJ187" s="263"/>
      <c r="MK187" s="263"/>
      <c r="ML187" s="263"/>
      <c r="MM187" s="263"/>
      <c r="MN187" s="263"/>
      <c r="MO187" s="263"/>
      <c r="MP187" s="263"/>
      <c r="MQ187" s="263"/>
      <c r="MR187" s="263"/>
      <c r="MS187" s="263"/>
      <c r="MT187" s="263"/>
      <c r="MU187" s="263"/>
      <c r="MV187" s="263"/>
      <c r="MW187" s="263"/>
      <c r="MX187" s="263"/>
      <c r="MY187" s="263"/>
      <c r="MZ187" s="263"/>
      <c r="NA187" s="263"/>
      <c r="NB187" s="263"/>
      <c r="NC187" s="263"/>
      <c r="ND187" s="263"/>
      <c r="NE187" s="263"/>
      <c r="NF187" s="263"/>
      <c r="NG187" s="263"/>
      <c r="NH187" s="263"/>
      <c r="NI187" s="263"/>
      <c r="NJ187" s="263"/>
      <c r="NK187" s="263"/>
      <c r="NL187" s="263"/>
      <c r="NM187" s="263"/>
      <c r="NN187" s="263"/>
      <c r="NO187" s="263"/>
      <c r="NP187" s="263"/>
      <c r="NQ187" s="263"/>
      <c r="NR187" s="263"/>
      <c r="NS187" s="263"/>
      <c r="NT187" s="263"/>
      <c r="NU187" s="263"/>
      <c r="NV187" s="263"/>
      <c r="NW187" s="263"/>
      <c r="NX187" s="263"/>
      <c r="NY187" s="263"/>
      <c r="NZ187" s="263"/>
      <c r="OA187" s="263"/>
      <c r="OB187" s="263"/>
      <c r="OC187" s="263"/>
      <c r="OD187" s="263"/>
      <c r="OE187" s="263"/>
      <c r="OF187" s="263"/>
      <c r="OG187" s="263"/>
      <c r="OH187" s="263"/>
      <c r="OI187" s="263"/>
      <c r="OJ187" s="263"/>
      <c r="OK187" s="263"/>
      <c r="OL187" s="263"/>
      <c r="OM187" s="263"/>
      <c r="ON187" s="263"/>
      <c r="OO187" s="263"/>
      <c r="OP187" s="263"/>
      <c r="OQ187" s="263"/>
      <c r="OR187" s="263"/>
      <c r="OS187" s="263"/>
      <c r="OT187" s="263"/>
      <c r="OU187" s="263"/>
      <c r="OV187" s="263"/>
      <c r="OW187" s="263"/>
      <c r="OX187" s="263"/>
      <c r="OY187" s="263"/>
      <c r="OZ187" s="263"/>
      <c r="PA187" s="263"/>
      <c r="PB187" s="263"/>
      <c r="PC187" s="263"/>
      <c r="PD187" s="263"/>
      <c r="PE187" s="263"/>
      <c r="PF187" s="263"/>
      <c r="PG187" s="263"/>
      <c r="PH187" s="263"/>
    </row>
    <row r="188">
      <c r="B188" s="34" t="s">
        <v>352</v>
      </c>
      <c r="C188" s="404"/>
      <c r="D188" s="419" t="n">
        <f>+E188/Units</f>
        <v>13499.637584709639</v>
      </c>
      <c r="E188" s="449" t="n">
        <f>Valuation_Reversion</f>
        <v>1057188748.3960634</v>
      </c>
      <c r="F188" s="522"/>
      <c r="G188" s="45"/>
      <c r="H188" s="523" t="str">
        <f>H165</f>
        <v>STABILIZED (UNTRENDED)</v>
      </c>
      <c r="I188" s="523" t="str">
        <f>I165</f>
        <v>SALE</v>
      </c>
      <c r="J188" s="399"/>
      <c r="K188" s="400"/>
      <c r="L188" s="400"/>
      <c r="M188" s="400"/>
      <c r="N188" s="400"/>
      <c r="O188" s="400"/>
      <c r="P188" s="400"/>
      <c r="Q188" s="400"/>
      <c r="R188" s="400"/>
      <c r="S188" s="400"/>
      <c r="T188" s="400"/>
      <c r="U188" s="400"/>
      <c r="V188" s="400"/>
      <c r="W188" s="400"/>
      <c r="X188" s="400"/>
      <c r="Y188" s="400"/>
      <c r="Z188" s="400"/>
      <c r="AA188" s="400"/>
      <c r="AB188" s="400"/>
      <c r="AC188" s="400"/>
      <c r="AD188" s="400"/>
      <c r="AE188" s="400"/>
      <c r="AF188" s="400"/>
      <c r="AG188" s="400"/>
      <c r="AH188" s="400"/>
      <c r="AI188" s="400"/>
      <c r="AJ188" s="400"/>
      <c r="AK188" s="400"/>
      <c r="AL188" s="400"/>
      <c r="AM188" s="400"/>
      <c r="AN188" s="400"/>
      <c r="AO188" s="400"/>
      <c r="AP188" s="400"/>
      <c r="AQ188" s="400"/>
      <c r="AR188" s="400"/>
      <c r="AS188" s="400"/>
      <c r="AT188" s="400"/>
      <c r="AU188" s="400"/>
      <c r="AV188" s="400"/>
      <c r="AW188" s="400"/>
      <c r="AX188" s="400"/>
      <c r="AY188" s="400"/>
      <c r="AZ188" s="400"/>
      <c r="BA188" s="400"/>
      <c r="BB188" s="400"/>
      <c r="BC188" s="400"/>
      <c r="BD188" s="400"/>
      <c r="BE188" s="400"/>
      <c r="BF188" s="400"/>
      <c r="BG188" s="400"/>
      <c r="BH188" s="400"/>
      <c r="BI188" s="400"/>
      <c r="BJ188" s="400"/>
      <c r="BK188" s="400"/>
      <c r="BL188" s="400"/>
      <c r="BM188" s="400"/>
      <c r="BN188" s="400"/>
      <c r="BO188" s="400"/>
      <c r="BP188" s="400"/>
      <c r="BQ188" s="400"/>
      <c r="BR188" s="400"/>
      <c r="BS188" s="400"/>
      <c r="BT188" s="400"/>
      <c r="BU188" s="400"/>
      <c r="BV188" s="400"/>
      <c r="BW188" s="400"/>
      <c r="BX188" s="400"/>
      <c r="BY188" s="400"/>
      <c r="BZ188" s="400"/>
      <c r="CA188" s="400"/>
      <c r="CB188" s="400"/>
      <c r="CC188" s="400"/>
      <c r="CD188" s="400"/>
      <c r="CE188" s="400"/>
      <c r="CF188" s="400"/>
      <c r="CG188" s="400"/>
      <c r="CH188" s="400"/>
      <c r="CI188" s="400"/>
      <c r="CJ188" s="400"/>
      <c r="CK188" s="400"/>
      <c r="CL188" s="400"/>
      <c r="CM188" s="400"/>
      <c r="CN188" s="400"/>
      <c r="CO188" s="400"/>
      <c r="CP188" s="400"/>
      <c r="CQ188" s="400"/>
      <c r="CR188" s="400"/>
      <c r="CS188" s="400"/>
      <c r="CT188" s="400"/>
      <c r="CU188" s="400"/>
      <c r="CV188" s="400"/>
      <c r="CW188" s="400"/>
      <c r="CX188" s="400"/>
      <c r="CY188" s="400"/>
      <c r="CZ188" s="400"/>
      <c r="DA188" s="400"/>
      <c r="DB188" s="400"/>
      <c r="DC188" s="400"/>
      <c r="DD188" s="400"/>
      <c r="DE188" s="400"/>
      <c r="DF188" s="400"/>
      <c r="DG188" s="400"/>
      <c r="DH188" s="400"/>
      <c r="DI188" s="400"/>
      <c r="DJ188" s="400"/>
      <c r="DK188" s="400"/>
      <c r="DL188" s="400"/>
      <c r="DM188" s="400"/>
      <c r="DN188" s="400"/>
      <c r="DO188" s="400"/>
      <c r="DP188" s="400"/>
      <c r="DQ188" s="400"/>
      <c r="DR188" s="400"/>
      <c r="DS188" s="400"/>
      <c r="DT188" s="400"/>
      <c r="DU188" s="400"/>
      <c r="DV188" s="400"/>
      <c r="DW188" s="400"/>
      <c r="DX188" s="400"/>
      <c r="DY188" s="400"/>
      <c r="DZ188" s="400"/>
      <c r="EA188" s="400"/>
      <c r="EB188" s="400"/>
      <c r="EC188" s="400"/>
      <c r="ED188" s="400"/>
      <c r="EE188" s="400"/>
      <c r="EF188" s="400"/>
      <c r="EG188" s="400"/>
      <c r="EH188" s="400"/>
      <c r="EI188" s="400"/>
      <c r="EJ188" s="400"/>
      <c r="EK188" s="400"/>
      <c r="EL188" s="400"/>
      <c r="EM188" s="400"/>
      <c r="EN188" s="400"/>
      <c r="EO188" s="400"/>
      <c r="EP188" s="220"/>
      <c r="EQ188" s="18"/>
      <c r="ER188" s="18"/>
      <c r="ES188" s="18"/>
      <c r="ET188" s="18"/>
      <c r="EU188" s="18"/>
      <c r="EV188" s="198"/>
      <c r="EW188" s="198"/>
      <c r="EX188" s="198"/>
      <c r="EY188" s="198"/>
      <c r="EZ188" s="198"/>
      <c r="FA188" s="198"/>
      <c r="FB188" s="198"/>
      <c r="FC188" s="198"/>
      <c r="FD188" s="198"/>
      <c r="FE188" s="198"/>
      <c r="FF188" s="198"/>
      <c r="FG188" s="198"/>
      <c r="FH188" s="198"/>
      <c r="FI188" s="198"/>
      <c r="FJ188" s="198"/>
      <c r="FK188" s="198"/>
      <c r="FL188" s="198"/>
      <c r="FM188" s="198"/>
      <c r="FN188" s="198"/>
      <c r="FO188" s="198"/>
      <c r="FP188" s="198"/>
      <c r="FQ188" s="198"/>
      <c r="FR188" s="198"/>
      <c r="FS188" s="198"/>
      <c r="FT188" s="198"/>
      <c r="FU188" s="198"/>
      <c r="FV188" s="198"/>
      <c r="FW188" s="198"/>
      <c r="FX188" s="198"/>
      <c r="FY188" s="198"/>
      <c r="FZ188" s="198"/>
      <c r="GA188" s="198"/>
      <c r="GB188" s="198"/>
      <c r="GC188" s="198"/>
      <c r="GD188" s="198"/>
      <c r="GE188" s="198"/>
      <c r="GF188" s="198"/>
      <c r="GG188" s="198"/>
      <c r="GH188" s="198"/>
      <c r="GI188" s="198"/>
      <c r="GJ188" s="198"/>
      <c r="GK188" s="198"/>
      <c r="GL188" s="198"/>
      <c r="GM188" s="198"/>
      <c r="GN188" s="198"/>
      <c r="GO188" s="198"/>
      <c r="GP188" s="198"/>
      <c r="GQ188" s="198"/>
      <c r="GR188" s="198"/>
      <c r="GS188" s="198"/>
      <c r="GT188" s="198"/>
      <c r="GU188" s="198"/>
      <c r="GV188" s="198"/>
      <c r="GW188" s="198"/>
      <c r="GX188" s="198"/>
      <c r="GY188" s="198"/>
      <c r="GZ188" s="198"/>
      <c r="HA188" s="198"/>
      <c r="HB188" s="198"/>
      <c r="HC188" s="198"/>
      <c r="HD188" s="198"/>
      <c r="HE188" s="198"/>
      <c r="HF188" s="198"/>
      <c r="HG188" s="198"/>
      <c r="HH188" s="198"/>
      <c r="HI188" s="198"/>
      <c r="HJ188" s="198"/>
      <c r="HK188" s="198"/>
      <c r="HL188" s="198"/>
      <c r="HM188" s="198"/>
      <c r="HN188" s="198"/>
      <c r="HO188" s="198"/>
      <c r="HP188" s="198"/>
      <c r="HQ188" s="198"/>
      <c r="HR188" s="198"/>
      <c r="HS188" s="198"/>
      <c r="HT188" s="198"/>
      <c r="HU188" s="198"/>
      <c r="HV188" s="198"/>
      <c r="HW188" s="198"/>
      <c r="HX188" s="198"/>
      <c r="HY188" s="198"/>
      <c r="HZ188" s="198"/>
      <c r="IA188" s="198"/>
      <c r="IB188" s="198"/>
      <c r="IC188" s="198"/>
      <c r="ID188" s="198"/>
      <c r="IE188" s="198"/>
      <c r="IF188" s="198"/>
      <c r="IG188" s="198"/>
      <c r="IH188" s="198"/>
      <c r="II188" s="198"/>
      <c r="IJ188" s="198"/>
      <c r="IK188" s="198"/>
      <c r="IL188" s="198"/>
      <c r="IM188" s="198"/>
      <c r="IN188" s="198"/>
      <c r="IO188" s="198"/>
      <c r="IP188" s="198"/>
      <c r="IQ188" s="198"/>
      <c r="IR188" s="198"/>
      <c r="IS188" s="198"/>
      <c r="IT188" s="198"/>
      <c r="IU188" s="198"/>
      <c r="IV188" s="198"/>
      <c r="IW188" s="198"/>
      <c r="IX188" s="198"/>
      <c r="IY188" s="198"/>
      <c r="IZ188" s="198"/>
      <c r="JA188" s="198"/>
      <c r="JB188" s="198"/>
      <c r="JC188" s="198"/>
      <c r="JD188" s="198"/>
      <c r="JE188" s="198"/>
      <c r="JF188" s="198"/>
      <c r="JG188" s="198"/>
      <c r="JH188" s="198"/>
      <c r="JI188" s="198"/>
      <c r="JJ188" s="198"/>
      <c r="JK188" s="198"/>
      <c r="JL188" s="198"/>
      <c r="JM188" s="198"/>
      <c r="JN188" s="198"/>
      <c r="JO188" s="198"/>
      <c r="JP188" s="198"/>
      <c r="JQ188" s="198"/>
      <c r="JR188" s="198"/>
      <c r="JS188" s="198"/>
      <c r="JT188" s="198"/>
      <c r="JU188" s="198"/>
      <c r="JV188" s="198"/>
      <c r="JW188" s="198"/>
      <c r="JX188" s="198"/>
      <c r="JZ188" s="263"/>
      <c r="KA188" s="263"/>
      <c r="KB188" s="263"/>
      <c r="KC188" s="263"/>
      <c r="KD188" s="263"/>
      <c r="KE188" s="263"/>
      <c r="KF188" s="263"/>
      <c r="KG188" s="263"/>
      <c r="KH188" s="263"/>
      <c r="KI188" s="263"/>
      <c r="KJ188" s="263"/>
      <c r="KK188" s="263"/>
      <c r="KL188" s="263"/>
      <c r="KM188" s="263"/>
      <c r="KN188" s="263"/>
      <c r="KO188" s="263"/>
      <c r="KP188" s="263"/>
      <c r="KQ188" s="263"/>
      <c r="KR188" s="263"/>
      <c r="KS188" s="263"/>
      <c r="KT188" s="263"/>
      <c r="KU188" s="263"/>
      <c r="KV188" s="263"/>
      <c r="KW188" s="263"/>
      <c r="KX188" s="263"/>
      <c r="KY188" s="263"/>
      <c r="KZ188" s="263"/>
      <c r="LA188" s="263"/>
      <c r="LB188" s="263"/>
      <c r="LC188" s="263"/>
      <c r="LD188" s="263"/>
      <c r="LE188" s="263"/>
      <c r="LF188" s="263"/>
      <c r="LG188" s="263"/>
      <c r="LH188" s="263"/>
      <c r="LI188" s="263"/>
      <c r="LJ188" s="263"/>
      <c r="LK188" s="263"/>
      <c r="LL188" s="263"/>
      <c r="LM188" s="263"/>
      <c r="LN188" s="263"/>
      <c r="LO188" s="263"/>
      <c r="LP188" s="263"/>
      <c r="LQ188" s="263"/>
      <c r="LR188" s="263"/>
      <c r="LS188" s="263"/>
      <c r="LT188" s="263"/>
      <c r="LU188" s="263"/>
      <c r="LV188" s="263"/>
      <c r="LW188" s="263"/>
      <c r="LX188" s="263"/>
      <c r="LY188" s="263"/>
      <c r="LZ188" s="263"/>
      <c r="MA188" s="263"/>
      <c r="MB188" s="263"/>
      <c r="MC188" s="263"/>
      <c r="MD188" s="263"/>
      <c r="ME188" s="263"/>
      <c r="MF188" s="263"/>
      <c r="MG188" s="263"/>
      <c r="MH188" s="263"/>
      <c r="MI188" s="263"/>
      <c r="MJ188" s="263"/>
      <c r="MK188" s="263"/>
      <c r="ML188" s="263"/>
      <c r="MM188" s="263"/>
      <c r="MN188" s="263"/>
      <c r="MO188" s="263"/>
      <c r="MP188" s="263"/>
      <c r="MQ188" s="263"/>
      <c r="MR188" s="263"/>
      <c r="MS188" s="263"/>
      <c r="MT188" s="263"/>
      <c r="MU188" s="263"/>
      <c r="MV188" s="263"/>
      <c r="MW188" s="263"/>
      <c r="MX188" s="263"/>
      <c r="MY188" s="263"/>
      <c r="MZ188" s="263"/>
      <c r="NA188" s="263"/>
      <c r="NB188" s="263"/>
      <c r="NC188" s="263"/>
      <c r="ND188" s="263"/>
      <c r="NE188" s="263"/>
      <c r="NF188" s="263"/>
      <c r="NG188" s="263"/>
      <c r="NH188" s="263"/>
      <c r="NI188" s="263"/>
      <c r="NJ188" s="263"/>
      <c r="NK188" s="263"/>
      <c r="NL188" s="263"/>
      <c r="NM188" s="263"/>
      <c r="NN188" s="263"/>
      <c r="NO188" s="263"/>
      <c r="NP188" s="263"/>
      <c r="NQ188" s="263"/>
      <c r="NR188" s="263"/>
      <c r="NS188" s="263"/>
      <c r="NT188" s="263"/>
      <c r="NU188" s="263"/>
      <c r="NV188" s="263"/>
      <c r="NW188" s="263"/>
      <c r="NX188" s="263"/>
      <c r="NY188" s="263"/>
      <c r="NZ188" s="263"/>
      <c r="OA188" s="263"/>
      <c r="OB188" s="263"/>
      <c r="OC188" s="263"/>
      <c r="OD188" s="263"/>
      <c r="OE188" s="263"/>
      <c r="OF188" s="263"/>
      <c r="OG188" s="263"/>
      <c r="OH188" s="263"/>
      <c r="OI188" s="263"/>
      <c r="OJ188" s="263"/>
      <c r="OK188" s="263"/>
      <c r="OL188" s="263"/>
      <c r="OM188" s="263"/>
      <c r="ON188" s="263"/>
      <c r="OO188" s="263"/>
      <c r="OP188" s="263"/>
      <c r="OQ188" s="263"/>
      <c r="OR188" s="263"/>
      <c r="OS188" s="263"/>
      <c r="OT188" s="263"/>
      <c r="OU188" s="263"/>
      <c r="OV188" s="263"/>
      <c r="OW188" s="263"/>
      <c r="OX188" s="263"/>
      <c r="OY188" s="263"/>
      <c r="OZ188" s="263"/>
      <c r="PA188" s="263"/>
      <c r="PB188" s="263"/>
      <c r="PC188" s="263"/>
      <c r="PD188" s="263"/>
      <c r="PE188" s="263"/>
      <c r="PF188" s="263"/>
      <c r="PG188" s="263"/>
      <c r="PH188" s="263"/>
    </row>
    <row r="189">
      <c r="B189" s="448" t="str">
        <f>"- Selling Costs @ "&amp;TEXT($I$163,"0.00%")</f>
        <v>- Selling Costs @ 2.00%</v>
      </c>
      <c r="C189" s="404"/>
      <c r="D189" s="524" t="n">
        <f>+E189/Units</f>
        <v>-269.99275169419275</v>
      </c>
      <c r="E189" s="478" t="n">
        <f>-E188*I163</f>
        <v>-21143774.96792127</v>
      </c>
      <c r="F189" s="525"/>
      <c r="G189" s="404" t="s">
        <v>70</v>
      </c>
      <c r="H189" s="40" t="n">
        <f>IF(F160="No",((Stabilization_1st_Month/Timing_Reversion_Month)*(I162-I161))+I161,S173)</f>
        <v>0.06700819672131147</v>
      </c>
      <c r="I189" s="40" t="n">
        <f>IF(F160="No",$I$162,T173)</f>
        <v>0.0675</v>
      </c>
      <c r="J189" s="399"/>
      <c r="K189" s="400"/>
      <c r="L189" s="400"/>
      <c r="M189" s="400"/>
      <c r="N189" s="400"/>
      <c r="O189" s="400"/>
      <c r="P189" s="400"/>
      <c r="Q189" s="400"/>
      <c r="R189" s="400"/>
      <c r="S189" s="400"/>
      <c r="T189" s="400"/>
      <c r="U189" s="400"/>
      <c r="V189" s="400"/>
      <c r="W189" s="400"/>
      <c r="X189" s="400"/>
      <c r="Y189" s="400"/>
      <c r="Z189" s="400"/>
      <c r="AA189" s="400"/>
      <c r="AB189" s="400"/>
      <c r="AC189" s="400"/>
      <c r="AD189" s="400"/>
      <c r="AE189" s="400"/>
      <c r="AF189" s="400"/>
      <c r="AG189" s="400"/>
      <c r="AH189" s="400"/>
      <c r="AI189" s="400"/>
      <c r="AJ189" s="400"/>
      <c r="AK189" s="400"/>
      <c r="AL189" s="400"/>
      <c r="AM189" s="400"/>
      <c r="AN189" s="400"/>
      <c r="AO189" s="400"/>
      <c r="AP189" s="400"/>
      <c r="AQ189" s="400"/>
      <c r="AR189" s="400"/>
      <c r="AS189" s="400"/>
      <c r="AT189" s="400"/>
      <c r="AU189" s="400"/>
      <c r="AV189" s="400"/>
      <c r="AW189" s="400"/>
      <c r="AX189" s="400"/>
      <c r="AY189" s="400"/>
      <c r="AZ189" s="400"/>
      <c r="BA189" s="400"/>
      <c r="BB189" s="400"/>
      <c r="BC189" s="400"/>
      <c r="BD189" s="400"/>
      <c r="BE189" s="400"/>
      <c r="BF189" s="400"/>
      <c r="BG189" s="400"/>
      <c r="BH189" s="400"/>
      <c r="BI189" s="400"/>
      <c r="BJ189" s="400"/>
      <c r="BK189" s="400"/>
      <c r="BL189" s="400"/>
      <c r="BM189" s="400"/>
      <c r="BN189" s="400"/>
      <c r="BO189" s="400"/>
      <c r="BP189" s="400"/>
      <c r="BQ189" s="400"/>
      <c r="BR189" s="400"/>
      <c r="BS189" s="400"/>
      <c r="BT189" s="400"/>
      <c r="BU189" s="400"/>
      <c r="BV189" s="400"/>
      <c r="BW189" s="400"/>
      <c r="BX189" s="400"/>
      <c r="BY189" s="400"/>
      <c r="BZ189" s="400"/>
      <c r="CA189" s="400"/>
      <c r="CB189" s="400"/>
      <c r="CC189" s="400"/>
      <c r="CD189" s="400"/>
      <c r="CE189" s="400"/>
      <c r="CF189" s="400"/>
      <c r="CG189" s="400"/>
      <c r="CH189" s="400"/>
      <c r="CI189" s="400"/>
      <c r="CJ189" s="400"/>
      <c r="CK189" s="400"/>
      <c r="CL189" s="400"/>
      <c r="CM189" s="400"/>
      <c r="CN189" s="400"/>
      <c r="CO189" s="400"/>
      <c r="CP189" s="400"/>
      <c r="CQ189" s="400"/>
      <c r="CR189" s="400"/>
      <c r="CS189" s="400"/>
      <c r="CT189" s="400"/>
      <c r="CU189" s="400"/>
      <c r="CV189" s="400"/>
      <c r="CW189" s="400"/>
      <c r="CX189" s="400"/>
      <c r="CY189" s="400"/>
      <c r="CZ189" s="400"/>
      <c r="DA189" s="400"/>
      <c r="DB189" s="400"/>
      <c r="DC189" s="400"/>
      <c r="DD189" s="400"/>
      <c r="DE189" s="400"/>
      <c r="DF189" s="400"/>
      <c r="DG189" s="400"/>
      <c r="DH189" s="400"/>
      <c r="DI189" s="400"/>
      <c r="DJ189" s="400"/>
      <c r="DK189" s="400"/>
      <c r="DL189" s="400"/>
      <c r="DM189" s="400"/>
      <c r="DN189" s="400"/>
      <c r="DO189" s="400"/>
      <c r="DP189" s="400"/>
      <c r="DQ189" s="400"/>
      <c r="DR189" s="400"/>
      <c r="DS189" s="400"/>
      <c r="DT189" s="400"/>
      <c r="DU189" s="400"/>
      <c r="DV189" s="400"/>
      <c r="DW189" s="400"/>
      <c r="DX189" s="400"/>
      <c r="DY189" s="400"/>
      <c r="DZ189" s="400"/>
      <c r="EA189" s="400"/>
      <c r="EB189" s="400"/>
      <c r="EC189" s="400"/>
      <c r="ED189" s="400"/>
      <c r="EE189" s="400"/>
      <c r="EF189" s="400"/>
      <c r="EG189" s="400"/>
      <c r="EH189" s="400"/>
      <c r="EI189" s="400"/>
      <c r="EJ189" s="400"/>
      <c r="EK189" s="400"/>
      <c r="EL189" s="400"/>
      <c r="EM189" s="400"/>
      <c r="EN189" s="400"/>
      <c r="EO189" s="400"/>
      <c r="EP189" s="220"/>
      <c r="EQ189" s="18"/>
      <c r="ER189" s="18"/>
      <c r="ES189" s="18"/>
      <c r="ET189" s="18"/>
      <c r="EU189" s="18"/>
      <c r="EV189" s="82"/>
      <c r="EW189" s="82"/>
      <c r="EX189" s="82"/>
      <c r="EY189" s="82"/>
      <c r="EZ189" s="82"/>
      <c r="FA189" s="82"/>
      <c r="FB189" s="82"/>
      <c r="FC189" s="82"/>
      <c r="FD189" s="82"/>
      <c r="FE189" s="82"/>
      <c r="FF189" s="82"/>
      <c r="FG189" s="82"/>
      <c r="FH189" s="82"/>
      <c r="FI189" s="82"/>
      <c r="FJ189" s="82"/>
      <c r="FK189" s="82"/>
      <c r="FL189" s="82"/>
      <c r="FM189" s="82"/>
      <c r="FN189" s="82"/>
      <c r="FO189" s="82"/>
      <c r="FP189" s="82"/>
      <c r="FQ189" s="82"/>
      <c r="FR189" s="82"/>
      <c r="FS189" s="82"/>
      <c r="FT189" s="82"/>
      <c r="FU189" s="82"/>
      <c r="FV189" s="82"/>
      <c r="FW189" s="82"/>
      <c r="FX189" s="82"/>
      <c r="FY189" s="82"/>
      <c r="FZ189" s="82"/>
      <c r="GA189" s="82"/>
      <c r="GB189" s="82"/>
      <c r="GC189" s="82"/>
      <c r="GD189" s="82"/>
      <c r="GE189" s="82"/>
      <c r="GF189" s="82"/>
      <c r="GG189" s="82"/>
      <c r="GH189" s="82"/>
      <c r="GI189" s="82"/>
      <c r="GJ189" s="82"/>
      <c r="GK189" s="82"/>
      <c r="GL189" s="82"/>
      <c r="GM189" s="82"/>
      <c r="GN189" s="82"/>
      <c r="GO189" s="82"/>
      <c r="GP189" s="82"/>
      <c r="GQ189" s="82"/>
      <c r="GR189" s="82"/>
      <c r="GS189" s="82"/>
      <c r="GT189" s="82"/>
      <c r="GU189" s="82"/>
      <c r="GV189" s="82"/>
      <c r="GW189" s="82"/>
      <c r="GX189" s="82"/>
      <c r="GY189" s="82"/>
      <c r="GZ189" s="82"/>
      <c r="HA189" s="82"/>
      <c r="HB189" s="82"/>
      <c r="HC189" s="82"/>
      <c r="HD189" s="82"/>
      <c r="HE189" s="82"/>
      <c r="HF189" s="82"/>
      <c r="HG189" s="82"/>
      <c r="HH189" s="82"/>
      <c r="HI189" s="82"/>
      <c r="HJ189" s="82"/>
      <c r="HK189" s="82"/>
      <c r="HL189" s="82"/>
      <c r="HM189" s="82"/>
      <c r="HN189" s="82"/>
      <c r="HO189" s="82"/>
      <c r="HP189" s="82"/>
      <c r="HQ189" s="82"/>
      <c r="HR189" s="82"/>
      <c r="HS189" s="82"/>
      <c r="HT189" s="82"/>
      <c r="HU189" s="82"/>
      <c r="HV189" s="82"/>
      <c r="HW189" s="82"/>
      <c r="HX189" s="82"/>
      <c r="HY189" s="82"/>
      <c r="HZ189" s="82"/>
      <c r="IA189" s="82"/>
      <c r="IB189" s="82"/>
      <c r="IC189" s="82"/>
      <c r="ID189" s="82"/>
      <c r="IE189" s="82"/>
      <c r="IF189" s="82"/>
      <c r="IG189" s="82"/>
      <c r="IH189" s="82"/>
      <c r="II189" s="82"/>
      <c r="IJ189" s="82"/>
      <c r="IK189" s="82"/>
      <c r="IL189" s="82"/>
      <c r="IM189" s="82"/>
      <c r="IN189" s="82"/>
      <c r="IO189" s="82"/>
      <c r="IP189" s="82"/>
      <c r="IQ189" s="82"/>
      <c r="IR189" s="82"/>
      <c r="IS189" s="82"/>
      <c r="IT189" s="82"/>
      <c r="IU189" s="82"/>
      <c r="IV189" s="82"/>
      <c r="IW189" s="82"/>
      <c r="IX189" s="82"/>
      <c r="IY189" s="82"/>
      <c r="IZ189" s="82"/>
      <c r="JA189" s="82"/>
      <c r="JB189" s="82"/>
      <c r="JC189" s="82"/>
      <c r="JD189" s="82"/>
      <c r="JE189" s="82"/>
      <c r="JF189" s="82"/>
      <c r="JG189" s="82"/>
      <c r="JH189" s="82"/>
      <c r="JI189" s="82"/>
      <c r="JJ189" s="82"/>
      <c r="JK189" s="82"/>
      <c r="JL189" s="82"/>
      <c r="JM189" s="82"/>
      <c r="JN189" s="82"/>
      <c r="JO189" s="82"/>
      <c r="JP189" s="82"/>
      <c r="JQ189" s="82"/>
      <c r="JR189" s="82"/>
      <c r="JS189" s="82"/>
      <c r="JT189" s="82"/>
      <c r="JU189" s="82"/>
      <c r="JV189" s="82"/>
      <c r="JW189" s="82"/>
      <c r="JX189" s="82"/>
      <c r="JZ189" s="263"/>
      <c r="KA189" s="263"/>
      <c r="KB189" s="263"/>
      <c r="KC189" s="263"/>
      <c r="KD189" s="263"/>
      <c r="KE189" s="263"/>
      <c r="KF189" s="263"/>
      <c r="KG189" s="263"/>
      <c r="KH189" s="263"/>
      <c r="KI189" s="263"/>
      <c r="KJ189" s="263"/>
      <c r="KK189" s="263"/>
      <c r="KL189" s="263"/>
      <c r="KM189" s="263"/>
      <c r="KN189" s="263"/>
      <c r="KO189" s="263"/>
      <c r="KP189" s="263"/>
      <c r="KQ189" s="263"/>
      <c r="KR189" s="263"/>
      <c r="KS189" s="263"/>
      <c r="KT189" s="263"/>
      <c r="KU189" s="263"/>
      <c r="KV189" s="263"/>
      <c r="KW189" s="263"/>
      <c r="KX189" s="263"/>
      <c r="KY189" s="263"/>
      <c r="KZ189" s="263"/>
      <c r="LA189" s="263"/>
      <c r="LB189" s="263"/>
      <c r="LC189" s="263"/>
      <c r="LD189" s="263"/>
      <c r="LE189" s="263"/>
      <c r="LF189" s="263"/>
      <c r="LG189" s="263"/>
      <c r="LH189" s="263"/>
      <c r="LI189" s="263"/>
      <c r="LJ189" s="263"/>
      <c r="LK189" s="263"/>
      <c r="LL189" s="263"/>
      <c r="LM189" s="263"/>
      <c r="LN189" s="263"/>
      <c r="LO189" s="263"/>
      <c r="LP189" s="263"/>
      <c r="LQ189" s="263"/>
      <c r="LR189" s="263"/>
      <c r="LS189" s="263"/>
      <c r="LT189" s="263"/>
      <c r="LU189" s="263"/>
      <c r="LV189" s="263"/>
      <c r="LW189" s="263"/>
      <c r="LX189" s="263"/>
      <c r="LY189" s="263"/>
      <c r="LZ189" s="263"/>
      <c r="MA189" s="263"/>
      <c r="MB189" s="263"/>
      <c r="MC189" s="263"/>
      <c r="MD189" s="263"/>
      <c r="ME189" s="263"/>
      <c r="MF189" s="263"/>
      <c r="MG189" s="263"/>
      <c r="MH189" s="263"/>
      <c r="MI189" s="263"/>
      <c r="MJ189" s="263"/>
      <c r="MK189" s="263"/>
      <c r="ML189" s="263"/>
      <c r="MM189" s="263"/>
      <c r="MN189" s="263"/>
      <c r="MO189" s="263"/>
      <c r="MP189" s="263"/>
      <c r="MQ189" s="263"/>
      <c r="MR189" s="263"/>
      <c r="MS189" s="263"/>
      <c r="MT189" s="263"/>
      <c r="MU189" s="263"/>
      <c r="MV189" s="263"/>
      <c r="MW189" s="263"/>
      <c r="MX189" s="263"/>
      <c r="MY189" s="263"/>
      <c r="MZ189" s="263"/>
      <c r="NA189" s="263"/>
      <c r="NB189" s="263"/>
      <c r="NC189" s="263"/>
      <c r="ND189" s="263"/>
      <c r="NE189" s="263"/>
      <c r="NF189" s="263"/>
      <c r="NG189" s="263"/>
      <c r="NH189" s="263"/>
      <c r="NI189" s="263"/>
      <c r="NJ189" s="263"/>
      <c r="NK189" s="263"/>
      <c r="NL189" s="263"/>
      <c r="NM189" s="263"/>
      <c r="NN189" s="263"/>
      <c r="NO189" s="263"/>
      <c r="NP189" s="263"/>
      <c r="NQ189" s="263"/>
      <c r="NR189" s="263"/>
      <c r="NS189" s="263"/>
      <c r="NT189" s="263"/>
      <c r="NU189" s="263"/>
      <c r="NV189" s="263"/>
      <c r="NW189" s="263"/>
      <c r="NX189" s="263"/>
      <c r="NY189" s="263"/>
      <c r="NZ189" s="263"/>
      <c r="OA189" s="263"/>
      <c r="OB189" s="263"/>
      <c r="OC189" s="263"/>
      <c r="OD189" s="263"/>
      <c r="OE189" s="263"/>
      <c r="OF189" s="263"/>
      <c r="OG189" s="263"/>
      <c r="OH189" s="263"/>
      <c r="OI189" s="263"/>
      <c r="OJ189" s="263"/>
      <c r="OK189" s="263"/>
      <c r="OL189" s="263"/>
      <c r="OM189" s="263"/>
      <c r="ON189" s="263"/>
      <c r="OO189" s="263"/>
      <c r="OP189" s="263"/>
      <c r="OQ189" s="263"/>
      <c r="OR189" s="263"/>
      <c r="OS189" s="263"/>
      <c r="OT189" s="263"/>
      <c r="OU189" s="263"/>
      <c r="OV189" s="263"/>
      <c r="OW189" s="263"/>
      <c r="OX189" s="263"/>
      <c r="OY189" s="263"/>
      <c r="OZ189" s="263"/>
      <c r="PA189" s="263"/>
      <c r="PB189" s="263"/>
      <c r="PC189" s="263"/>
      <c r="PD189" s="263"/>
      <c r="PE189" s="263"/>
      <c r="PF189" s="263"/>
      <c r="PG189" s="263"/>
      <c r="PH189" s="263"/>
    </row>
    <row r="190">
      <c r="B190" s="34" t="s">
        <v>353</v>
      </c>
      <c r="C190" s="404"/>
      <c r="D190" s="419" t="n">
        <f>SUM(D188:D189)</f>
        <v>13229.644833015445</v>
      </c>
      <c r="E190" s="449" t="n">
        <f>SUM(E188:E189)</f>
        <v>1036044973.4281422</v>
      </c>
      <c r="F190" s="526" t="s">
        <v>354</v>
      </c>
      <c r="G190" s="404" t="s">
        <v>355</v>
      </c>
      <c r="H190" s="449" t="n">
        <f>+H179</f>
        <v>45541921.74739582</v>
      </c>
      <c r="I190" s="449" t="n">
        <f>+I179</f>
        <v>71360240.51673429</v>
      </c>
      <c r="J190" s="399"/>
      <c r="K190" s="400"/>
      <c r="L190" s="400"/>
      <c r="M190" s="400"/>
      <c r="N190" s="400"/>
      <c r="O190" s="400"/>
      <c r="P190" s="400"/>
      <c r="Q190" s="400"/>
      <c r="R190" s="400"/>
      <c r="S190" s="400"/>
      <c r="T190" s="400"/>
      <c r="U190" s="400"/>
      <c r="V190" s="400"/>
      <c r="W190" s="400"/>
      <c r="X190" s="400"/>
      <c r="Y190" s="400"/>
      <c r="Z190" s="400"/>
      <c r="AA190" s="400"/>
      <c r="AB190" s="400"/>
      <c r="AC190" s="400"/>
      <c r="AD190" s="400"/>
      <c r="AE190" s="400"/>
      <c r="AF190" s="400"/>
      <c r="AG190" s="400"/>
      <c r="AH190" s="400"/>
      <c r="AI190" s="400"/>
      <c r="AJ190" s="400"/>
      <c r="AK190" s="400"/>
      <c r="AL190" s="400"/>
      <c r="AM190" s="400"/>
      <c r="AN190" s="400"/>
      <c r="AO190" s="400"/>
      <c r="AP190" s="400"/>
      <c r="AQ190" s="400"/>
      <c r="AR190" s="400"/>
      <c r="AS190" s="400"/>
      <c r="AT190" s="400"/>
      <c r="AU190" s="400"/>
      <c r="AV190" s="400"/>
      <c r="AW190" s="400"/>
      <c r="AX190" s="400"/>
      <c r="AY190" s="400"/>
      <c r="AZ190" s="400"/>
      <c r="BA190" s="400"/>
      <c r="BB190" s="400"/>
      <c r="BC190" s="400"/>
      <c r="BD190" s="400"/>
      <c r="BE190" s="400"/>
      <c r="BF190" s="400"/>
      <c r="BG190" s="400"/>
      <c r="BH190" s="400"/>
      <c r="BI190" s="400"/>
      <c r="BJ190" s="400"/>
      <c r="BK190" s="400"/>
      <c r="BL190" s="400"/>
      <c r="BM190" s="400"/>
      <c r="BN190" s="400"/>
      <c r="BO190" s="400"/>
      <c r="BP190" s="400"/>
      <c r="BQ190" s="400"/>
      <c r="BR190" s="400"/>
      <c r="BS190" s="400"/>
      <c r="BT190" s="400"/>
      <c r="BU190" s="400"/>
      <c r="BV190" s="400"/>
      <c r="BW190" s="400"/>
      <c r="BX190" s="400"/>
      <c r="BY190" s="400"/>
      <c r="BZ190" s="400"/>
      <c r="CA190" s="400"/>
      <c r="CB190" s="400"/>
      <c r="CC190" s="400"/>
      <c r="CD190" s="400"/>
      <c r="CE190" s="400"/>
      <c r="CF190" s="400"/>
      <c r="CG190" s="400"/>
      <c r="CH190" s="400"/>
      <c r="CI190" s="400"/>
      <c r="CJ190" s="400"/>
      <c r="CK190" s="400"/>
      <c r="CL190" s="400"/>
      <c r="CM190" s="400"/>
      <c r="CN190" s="400"/>
      <c r="CO190" s="400"/>
      <c r="CP190" s="400"/>
      <c r="CQ190" s="400"/>
      <c r="CR190" s="400"/>
      <c r="CS190" s="400"/>
      <c r="CT190" s="400"/>
      <c r="CU190" s="400"/>
      <c r="CV190" s="400"/>
      <c r="CW190" s="400"/>
      <c r="CX190" s="400"/>
      <c r="CY190" s="400"/>
      <c r="CZ190" s="400"/>
      <c r="DA190" s="400"/>
      <c r="DB190" s="400"/>
      <c r="DC190" s="400"/>
      <c r="DD190" s="400"/>
      <c r="DE190" s="400"/>
      <c r="DF190" s="400"/>
      <c r="DG190" s="400"/>
      <c r="DH190" s="400"/>
      <c r="DI190" s="400"/>
      <c r="DJ190" s="400"/>
      <c r="DK190" s="400"/>
      <c r="DL190" s="400"/>
      <c r="DM190" s="400"/>
      <c r="DN190" s="400"/>
      <c r="DO190" s="400"/>
      <c r="DP190" s="400"/>
      <c r="DQ190" s="400"/>
      <c r="DR190" s="400"/>
      <c r="DS190" s="400"/>
      <c r="DT190" s="400"/>
      <c r="DU190" s="400"/>
      <c r="DV190" s="400"/>
      <c r="DW190" s="400"/>
      <c r="DX190" s="400"/>
      <c r="DY190" s="400"/>
      <c r="DZ190" s="400"/>
      <c r="EA190" s="400"/>
      <c r="EB190" s="400"/>
      <c r="EC190" s="400"/>
      <c r="ED190" s="400"/>
      <c r="EE190" s="400"/>
      <c r="EF190" s="400"/>
      <c r="EG190" s="400"/>
      <c r="EH190" s="400"/>
      <c r="EI190" s="400"/>
      <c r="EJ190" s="400"/>
      <c r="EK190" s="400"/>
      <c r="EL190" s="400"/>
      <c r="EM190" s="400"/>
      <c r="EN190" s="400"/>
      <c r="EO190" s="400"/>
      <c r="EP190" s="220"/>
      <c r="EQ190" s="18"/>
      <c r="ER190" s="18"/>
      <c r="ES190" s="18"/>
      <c r="ET190" s="18"/>
      <c r="EU190" s="18"/>
      <c r="EV190" s="82"/>
      <c r="EW190" s="82"/>
      <c r="EX190" s="82"/>
      <c r="EY190" s="82"/>
      <c r="EZ190" s="82"/>
      <c r="FA190" s="82"/>
      <c r="FB190" s="82"/>
      <c r="FC190" s="82"/>
      <c r="FD190" s="82"/>
      <c r="FE190" s="82"/>
      <c r="FF190" s="82"/>
      <c r="FG190" s="82"/>
      <c r="FH190" s="82"/>
      <c r="FI190" s="82"/>
      <c r="FJ190" s="82"/>
      <c r="FK190" s="82"/>
      <c r="FL190" s="82"/>
      <c r="FM190" s="82"/>
      <c r="FN190" s="82"/>
      <c r="FO190" s="82"/>
      <c r="FP190" s="82"/>
      <c r="FQ190" s="82"/>
      <c r="FR190" s="82"/>
      <c r="FS190" s="82"/>
      <c r="FT190" s="82"/>
      <c r="FU190" s="82"/>
      <c r="FV190" s="82"/>
      <c r="FW190" s="82"/>
      <c r="FX190" s="82"/>
      <c r="FY190" s="82"/>
      <c r="FZ190" s="82"/>
      <c r="GA190" s="82"/>
      <c r="GB190" s="82"/>
      <c r="GC190" s="82"/>
      <c r="GD190" s="82"/>
      <c r="GE190" s="82"/>
      <c r="GF190" s="82"/>
      <c r="GG190" s="82"/>
      <c r="GH190" s="82"/>
      <c r="GI190" s="82"/>
      <c r="GJ190" s="82"/>
      <c r="GK190" s="82"/>
      <c r="GL190" s="82"/>
      <c r="GM190" s="82"/>
      <c r="GN190" s="82"/>
      <c r="GO190" s="82"/>
      <c r="GP190" s="82"/>
      <c r="GQ190" s="82"/>
      <c r="GR190" s="82"/>
      <c r="GS190" s="82"/>
      <c r="GT190" s="82"/>
      <c r="GU190" s="82"/>
      <c r="GV190" s="82"/>
      <c r="GW190" s="82"/>
      <c r="GX190" s="82"/>
      <c r="GY190" s="82"/>
      <c r="GZ190" s="82"/>
      <c r="HA190" s="82"/>
      <c r="HB190" s="82"/>
      <c r="HC190" s="82"/>
      <c r="HD190" s="82"/>
      <c r="HE190" s="82"/>
      <c r="HF190" s="82"/>
      <c r="HG190" s="82"/>
      <c r="HH190" s="82"/>
      <c r="HI190" s="82"/>
      <c r="HJ190" s="82"/>
      <c r="HK190" s="82"/>
      <c r="HL190" s="82"/>
      <c r="HM190" s="82"/>
      <c r="HN190" s="82"/>
      <c r="HO190" s="82"/>
      <c r="HP190" s="82"/>
      <c r="HQ190" s="82"/>
      <c r="HR190" s="82"/>
      <c r="HS190" s="82"/>
      <c r="HT190" s="82"/>
      <c r="HU190" s="82"/>
      <c r="HV190" s="82"/>
      <c r="HW190" s="82"/>
      <c r="HX190" s="82"/>
      <c r="HY190" s="82"/>
      <c r="HZ190" s="82"/>
      <c r="IA190" s="82"/>
      <c r="IB190" s="82"/>
      <c r="IC190" s="82"/>
      <c r="ID190" s="82"/>
      <c r="IE190" s="82"/>
      <c r="IF190" s="82"/>
      <c r="IG190" s="82"/>
      <c r="IH190" s="82"/>
      <c r="II190" s="82"/>
      <c r="IJ190" s="82"/>
      <c r="IK190" s="82"/>
      <c r="IL190" s="82"/>
      <c r="IM190" s="82"/>
      <c r="IN190" s="82"/>
      <c r="IO190" s="82"/>
      <c r="IP190" s="82"/>
      <c r="IQ190" s="82"/>
      <c r="IR190" s="82"/>
      <c r="IS190" s="82"/>
      <c r="IT190" s="82"/>
      <c r="IU190" s="82"/>
      <c r="IV190" s="82"/>
      <c r="IW190" s="82"/>
      <c r="IX190" s="82"/>
      <c r="IY190" s="82"/>
      <c r="IZ190" s="82"/>
      <c r="JA190" s="82"/>
      <c r="JB190" s="82"/>
      <c r="JC190" s="82"/>
      <c r="JD190" s="82"/>
      <c r="JE190" s="82"/>
      <c r="JF190" s="82"/>
      <c r="JG190" s="82"/>
      <c r="JH190" s="82"/>
      <c r="JI190" s="82"/>
      <c r="JJ190" s="82"/>
      <c r="JK190" s="82"/>
      <c r="JL190" s="82"/>
      <c r="JM190" s="82"/>
      <c r="JN190" s="82"/>
      <c r="JO190" s="82"/>
      <c r="JP190" s="82"/>
      <c r="JQ190" s="82"/>
      <c r="JR190" s="82"/>
      <c r="JS190" s="82"/>
      <c r="JT190" s="82"/>
      <c r="JU190" s="82"/>
      <c r="JV190" s="82"/>
      <c r="JW190" s="82"/>
      <c r="JX190" s="82"/>
      <c r="JZ190" s="263"/>
      <c r="KA190" s="263"/>
      <c r="KB190" s="263"/>
      <c r="KC190" s="263"/>
      <c r="KD190" s="263"/>
      <c r="KE190" s="263"/>
      <c r="KF190" s="263"/>
      <c r="KG190" s="263"/>
      <c r="KH190" s="263"/>
      <c r="KI190" s="263"/>
      <c r="KJ190" s="263"/>
      <c r="KK190" s="263"/>
      <c r="KL190" s="263"/>
      <c r="KM190" s="263"/>
      <c r="KN190" s="263"/>
      <c r="KO190" s="263"/>
      <c r="KP190" s="263"/>
      <c r="KQ190" s="263"/>
      <c r="KR190" s="263"/>
      <c r="KS190" s="263"/>
      <c r="KT190" s="263"/>
      <c r="KU190" s="263"/>
      <c r="KV190" s="263"/>
      <c r="KW190" s="263"/>
      <c r="KX190" s="263"/>
      <c r="KY190" s="263"/>
      <c r="KZ190" s="263"/>
      <c r="LA190" s="263"/>
      <c r="LB190" s="263"/>
      <c r="LC190" s="263"/>
      <c r="LD190" s="263"/>
      <c r="LE190" s="263"/>
      <c r="LF190" s="263"/>
      <c r="LG190" s="263"/>
      <c r="LH190" s="263"/>
      <c r="LI190" s="263"/>
      <c r="LJ190" s="263"/>
      <c r="LK190" s="263"/>
      <c r="LL190" s="263"/>
      <c r="LM190" s="263"/>
      <c r="LN190" s="263"/>
      <c r="LO190" s="263"/>
      <c r="LP190" s="263"/>
      <c r="LQ190" s="263"/>
      <c r="LR190" s="263"/>
      <c r="LS190" s="263"/>
      <c r="LT190" s="263"/>
      <c r="LU190" s="263"/>
      <c r="LV190" s="263"/>
      <c r="LW190" s="263"/>
      <c r="LX190" s="263"/>
      <c r="LY190" s="263"/>
      <c r="LZ190" s="263"/>
      <c r="MA190" s="263"/>
      <c r="MB190" s="263"/>
      <c r="MC190" s="263"/>
      <c r="MD190" s="263"/>
      <c r="ME190" s="263"/>
      <c r="MF190" s="263"/>
      <c r="MG190" s="263"/>
      <c r="MH190" s="263"/>
      <c r="MI190" s="263"/>
      <c r="MJ190" s="263"/>
      <c r="MK190" s="263"/>
      <c r="ML190" s="263"/>
      <c r="MM190" s="263"/>
      <c r="MN190" s="263"/>
      <c r="MO190" s="263"/>
      <c r="MP190" s="263"/>
      <c r="MQ190" s="263"/>
      <c r="MR190" s="263"/>
      <c r="MS190" s="263"/>
      <c r="MT190" s="263"/>
      <c r="MU190" s="263"/>
      <c r="MV190" s="263"/>
      <c r="MW190" s="263"/>
      <c r="MX190" s="263"/>
      <c r="MY190" s="263"/>
      <c r="MZ190" s="263"/>
      <c r="NA190" s="263"/>
      <c r="NB190" s="263"/>
      <c r="NC190" s="263"/>
      <c r="ND190" s="263"/>
      <c r="NE190" s="263"/>
      <c r="NF190" s="263"/>
      <c r="NG190" s="263"/>
      <c r="NH190" s="263"/>
      <c r="NI190" s="263"/>
      <c r="NJ190" s="263"/>
      <c r="NK190" s="263"/>
      <c r="NL190" s="263"/>
      <c r="NM190" s="263"/>
      <c r="NN190" s="263"/>
      <c r="NO190" s="263"/>
      <c r="NP190" s="263"/>
      <c r="NQ190" s="263"/>
      <c r="NR190" s="263"/>
      <c r="NS190" s="263"/>
      <c r="NT190" s="263"/>
      <c r="NU190" s="263"/>
      <c r="NV190" s="263"/>
      <c r="NW190" s="263"/>
      <c r="NX190" s="263"/>
      <c r="NY190" s="263"/>
      <c r="NZ190" s="263"/>
      <c r="OA190" s="263"/>
      <c r="OB190" s="263"/>
      <c r="OC190" s="263"/>
      <c r="OD190" s="263"/>
      <c r="OE190" s="263"/>
      <c r="OF190" s="263"/>
      <c r="OG190" s="263"/>
      <c r="OH190" s="263"/>
      <c r="OI190" s="263"/>
      <c r="OJ190" s="263"/>
      <c r="OK190" s="263"/>
      <c r="OL190" s="263"/>
      <c r="OM190" s="263"/>
      <c r="ON190" s="263"/>
      <c r="OO190" s="263"/>
      <c r="OP190" s="263"/>
      <c r="OQ190" s="263"/>
      <c r="OR190" s="263"/>
      <c r="OS190" s="263"/>
      <c r="OT190" s="263"/>
      <c r="OU190" s="263"/>
      <c r="OV190" s="263"/>
      <c r="OW190" s="263"/>
      <c r="OX190" s="263"/>
      <c r="OY190" s="263"/>
      <c r="OZ190" s="263"/>
      <c r="PA190" s="263"/>
      <c r="PB190" s="263"/>
      <c r="PC190" s="263"/>
      <c r="PD190" s="263"/>
      <c r="PE190" s="263"/>
      <c r="PF190" s="263"/>
      <c r="PG190" s="263"/>
      <c r="PH190" s="263"/>
    </row>
    <row r="191">
      <c r="B191" s="448" t="str">
        <f>Summary!B28</f>
        <v>Construction Loan Payoff</v>
      </c>
      <c r="C191" s="404"/>
      <c r="D191" s="524" t="n">
        <f>+E191/Units</f>
        <v>-2720.1169714099756</v>
      </c>
      <c r="E191" s="478" t="n">
        <f>Summary!G28</f>
        <v>-213018833.90950716</v>
      </c>
      <c r="F191" s="527" t="n">
        <f>Project_Cost_Total</f>
        <v>418758551.28460014</v>
      </c>
      <c r="G191" s="458" t="s">
        <v>356</v>
      </c>
      <c r="H191" s="495" t="n">
        <f>H190/H189</f>
        <v>679647027.9122068</v>
      </c>
      <c r="I191" s="495" t="n">
        <f>I190/I189</f>
        <v>1057188748.3960634</v>
      </c>
      <c r="J191" s="399"/>
      <c r="K191" s="400"/>
      <c r="L191" s="400"/>
      <c r="M191" s="400"/>
      <c r="N191" s="400"/>
      <c r="O191" s="400"/>
      <c r="P191" s="400"/>
      <c r="Q191" s="400"/>
      <c r="R191" s="400"/>
      <c r="S191" s="400"/>
      <c r="T191" s="400"/>
      <c r="U191" s="400"/>
      <c r="V191" s="400"/>
      <c r="W191" s="400"/>
      <c r="X191" s="400"/>
      <c r="Y191" s="400"/>
      <c r="Z191" s="400"/>
      <c r="AA191" s="400"/>
      <c r="AB191" s="400"/>
      <c r="AC191" s="400"/>
      <c r="AD191" s="400"/>
      <c r="AE191" s="400"/>
      <c r="AF191" s="400"/>
      <c r="AG191" s="400"/>
      <c r="AH191" s="400"/>
      <c r="AI191" s="400"/>
      <c r="AJ191" s="400"/>
      <c r="AK191" s="400"/>
      <c r="AL191" s="400"/>
      <c r="AM191" s="400"/>
      <c r="AN191" s="400"/>
      <c r="AO191" s="400"/>
      <c r="AP191" s="400"/>
      <c r="AQ191" s="400"/>
      <c r="AR191" s="400"/>
      <c r="AS191" s="400"/>
      <c r="AT191" s="400"/>
      <c r="AU191" s="400"/>
      <c r="AV191" s="400"/>
      <c r="AW191" s="400"/>
      <c r="AX191" s="400"/>
      <c r="AY191" s="400"/>
      <c r="AZ191" s="400"/>
      <c r="BA191" s="400"/>
      <c r="BB191" s="400"/>
      <c r="BC191" s="400"/>
      <c r="BD191" s="400"/>
      <c r="BE191" s="400"/>
      <c r="BF191" s="400"/>
      <c r="BG191" s="400"/>
      <c r="BH191" s="400"/>
      <c r="BI191" s="400"/>
      <c r="BJ191" s="400"/>
      <c r="BK191" s="400"/>
      <c r="BL191" s="400"/>
      <c r="BM191" s="400"/>
      <c r="BN191" s="400"/>
      <c r="BO191" s="400"/>
      <c r="BP191" s="400"/>
      <c r="BQ191" s="400"/>
      <c r="BR191" s="400"/>
      <c r="BS191" s="400"/>
      <c r="BT191" s="400"/>
      <c r="BU191" s="400"/>
      <c r="BV191" s="400"/>
      <c r="BW191" s="400"/>
      <c r="BX191" s="400"/>
      <c r="BY191" s="400"/>
      <c r="BZ191" s="400"/>
      <c r="CA191" s="400"/>
      <c r="CB191" s="400"/>
      <c r="CC191" s="400"/>
      <c r="CD191" s="400"/>
      <c r="CE191" s="400"/>
      <c r="CF191" s="400"/>
      <c r="CG191" s="400"/>
      <c r="CH191" s="400"/>
      <c r="CI191" s="400"/>
      <c r="CJ191" s="400"/>
      <c r="CK191" s="400"/>
      <c r="CL191" s="400"/>
      <c r="CM191" s="400"/>
      <c r="CN191" s="400"/>
      <c r="CO191" s="400"/>
      <c r="CP191" s="400"/>
      <c r="CQ191" s="400"/>
      <c r="CR191" s="400"/>
      <c r="CS191" s="400"/>
      <c r="CT191" s="400"/>
      <c r="CU191" s="400"/>
      <c r="CV191" s="400"/>
      <c r="CW191" s="400"/>
      <c r="CX191" s="400"/>
      <c r="CY191" s="400"/>
      <c r="CZ191" s="400"/>
      <c r="DA191" s="400"/>
      <c r="DB191" s="400"/>
      <c r="DC191" s="400"/>
      <c r="DD191" s="400"/>
      <c r="DE191" s="400"/>
      <c r="DF191" s="400"/>
      <c r="DG191" s="400"/>
      <c r="DH191" s="400"/>
      <c r="DI191" s="400"/>
      <c r="DJ191" s="400"/>
      <c r="DK191" s="400"/>
      <c r="DL191" s="400"/>
      <c r="DM191" s="400"/>
      <c r="DN191" s="400"/>
      <c r="DO191" s="400"/>
      <c r="DP191" s="400"/>
      <c r="DQ191" s="400"/>
      <c r="DR191" s="400"/>
      <c r="DS191" s="400"/>
      <c r="DT191" s="400"/>
      <c r="DU191" s="400"/>
      <c r="DV191" s="400"/>
      <c r="DW191" s="400"/>
      <c r="DX191" s="400"/>
      <c r="DY191" s="400"/>
      <c r="DZ191" s="400"/>
      <c r="EA191" s="400"/>
      <c r="EB191" s="400"/>
      <c r="EC191" s="400"/>
      <c r="ED191" s="400"/>
      <c r="EE191" s="400"/>
      <c r="EF191" s="400"/>
      <c r="EG191" s="400"/>
      <c r="EH191" s="400"/>
      <c r="EI191" s="400"/>
      <c r="EJ191" s="400"/>
      <c r="EK191" s="400"/>
      <c r="EL191" s="400"/>
      <c r="EM191" s="400"/>
      <c r="EN191" s="400"/>
      <c r="EO191" s="400"/>
      <c r="EP191" s="220"/>
      <c r="EQ191" s="18"/>
      <c r="ER191" s="18"/>
      <c r="ES191" s="18"/>
      <c r="ET191" s="18"/>
      <c r="EU191" s="18"/>
      <c r="EV191" s="18"/>
      <c r="EW191" s="18"/>
      <c r="EX191" s="18"/>
      <c r="EY191" s="18"/>
      <c r="EZ191" s="18"/>
      <c r="FA191" s="18"/>
      <c r="FB191" s="18"/>
      <c r="FC191" s="18"/>
      <c r="FD191" s="18"/>
      <c r="FE191" s="18"/>
      <c r="FF191" s="18"/>
      <c r="FG191" s="18"/>
      <c r="FH191" s="18"/>
      <c r="FI191" s="18"/>
      <c r="FJ191" s="18"/>
      <c r="FK191" s="18"/>
      <c r="FL191" s="18"/>
      <c r="FM191" s="18"/>
      <c r="FN191" s="18"/>
      <c r="FO191" s="18"/>
      <c r="FP191" s="18"/>
      <c r="FQ191" s="18"/>
      <c r="FR191" s="18"/>
      <c r="FS191" s="18"/>
      <c r="FT191" s="18"/>
      <c r="FU191" s="18"/>
      <c r="FV191" s="18"/>
      <c r="FW191" s="18"/>
      <c r="FX191" s="18"/>
      <c r="FY191" s="18"/>
      <c r="FZ191" s="18"/>
      <c r="GA191" s="18"/>
      <c r="GB191" s="18"/>
      <c r="GC191" s="18"/>
      <c r="GD191" s="18"/>
      <c r="GE191" s="18"/>
      <c r="GF191" s="18"/>
      <c r="GG191" s="18"/>
      <c r="GH191" s="18"/>
      <c r="GI191" s="18"/>
      <c r="GJ191" s="18"/>
      <c r="GK191" s="18"/>
      <c r="GL191" s="18"/>
      <c r="GM191" s="18"/>
      <c r="GN191" s="18"/>
      <c r="GO191" s="18"/>
      <c r="GP191" s="18"/>
      <c r="GQ191" s="18"/>
      <c r="GR191" s="18"/>
      <c r="GS191" s="18"/>
      <c r="GT191" s="18"/>
      <c r="GU191" s="18"/>
      <c r="GV191" s="18"/>
      <c r="GW191" s="18"/>
      <c r="GX191" s="18"/>
      <c r="GY191" s="18"/>
      <c r="GZ191" s="18"/>
      <c r="HA191" s="18"/>
      <c r="HB191" s="18"/>
      <c r="HC191" s="18"/>
      <c r="HD191" s="18"/>
      <c r="HE191" s="18"/>
      <c r="HF191" s="18"/>
      <c r="HG191" s="18"/>
      <c r="HH191" s="18"/>
      <c r="HI191" s="18"/>
      <c r="HJ191" s="18"/>
      <c r="HK191" s="18"/>
      <c r="HL191" s="18"/>
      <c r="HM191" s="18"/>
      <c r="HN191" s="18"/>
      <c r="HO191" s="18"/>
      <c r="HP191" s="18"/>
      <c r="HQ191" s="18"/>
      <c r="HR191" s="18"/>
      <c r="HS191" s="18"/>
      <c r="HT191" s="18"/>
      <c r="HU191" s="18"/>
      <c r="HV191" s="18"/>
      <c r="HW191" s="18"/>
      <c r="HX191" s="18"/>
      <c r="HY191" s="18"/>
      <c r="HZ191" s="18"/>
      <c r="IA191" s="18"/>
      <c r="IB191" s="18"/>
      <c r="IC191" s="18"/>
      <c r="ID191" s="18"/>
      <c r="IE191" s="18"/>
      <c r="IF191" s="18"/>
      <c r="IG191" s="18"/>
      <c r="IH191" s="18"/>
      <c r="II191" s="18"/>
      <c r="IJ191" s="18"/>
      <c r="IK191" s="18"/>
      <c r="IL191" s="18"/>
      <c r="IM191" s="18"/>
      <c r="IN191" s="18"/>
      <c r="IO191" s="18"/>
      <c r="IP191" s="18"/>
      <c r="IQ191" s="18"/>
      <c r="IR191" s="18"/>
      <c r="IS191" s="18"/>
      <c r="IT191" s="18"/>
      <c r="IU191" s="18"/>
      <c r="IV191" s="18"/>
      <c r="IW191" s="18"/>
      <c r="IX191" s="18"/>
      <c r="IY191" s="18"/>
      <c r="IZ191" s="18"/>
      <c r="JA191" s="18"/>
      <c r="JB191" s="18"/>
      <c r="JC191" s="18"/>
      <c r="JD191" s="18"/>
      <c r="JE191" s="18"/>
      <c r="JF191" s="18"/>
      <c r="JG191" s="18"/>
      <c r="JH191" s="18"/>
      <c r="JI191" s="18"/>
      <c r="JJ191" s="18"/>
      <c r="JK191" s="18"/>
      <c r="JL191" s="18"/>
      <c r="JM191" s="18"/>
      <c r="JN191" s="18"/>
      <c r="JO191" s="18"/>
      <c r="JP191" s="18"/>
      <c r="JQ191" s="18"/>
      <c r="JR191" s="18"/>
      <c r="JS191" s="18"/>
      <c r="JT191" s="18"/>
      <c r="JU191" s="18"/>
      <c r="JV191" s="18"/>
      <c r="JW191" s="18"/>
      <c r="JX191" s="18"/>
      <c r="JZ191" s="263"/>
      <c r="KA191" s="263"/>
      <c r="KB191" s="263"/>
      <c r="KC191" s="263"/>
      <c r="KD191" s="263"/>
      <c r="KE191" s="263"/>
      <c r="KF191" s="263"/>
      <c r="KG191" s="263"/>
      <c r="KH191" s="263"/>
      <c r="KI191" s="263"/>
      <c r="KJ191" s="263"/>
      <c r="KK191" s="263"/>
      <c r="KL191" s="263"/>
      <c r="KM191" s="263"/>
      <c r="KN191" s="263"/>
      <c r="KO191" s="263"/>
      <c r="KP191" s="263"/>
      <c r="KQ191" s="263"/>
      <c r="KR191" s="263"/>
      <c r="KS191" s="263"/>
      <c r="KT191" s="263"/>
      <c r="KU191" s="263"/>
      <c r="KV191" s="263"/>
      <c r="KW191" s="263"/>
      <c r="KX191" s="263"/>
      <c r="KY191" s="263"/>
      <c r="KZ191" s="263"/>
      <c r="LA191" s="263"/>
      <c r="LB191" s="263"/>
      <c r="LC191" s="263"/>
      <c r="LD191" s="263"/>
      <c r="LE191" s="263"/>
      <c r="LF191" s="263"/>
      <c r="LG191" s="263"/>
      <c r="LH191" s="263"/>
      <c r="LI191" s="263"/>
      <c r="LJ191" s="263"/>
      <c r="LK191" s="263"/>
      <c r="LL191" s="263"/>
      <c r="LM191" s="263"/>
      <c r="LN191" s="263"/>
      <c r="LO191" s="263"/>
      <c r="LP191" s="263"/>
      <c r="LQ191" s="263"/>
      <c r="LR191" s="263"/>
      <c r="LS191" s="263"/>
      <c r="LT191" s="263"/>
      <c r="LU191" s="263"/>
      <c r="LV191" s="263"/>
      <c r="LW191" s="263"/>
      <c r="LX191" s="263"/>
      <c r="LY191" s="263"/>
      <c r="LZ191" s="263"/>
      <c r="MA191" s="263"/>
      <c r="MB191" s="263"/>
      <c r="MC191" s="263"/>
      <c r="MD191" s="263"/>
      <c r="ME191" s="263"/>
      <c r="MF191" s="263"/>
      <c r="MG191" s="263"/>
      <c r="MH191" s="263"/>
      <c r="MI191" s="263"/>
      <c r="MJ191" s="263"/>
      <c r="MK191" s="263"/>
      <c r="ML191" s="263"/>
      <c r="MM191" s="263"/>
      <c r="MN191" s="263"/>
      <c r="MO191" s="263"/>
      <c r="MP191" s="263"/>
      <c r="MQ191" s="263"/>
      <c r="MR191" s="263"/>
      <c r="MS191" s="263"/>
      <c r="MT191" s="263"/>
      <c r="MU191" s="263"/>
      <c r="MV191" s="263"/>
      <c r="MW191" s="263"/>
      <c r="MX191" s="263"/>
      <c r="MY191" s="263"/>
      <c r="MZ191" s="263"/>
      <c r="NA191" s="263"/>
      <c r="NB191" s="263"/>
      <c r="NC191" s="263"/>
      <c r="ND191" s="263"/>
      <c r="NE191" s="263"/>
      <c r="NF191" s="263"/>
      <c r="NG191" s="263"/>
      <c r="NH191" s="263"/>
      <c r="NI191" s="263"/>
      <c r="NJ191" s="263"/>
      <c r="NK191" s="263"/>
      <c r="NL191" s="263"/>
      <c r="NM191" s="263"/>
      <c r="NN191" s="263"/>
      <c r="NO191" s="263"/>
      <c r="NP191" s="263"/>
      <c r="NQ191" s="263"/>
      <c r="NR191" s="263"/>
      <c r="NS191" s="263"/>
      <c r="NT191" s="263"/>
      <c r="NU191" s="263"/>
      <c r="NV191" s="263"/>
      <c r="NW191" s="263"/>
      <c r="NX191" s="263"/>
      <c r="NY191" s="263"/>
      <c r="NZ191" s="263"/>
      <c r="OA191" s="263"/>
      <c r="OB191" s="263"/>
      <c r="OC191" s="263"/>
      <c r="OD191" s="263"/>
      <c r="OE191" s="263"/>
      <c r="OF191" s="263"/>
      <c r="OG191" s="263"/>
      <c r="OH191" s="263"/>
      <c r="OI191" s="263"/>
      <c r="OJ191" s="263"/>
      <c r="OK191" s="263"/>
      <c r="OL191" s="263"/>
      <c r="OM191" s="263"/>
      <c r="ON191" s="263"/>
      <c r="OO191" s="263"/>
      <c r="OP191" s="263"/>
      <c r="OQ191" s="263"/>
      <c r="OR191" s="263"/>
      <c r="OS191" s="263"/>
      <c r="OT191" s="263"/>
      <c r="OU191" s="263"/>
      <c r="OV191" s="263"/>
      <c r="OW191" s="263"/>
      <c r="OX191" s="263"/>
      <c r="OY191" s="263"/>
      <c r="OZ191" s="263"/>
      <c r="PA191" s="263"/>
      <c r="PB191" s="263"/>
      <c r="PC191" s="263"/>
      <c r="PD191" s="263"/>
      <c r="PE191" s="263"/>
      <c r="PF191" s="263"/>
      <c r="PG191" s="263"/>
      <c r="PH191" s="263"/>
    </row>
    <row r="192" s="24" customFormat="1">
      <c r="A192" s="441"/>
      <c r="B192" s="62" t="s">
        <v>76</v>
      </c>
      <c r="C192" s="458"/>
      <c r="D192" s="459" t="n">
        <f>SUM(D190:D191)</f>
        <v>10509.52786160547</v>
      </c>
      <c r="E192" s="495" t="n">
        <f>SUM(E190:E191)</f>
        <v>823026139.518635</v>
      </c>
      <c r="F192" s="525"/>
      <c r="G192" s="404" t="str">
        <f>"/"&amp;Unit_Type</f>
        <v>/M2</v>
      </c>
      <c r="H192" s="419" t="n">
        <f>+Valuation_Trended/Units</f>
        <v>8678.666488136445</v>
      </c>
      <c r="I192" s="419" t="n">
        <f>+Valuation_Reversion/Units</f>
        <v>13499.637584709639</v>
      </c>
      <c r="J192" s="528"/>
      <c r="K192" s="529"/>
      <c r="L192" s="529"/>
      <c r="M192" s="529"/>
      <c r="N192" s="529"/>
      <c r="O192" s="529"/>
      <c r="P192" s="529"/>
      <c r="Q192" s="529"/>
      <c r="R192" s="529"/>
      <c r="S192" s="529"/>
      <c r="T192" s="529"/>
      <c r="U192" s="529"/>
      <c r="V192" s="529"/>
      <c r="W192" s="529"/>
      <c r="X192" s="529"/>
      <c r="Y192" s="529"/>
      <c r="Z192" s="529"/>
      <c r="AA192" s="529"/>
      <c r="AB192" s="529"/>
      <c r="AC192" s="529"/>
      <c r="AD192" s="529"/>
      <c r="AE192" s="529"/>
      <c r="AF192" s="529"/>
      <c r="AG192" s="529"/>
      <c r="AH192" s="529"/>
      <c r="AI192" s="529"/>
      <c r="AJ192" s="529"/>
      <c r="AK192" s="529"/>
      <c r="AL192" s="529"/>
      <c r="AM192" s="529"/>
      <c r="AN192" s="529"/>
      <c r="AO192" s="529"/>
      <c r="AP192" s="529"/>
      <c r="AQ192" s="529"/>
      <c r="AR192" s="529"/>
      <c r="AS192" s="529"/>
      <c r="AT192" s="529"/>
      <c r="AU192" s="529"/>
      <c r="AV192" s="529"/>
      <c r="AW192" s="529"/>
      <c r="AX192" s="529"/>
      <c r="AY192" s="529"/>
      <c r="AZ192" s="529"/>
      <c r="BA192" s="529"/>
      <c r="BB192" s="529"/>
      <c r="BC192" s="529"/>
      <c r="BD192" s="529"/>
      <c r="BE192" s="529"/>
      <c r="BF192" s="529"/>
      <c r="BG192" s="529"/>
      <c r="BH192" s="529"/>
      <c r="BI192" s="529"/>
      <c r="BJ192" s="529"/>
      <c r="BK192" s="529"/>
      <c r="BL192" s="529"/>
      <c r="BM192" s="529"/>
      <c r="BN192" s="529"/>
      <c r="BO192" s="529"/>
      <c r="BP192" s="529"/>
      <c r="BQ192" s="529"/>
      <c r="BR192" s="529"/>
      <c r="BS192" s="529"/>
      <c r="BT192" s="529"/>
      <c r="BU192" s="529"/>
      <c r="BV192" s="529"/>
      <c r="BW192" s="529"/>
      <c r="BX192" s="529"/>
      <c r="BY192" s="529"/>
      <c r="BZ192" s="529"/>
      <c r="CA192" s="529"/>
      <c r="CB192" s="529"/>
      <c r="CC192" s="529"/>
      <c r="CD192" s="529"/>
      <c r="CE192" s="529"/>
      <c r="CF192" s="529"/>
      <c r="CG192" s="529"/>
      <c r="CH192" s="529"/>
      <c r="CI192" s="529"/>
      <c r="CJ192" s="529"/>
      <c r="CK192" s="529"/>
      <c r="CL192" s="529"/>
      <c r="CM192" s="529"/>
      <c r="CN192" s="529"/>
      <c r="CO192" s="529"/>
      <c r="CP192" s="529"/>
      <c r="CQ192" s="529"/>
      <c r="CR192" s="529"/>
      <c r="CS192" s="529"/>
      <c r="CT192" s="529"/>
      <c r="CU192" s="529"/>
      <c r="CV192" s="529"/>
      <c r="CW192" s="529"/>
      <c r="CX192" s="529"/>
      <c r="CY192" s="529"/>
      <c r="CZ192" s="529"/>
      <c r="DA192" s="529"/>
      <c r="DB192" s="529"/>
      <c r="DC192" s="529"/>
      <c r="DD192" s="529"/>
      <c r="DE192" s="529"/>
      <c r="DF192" s="529"/>
      <c r="DG192" s="529"/>
      <c r="DH192" s="529"/>
      <c r="DI192" s="529"/>
      <c r="DJ192" s="529"/>
      <c r="DK192" s="529"/>
      <c r="DL192" s="529"/>
      <c r="DM192" s="529"/>
      <c r="DN192" s="529"/>
      <c r="DO192" s="529"/>
      <c r="DP192" s="529"/>
      <c r="DQ192" s="529"/>
      <c r="DR192" s="529"/>
      <c r="DS192" s="529"/>
      <c r="DT192" s="529"/>
      <c r="DU192" s="529"/>
      <c r="DV192" s="529"/>
      <c r="DW192" s="529"/>
      <c r="DX192" s="529"/>
      <c r="DY192" s="529"/>
      <c r="DZ192" s="529"/>
      <c r="EA192" s="529"/>
      <c r="EB192" s="529"/>
      <c r="EC192" s="529"/>
      <c r="ED192" s="529"/>
      <c r="EE192" s="529"/>
      <c r="EF192" s="529"/>
      <c r="EG192" s="529"/>
      <c r="EH192" s="529"/>
      <c r="EI192" s="529"/>
      <c r="EJ192" s="529"/>
      <c r="EK192" s="529"/>
      <c r="EL192" s="529"/>
      <c r="EM192" s="529"/>
      <c r="EN192" s="529"/>
      <c r="EO192" s="529"/>
      <c r="EP192" s="409"/>
      <c r="EQ192" s="530"/>
      <c r="ER192" s="530"/>
      <c r="ES192" s="530"/>
      <c r="ET192" s="530"/>
      <c r="EU192" s="18"/>
      <c r="EV192" s="530"/>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FR192" s="530"/>
      <c r="FS192" s="530"/>
      <c r="FT192" s="530"/>
      <c r="FU192" s="530"/>
      <c r="FV192" s="530"/>
      <c r="FW192" s="530"/>
      <c r="FX192" s="530"/>
      <c r="FY192" s="530"/>
      <c r="FZ192" s="530"/>
      <c r="GA192" s="530"/>
      <c r="GB192" s="530"/>
      <c r="GC192" s="530"/>
      <c r="GD192" s="530"/>
      <c r="GE192" s="530"/>
      <c r="GF192" s="530"/>
      <c r="GG192" s="530"/>
      <c r="GH192" s="530"/>
      <c r="GI192" s="530"/>
      <c r="GJ192" s="530"/>
      <c r="GK192" s="530"/>
      <c r="GL192" s="530"/>
      <c r="GM192" s="530"/>
      <c r="GN192" s="530"/>
      <c r="GO192" s="530"/>
      <c r="GP192" s="530"/>
      <c r="GQ192" s="530"/>
      <c r="GR192" s="530"/>
      <c r="GS192" s="530"/>
      <c r="GT192" s="530"/>
      <c r="GU192" s="530"/>
      <c r="GV192" s="530"/>
      <c r="GW192" s="530"/>
      <c r="GX192" s="530"/>
      <c r="GY192" s="530"/>
      <c r="GZ192" s="530"/>
      <c r="HA192" s="530"/>
      <c r="HB192" s="530"/>
      <c r="HC192" s="530"/>
      <c r="HD192" s="530"/>
      <c r="HE192" s="530"/>
      <c r="HF192" s="530"/>
      <c r="HG192" s="530"/>
      <c r="HH192" s="530"/>
      <c r="HI192" s="530"/>
      <c r="HJ192" s="530"/>
      <c r="HK192" s="530"/>
      <c r="HL192" s="530"/>
      <c r="HM192" s="530"/>
      <c r="HN192" s="530"/>
      <c r="HO192" s="530"/>
      <c r="HP192" s="530"/>
      <c r="HQ192" s="530"/>
      <c r="HR192" s="530"/>
      <c r="HS192" s="530"/>
      <c r="HT192" s="530"/>
      <c r="HU192" s="530"/>
      <c r="HV192" s="530"/>
      <c r="HW192" s="530"/>
      <c r="HX192" s="530"/>
      <c r="HY192" s="530"/>
      <c r="HZ192" s="530"/>
      <c r="IA192" s="530"/>
      <c r="IB192" s="530"/>
      <c r="IC192" s="530"/>
      <c r="ID192" s="530"/>
      <c r="IE192" s="530"/>
      <c r="IF192" s="530"/>
      <c r="IG192" s="530"/>
      <c r="IH192" s="530"/>
      <c r="II192" s="530"/>
      <c r="IJ192" s="530"/>
      <c r="IK192" s="530"/>
      <c r="IL192" s="530"/>
      <c r="IM192" s="530"/>
      <c r="IN192" s="530"/>
      <c r="IO192" s="530"/>
      <c r="IP192" s="530"/>
      <c r="IQ192" s="530"/>
      <c r="IR192" s="530"/>
      <c r="IS192" s="530"/>
      <c r="IT192" s="530"/>
      <c r="IU192" s="530"/>
      <c r="IV192" s="530"/>
      <c r="IW192" s="530"/>
      <c r="IX192" s="530"/>
      <c r="IY192" s="530"/>
      <c r="IZ192" s="530"/>
      <c r="JA192" s="530"/>
      <c r="JB192" s="530"/>
      <c r="JC192" s="530"/>
      <c r="JD192" s="530"/>
      <c r="JE192" s="530"/>
      <c r="JF192" s="530"/>
      <c r="JG192" s="530"/>
      <c r="JH192" s="530"/>
      <c r="JI192" s="530"/>
      <c r="JJ192" s="530"/>
      <c r="JK192" s="530"/>
      <c r="JL192" s="530"/>
      <c r="JM192" s="530"/>
      <c r="JN192" s="530"/>
      <c r="JO192" s="530"/>
      <c r="JP192" s="530"/>
      <c r="JQ192" s="530"/>
      <c r="JR192" s="530"/>
      <c r="JS192" s="530"/>
      <c r="JT192" s="530"/>
      <c r="JU192" s="530"/>
      <c r="JV192" s="530"/>
      <c r="JW192" s="530"/>
      <c r="JX192" s="530"/>
      <c r="JZ192" s="446"/>
      <c r="KA192" s="446"/>
      <c r="KB192" s="446"/>
      <c r="KC192" s="446"/>
      <c r="KD192" s="446"/>
      <c r="KE192" s="446"/>
      <c r="KF192" s="446"/>
      <c r="KG192" s="446"/>
      <c r="KH192" s="446"/>
      <c r="KI192" s="446"/>
      <c r="KJ192" s="446"/>
      <c r="KK192" s="446"/>
      <c r="KL192" s="446"/>
      <c r="KM192" s="446"/>
      <c r="KN192" s="446"/>
      <c r="KO192" s="446"/>
      <c r="KP192" s="446"/>
      <c r="KQ192" s="446"/>
      <c r="KR192" s="446"/>
      <c r="KS192" s="446"/>
      <c r="KT192" s="446"/>
      <c r="KU192" s="446"/>
      <c r="KV192" s="446"/>
      <c r="KW192" s="446"/>
      <c r="KX192" s="446"/>
      <c r="KY192" s="446"/>
      <c r="KZ192" s="446"/>
      <c r="LA192" s="446"/>
      <c r="LB192" s="446"/>
      <c r="LC192" s="446"/>
      <c r="LD192" s="446"/>
      <c r="LE192" s="446"/>
      <c r="LF192" s="446"/>
      <c r="LG192" s="446"/>
      <c r="LH192" s="446"/>
      <c r="LI192" s="446"/>
      <c r="LJ192" s="446"/>
      <c r="LK192" s="446"/>
      <c r="LL192" s="446"/>
      <c r="LM192" s="446"/>
      <c r="LN192" s="446"/>
      <c r="LO192" s="446"/>
      <c r="LP192" s="446"/>
      <c r="LQ192" s="446"/>
      <c r="LR192" s="446"/>
      <c r="LS192" s="446"/>
      <c r="LT192" s="446"/>
      <c r="LU192" s="446"/>
      <c r="LV192" s="446"/>
      <c r="LW192" s="446"/>
      <c r="LX192" s="446"/>
      <c r="LY192" s="446"/>
      <c r="LZ192" s="446"/>
      <c r="MA192" s="446"/>
      <c r="MB192" s="446"/>
      <c r="MC192" s="446"/>
      <c r="MD192" s="446"/>
      <c r="ME192" s="446"/>
      <c r="MF192" s="446"/>
      <c r="MG192" s="446"/>
      <c r="MH192" s="446"/>
      <c r="MI192" s="446"/>
      <c r="MJ192" s="446"/>
      <c r="MK192" s="446"/>
      <c r="ML192" s="446"/>
      <c r="MM192" s="446"/>
      <c r="MN192" s="446"/>
      <c r="MO192" s="446"/>
      <c r="MP192" s="446"/>
      <c r="MQ192" s="446"/>
      <c r="MR192" s="446"/>
      <c r="MS192" s="446"/>
      <c r="MT192" s="446"/>
      <c r="MU192" s="446"/>
      <c r="MV192" s="446"/>
      <c r="MW192" s="446"/>
      <c r="MX192" s="446"/>
      <c r="MY192" s="446"/>
      <c r="MZ192" s="446"/>
      <c r="NA192" s="446"/>
      <c r="NB192" s="446"/>
      <c r="NC192" s="446"/>
      <c r="ND192" s="446"/>
      <c r="NE192" s="446"/>
      <c r="NF192" s="446"/>
      <c r="NG192" s="446"/>
      <c r="NH192" s="446"/>
      <c r="NI192" s="446"/>
      <c r="NJ192" s="446"/>
      <c r="NK192" s="446"/>
      <c r="NL192" s="446"/>
      <c r="NM192" s="446"/>
      <c r="NN192" s="446"/>
      <c r="NO192" s="446"/>
      <c r="NP192" s="446"/>
      <c r="NQ192" s="446"/>
      <c r="NR192" s="446"/>
      <c r="NS192" s="446"/>
      <c r="NT192" s="446"/>
      <c r="NU192" s="446"/>
      <c r="NV192" s="446"/>
      <c r="NW192" s="446"/>
      <c r="NX192" s="446"/>
      <c r="NY192" s="446"/>
      <c r="NZ192" s="446"/>
      <c r="OA192" s="446"/>
      <c r="OB192" s="446"/>
      <c r="OC192" s="446"/>
      <c r="OD192" s="446"/>
      <c r="OE192" s="446"/>
      <c r="OF192" s="446"/>
      <c r="OG192" s="446"/>
      <c r="OH192" s="446"/>
      <c r="OI192" s="446"/>
      <c r="OJ192" s="446"/>
      <c r="OK192" s="446"/>
      <c r="OL192" s="446"/>
      <c r="OM192" s="446"/>
      <c r="ON192" s="446"/>
      <c r="OO192" s="446"/>
      <c r="OP192" s="446"/>
      <c r="OQ192" s="446"/>
      <c r="OR192" s="446"/>
      <c r="OS192" s="446"/>
      <c r="OT192" s="446"/>
      <c r="OU192" s="446"/>
      <c r="OV192" s="446"/>
      <c r="OW192" s="446"/>
      <c r="OX192" s="446"/>
      <c r="OY192" s="446"/>
      <c r="OZ192" s="446"/>
      <c r="PA192" s="446"/>
      <c r="PB192" s="446"/>
      <c r="PC192" s="446"/>
      <c r="PD192" s="446"/>
      <c r="PE192" s="446"/>
      <c r="PF192" s="446"/>
      <c r="PG192" s="446"/>
      <c r="PH192" s="446"/>
    </row>
    <row r="193">
      <c r="B193" s="6"/>
      <c r="C193" s="392"/>
      <c r="D193" s="392"/>
      <c r="E193" s="392"/>
      <c r="F193" s="531">
        <v>1</v>
      </c>
      <c r="G193" s="392"/>
      <c r="H193" s="392"/>
      <c r="I193" s="392"/>
      <c r="J193" s="391"/>
      <c r="K193" s="392"/>
      <c r="L193" s="392"/>
      <c r="M193" s="392"/>
      <c r="N193" s="392"/>
      <c r="O193" s="392"/>
      <c r="P193" s="392"/>
      <c r="Q193" s="392"/>
      <c r="R193" s="392"/>
      <c r="S193" s="392"/>
      <c r="T193" s="392"/>
      <c r="U193" s="392"/>
      <c r="V193" s="392"/>
      <c r="W193" s="392"/>
      <c r="X193" s="392"/>
      <c r="Y193" s="392"/>
      <c r="Z193" s="392"/>
      <c r="AA193" s="392"/>
      <c r="AB193" s="392"/>
      <c r="AC193" s="392"/>
      <c r="AD193" s="392"/>
      <c r="AE193" s="392"/>
      <c r="AF193" s="392"/>
      <c r="AG193" s="392"/>
      <c r="AH193" s="392"/>
      <c r="AI193" s="392"/>
      <c r="AJ193" s="392"/>
      <c r="AK193" s="392"/>
      <c r="AL193" s="392"/>
      <c r="AM193" s="392"/>
      <c r="AN193" s="392"/>
      <c r="AO193" s="392"/>
      <c r="AP193" s="392"/>
      <c r="AQ193" s="392"/>
      <c r="AR193" s="392"/>
      <c r="AS193" s="392"/>
      <c r="AT193" s="392"/>
      <c r="AU193" s="392"/>
      <c r="AV193" s="392"/>
      <c r="AW193" s="392"/>
      <c r="AX193" s="392"/>
      <c r="AY193" s="392"/>
      <c r="AZ193" s="392"/>
      <c r="BA193" s="392"/>
      <c r="BB193" s="392"/>
      <c r="BC193" s="392"/>
      <c r="BD193" s="392"/>
      <c r="BE193" s="392"/>
      <c r="BF193" s="392"/>
      <c r="BG193" s="392"/>
      <c r="BH193" s="392"/>
      <c r="BI193" s="392"/>
      <c r="BJ193" s="392"/>
      <c r="BK193" s="392"/>
      <c r="BL193" s="392"/>
      <c r="BM193" s="392"/>
      <c r="BN193" s="392"/>
      <c r="BO193" s="392"/>
      <c r="BP193" s="392"/>
      <c r="BQ193" s="392"/>
      <c r="BR193" s="392"/>
      <c r="BS193" s="392"/>
      <c r="BT193" s="392"/>
      <c r="BU193" s="392"/>
      <c r="BV193" s="392"/>
      <c r="BW193" s="392"/>
      <c r="BX193" s="392"/>
      <c r="BY193" s="392"/>
      <c r="BZ193" s="392"/>
      <c r="CA193" s="392"/>
      <c r="CB193" s="392"/>
      <c r="CC193" s="392"/>
      <c r="CD193" s="392"/>
      <c r="CE193" s="392"/>
      <c r="CF193" s="392"/>
      <c r="CG193" s="392"/>
      <c r="CH193" s="392"/>
      <c r="CI193" s="392"/>
      <c r="CJ193" s="392"/>
      <c r="CK193" s="392"/>
      <c r="CL193" s="392"/>
      <c r="CM193" s="392"/>
      <c r="CN193" s="392"/>
      <c r="CO193" s="392"/>
      <c r="CP193" s="392"/>
      <c r="CQ193" s="392"/>
      <c r="CR193" s="392"/>
      <c r="CS193" s="392"/>
      <c r="CT193" s="392"/>
      <c r="CU193" s="392"/>
      <c r="CV193" s="392"/>
      <c r="CW193" s="392"/>
      <c r="CX193" s="392"/>
      <c r="CY193" s="392"/>
      <c r="CZ193" s="392"/>
      <c r="DA193" s="392"/>
      <c r="DB193" s="392"/>
      <c r="DC193" s="392"/>
      <c r="DD193" s="392"/>
      <c r="DE193" s="392"/>
      <c r="DF193" s="392"/>
      <c r="DG193" s="392"/>
      <c r="DH193" s="392"/>
      <c r="DI193" s="392"/>
      <c r="DJ193" s="392"/>
      <c r="DK193" s="392"/>
      <c r="DL193" s="392"/>
      <c r="DM193" s="392"/>
      <c r="DN193" s="392"/>
      <c r="DO193" s="392"/>
      <c r="DP193" s="392"/>
      <c r="DQ193" s="392"/>
      <c r="DR193" s="392"/>
      <c r="DS193" s="392"/>
      <c r="DT193" s="392"/>
      <c r="DU193" s="392"/>
      <c r="DV193" s="392"/>
      <c r="DW193" s="392"/>
      <c r="DX193" s="392"/>
      <c r="DY193" s="392"/>
      <c r="DZ193" s="392"/>
      <c r="EA193" s="392"/>
      <c r="EB193" s="392"/>
      <c r="EC193" s="392"/>
      <c r="ED193" s="392"/>
      <c r="EE193" s="392"/>
      <c r="EF193" s="392"/>
      <c r="EG193" s="392"/>
      <c r="EH193" s="392"/>
      <c r="EI193" s="392"/>
      <c r="EJ193" s="392"/>
      <c r="EK193" s="392"/>
      <c r="EL193" s="392"/>
      <c r="EM193" s="392"/>
      <c r="EN193" s="392"/>
      <c r="EO193" s="392"/>
      <c r="EP193" s="407"/>
      <c r="EQ193" s="408"/>
      <c r="ER193" s="408"/>
      <c r="ES193" s="408"/>
      <c r="ET193" s="408"/>
      <c r="EU193" s="408"/>
      <c r="EV193" s="408"/>
      <c r="EW193" s="408"/>
      <c r="EX193" s="408"/>
      <c r="EY193" s="408"/>
      <c r="EZ193" s="408"/>
      <c r="FA193" s="408"/>
      <c r="FB193" s="408"/>
      <c r="FC193" s="408"/>
      <c r="FD193" s="408"/>
      <c r="FE193" s="408"/>
      <c r="FF193" s="408"/>
      <c r="FG193" s="408"/>
      <c r="FH193" s="408"/>
      <c r="FI193" s="408"/>
      <c r="FJ193" s="408"/>
      <c r="FK193" s="408"/>
      <c r="FL193" s="408"/>
      <c r="FM193" s="408"/>
      <c r="FN193" s="408"/>
      <c r="FO193" s="408"/>
      <c r="FP193" s="408"/>
      <c r="FQ193" s="408"/>
      <c r="FR193" s="408"/>
      <c r="FS193" s="408"/>
      <c r="FT193" s="408"/>
      <c r="FU193" s="408"/>
      <c r="FV193" s="408"/>
      <c r="FW193" s="408"/>
      <c r="FX193" s="408"/>
      <c r="FY193" s="408"/>
      <c r="FZ193" s="408"/>
      <c r="GA193" s="408"/>
      <c r="GB193" s="408"/>
      <c r="GC193" s="408"/>
      <c r="GD193" s="408"/>
      <c r="GE193" s="408"/>
      <c r="GF193" s="408"/>
      <c r="GG193" s="408"/>
      <c r="GH193" s="408"/>
      <c r="GI193" s="408"/>
      <c r="GJ193" s="408"/>
      <c r="GK193" s="408"/>
      <c r="GL193" s="408"/>
      <c r="GM193" s="408"/>
      <c r="GN193" s="408"/>
      <c r="GO193" s="408"/>
      <c r="GP193" s="408"/>
      <c r="GQ193" s="408"/>
      <c r="GR193" s="408"/>
      <c r="GS193" s="408"/>
      <c r="GT193" s="408"/>
      <c r="GU193" s="408"/>
      <c r="GV193" s="408"/>
      <c r="GW193" s="408"/>
      <c r="GX193" s="408"/>
      <c r="GY193" s="408"/>
      <c r="GZ193" s="408"/>
      <c r="HA193" s="408"/>
      <c r="HB193" s="408"/>
      <c r="HC193" s="408"/>
      <c r="HD193" s="408"/>
      <c r="HE193" s="408"/>
      <c r="HF193" s="408"/>
      <c r="HG193" s="408"/>
      <c r="HH193" s="408"/>
      <c r="HI193" s="408"/>
      <c r="HJ193" s="408"/>
      <c r="HK193" s="408"/>
      <c r="HL193" s="408"/>
      <c r="HM193" s="408"/>
      <c r="HN193" s="408"/>
      <c r="HO193" s="408"/>
      <c r="HP193" s="408"/>
      <c r="HQ193" s="408"/>
      <c r="HR193" s="408"/>
      <c r="HS193" s="408"/>
      <c r="HT193" s="408"/>
      <c r="HU193" s="408"/>
      <c r="HV193" s="408"/>
      <c r="HW193" s="408"/>
      <c r="HX193" s="408"/>
      <c r="HY193" s="408"/>
      <c r="HZ193" s="408"/>
      <c r="IA193" s="408"/>
      <c r="IB193" s="408"/>
      <c r="IC193" s="408"/>
      <c r="ID193" s="408"/>
      <c r="IE193" s="408"/>
      <c r="IF193" s="408"/>
      <c r="IG193" s="408"/>
      <c r="IH193" s="408"/>
      <c r="II193" s="408"/>
      <c r="IJ193" s="408"/>
      <c r="IK193" s="408"/>
      <c r="IL193" s="408"/>
      <c r="IM193" s="408"/>
      <c r="IN193" s="408"/>
      <c r="IO193" s="408"/>
      <c r="IP193" s="408"/>
      <c r="IQ193" s="408"/>
      <c r="IR193" s="408"/>
      <c r="IS193" s="408"/>
      <c r="IT193" s="408"/>
      <c r="IU193" s="408"/>
      <c r="IV193" s="408"/>
      <c r="IW193" s="408"/>
      <c r="IX193" s="408"/>
      <c r="IY193" s="408"/>
      <c r="IZ193" s="408"/>
      <c r="JA193" s="408"/>
      <c r="JB193" s="408"/>
      <c r="JC193" s="408"/>
      <c r="JD193" s="408"/>
      <c r="JE193" s="408"/>
      <c r="JF193" s="408"/>
      <c r="JG193" s="408"/>
      <c r="JH193" s="408"/>
      <c r="JI193" s="408"/>
      <c r="JJ193" s="408"/>
      <c r="JK193" s="408"/>
      <c r="JL193" s="408"/>
      <c r="JM193" s="408"/>
      <c r="JN193" s="408"/>
      <c r="JO193" s="408"/>
      <c r="JP193" s="408"/>
      <c r="JQ193" s="408"/>
      <c r="JR193" s="408"/>
      <c r="JS193" s="408"/>
      <c r="JT193" s="408"/>
      <c r="JU193" s="408"/>
      <c r="JV193" s="408"/>
      <c r="JW193" s="408"/>
      <c r="JX193" s="408"/>
      <c r="JZ193" s="263"/>
      <c r="KA193" s="263"/>
      <c r="KB193" s="263"/>
      <c r="KC193" s="263"/>
      <c r="KD193" s="263"/>
      <c r="KE193" s="263"/>
      <c r="KF193" s="263"/>
      <c r="KG193" s="263"/>
      <c r="KH193" s="263"/>
      <c r="KI193" s="263"/>
      <c r="KJ193" s="263"/>
      <c r="KK193" s="263"/>
      <c r="KL193" s="263"/>
      <c r="KM193" s="263"/>
      <c r="KN193" s="263"/>
      <c r="KO193" s="263"/>
      <c r="KP193" s="263"/>
      <c r="KQ193" s="263"/>
      <c r="KR193" s="263"/>
      <c r="KS193" s="263"/>
      <c r="KT193" s="263"/>
      <c r="KU193" s="263"/>
      <c r="KV193" s="263"/>
      <c r="KW193" s="263"/>
      <c r="KX193" s="263"/>
      <c r="KY193" s="263"/>
      <c r="KZ193" s="263"/>
      <c r="LA193" s="263"/>
      <c r="LB193" s="263"/>
      <c r="LC193" s="263"/>
      <c r="LD193" s="263"/>
      <c r="LE193" s="263"/>
      <c r="LF193" s="263"/>
      <c r="LG193" s="263"/>
      <c r="LH193" s="263"/>
      <c r="LI193" s="263"/>
      <c r="LJ193" s="263"/>
      <c r="LK193" s="263"/>
      <c r="LL193" s="263"/>
      <c r="LM193" s="263"/>
      <c r="LN193" s="263"/>
      <c r="LO193" s="263"/>
      <c r="LP193" s="263"/>
      <c r="LQ193" s="263"/>
      <c r="LR193" s="263"/>
      <c r="LS193" s="263"/>
      <c r="LT193" s="263"/>
      <c r="LU193" s="263"/>
      <c r="LV193" s="263"/>
      <c r="LW193" s="263"/>
      <c r="LX193" s="263"/>
      <c r="LY193" s="263"/>
      <c r="LZ193" s="263"/>
      <c r="MA193" s="263"/>
      <c r="MB193" s="263"/>
      <c r="MC193" s="263"/>
      <c r="MD193" s="263"/>
      <c r="ME193" s="263"/>
      <c r="MF193" s="263"/>
      <c r="MG193" s="263"/>
      <c r="MH193" s="263"/>
      <c r="MI193" s="263"/>
      <c r="MJ193" s="263"/>
      <c r="MK193" s="263"/>
      <c r="ML193" s="263"/>
      <c r="MM193" s="263"/>
      <c r="MN193" s="263"/>
      <c r="MO193" s="263"/>
      <c r="MP193" s="263"/>
      <c r="MQ193" s="263"/>
      <c r="MR193" s="263"/>
      <c r="MS193" s="263"/>
      <c r="MT193" s="263"/>
      <c r="MU193" s="263"/>
      <c r="MV193" s="263"/>
      <c r="MW193" s="263"/>
      <c r="MX193" s="263"/>
      <c r="MY193" s="263"/>
      <c r="MZ193" s="263"/>
      <c r="NA193" s="263"/>
      <c r="NB193" s="263"/>
      <c r="NC193" s="263"/>
      <c r="ND193" s="263"/>
      <c r="NE193" s="263"/>
      <c r="NF193" s="263"/>
      <c r="NG193" s="263"/>
      <c r="NH193" s="263"/>
      <c r="NI193" s="263"/>
      <c r="NJ193" s="263"/>
      <c r="NK193" s="263"/>
      <c r="NL193" s="263"/>
      <c r="NM193" s="263"/>
      <c r="NN193" s="263"/>
      <c r="NO193" s="263"/>
      <c r="NP193" s="263"/>
      <c r="NQ193" s="263"/>
      <c r="NR193" s="263"/>
      <c r="NS193" s="263"/>
      <c r="NT193" s="263"/>
      <c r="NU193" s="263"/>
      <c r="NV193" s="263"/>
      <c r="NW193" s="263"/>
      <c r="NX193" s="263"/>
      <c r="NY193" s="263"/>
      <c r="NZ193" s="263"/>
      <c r="OA193" s="263"/>
      <c r="OB193" s="263"/>
      <c r="OC193" s="263"/>
      <c r="OD193" s="263"/>
      <c r="OE193" s="263"/>
      <c r="OF193" s="263"/>
      <c r="OG193" s="263"/>
      <c r="OH193" s="263"/>
      <c r="OI193" s="263"/>
      <c r="OJ193" s="263"/>
      <c r="OK193" s="263"/>
      <c r="OL193" s="263"/>
      <c r="OM193" s="263"/>
      <c r="ON193" s="263"/>
      <c r="OO193" s="263"/>
      <c r="OP193" s="263"/>
      <c r="OQ193" s="263"/>
      <c r="OR193" s="263"/>
      <c r="OS193" s="263"/>
      <c r="OT193" s="263"/>
      <c r="OU193" s="263"/>
      <c r="OV193" s="263"/>
      <c r="OW193" s="263"/>
      <c r="OX193" s="263"/>
      <c r="OY193" s="263"/>
      <c r="OZ193" s="263"/>
      <c r="PA193" s="263"/>
      <c r="PB193" s="263"/>
      <c r="PC193" s="263"/>
      <c r="PD193" s="263"/>
      <c r="PE193" s="263"/>
      <c r="PF193" s="263"/>
      <c r="PG193" s="263"/>
      <c r="PH193" s="263"/>
    </row>
    <row r="194">
      <c r="B194" s="2" t="s">
        <v>357</v>
      </c>
      <c r="C194" s="392"/>
      <c r="D194" s="392"/>
      <c r="E194" s="392"/>
      <c r="F194" s="392"/>
      <c r="G194" s="392"/>
      <c r="H194" s="392"/>
      <c r="I194" s="392"/>
      <c r="J194" s="162"/>
      <c r="K194" s="162" t="s">
        <v>89</v>
      </c>
      <c r="L194" s="199" t="n">
        <f t="shared" ref="L194:AQ194" si="868">IF(L3&gt;Timing_Analysis_End_Month,"",L3)</f>
        <v>0</v>
      </c>
      <c r="M194" s="199">
        <f t="shared" si="868"/>
        <v>1</v>
      </c>
      <c r="N194" s="199">
        <f t="shared" si="868"/>
        <v>2</v>
      </c>
      <c r="O194" s="199">
        <f t="shared" si="868"/>
        <v>3</v>
      </c>
      <c r="P194" s="199">
        <f t="shared" si="868"/>
        <v>4</v>
      </c>
      <c r="Q194" s="199">
        <f t="shared" si="868"/>
        <v>5</v>
      </c>
      <c r="R194" s="199">
        <f t="shared" si="868"/>
        <v>6</v>
      </c>
      <c r="S194" s="199">
        <f t="shared" si="868"/>
        <v>7</v>
      </c>
      <c r="T194" s="199">
        <f t="shared" si="868"/>
        <v>8</v>
      </c>
      <c r="U194" s="199">
        <f t="shared" si="868"/>
        <v>9</v>
      </c>
      <c r="V194" s="199">
        <f t="shared" si="868"/>
        <v>10</v>
      </c>
      <c r="W194" s="199">
        <f t="shared" si="868"/>
        <v>11</v>
      </c>
      <c r="X194" s="199">
        <f t="shared" si="868"/>
        <v>12</v>
      </c>
      <c r="Y194" s="199">
        <f t="shared" si="868"/>
        <v>13</v>
      </c>
      <c r="Z194" s="199">
        <f t="shared" si="868"/>
        <v>14</v>
      </c>
      <c r="AA194" s="199">
        <f t="shared" si="868"/>
        <v>15</v>
      </c>
      <c r="AB194" s="199">
        <f t="shared" si="868"/>
        <v>16</v>
      </c>
      <c r="AC194" s="199">
        <f t="shared" si="868"/>
        <v>17</v>
      </c>
      <c r="AD194" s="199">
        <f t="shared" si="868"/>
        <v>18</v>
      </c>
      <c r="AE194" s="199">
        <f t="shared" si="868"/>
        <v>19</v>
      </c>
      <c r="AF194" s="199">
        <f t="shared" si="868"/>
        <v>20</v>
      </c>
      <c r="AG194" s="199">
        <f t="shared" si="868"/>
        <v>21</v>
      </c>
      <c r="AH194" s="199">
        <f t="shared" si="868"/>
        <v>22</v>
      </c>
      <c r="AI194" s="199">
        <f t="shared" si="868"/>
        <v>23</v>
      </c>
      <c r="AJ194" s="199">
        <f t="shared" si="868"/>
        <v>24</v>
      </c>
      <c r="AK194" s="199">
        <f t="shared" si="868"/>
        <v>25</v>
      </c>
      <c r="AL194" s="199">
        <f t="shared" si="868"/>
        <v>26</v>
      </c>
      <c r="AM194" s="199">
        <f t="shared" si="868"/>
        <v>27</v>
      </c>
      <c r="AN194" s="199">
        <f t="shared" si="868"/>
        <v>28</v>
      </c>
      <c r="AO194" s="199">
        <f t="shared" si="868"/>
        <v>29</v>
      </c>
      <c r="AP194" s="199">
        <f t="shared" si="868"/>
        <v>30</v>
      </c>
      <c r="AQ194" s="199">
        <f t="shared" si="868"/>
        <v>31</v>
      </c>
      <c r="AR194" s="199" t="n">
        <f t="shared" ref="AR194:BW194" si="869">IF(AR3&gt;Timing_Analysis_End_Month,"",AR3)</f>
        <v>32</v>
      </c>
      <c r="AS194" s="199">
        <f t="shared" si="869"/>
        <v>33</v>
      </c>
      <c r="AT194" s="199">
        <f t="shared" si="869"/>
        <v>34</v>
      </c>
      <c r="AU194" s="199">
        <f t="shared" si="869"/>
        <v>35</v>
      </c>
      <c r="AV194" s="199">
        <f t="shared" si="869"/>
        <v>36</v>
      </c>
      <c r="AW194" s="199">
        <f t="shared" si="869"/>
        <v>37</v>
      </c>
      <c r="AX194" s="199">
        <f t="shared" si="869"/>
        <v>38</v>
      </c>
      <c r="AY194" s="199">
        <f t="shared" si="869"/>
        <v>39</v>
      </c>
      <c r="AZ194" s="199">
        <f t="shared" si="869"/>
        <v>40</v>
      </c>
      <c r="BA194" s="199">
        <f t="shared" si="869"/>
        <v>41</v>
      </c>
      <c r="BB194" s="199">
        <f t="shared" si="869"/>
        <v>42</v>
      </c>
      <c r="BC194" s="199">
        <f t="shared" si="869"/>
        <v>43</v>
      </c>
      <c r="BD194" s="199">
        <f t="shared" si="869"/>
        <v>44</v>
      </c>
      <c r="BE194" s="199">
        <f t="shared" si="869"/>
        <v>45</v>
      </c>
      <c r="BF194" s="199">
        <f t="shared" si="869"/>
        <v>46</v>
      </c>
      <c r="BG194" s="199">
        <f t="shared" si="869"/>
        <v>47</v>
      </c>
      <c r="BH194" s="199">
        <f t="shared" si="869"/>
        <v>48</v>
      </c>
      <c r="BI194" s="199">
        <f t="shared" si="869"/>
        <v>49</v>
      </c>
      <c r="BJ194" s="199">
        <f t="shared" si="869"/>
        <v>50</v>
      </c>
      <c r="BK194" s="199">
        <f t="shared" si="869"/>
        <v>51</v>
      </c>
      <c r="BL194" s="199">
        <f t="shared" si="869"/>
        <v>52</v>
      </c>
      <c r="BM194" s="199">
        <f t="shared" si="869"/>
        <v>53</v>
      </c>
      <c r="BN194" s="199">
        <f t="shared" si="869"/>
        <v>54</v>
      </c>
      <c r="BO194" s="199">
        <f t="shared" si="869"/>
        <v>55</v>
      </c>
      <c r="BP194" s="199">
        <f t="shared" si="869"/>
        <v>56</v>
      </c>
      <c r="BQ194" s="199">
        <f t="shared" si="869"/>
        <v>57</v>
      </c>
      <c r="BR194" s="199">
        <f t="shared" si="869"/>
        <v>58</v>
      </c>
      <c r="BS194" s="199">
        <f t="shared" si="869"/>
        <v>59</v>
      </c>
      <c r="BT194" s="199">
        <f t="shared" si="869"/>
        <v>60</v>
      </c>
      <c r="BU194" s="199">
        <f t="shared" si="869"/>
        <v>61</v>
      </c>
      <c r="BV194" s="199" t="str">
        <f t="shared" si="869"/>
      </c>
      <c r="BW194" s="199" t="str">
        <f t="shared" si="869"/>
      </c>
      <c r="BX194" s="199" t="str">
        <f t="shared" ref="BX194:DC194" si="870">IF(BX3&gt;Timing_Analysis_End_Month,"",BX3)</f>
      </c>
      <c r="BY194" s="199" t="str">
        <f t="shared" si="870"/>
      </c>
      <c r="BZ194" s="199" t="str">
        <f t="shared" si="870"/>
      </c>
      <c r="CA194" s="199" t="str">
        <f t="shared" si="870"/>
      </c>
      <c r="CB194" s="199" t="str">
        <f t="shared" si="870"/>
      </c>
      <c r="CC194" s="199" t="str">
        <f t="shared" si="870"/>
      </c>
      <c r="CD194" s="199" t="str">
        <f t="shared" si="870"/>
      </c>
      <c r="CE194" s="199" t="str">
        <f t="shared" si="870"/>
      </c>
      <c r="CF194" s="199" t="str">
        <f t="shared" si="870"/>
      </c>
      <c r="CG194" s="199" t="str">
        <f t="shared" si="870"/>
      </c>
      <c r="CH194" s="199" t="str">
        <f t="shared" si="870"/>
      </c>
      <c r="CI194" s="199" t="str">
        <f t="shared" si="870"/>
      </c>
      <c r="CJ194" s="199" t="str">
        <f t="shared" si="870"/>
      </c>
      <c r="CK194" s="199" t="str">
        <f t="shared" si="870"/>
      </c>
      <c r="CL194" s="199" t="str">
        <f t="shared" si="870"/>
      </c>
      <c r="CM194" s="199" t="str">
        <f t="shared" si="870"/>
      </c>
      <c r="CN194" s="199" t="str">
        <f t="shared" si="870"/>
      </c>
      <c r="CO194" s="199" t="str">
        <f t="shared" si="870"/>
      </c>
      <c r="CP194" s="199" t="str">
        <f t="shared" si="870"/>
      </c>
      <c r="CQ194" s="199" t="str">
        <f t="shared" si="870"/>
      </c>
      <c r="CR194" s="199" t="str">
        <f t="shared" si="870"/>
      </c>
      <c r="CS194" s="199" t="str">
        <f t="shared" si="870"/>
      </c>
      <c r="CT194" s="199" t="str">
        <f t="shared" si="870"/>
      </c>
      <c r="CU194" s="199" t="str">
        <f t="shared" si="870"/>
      </c>
      <c r="CV194" s="199" t="str">
        <f t="shared" si="870"/>
      </c>
      <c r="CW194" s="199" t="str">
        <f t="shared" si="870"/>
      </c>
      <c r="CX194" s="199" t="str">
        <f t="shared" si="870"/>
      </c>
      <c r="CY194" s="199" t="str">
        <f t="shared" si="870"/>
      </c>
      <c r="CZ194" s="199" t="str">
        <f t="shared" si="870"/>
      </c>
      <c r="DA194" s="199" t="str">
        <f t="shared" si="870"/>
      </c>
      <c r="DB194" s="199" t="str">
        <f t="shared" si="870"/>
      </c>
      <c r="DC194" s="199" t="str">
        <f t="shared" si="870"/>
      </c>
      <c r="DD194" s="199" t="str">
        <f t="shared" ref="DD194:EN194" si="871">IF(DD3&gt;Timing_Analysis_End_Month,"",DD3)</f>
      </c>
      <c r="DE194" s="199" t="str">
        <f t="shared" si="871"/>
      </c>
      <c r="DF194" s="199" t="str">
        <f t="shared" si="871"/>
      </c>
      <c r="DG194" s="199" t="str">
        <f t="shared" si="871"/>
      </c>
      <c r="DH194" s="199" t="str">
        <f t="shared" si="871"/>
      </c>
      <c r="DI194" s="199" t="str">
        <f t="shared" si="871"/>
      </c>
      <c r="DJ194" s="199" t="str">
        <f t="shared" si="871"/>
      </c>
      <c r="DK194" s="199" t="str">
        <f t="shared" si="871"/>
      </c>
      <c r="DL194" s="199" t="str">
        <f t="shared" si="871"/>
      </c>
      <c r="DM194" s="199" t="str">
        <f t="shared" si="871"/>
      </c>
      <c r="DN194" s="199" t="str">
        <f t="shared" si="871"/>
      </c>
      <c r="DO194" s="199" t="str">
        <f t="shared" si="871"/>
      </c>
      <c r="DP194" s="199" t="str">
        <f t="shared" si="871"/>
      </c>
      <c r="DQ194" s="199" t="str">
        <f t="shared" si="871"/>
      </c>
      <c r="DR194" s="199" t="str">
        <f t="shared" si="871"/>
      </c>
      <c r="DS194" s="199" t="str">
        <f t="shared" si="871"/>
      </c>
      <c r="DT194" s="199" t="str">
        <f t="shared" si="871"/>
      </c>
      <c r="DU194" s="199" t="str">
        <f t="shared" si="871"/>
      </c>
      <c r="DV194" s="199" t="str">
        <f t="shared" si="871"/>
      </c>
      <c r="DW194" s="199" t="str">
        <f t="shared" si="871"/>
      </c>
      <c r="DX194" s="199" t="str">
        <f t="shared" si="871"/>
      </c>
      <c r="DY194" s="199" t="str">
        <f t="shared" si="871"/>
      </c>
      <c r="DZ194" s="199" t="str">
        <f t="shared" si="871"/>
      </c>
      <c r="EA194" s="199" t="str">
        <f t="shared" si="871"/>
      </c>
      <c r="EB194" s="199" t="str">
        <f t="shared" si="871"/>
      </c>
      <c r="EC194" s="199" t="str">
        <f t="shared" si="871"/>
      </c>
      <c r="ED194" s="199" t="str">
        <f t="shared" si="871"/>
      </c>
      <c r="EE194" s="199" t="str">
        <f t="shared" si="871"/>
      </c>
      <c r="EF194" s="199" t="str">
        <f t="shared" si="871"/>
      </c>
      <c r="EG194" s="199" t="str">
        <f t="shared" si="871"/>
      </c>
      <c r="EH194" s="199" t="str">
        <f t="shared" si="871"/>
      </c>
      <c r="EI194" s="199" t="str">
        <f t="shared" si="871"/>
      </c>
      <c r="EJ194" s="199" t="str">
        <f t="shared" si="871"/>
      </c>
      <c r="EK194" s="199" t="str">
        <f t="shared" si="871"/>
      </c>
      <c r="EL194" s="199" t="str">
        <f t="shared" si="871"/>
      </c>
      <c r="EM194" s="199" t="str">
        <f t="shared" si="871"/>
      </c>
      <c r="EN194" s="199" t="str">
        <f t="shared" si="871"/>
      </c>
      <c r="EP194" s="409" t="s">
        <v>358</v>
      </c>
      <c r="EQ194" s="530"/>
      <c r="ER194" s="530"/>
      <c r="ES194" s="530"/>
      <c r="ET194" s="530"/>
      <c r="EU194" s="18"/>
      <c r="EV194" s="198" t="n">
        <f t="shared" ref="EV194:GA194" si="872">EV3</f>
        <v>0</v>
      </c>
      <c r="EW194" s="198">
        <f t="shared" si="872"/>
        <v>1</v>
      </c>
      <c r="EX194" s="198">
        <f t="shared" si="872"/>
        <v>2</v>
      </c>
      <c r="EY194" s="198">
        <f t="shared" si="872"/>
        <v>3</v>
      </c>
      <c r="EZ194" s="198">
        <f t="shared" si="872"/>
        <v>4</v>
      </c>
      <c r="FA194" s="198">
        <f t="shared" si="872"/>
        <v>5</v>
      </c>
      <c r="FB194" s="198">
        <f t="shared" si="872"/>
        <v>6</v>
      </c>
      <c r="FC194" s="198">
        <f t="shared" si="872"/>
        <v>7</v>
      </c>
      <c r="FD194" s="198">
        <f t="shared" si="872"/>
        <v>8</v>
      </c>
      <c r="FE194" s="198">
        <f t="shared" si="872"/>
        <v>9</v>
      </c>
      <c r="FF194" s="198">
        <f t="shared" si="872"/>
        <v>10</v>
      </c>
      <c r="FG194" s="198">
        <f t="shared" si="872"/>
        <v>11</v>
      </c>
      <c r="FH194" s="198">
        <f t="shared" si="872"/>
        <v>12</v>
      </c>
      <c r="FI194" s="198">
        <f t="shared" si="872"/>
        <v>13</v>
      </c>
      <c r="FJ194" s="198">
        <f t="shared" si="872"/>
        <v>14</v>
      </c>
      <c r="FK194" s="198">
        <f t="shared" si="872"/>
        <v>15</v>
      </c>
      <c r="FL194" s="198">
        <f t="shared" si="872"/>
        <v>16</v>
      </c>
      <c r="FM194" s="198">
        <f t="shared" si="872"/>
        <v>17</v>
      </c>
      <c r="FN194" s="198">
        <f t="shared" si="872"/>
        <v>18</v>
      </c>
      <c r="FO194" s="198">
        <f t="shared" si="872"/>
        <v>19</v>
      </c>
      <c r="FP194" s="198">
        <f t="shared" si="872"/>
        <v>20</v>
      </c>
      <c r="FQ194" s="198">
        <f t="shared" si="872"/>
        <v>21</v>
      </c>
      <c r="FR194" s="198">
        <f t="shared" si="872"/>
        <v>22</v>
      </c>
      <c r="FS194" s="198">
        <f t="shared" si="872"/>
        <v>23</v>
      </c>
      <c r="FT194" s="198">
        <f t="shared" si="872"/>
        <v>24</v>
      </c>
      <c r="FU194" s="198">
        <f t="shared" si="872"/>
        <v>25</v>
      </c>
      <c r="FV194" s="198">
        <f t="shared" si="872"/>
        <v>26</v>
      </c>
      <c r="FW194" s="198">
        <f t="shared" si="872"/>
        <v>27</v>
      </c>
      <c r="FX194" s="198">
        <f t="shared" si="872"/>
        <v>28</v>
      </c>
      <c r="FY194" s="198">
        <f t="shared" si="872"/>
        <v>29</v>
      </c>
      <c r="FZ194" s="198">
        <f t="shared" si="872"/>
        <v>30</v>
      </c>
      <c r="GA194" s="198">
        <f t="shared" si="872"/>
        <v>31</v>
      </c>
      <c r="GB194" s="198" t="n">
        <f t="shared" ref="GB194:HG194" si="873">GB3</f>
        <v>32</v>
      </c>
      <c r="GC194" s="198">
        <f t="shared" si="873"/>
        <v>33</v>
      </c>
      <c r="GD194" s="198">
        <f t="shared" si="873"/>
        <v>34</v>
      </c>
      <c r="GE194" s="198">
        <f t="shared" si="873"/>
        <v>35</v>
      </c>
      <c r="GF194" s="198">
        <f t="shared" si="873"/>
        <v>36</v>
      </c>
      <c r="GG194" s="198">
        <f t="shared" si="873"/>
        <v>37</v>
      </c>
      <c r="GH194" s="198">
        <f t="shared" si="873"/>
        <v>38</v>
      </c>
      <c r="GI194" s="198">
        <f t="shared" si="873"/>
        <v>39</v>
      </c>
      <c r="GJ194" s="198">
        <f t="shared" si="873"/>
        <v>40</v>
      </c>
      <c r="GK194" s="198">
        <f t="shared" si="873"/>
        <v>41</v>
      </c>
      <c r="GL194" s="198">
        <f t="shared" si="873"/>
        <v>42</v>
      </c>
      <c r="GM194" s="198">
        <f t="shared" si="873"/>
        <v>43</v>
      </c>
      <c r="GN194" s="198">
        <f t="shared" si="873"/>
        <v>44</v>
      </c>
      <c r="GO194" s="198">
        <f t="shared" si="873"/>
        <v>45</v>
      </c>
      <c r="GP194" s="198">
        <f t="shared" si="873"/>
        <v>46</v>
      </c>
      <c r="GQ194" s="198">
        <f t="shared" si="873"/>
        <v>47</v>
      </c>
      <c r="GR194" s="198">
        <f t="shared" si="873"/>
        <v>48</v>
      </c>
      <c r="GS194" s="198">
        <f t="shared" si="873"/>
        <v>49</v>
      </c>
      <c r="GT194" s="198">
        <f t="shared" si="873"/>
        <v>50</v>
      </c>
      <c r="GU194" s="198">
        <f t="shared" si="873"/>
        <v>51</v>
      </c>
      <c r="GV194" s="198">
        <f t="shared" si="873"/>
        <v>52</v>
      </c>
      <c r="GW194" s="198">
        <f t="shared" si="873"/>
        <v>53</v>
      </c>
      <c r="GX194" s="198">
        <f t="shared" si="873"/>
        <v>54</v>
      </c>
      <c r="GY194" s="198">
        <f t="shared" si="873"/>
        <v>55</v>
      </c>
      <c r="GZ194" s="198">
        <f t="shared" si="873"/>
        <v>56</v>
      </c>
      <c r="HA194" s="198">
        <f t="shared" si="873"/>
        <v>57</v>
      </c>
      <c r="HB194" s="198">
        <f t="shared" si="873"/>
        <v>58</v>
      </c>
      <c r="HC194" s="198">
        <f t="shared" si="873"/>
        <v>59</v>
      </c>
      <c r="HD194" s="198">
        <f t="shared" si="873"/>
        <v>60</v>
      </c>
      <c r="HE194" s="198">
        <f t="shared" si="873"/>
        <v>61</v>
      </c>
      <c r="HF194" s="198">
        <f t="shared" si="873"/>
        <v>62</v>
      </c>
      <c r="HG194" s="198">
        <f t="shared" si="873"/>
        <v>63</v>
      </c>
      <c r="HH194" s="198" t="n">
        <f t="shared" ref="HH194:IM194" si="874">HH3</f>
        <v>64</v>
      </c>
      <c r="HI194" s="198">
        <f t="shared" si="874"/>
        <v>65</v>
      </c>
      <c r="HJ194" s="198">
        <f t="shared" si="874"/>
        <v>66</v>
      </c>
      <c r="HK194" s="198">
        <f t="shared" si="874"/>
        <v>67</v>
      </c>
      <c r="HL194" s="198">
        <f t="shared" si="874"/>
        <v>68</v>
      </c>
      <c r="HM194" s="198">
        <f t="shared" si="874"/>
        <v>69</v>
      </c>
      <c r="HN194" s="198">
        <f t="shared" si="874"/>
        <v>70</v>
      </c>
      <c r="HO194" s="198">
        <f t="shared" si="874"/>
        <v>71</v>
      </c>
      <c r="HP194" s="198">
        <f t="shared" si="874"/>
        <v>72</v>
      </c>
      <c r="HQ194" s="198">
        <f t="shared" si="874"/>
        <v>73</v>
      </c>
      <c r="HR194" s="198">
        <f t="shared" si="874"/>
        <v>74</v>
      </c>
      <c r="HS194" s="198">
        <f t="shared" si="874"/>
        <v>75</v>
      </c>
      <c r="HT194" s="198">
        <f t="shared" si="874"/>
        <v>76</v>
      </c>
      <c r="HU194" s="198">
        <f t="shared" si="874"/>
        <v>77</v>
      </c>
      <c r="HV194" s="198">
        <f t="shared" si="874"/>
        <v>78</v>
      </c>
      <c r="HW194" s="198">
        <f t="shared" si="874"/>
        <v>79</v>
      </c>
      <c r="HX194" s="198">
        <f t="shared" si="874"/>
        <v>80</v>
      </c>
      <c r="HY194" s="198">
        <f t="shared" si="874"/>
        <v>81</v>
      </c>
      <c r="HZ194" s="198">
        <f t="shared" si="874"/>
        <v>82</v>
      </c>
      <c r="IA194" s="198">
        <f t="shared" si="874"/>
        <v>83</v>
      </c>
      <c r="IB194" s="198">
        <f t="shared" si="874"/>
        <v>84</v>
      </c>
      <c r="IC194" s="198">
        <f t="shared" si="874"/>
        <v>85</v>
      </c>
      <c r="ID194" s="198">
        <f t="shared" si="874"/>
        <v>86</v>
      </c>
      <c r="IE194" s="198">
        <f t="shared" si="874"/>
        <v>87</v>
      </c>
      <c r="IF194" s="198">
        <f t="shared" si="874"/>
        <v>88</v>
      </c>
      <c r="IG194" s="198">
        <f t="shared" si="874"/>
        <v>89</v>
      </c>
      <c r="IH194" s="198">
        <f t="shared" si="874"/>
        <v>90</v>
      </c>
      <c r="II194" s="198">
        <f t="shared" si="874"/>
        <v>91</v>
      </c>
      <c r="IJ194" s="198">
        <f t="shared" si="874"/>
        <v>92</v>
      </c>
      <c r="IK194" s="198">
        <f t="shared" si="874"/>
        <v>93</v>
      </c>
      <c r="IL194" s="198">
        <f t="shared" si="874"/>
        <v>94</v>
      </c>
      <c r="IM194" s="198">
        <f t="shared" si="874"/>
        <v>95</v>
      </c>
      <c r="IN194" s="198" t="n">
        <f t="shared" ref="IN194:JX194" si="875">IN3</f>
        <v>96</v>
      </c>
      <c r="IO194" s="198">
        <f t="shared" si="875"/>
        <v>97</v>
      </c>
      <c r="IP194" s="198">
        <f t="shared" si="875"/>
        <v>98</v>
      </c>
      <c r="IQ194" s="198">
        <f t="shared" si="875"/>
        <v>99</v>
      </c>
      <c r="IR194" s="198">
        <f t="shared" si="875"/>
        <v>100</v>
      </c>
      <c r="IS194" s="198">
        <f t="shared" si="875"/>
        <v>101</v>
      </c>
      <c r="IT194" s="198">
        <f t="shared" si="875"/>
        <v>102</v>
      </c>
      <c r="IU194" s="198">
        <f t="shared" si="875"/>
        <v>103</v>
      </c>
      <c r="IV194" s="198">
        <f t="shared" si="875"/>
        <v>104</v>
      </c>
      <c r="IW194" s="198">
        <f t="shared" si="875"/>
        <v>105</v>
      </c>
      <c r="IX194" s="198">
        <f t="shared" si="875"/>
        <v>106</v>
      </c>
      <c r="IY194" s="198">
        <f t="shared" si="875"/>
        <v>107</v>
      </c>
      <c r="IZ194" s="198">
        <f t="shared" si="875"/>
        <v>108</v>
      </c>
      <c r="JA194" s="198">
        <f t="shared" si="875"/>
        <v>109</v>
      </c>
      <c r="JB194" s="198">
        <f t="shared" si="875"/>
        <v>110</v>
      </c>
      <c r="JC194" s="198">
        <f t="shared" si="875"/>
        <v>111</v>
      </c>
      <c r="JD194" s="198">
        <f t="shared" si="875"/>
        <v>112</v>
      </c>
      <c r="JE194" s="198">
        <f t="shared" si="875"/>
        <v>113</v>
      </c>
      <c r="JF194" s="198">
        <f t="shared" si="875"/>
        <v>114</v>
      </c>
      <c r="JG194" s="198">
        <f t="shared" si="875"/>
        <v>115</v>
      </c>
      <c r="JH194" s="198">
        <f t="shared" si="875"/>
        <v>116</v>
      </c>
      <c r="JI194" s="198">
        <f t="shared" si="875"/>
        <v>117</v>
      </c>
      <c r="JJ194" s="198">
        <f t="shared" si="875"/>
        <v>118</v>
      </c>
      <c r="JK194" s="198">
        <f t="shared" si="875"/>
        <v>119</v>
      </c>
      <c r="JL194" s="198">
        <f t="shared" si="875"/>
        <v>120</v>
      </c>
      <c r="JM194" s="198">
        <f t="shared" si="875"/>
        <v>121</v>
      </c>
      <c r="JN194" s="198">
        <f t="shared" si="875"/>
        <v>122</v>
      </c>
      <c r="JO194" s="198">
        <f t="shared" si="875"/>
        <v>123</v>
      </c>
      <c r="JP194" s="198">
        <f t="shared" si="875"/>
        <v>124</v>
      </c>
      <c r="JQ194" s="198">
        <f t="shared" si="875"/>
        <v>125</v>
      </c>
      <c r="JR194" s="198">
        <f t="shared" si="875"/>
        <v>126</v>
      </c>
      <c r="JS194" s="198">
        <f t="shared" si="875"/>
        <v>127</v>
      </c>
      <c r="JT194" s="198">
        <f t="shared" si="875"/>
        <v>128</v>
      </c>
      <c r="JU194" s="198">
        <f t="shared" si="875"/>
        <v>129</v>
      </c>
      <c r="JV194" s="198">
        <f t="shared" si="875"/>
        <v>130</v>
      </c>
      <c r="JW194" s="198">
        <f t="shared" si="875"/>
        <v>131</v>
      </c>
      <c r="JX194" s="198">
        <f t="shared" si="875"/>
        <v>132</v>
      </c>
      <c r="JZ194" s="263"/>
      <c r="KA194" s="263"/>
      <c r="KB194" s="263"/>
      <c r="KC194" s="263"/>
      <c r="KD194" s="263"/>
      <c r="KE194" s="263"/>
      <c r="KF194" s="263"/>
      <c r="KG194" s="263"/>
      <c r="KH194" s="263"/>
      <c r="KI194" s="263"/>
      <c r="KJ194" s="263"/>
      <c r="KK194" s="263"/>
      <c r="KL194" s="263"/>
      <c r="KM194" s="263"/>
      <c r="KN194" s="263"/>
      <c r="KO194" s="263"/>
      <c r="KP194" s="263"/>
      <c r="KQ194" s="263"/>
      <c r="KR194" s="263"/>
      <c r="KS194" s="263"/>
      <c r="KT194" s="263"/>
      <c r="KU194" s="263"/>
      <c r="KV194" s="263"/>
      <c r="KW194" s="263"/>
      <c r="KX194" s="263"/>
      <c r="KY194" s="263"/>
      <c r="KZ194" s="263"/>
      <c r="LA194" s="263"/>
      <c r="LB194" s="263"/>
      <c r="LC194" s="263"/>
      <c r="LD194" s="263"/>
      <c r="LE194" s="263"/>
      <c r="LF194" s="263"/>
      <c r="LG194" s="263"/>
      <c r="LH194" s="263"/>
      <c r="LI194" s="263"/>
      <c r="LJ194" s="263"/>
      <c r="LK194" s="263"/>
      <c r="LL194" s="263"/>
      <c r="LM194" s="263"/>
      <c r="LN194" s="263"/>
      <c r="LO194" s="263"/>
      <c r="LP194" s="263"/>
      <c r="LQ194" s="263"/>
      <c r="LR194" s="263"/>
      <c r="LS194" s="263"/>
      <c r="LT194" s="263"/>
      <c r="LU194" s="263"/>
      <c r="LV194" s="263"/>
      <c r="LW194" s="263"/>
      <c r="LX194" s="263"/>
      <c r="LY194" s="263"/>
      <c r="LZ194" s="263"/>
      <c r="MA194" s="263"/>
      <c r="MB194" s="263"/>
      <c r="MC194" s="263"/>
      <c r="MD194" s="263"/>
      <c r="ME194" s="263"/>
      <c r="MF194" s="263"/>
      <c r="MG194" s="263"/>
      <c r="MH194" s="263"/>
      <c r="MI194" s="263"/>
      <c r="MJ194" s="263"/>
      <c r="MK194" s="263"/>
      <c r="ML194" s="263"/>
      <c r="MM194" s="263"/>
      <c r="MN194" s="263"/>
      <c r="MO194" s="263"/>
      <c r="MP194" s="263"/>
      <c r="MQ194" s="263"/>
      <c r="MR194" s="263"/>
      <c r="MS194" s="263"/>
      <c r="MT194" s="263"/>
      <c r="MU194" s="263"/>
      <c r="MV194" s="263"/>
      <c r="MW194" s="263"/>
      <c r="MX194" s="263"/>
      <c r="MY194" s="263"/>
      <c r="MZ194" s="263"/>
      <c r="NA194" s="263"/>
      <c r="NB194" s="263"/>
      <c r="NC194" s="263"/>
      <c r="ND194" s="263"/>
      <c r="NE194" s="263"/>
      <c r="NF194" s="263"/>
      <c r="NG194" s="263"/>
      <c r="NH194" s="263"/>
      <c r="NI194" s="263"/>
      <c r="NJ194" s="263"/>
      <c r="NK194" s="263"/>
      <c r="NL194" s="263"/>
      <c r="NM194" s="263"/>
      <c r="NN194" s="263"/>
      <c r="NO194" s="263"/>
      <c r="NP194" s="263"/>
      <c r="NQ194" s="263"/>
      <c r="NR194" s="263"/>
      <c r="NS194" s="263"/>
      <c r="NT194" s="263"/>
      <c r="NU194" s="263"/>
      <c r="NV194" s="263"/>
      <c r="NW194" s="263"/>
      <c r="NX194" s="263"/>
      <c r="NY194" s="263"/>
      <c r="NZ194" s="263"/>
      <c r="OA194" s="263"/>
      <c r="OB194" s="263"/>
      <c r="OC194" s="263"/>
      <c r="OD194" s="263"/>
      <c r="OE194" s="263"/>
      <c r="OF194" s="263"/>
      <c r="OG194" s="263"/>
      <c r="OH194" s="263"/>
      <c r="OI194" s="263"/>
      <c r="OJ194" s="263"/>
      <c r="OK194" s="263"/>
      <c r="OL194" s="263"/>
      <c r="OM194" s="263"/>
      <c r="ON194" s="263"/>
      <c r="OO194" s="263"/>
      <c r="OP194" s="263"/>
      <c r="OQ194" s="263"/>
      <c r="OR194" s="263"/>
      <c r="OS194" s="263"/>
      <c r="OT194" s="263"/>
      <c r="OU194" s="263"/>
      <c r="OV194" s="263"/>
      <c r="OW194" s="263"/>
      <c r="OX194" s="263"/>
      <c r="OY194" s="263"/>
      <c r="OZ194" s="263"/>
      <c r="PA194" s="263"/>
      <c r="PB194" s="263"/>
      <c r="PC194" s="263"/>
      <c r="PD194" s="263"/>
      <c r="PE194" s="263"/>
      <c r="PF194" s="263"/>
      <c r="PG194" s="263"/>
      <c r="PH194" s="263"/>
    </row>
    <row r="195">
      <c r="B195" s="503" t="s">
        <v>359</v>
      </c>
      <c r="C195" s="532"/>
      <c r="D195" s="532"/>
      <c r="E195" s="532"/>
      <c r="F195" s="532"/>
      <c r="G195" s="532"/>
      <c r="H195" s="504"/>
      <c r="I195" s="504" t="s">
        <v>80</v>
      </c>
      <c r="J195" s="378"/>
      <c r="K195" s="378" t="s">
        <v>121</v>
      </c>
      <c r="L195" s="201" t="str">
        <f t="shared" ref="L195:AQ195" si="876">IF(L194="","",L24)</f>
      </c>
      <c r="M195" s="201">
        <f t="shared" si="876"/>
        <v>46234</v>
      </c>
      <c r="N195" s="201">
        <f t="shared" si="876"/>
        <v>46265</v>
      </c>
      <c r="O195" s="201">
        <f t="shared" si="876"/>
        <v>46295</v>
      </c>
      <c r="P195" s="201">
        <f t="shared" si="876"/>
        <v>46326</v>
      </c>
      <c r="Q195" s="201">
        <f t="shared" si="876"/>
        <v>46356</v>
      </c>
      <c r="R195" s="201">
        <f t="shared" si="876"/>
        <v>46387</v>
      </c>
      <c r="S195" s="201">
        <f t="shared" si="876"/>
        <v>46418</v>
      </c>
      <c r="T195" s="201">
        <f t="shared" si="876"/>
        <v>46446</v>
      </c>
      <c r="U195" s="201">
        <f t="shared" si="876"/>
        <v>46477</v>
      </c>
      <c r="V195" s="201">
        <f t="shared" si="876"/>
        <v>46507</v>
      </c>
      <c r="W195" s="201">
        <f t="shared" si="876"/>
        <v>46538</v>
      </c>
      <c r="X195" s="201">
        <f t="shared" si="876"/>
        <v>46568</v>
      </c>
      <c r="Y195" s="201">
        <f t="shared" si="876"/>
        <v>46599</v>
      </c>
      <c r="Z195" s="201">
        <f t="shared" si="876"/>
        <v>46630</v>
      </c>
      <c r="AA195" s="201">
        <f t="shared" si="876"/>
        <v>46660</v>
      </c>
      <c r="AB195" s="201">
        <f t="shared" si="876"/>
        <v>46691</v>
      </c>
      <c r="AC195" s="201">
        <f t="shared" si="876"/>
        <v>46721</v>
      </c>
      <c r="AD195" s="201">
        <f t="shared" si="876"/>
        <v>46752</v>
      </c>
      <c r="AE195" s="201">
        <f t="shared" si="876"/>
        <v>46783</v>
      </c>
      <c r="AF195" s="201">
        <f t="shared" si="876"/>
        <v>46812</v>
      </c>
      <c r="AG195" s="201">
        <f t="shared" si="876"/>
        <v>46843</v>
      </c>
      <c r="AH195" s="201">
        <f t="shared" si="876"/>
        <v>46873</v>
      </c>
      <c r="AI195" s="201">
        <f t="shared" si="876"/>
        <v>46904</v>
      </c>
      <c r="AJ195" s="201">
        <f t="shared" si="876"/>
        <v>46934</v>
      </c>
      <c r="AK195" s="201">
        <f t="shared" si="876"/>
        <v>46965</v>
      </c>
      <c r="AL195" s="201">
        <f t="shared" si="876"/>
        <v>46996</v>
      </c>
      <c r="AM195" s="201">
        <f t="shared" si="876"/>
        <v>47026</v>
      </c>
      <c r="AN195" s="201">
        <f t="shared" si="876"/>
        <v>47057</v>
      </c>
      <c r="AO195" s="201">
        <f t="shared" si="876"/>
        <v>47087</v>
      </c>
      <c r="AP195" s="201">
        <f t="shared" si="876"/>
        <v>47118</v>
      </c>
      <c r="AQ195" s="201">
        <f t="shared" si="876"/>
        <v>47149</v>
      </c>
      <c r="AR195" s="201" t="n">
        <f t="shared" ref="AR195:BW195" si="877">IF(AR194="","",AR24)</f>
        <v>47177</v>
      </c>
      <c r="AS195" s="201">
        <f t="shared" si="877"/>
        <v>47208</v>
      </c>
      <c r="AT195" s="201">
        <f t="shared" si="877"/>
        <v>47238</v>
      </c>
      <c r="AU195" s="201">
        <f t="shared" si="877"/>
        <v>47269</v>
      </c>
      <c r="AV195" s="201">
        <f t="shared" si="877"/>
        <v>47299</v>
      </c>
      <c r="AW195" s="201">
        <f t="shared" si="877"/>
        <v>47330</v>
      </c>
      <c r="AX195" s="201">
        <f t="shared" si="877"/>
        <v>47361</v>
      </c>
      <c r="AY195" s="201">
        <f t="shared" si="877"/>
        <v>47391</v>
      </c>
      <c r="AZ195" s="201">
        <f t="shared" si="877"/>
        <v>47422</v>
      </c>
      <c r="BA195" s="201">
        <f t="shared" si="877"/>
        <v>47452</v>
      </c>
      <c r="BB195" s="201">
        <f t="shared" si="877"/>
        <v>47483</v>
      </c>
      <c r="BC195" s="201">
        <f t="shared" si="877"/>
        <v>47514</v>
      </c>
      <c r="BD195" s="201">
        <f t="shared" si="877"/>
        <v>47542</v>
      </c>
      <c r="BE195" s="201">
        <f t="shared" si="877"/>
        <v>47573</v>
      </c>
      <c r="BF195" s="201">
        <f t="shared" si="877"/>
        <v>47603</v>
      </c>
      <c r="BG195" s="201">
        <f t="shared" si="877"/>
        <v>47634</v>
      </c>
      <c r="BH195" s="201">
        <f t="shared" si="877"/>
        <v>47664</v>
      </c>
      <c r="BI195" s="201">
        <f t="shared" si="877"/>
        <v>47695</v>
      </c>
      <c r="BJ195" s="201">
        <f t="shared" si="877"/>
        <v>47726</v>
      </c>
      <c r="BK195" s="201">
        <f t="shared" si="877"/>
        <v>47756</v>
      </c>
      <c r="BL195" s="201">
        <f t="shared" si="877"/>
        <v>47787</v>
      </c>
      <c r="BM195" s="201">
        <f t="shared" si="877"/>
        <v>47817</v>
      </c>
      <c r="BN195" s="201">
        <f t="shared" si="877"/>
        <v>47848</v>
      </c>
      <c r="BO195" s="201">
        <f t="shared" si="877"/>
        <v>47879</v>
      </c>
      <c r="BP195" s="201">
        <f t="shared" si="877"/>
        <v>47907</v>
      </c>
      <c r="BQ195" s="201">
        <f t="shared" si="877"/>
        <v>47938</v>
      </c>
      <c r="BR195" s="201">
        <f t="shared" si="877"/>
        <v>47968</v>
      </c>
      <c r="BS195" s="201">
        <f t="shared" si="877"/>
        <v>47999</v>
      </c>
      <c r="BT195" s="201">
        <f t="shared" si="877"/>
        <v>48029</v>
      </c>
      <c r="BU195" s="201">
        <f t="shared" si="877"/>
        <v>48060</v>
      </c>
      <c r="BV195" s="201" t="str">
        <f t="shared" si="877"/>
      </c>
      <c r="BW195" s="201" t="str">
        <f t="shared" si="877"/>
      </c>
      <c r="BX195" s="201" t="str">
        <f t="shared" ref="BX195:DC195" si="878">IF(BX194="","",BX24)</f>
      </c>
      <c r="BY195" s="201" t="str">
        <f t="shared" si="878"/>
      </c>
      <c r="BZ195" s="201" t="str">
        <f t="shared" si="878"/>
      </c>
      <c r="CA195" s="201" t="str">
        <f t="shared" si="878"/>
      </c>
      <c r="CB195" s="201" t="str">
        <f t="shared" si="878"/>
      </c>
      <c r="CC195" s="201" t="str">
        <f t="shared" si="878"/>
      </c>
      <c r="CD195" s="201" t="str">
        <f t="shared" si="878"/>
      </c>
      <c r="CE195" s="201" t="str">
        <f t="shared" si="878"/>
      </c>
      <c r="CF195" s="201" t="str">
        <f t="shared" si="878"/>
      </c>
      <c r="CG195" s="201" t="str">
        <f t="shared" si="878"/>
      </c>
      <c r="CH195" s="201" t="str">
        <f t="shared" si="878"/>
      </c>
      <c r="CI195" s="201" t="str">
        <f t="shared" si="878"/>
      </c>
      <c r="CJ195" s="201" t="str">
        <f t="shared" si="878"/>
      </c>
      <c r="CK195" s="201" t="str">
        <f t="shared" si="878"/>
      </c>
      <c r="CL195" s="201" t="str">
        <f t="shared" si="878"/>
      </c>
      <c r="CM195" s="201" t="str">
        <f t="shared" si="878"/>
      </c>
      <c r="CN195" s="201" t="str">
        <f t="shared" si="878"/>
      </c>
      <c r="CO195" s="201" t="str">
        <f t="shared" si="878"/>
      </c>
      <c r="CP195" s="201" t="str">
        <f t="shared" si="878"/>
      </c>
      <c r="CQ195" s="201" t="str">
        <f t="shared" si="878"/>
      </c>
      <c r="CR195" s="201" t="str">
        <f t="shared" si="878"/>
      </c>
      <c r="CS195" s="201" t="str">
        <f t="shared" si="878"/>
      </c>
      <c r="CT195" s="201" t="str">
        <f t="shared" si="878"/>
      </c>
      <c r="CU195" s="201" t="str">
        <f t="shared" si="878"/>
      </c>
      <c r="CV195" s="201" t="str">
        <f t="shared" si="878"/>
      </c>
      <c r="CW195" s="201" t="str">
        <f t="shared" si="878"/>
      </c>
      <c r="CX195" s="201" t="str">
        <f t="shared" si="878"/>
      </c>
      <c r="CY195" s="201" t="str">
        <f t="shared" si="878"/>
      </c>
      <c r="CZ195" s="201" t="str">
        <f t="shared" si="878"/>
      </c>
      <c r="DA195" s="201" t="str">
        <f t="shared" si="878"/>
      </c>
      <c r="DB195" s="201" t="str">
        <f t="shared" si="878"/>
      </c>
      <c r="DC195" s="201" t="str">
        <f t="shared" si="878"/>
      </c>
      <c r="DD195" s="201" t="str">
        <f t="shared" ref="DD195:EI195" si="879">IF(DD194="","",DD24)</f>
      </c>
      <c r="DE195" s="201" t="str">
        <f t="shared" si="879"/>
      </c>
      <c r="DF195" s="201" t="str">
        <f t="shared" si="879"/>
      </c>
      <c r="DG195" s="201" t="str">
        <f t="shared" si="879"/>
      </c>
      <c r="DH195" s="201" t="str">
        <f t="shared" si="879"/>
      </c>
      <c r="DI195" s="201" t="str">
        <f t="shared" si="879"/>
      </c>
      <c r="DJ195" s="201" t="str">
        <f t="shared" si="879"/>
      </c>
      <c r="DK195" s="201" t="str">
        <f t="shared" si="879"/>
      </c>
      <c r="DL195" s="201" t="str">
        <f t="shared" si="879"/>
      </c>
      <c r="DM195" s="201" t="str">
        <f t="shared" si="879"/>
      </c>
      <c r="DN195" s="201" t="str">
        <f t="shared" si="879"/>
      </c>
      <c r="DO195" s="201" t="str">
        <f t="shared" si="879"/>
      </c>
      <c r="DP195" s="201" t="str">
        <f t="shared" si="879"/>
      </c>
      <c r="DQ195" s="201" t="str">
        <f t="shared" si="879"/>
      </c>
      <c r="DR195" s="201" t="str">
        <f t="shared" si="879"/>
      </c>
      <c r="DS195" s="201" t="str">
        <f t="shared" si="879"/>
      </c>
      <c r="DT195" s="201" t="str">
        <f t="shared" si="879"/>
      </c>
      <c r="DU195" s="201" t="str">
        <f t="shared" si="879"/>
      </c>
      <c r="DV195" s="201" t="str">
        <f t="shared" si="879"/>
      </c>
      <c r="DW195" s="201" t="str">
        <f t="shared" si="879"/>
      </c>
      <c r="DX195" s="201" t="str">
        <f t="shared" si="879"/>
      </c>
      <c r="DY195" s="201" t="str">
        <f t="shared" si="879"/>
      </c>
      <c r="DZ195" s="201" t="str">
        <f t="shared" si="879"/>
      </c>
      <c r="EA195" s="201" t="str">
        <f t="shared" si="879"/>
      </c>
      <c r="EB195" s="201" t="str">
        <f t="shared" si="879"/>
      </c>
      <c r="EC195" s="201" t="str">
        <f t="shared" si="879"/>
      </c>
      <c r="ED195" s="201" t="str">
        <f t="shared" si="879"/>
      </c>
      <c r="EE195" s="201" t="str">
        <f t="shared" si="879"/>
      </c>
      <c r="EF195" s="201" t="str">
        <f t="shared" si="879"/>
      </c>
      <c r="EG195" s="201" t="str">
        <f t="shared" si="879"/>
      </c>
      <c r="EH195" s="201" t="str">
        <f t="shared" si="879"/>
      </c>
      <c r="EI195" s="201" t="str">
        <f t="shared" si="879"/>
      </c>
      <c r="EJ195" s="201" t="str">
        <f t="shared" ref="EJ195:EN195" si="880">IF(EJ194="","",EJ24)</f>
      </c>
      <c r="EK195" s="201" t="str">
        <f t="shared" si="880"/>
      </c>
      <c r="EL195" s="201" t="str">
        <f t="shared" si="880"/>
      </c>
      <c r="EM195" s="201" t="str">
        <f t="shared" si="880"/>
      </c>
      <c r="EN195" s="201" t="str">
        <f t="shared" si="880"/>
      </c>
      <c r="EP195" s="409"/>
      <c r="EQ195" s="530"/>
      <c r="ER195" s="530"/>
      <c r="ES195" s="530"/>
      <c r="ET195" s="18" t="s">
        <v>360</v>
      </c>
      <c r="EU195" s="18"/>
      <c r="EV195" s="422" t="n">
        <f>AND(EV194&gt;=$G$221,EV194&lt;=Timing_Analysis_End_Month)*$E$221</f>
        <v>0</v>
      </c>
      <c r="EW195" s="422" t="n">
        <f t="shared" ref="EW195:GA195" si="881">AND(EW194&gt;=$G$221,EW194&lt;=Timing_Analysis_End_Month)*$E$221</f>
        <v>0</v>
      </c>
      <c r="EX195" s="422">
        <f t="shared" si="881"/>
        <v>0</v>
      </c>
      <c r="EY195" s="422">
        <f t="shared" si="881"/>
        <v>0</v>
      </c>
      <c r="EZ195" s="422">
        <f t="shared" si="881"/>
        <v>0</v>
      </c>
      <c r="FA195" s="422">
        <f t="shared" si="881"/>
        <v>0</v>
      </c>
      <c r="FB195" s="422">
        <f t="shared" si="881"/>
        <v>0</v>
      </c>
      <c r="FC195" s="422">
        <f t="shared" si="881"/>
        <v>0</v>
      </c>
      <c r="FD195" s="422">
        <f t="shared" si="881"/>
        <v>0</v>
      </c>
      <c r="FE195" s="422">
        <f t="shared" si="881"/>
        <v>0</v>
      </c>
      <c r="FF195" s="422">
        <f t="shared" si="881"/>
        <v>0</v>
      </c>
      <c r="FG195" s="422">
        <f t="shared" si="881"/>
        <v>0</v>
      </c>
      <c r="FH195" s="422">
        <f t="shared" si="881"/>
        <v>0</v>
      </c>
      <c r="FI195" s="422">
        <f t="shared" si="881"/>
        <v>0</v>
      </c>
      <c r="FJ195" s="422">
        <f t="shared" si="881"/>
        <v>0</v>
      </c>
      <c r="FK195" s="422">
        <f t="shared" si="881"/>
        <v>0</v>
      </c>
      <c r="FL195" s="422">
        <f t="shared" si="881"/>
        <v>0</v>
      </c>
      <c r="FM195" s="422">
        <f t="shared" si="881"/>
        <v>0</v>
      </c>
      <c r="FN195" s="422">
        <f t="shared" si="881"/>
        <v>0</v>
      </c>
      <c r="FO195" s="422">
        <f t="shared" si="881"/>
        <v>0</v>
      </c>
      <c r="FP195" s="422">
        <f t="shared" si="881"/>
        <v>0</v>
      </c>
      <c r="FQ195" s="422">
        <f t="shared" si="881"/>
        <v>0</v>
      </c>
      <c r="FR195" s="422">
        <f t="shared" si="881"/>
        <v>0</v>
      </c>
      <c r="FS195" s="422">
        <f t="shared" si="881"/>
        <v>0</v>
      </c>
      <c r="FT195" s="422">
        <f t="shared" si="881"/>
        <v>0</v>
      </c>
      <c r="FU195" s="422">
        <f t="shared" si="881"/>
        <v>0</v>
      </c>
      <c r="FV195" s="422">
        <f t="shared" si="881"/>
        <v>0</v>
      </c>
      <c r="FW195" s="422">
        <f t="shared" si="881"/>
        <v>0</v>
      </c>
      <c r="FX195" s="422">
        <f t="shared" si="881"/>
        <v>0</v>
      </c>
      <c r="FY195" s="422">
        <f t="shared" si="881"/>
        <v>0</v>
      </c>
      <c r="FZ195" s="422">
        <f t="shared" si="881"/>
        <v>0</v>
      </c>
      <c r="GA195" s="422">
        <f t="shared" si="881"/>
        <v>0</v>
      </c>
      <c r="GB195" s="422" t="n">
        <f t="shared" ref="GB195:HG195" si="882">AND(GB194&gt;=$G$221,GB194&lt;=Timing_Analysis_End_Month)*$E$221</f>
        <v>0</v>
      </c>
      <c r="GC195" s="422">
        <f t="shared" si="882"/>
        <v>0</v>
      </c>
      <c r="GD195" s="422">
        <f t="shared" si="882"/>
        <v>0</v>
      </c>
      <c r="GE195" s="422">
        <f t="shared" si="882"/>
        <v>0</v>
      </c>
      <c r="GF195" s="422">
        <f t="shared" si="882"/>
        <v>0</v>
      </c>
      <c r="GG195" s="422">
        <f t="shared" si="882"/>
        <v>0</v>
      </c>
      <c r="GH195" s="422">
        <f t="shared" si="882"/>
        <v>0</v>
      </c>
      <c r="GI195" s="422">
        <f t="shared" si="882"/>
        <v>0</v>
      </c>
      <c r="GJ195" s="422">
        <f t="shared" si="882"/>
        <v>0</v>
      </c>
      <c r="GK195" s="422">
        <f t="shared" si="882"/>
        <v>0</v>
      </c>
      <c r="GL195" s="422">
        <f t="shared" si="882"/>
        <v>0</v>
      </c>
      <c r="GM195" s="422">
        <f t="shared" si="882"/>
        <v>0</v>
      </c>
      <c r="GN195" s="422">
        <f t="shared" si="882"/>
        <v>0</v>
      </c>
      <c r="GO195" s="422">
        <f t="shared" si="882"/>
        <v>0</v>
      </c>
      <c r="GP195" s="422">
        <f t="shared" si="882"/>
        <v>0</v>
      </c>
      <c r="GQ195" s="422">
        <f t="shared" si="882"/>
        <v>0</v>
      </c>
      <c r="GR195" s="422">
        <f t="shared" si="882"/>
        <v>0</v>
      </c>
      <c r="GS195" s="422">
        <f t="shared" si="882"/>
        <v>139586.18376153338</v>
      </c>
      <c r="GT195" s="422">
        <f t="shared" si="882"/>
        <v>139586.18376153338</v>
      </c>
      <c r="GU195" s="422">
        <f t="shared" si="882"/>
        <v>139586.18376153338</v>
      </c>
      <c r="GV195" s="422">
        <f t="shared" si="882"/>
        <v>139586.18376153338</v>
      </c>
      <c r="GW195" s="422">
        <f t="shared" si="882"/>
        <v>139586.18376153338</v>
      </c>
      <c r="GX195" s="422">
        <f t="shared" si="882"/>
        <v>139586.18376153338</v>
      </c>
      <c r="GY195" s="422">
        <f t="shared" si="882"/>
        <v>139586.18376153338</v>
      </c>
      <c r="GZ195" s="422">
        <f t="shared" si="882"/>
        <v>139586.18376153338</v>
      </c>
      <c r="HA195" s="422">
        <f t="shared" si="882"/>
        <v>139586.18376153338</v>
      </c>
      <c r="HB195" s="422">
        <f t="shared" si="882"/>
        <v>139586.18376153338</v>
      </c>
      <c r="HC195" s="422">
        <f t="shared" si="882"/>
        <v>139586.18376153338</v>
      </c>
      <c r="HD195" s="422">
        <f t="shared" si="882"/>
        <v>139586.18376153338</v>
      </c>
      <c r="HE195" s="422">
        <f t="shared" si="882"/>
        <v>139586.18376153338</v>
      </c>
      <c r="HF195" s="422">
        <f t="shared" si="882"/>
        <v>0</v>
      </c>
      <c r="HG195" s="422">
        <f t="shared" si="882"/>
        <v>0</v>
      </c>
      <c r="HH195" s="422" t="n">
        <f t="shared" ref="HH195:IM195" si="883">AND(HH194&gt;=$G$221,HH194&lt;=Timing_Analysis_End_Month)*$E$221</f>
        <v>0</v>
      </c>
      <c r="HI195" s="422">
        <f t="shared" si="883"/>
        <v>0</v>
      </c>
      <c r="HJ195" s="422">
        <f t="shared" si="883"/>
        <v>0</v>
      </c>
      <c r="HK195" s="422">
        <f t="shared" si="883"/>
        <v>0</v>
      </c>
      <c r="HL195" s="422">
        <f t="shared" si="883"/>
        <v>0</v>
      </c>
      <c r="HM195" s="422">
        <f t="shared" si="883"/>
        <v>0</v>
      </c>
      <c r="HN195" s="422">
        <f t="shared" si="883"/>
        <v>0</v>
      </c>
      <c r="HO195" s="422">
        <f t="shared" si="883"/>
        <v>0</v>
      </c>
      <c r="HP195" s="422">
        <f t="shared" si="883"/>
        <v>0</v>
      </c>
      <c r="HQ195" s="422">
        <f t="shared" si="883"/>
        <v>0</v>
      </c>
      <c r="HR195" s="422">
        <f t="shared" si="883"/>
        <v>0</v>
      </c>
      <c r="HS195" s="422">
        <f t="shared" si="883"/>
        <v>0</v>
      </c>
      <c r="HT195" s="422">
        <f t="shared" si="883"/>
        <v>0</v>
      </c>
      <c r="HU195" s="422">
        <f t="shared" si="883"/>
        <v>0</v>
      </c>
      <c r="HV195" s="422">
        <f t="shared" si="883"/>
        <v>0</v>
      </c>
      <c r="HW195" s="422">
        <f t="shared" si="883"/>
        <v>0</v>
      </c>
      <c r="HX195" s="422">
        <f t="shared" si="883"/>
        <v>0</v>
      </c>
      <c r="HY195" s="422">
        <f t="shared" si="883"/>
        <v>0</v>
      </c>
      <c r="HZ195" s="422">
        <f t="shared" si="883"/>
        <v>0</v>
      </c>
      <c r="IA195" s="422">
        <f t="shared" si="883"/>
        <v>0</v>
      </c>
      <c r="IB195" s="422">
        <f t="shared" si="883"/>
        <v>0</v>
      </c>
      <c r="IC195" s="422">
        <f t="shared" si="883"/>
        <v>0</v>
      </c>
      <c r="ID195" s="422">
        <f t="shared" si="883"/>
        <v>0</v>
      </c>
      <c r="IE195" s="422">
        <f t="shared" si="883"/>
        <v>0</v>
      </c>
      <c r="IF195" s="422">
        <f t="shared" si="883"/>
        <v>0</v>
      </c>
      <c r="IG195" s="422">
        <f t="shared" si="883"/>
        <v>0</v>
      </c>
      <c r="IH195" s="422">
        <f t="shared" si="883"/>
        <v>0</v>
      </c>
      <c r="II195" s="422">
        <f t="shared" si="883"/>
        <v>0</v>
      </c>
      <c r="IJ195" s="422">
        <f t="shared" si="883"/>
        <v>0</v>
      </c>
      <c r="IK195" s="422">
        <f t="shared" si="883"/>
        <v>0</v>
      </c>
      <c r="IL195" s="422">
        <f t="shared" si="883"/>
        <v>0</v>
      </c>
      <c r="IM195" s="422">
        <f t="shared" si="883"/>
        <v>0</v>
      </c>
      <c r="IN195" s="422" t="n">
        <f t="shared" ref="IN195:JS195" si="884">AND(IN194&gt;=$G$221,IN194&lt;=Timing_Analysis_End_Month)*$E$221</f>
        <v>0</v>
      </c>
      <c r="IO195" s="422">
        <f t="shared" si="884"/>
        <v>0</v>
      </c>
      <c r="IP195" s="422">
        <f t="shared" si="884"/>
        <v>0</v>
      </c>
      <c r="IQ195" s="422">
        <f t="shared" si="884"/>
        <v>0</v>
      </c>
      <c r="IR195" s="422">
        <f t="shared" si="884"/>
        <v>0</v>
      </c>
      <c r="IS195" s="422">
        <f t="shared" si="884"/>
        <v>0</v>
      </c>
      <c r="IT195" s="422">
        <f t="shared" si="884"/>
        <v>0</v>
      </c>
      <c r="IU195" s="422">
        <f t="shared" si="884"/>
        <v>0</v>
      </c>
      <c r="IV195" s="422">
        <f t="shared" si="884"/>
        <v>0</v>
      </c>
      <c r="IW195" s="422">
        <f t="shared" si="884"/>
        <v>0</v>
      </c>
      <c r="IX195" s="422">
        <f t="shared" si="884"/>
        <v>0</v>
      </c>
      <c r="IY195" s="422">
        <f t="shared" si="884"/>
        <v>0</v>
      </c>
      <c r="IZ195" s="422">
        <f t="shared" si="884"/>
        <v>0</v>
      </c>
      <c r="JA195" s="422">
        <f t="shared" si="884"/>
        <v>0</v>
      </c>
      <c r="JB195" s="422">
        <f t="shared" si="884"/>
        <v>0</v>
      </c>
      <c r="JC195" s="422">
        <f t="shared" si="884"/>
        <v>0</v>
      </c>
      <c r="JD195" s="422">
        <f t="shared" si="884"/>
        <v>0</v>
      </c>
      <c r="JE195" s="422">
        <f t="shared" si="884"/>
        <v>0</v>
      </c>
      <c r="JF195" s="422">
        <f t="shared" si="884"/>
        <v>0</v>
      </c>
      <c r="JG195" s="422">
        <f t="shared" si="884"/>
        <v>0</v>
      </c>
      <c r="JH195" s="422">
        <f t="shared" si="884"/>
        <v>0</v>
      </c>
      <c r="JI195" s="422">
        <f t="shared" si="884"/>
        <v>0</v>
      </c>
      <c r="JJ195" s="422">
        <f t="shared" si="884"/>
        <v>0</v>
      </c>
      <c r="JK195" s="422">
        <f t="shared" si="884"/>
        <v>0</v>
      </c>
      <c r="JL195" s="422">
        <f t="shared" si="884"/>
        <v>0</v>
      </c>
      <c r="JM195" s="422">
        <f t="shared" si="884"/>
        <v>0</v>
      </c>
      <c r="JN195" s="422">
        <f t="shared" si="884"/>
        <v>0</v>
      </c>
      <c r="JO195" s="422">
        <f t="shared" si="884"/>
        <v>0</v>
      </c>
      <c r="JP195" s="422">
        <f t="shared" si="884"/>
        <v>0</v>
      </c>
      <c r="JQ195" s="422">
        <f t="shared" si="884"/>
        <v>0</v>
      </c>
      <c r="JR195" s="422">
        <f t="shared" si="884"/>
        <v>0</v>
      </c>
      <c r="JS195" s="422">
        <f t="shared" si="884"/>
        <v>0</v>
      </c>
      <c r="JT195" s="422" t="n">
        <f t="shared" ref="JT195:JX195" si="885">AND(JT194&gt;=$G$221,JT194&lt;=Timing_Analysis_End_Month)*$E$221</f>
        <v>0</v>
      </c>
      <c r="JU195" s="422">
        <f t="shared" si="885"/>
        <v>0</v>
      </c>
      <c r="JV195" s="422">
        <f t="shared" si="885"/>
        <v>0</v>
      </c>
      <c r="JW195" s="422">
        <f t="shared" si="885"/>
        <v>0</v>
      </c>
      <c r="JX195" s="422">
        <f t="shared" si="885"/>
        <v>0</v>
      </c>
      <c r="JZ195" s="263"/>
      <c r="KA195" s="263"/>
      <c r="KB195" s="263"/>
      <c r="KC195" s="263"/>
      <c r="KD195" s="263"/>
      <c r="KE195" s="263"/>
      <c r="KF195" s="263"/>
      <c r="KG195" s="263"/>
      <c r="KH195" s="263"/>
      <c r="KI195" s="263"/>
      <c r="KJ195" s="263"/>
      <c r="KK195" s="263"/>
      <c r="KL195" s="263"/>
      <c r="KM195" s="263"/>
      <c r="KN195" s="263"/>
      <c r="KO195" s="263"/>
      <c r="KP195" s="263"/>
      <c r="KQ195" s="263"/>
      <c r="KR195" s="263"/>
      <c r="KS195" s="263"/>
      <c r="KT195" s="263"/>
      <c r="KU195" s="263"/>
      <c r="KV195" s="263"/>
      <c r="KW195" s="263"/>
      <c r="KX195" s="263"/>
      <c r="KY195" s="263"/>
      <c r="KZ195" s="263"/>
      <c r="LA195" s="263"/>
      <c r="LB195" s="263"/>
      <c r="LC195" s="263"/>
      <c r="LD195" s="263"/>
      <c r="LE195" s="263"/>
      <c r="LF195" s="263"/>
      <c r="LG195" s="263"/>
      <c r="LH195" s="263"/>
      <c r="LI195" s="263"/>
      <c r="LJ195" s="263"/>
      <c r="LK195" s="263"/>
      <c r="LL195" s="263"/>
      <c r="LM195" s="263"/>
      <c r="LN195" s="263"/>
      <c r="LO195" s="263"/>
      <c r="LP195" s="263"/>
      <c r="LQ195" s="263"/>
      <c r="LR195" s="263"/>
      <c r="LS195" s="263"/>
      <c r="LT195" s="263"/>
      <c r="LU195" s="263"/>
      <c r="LV195" s="263"/>
      <c r="LW195" s="263"/>
      <c r="LX195" s="263"/>
      <c r="LY195" s="263"/>
      <c r="LZ195" s="263"/>
      <c r="MA195" s="263"/>
      <c r="MB195" s="263"/>
      <c r="MC195" s="263"/>
      <c r="MD195" s="263"/>
      <c r="ME195" s="263"/>
      <c r="MF195" s="263"/>
      <c r="MG195" s="263"/>
      <c r="MH195" s="263"/>
      <c r="MI195" s="263"/>
      <c r="MJ195" s="263"/>
      <c r="MK195" s="263"/>
      <c r="ML195" s="263"/>
      <c r="MM195" s="263"/>
      <c r="MN195" s="263"/>
      <c r="MO195" s="263"/>
      <c r="MP195" s="263"/>
      <c r="MQ195" s="263"/>
      <c r="MR195" s="263"/>
      <c r="MS195" s="263"/>
      <c r="MT195" s="263"/>
      <c r="MU195" s="263"/>
      <c r="MV195" s="263"/>
      <c r="MW195" s="263"/>
      <c r="MX195" s="263"/>
      <c r="MY195" s="263"/>
      <c r="MZ195" s="263"/>
      <c r="NA195" s="263"/>
      <c r="NB195" s="263"/>
      <c r="NC195" s="263"/>
      <c r="ND195" s="263"/>
      <c r="NE195" s="263"/>
      <c r="NF195" s="263"/>
      <c r="NG195" s="263"/>
      <c r="NH195" s="263"/>
      <c r="NI195" s="263"/>
      <c r="NJ195" s="263"/>
      <c r="NK195" s="263"/>
      <c r="NL195" s="263"/>
      <c r="NM195" s="263"/>
      <c r="NN195" s="263"/>
      <c r="NO195" s="263"/>
      <c r="NP195" s="263"/>
      <c r="NQ195" s="263"/>
      <c r="NR195" s="263"/>
      <c r="NS195" s="263"/>
      <c r="NT195" s="263"/>
      <c r="NU195" s="263"/>
      <c r="NV195" s="263"/>
      <c r="NW195" s="263"/>
      <c r="NX195" s="263"/>
      <c r="NY195" s="263"/>
      <c r="NZ195" s="263"/>
      <c r="OA195" s="263"/>
      <c r="OB195" s="263"/>
      <c r="OC195" s="263"/>
      <c r="OD195" s="263"/>
      <c r="OE195" s="263"/>
      <c r="OF195" s="263"/>
      <c r="OG195" s="263"/>
      <c r="OH195" s="263"/>
      <c r="OI195" s="263"/>
      <c r="OJ195" s="263"/>
      <c r="OK195" s="263"/>
      <c r="OL195" s="263"/>
      <c r="OM195" s="263"/>
      <c r="ON195" s="263"/>
      <c r="OO195" s="263"/>
      <c r="OP195" s="263"/>
      <c r="OQ195" s="263"/>
      <c r="OR195" s="263"/>
      <c r="OS195" s="263"/>
      <c r="OT195" s="263"/>
      <c r="OU195" s="263"/>
      <c r="OV195" s="263"/>
      <c r="OW195" s="263"/>
      <c r="OX195" s="263"/>
      <c r="OY195" s="263"/>
      <c r="OZ195" s="263"/>
      <c r="PA195" s="263"/>
      <c r="PB195" s="263"/>
      <c r="PC195" s="263"/>
      <c r="PD195" s="263"/>
      <c r="PE195" s="263"/>
      <c r="PF195" s="263"/>
      <c r="PG195" s="263"/>
      <c r="PH195" s="263"/>
    </row>
    <row r="196">
      <c r="B196" s="34" t="s">
        <v>361</v>
      </c>
      <c r="C196" s="404"/>
      <c r="D196" s="404"/>
      <c r="E196" s="404"/>
      <c r="F196" s="404"/>
      <c r="G196" s="404"/>
      <c r="H196" s="41"/>
      <c r="I196" s="449" t="n">
        <f>SUM(L196:EN196)</f>
        <v>320453758.3794259</v>
      </c>
      <c r="L196" s="421" t="str">
        <f t="shared" ref="L196:AQ196" si="886">IF(L194="","",L31+L38+L47)</f>
      </c>
      <c r="M196" s="421">
        <f t="shared" si="886"/>
        <v>-100892.8237358164</v>
      </c>
      <c r="N196" s="421">
        <f t="shared" si="886"/>
        <v>170317.57335215877</v>
      </c>
      <c r="O196" s="421">
        <f t="shared" si="886"/>
        <v>557650.6541499208</v>
      </c>
      <c r="P196" s="421">
        <f t="shared" si="886"/>
        <v>1094287.4844426755</v>
      </c>
      <c r="Q196" s="421">
        <f t="shared" si="886"/>
        <v>1815120.9716493976</v>
      </c>
      <c r="R196" s="421">
        <f t="shared" si="886"/>
        <v>2753177.670029392</v>
      </c>
      <c r="S196" s="421">
        <f t="shared" si="886"/>
        <v>3934760.112479771</v>
      </c>
      <c r="T196" s="421">
        <f t="shared" si="886"/>
        <v>5373664.2575455848</v>
      </c>
      <c r="U196" s="421">
        <f t="shared" si="886"/>
        <v>7065163.6515838141</v>
      </c>
      <c r="V196" s="421">
        <f t="shared" si="886"/>
        <v>8980751.963331705</v>
      </c>
      <c r="W196" s="421">
        <f t="shared" si="886"/>
        <v>11064805.605489833</v>
      </c>
      <c r="X196" s="421">
        <f t="shared" si="886"/>
        <v>13234281.137995301</v>
      </c>
      <c r="Y196" s="421">
        <f t="shared" si="886"/>
        <v>15382246.512724983</v>
      </c>
      <c r="Z196" s="421">
        <f t="shared" si="886"/>
        <v>17385471.482058503</v>
      </c>
      <c r="AA196" s="421">
        <f t="shared" si="886"/>
        <v>19115556.058013067</v>
      </c>
      <c r="AB196" s="421">
        <f t="shared" si="886"/>
        <v>20452308.068071321</v>
      </c>
      <c r="AC196" s="421">
        <f t="shared" si="886"/>
        <v>21297476.217184056</v>
      </c>
      <c r="AD196" s="421">
        <f t="shared" si="886"/>
        <v>21586672.281520337</v>
      </c>
      <c r="AE196" s="421">
        <f t="shared" si="886"/>
        <v>21297476.217184074</v>
      </c>
      <c r="AF196" s="421">
        <f t="shared" si="886"/>
        <v>20452308.068071283</v>
      </c>
      <c r="AG196" s="421">
        <f t="shared" si="886"/>
        <v>19115556.058013104</v>
      </c>
      <c r="AH196" s="421">
        <f t="shared" si="886"/>
        <v>17385471.482058477</v>
      </c>
      <c r="AI196" s="421">
        <f t="shared" si="886"/>
        <v>15382246.512724983</v>
      </c>
      <c r="AJ196" s="421">
        <f t="shared" si="886"/>
        <v>13234281.137995327</v>
      </c>
      <c r="AK196" s="421">
        <f t="shared" si="886"/>
        <v>11064805.605489803</v>
      </c>
      <c r="AL196" s="421">
        <f t="shared" si="886"/>
        <v>8980751.963331705</v>
      </c>
      <c r="AM196" s="421">
        <f t="shared" si="886"/>
        <v>7065163.6515838383</v>
      </c>
      <c r="AN196" s="421">
        <f t="shared" si="886"/>
        <v>5373664.257545568</v>
      </c>
      <c r="AO196" s="421">
        <f t="shared" si="886"/>
        <v>3934760.112479772</v>
      </c>
      <c r="AP196" s="421">
        <f t="shared" si="886"/>
        <v>2753177.670029406</v>
      </c>
      <c r="AQ196" s="421">
        <f t="shared" si="886"/>
        <v>1815120.9716493823</v>
      </c>
      <c r="AR196" s="421" t="n">
        <f t="shared" ref="AR196:BW196" si="887">IF(AR194="","",AR31+AR38+AR47)</f>
        <v>1094287.4844426815</v>
      </c>
      <c r="AS196" s="421">
        <f t="shared" si="887"/>
        <v>557650.6541499017</v>
      </c>
      <c r="AT196" s="421">
        <f t="shared" si="887"/>
        <v>170317.57335218112</v>
      </c>
      <c r="AU196" s="421">
        <f t="shared" si="887"/>
        <v>-100892.82373583224</v>
      </c>
      <c r="AV196" s="421">
        <f t="shared" si="887"/>
        <v>-285207.09482578107</v>
      </c>
      <c r="AW196" s="421">
        <f t="shared" si="887"/>
        <v>0</v>
      </c>
      <c r="AX196" s="421">
        <f t="shared" si="887"/>
        <v>0</v>
      </c>
      <c r="AY196" s="421">
        <f t="shared" si="887"/>
        <v>0</v>
      </c>
      <c r="AZ196" s="421">
        <f t="shared" si="887"/>
        <v>0</v>
      </c>
      <c r="BA196" s="421">
        <f t="shared" si="887"/>
        <v>0</v>
      </c>
      <c r="BB196" s="421">
        <f t="shared" si="887"/>
        <v>0</v>
      </c>
      <c r="BC196" s="421">
        <f t="shared" si="887"/>
        <v>0</v>
      </c>
      <c r="BD196" s="76">
        <f t="shared" si="887"/>
        <v>0</v>
      </c>
      <c r="BE196" s="76">
        <f t="shared" si="887"/>
        <v>0</v>
      </c>
      <c r="BF196" s="76">
        <f t="shared" si="887"/>
        <v>0</v>
      </c>
      <c r="BG196" s="76">
        <f t="shared" si="887"/>
        <v>0</v>
      </c>
      <c r="BH196" s="76">
        <f t="shared" si="887"/>
        <v>0</v>
      </c>
      <c r="BI196" s="76">
        <f t="shared" si="887"/>
        <v>0</v>
      </c>
      <c r="BJ196" s="76">
        <f t="shared" si="887"/>
        <v>0</v>
      </c>
      <c r="BK196" s="76">
        <f t="shared" si="887"/>
        <v>0</v>
      </c>
      <c r="BL196" s="76">
        <f t="shared" si="887"/>
        <v>0</v>
      </c>
      <c r="BM196" s="76">
        <f t="shared" si="887"/>
        <v>0</v>
      </c>
      <c r="BN196" s="76">
        <f t="shared" si="887"/>
        <v>0</v>
      </c>
      <c r="BO196" s="76">
        <f t="shared" si="887"/>
        <v>0</v>
      </c>
      <c r="BP196" s="76">
        <f t="shared" si="887"/>
        <v>0</v>
      </c>
      <c r="BQ196" s="76">
        <f t="shared" si="887"/>
        <v>0</v>
      </c>
      <c r="BR196" s="76">
        <f t="shared" si="887"/>
        <v>0</v>
      </c>
      <c r="BS196" s="76">
        <f t="shared" si="887"/>
        <v>0</v>
      </c>
      <c r="BT196" s="76">
        <f t="shared" si="887"/>
        <v>0</v>
      </c>
      <c r="BU196" s="76">
        <f t="shared" si="887"/>
        <v>0</v>
      </c>
      <c r="BV196" s="76" t="str">
        <f t="shared" si="887"/>
      </c>
      <c r="BW196" s="76" t="str">
        <f t="shared" si="887"/>
      </c>
      <c r="BX196" s="76" t="str">
        <f t="shared" ref="BX196:DC196" si="888">IF(BX194="","",BX31+BX38+BX47)</f>
      </c>
      <c r="BY196" s="76" t="str">
        <f t="shared" si="888"/>
      </c>
      <c r="BZ196" s="76" t="str">
        <f t="shared" si="888"/>
      </c>
      <c r="CA196" s="76" t="str">
        <f t="shared" si="888"/>
      </c>
      <c r="CB196" s="76" t="str">
        <f t="shared" si="888"/>
      </c>
      <c r="CC196" s="76" t="str">
        <f t="shared" si="888"/>
      </c>
      <c r="CD196" s="76" t="str">
        <f t="shared" si="888"/>
      </c>
      <c r="CE196" s="76" t="str">
        <f t="shared" si="888"/>
      </c>
      <c r="CF196" s="76" t="str">
        <f t="shared" si="888"/>
      </c>
      <c r="CG196" s="76" t="str">
        <f t="shared" si="888"/>
      </c>
      <c r="CH196" s="76" t="str">
        <f t="shared" si="888"/>
      </c>
      <c r="CI196" s="76" t="str">
        <f t="shared" si="888"/>
      </c>
      <c r="CJ196" s="76" t="str">
        <f t="shared" si="888"/>
      </c>
      <c r="CK196" s="76" t="str">
        <f t="shared" si="888"/>
      </c>
      <c r="CL196" s="76" t="str">
        <f t="shared" si="888"/>
      </c>
      <c r="CM196" s="76" t="str">
        <f t="shared" si="888"/>
      </c>
      <c r="CN196" s="76" t="str">
        <f t="shared" si="888"/>
      </c>
      <c r="CO196" s="76" t="str">
        <f t="shared" si="888"/>
      </c>
      <c r="CP196" s="76" t="str">
        <f t="shared" si="888"/>
      </c>
      <c r="CQ196" s="76" t="str">
        <f t="shared" si="888"/>
      </c>
      <c r="CR196" s="76" t="str">
        <f t="shared" si="888"/>
      </c>
      <c r="CS196" s="76" t="str">
        <f t="shared" si="888"/>
      </c>
      <c r="CT196" s="76" t="str">
        <f t="shared" si="888"/>
      </c>
      <c r="CU196" s="76" t="str">
        <f t="shared" si="888"/>
      </c>
      <c r="CV196" s="76" t="str">
        <f t="shared" si="888"/>
      </c>
      <c r="CW196" s="76" t="str">
        <f t="shared" si="888"/>
      </c>
      <c r="CX196" s="76" t="str">
        <f t="shared" si="888"/>
      </c>
      <c r="CY196" s="76" t="str">
        <f t="shared" si="888"/>
      </c>
      <c r="CZ196" s="76" t="str">
        <f t="shared" si="888"/>
      </c>
      <c r="DA196" s="76" t="str">
        <f t="shared" si="888"/>
      </c>
      <c r="DB196" s="76" t="str">
        <f t="shared" si="888"/>
      </c>
      <c r="DC196" s="76" t="str">
        <f t="shared" si="888"/>
      </c>
      <c r="DD196" s="76" t="str">
        <f t="shared" ref="DD196:EN196" si="889">IF(DD194="","",DD31+DD38+DD47)</f>
      </c>
      <c r="DE196" s="76" t="str">
        <f t="shared" si="889"/>
      </c>
      <c r="DF196" s="76" t="str">
        <f t="shared" si="889"/>
      </c>
      <c r="DG196" s="76" t="str">
        <f t="shared" si="889"/>
      </c>
      <c r="DH196" s="76" t="str">
        <f t="shared" si="889"/>
      </c>
      <c r="DI196" s="76" t="str">
        <f t="shared" si="889"/>
      </c>
      <c r="DJ196" s="76" t="str">
        <f t="shared" si="889"/>
      </c>
      <c r="DK196" s="76" t="str">
        <f t="shared" si="889"/>
      </c>
      <c r="DL196" s="76" t="str">
        <f t="shared" si="889"/>
      </c>
      <c r="DM196" s="76" t="str">
        <f t="shared" si="889"/>
      </c>
      <c r="DN196" s="76" t="str">
        <f t="shared" si="889"/>
      </c>
      <c r="DO196" s="76" t="str">
        <f t="shared" si="889"/>
      </c>
      <c r="DP196" s="76" t="str">
        <f t="shared" si="889"/>
      </c>
      <c r="DQ196" s="76" t="str">
        <f t="shared" si="889"/>
      </c>
      <c r="DR196" s="76" t="str">
        <f t="shared" si="889"/>
      </c>
      <c r="DS196" s="76" t="str">
        <f t="shared" si="889"/>
      </c>
      <c r="DT196" s="76" t="str">
        <f t="shared" si="889"/>
      </c>
      <c r="DU196" s="76" t="str">
        <f t="shared" si="889"/>
      </c>
      <c r="DV196" s="76" t="str">
        <f t="shared" si="889"/>
      </c>
      <c r="DW196" s="76" t="str">
        <f t="shared" si="889"/>
      </c>
      <c r="DX196" s="76" t="str">
        <f t="shared" si="889"/>
      </c>
      <c r="DY196" s="76" t="str">
        <f t="shared" si="889"/>
      </c>
      <c r="DZ196" s="76" t="str">
        <f t="shared" si="889"/>
      </c>
      <c r="EA196" s="76" t="str">
        <f t="shared" si="889"/>
      </c>
      <c r="EB196" s="76" t="str">
        <f t="shared" si="889"/>
      </c>
      <c r="EC196" s="76" t="str">
        <f t="shared" si="889"/>
      </c>
      <c r="ED196" s="76" t="str">
        <f t="shared" si="889"/>
      </c>
      <c r="EE196" s="76" t="str">
        <f t="shared" si="889"/>
      </c>
      <c r="EF196" s="76" t="str">
        <f t="shared" si="889"/>
      </c>
      <c r="EG196" s="76" t="str">
        <f t="shared" si="889"/>
      </c>
      <c r="EH196" s="76" t="str">
        <f t="shared" si="889"/>
      </c>
      <c r="EI196" s="76" t="str">
        <f t="shared" si="889"/>
      </c>
      <c r="EJ196" s="76" t="str">
        <f t="shared" si="889"/>
      </c>
      <c r="EK196" s="76" t="str">
        <f t="shared" si="889"/>
      </c>
      <c r="EL196" s="76" t="str">
        <f t="shared" si="889"/>
      </c>
      <c r="EM196" s="76" t="str">
        <f t="shared" si="889"/>
      </c>
      <c r="EN196" s="76" t="str">
        <f t="shared" si="889"/>
      </c>
      <c r="EP196" s="533" t="s">
        <v>362</v>
      </c>
      <c r="EQ196" s="530"/>
      <c r="ER196" s="530"/>
      <c r="ES196" s="530"/>
      <c r="ET196" s="18" t="s">
        <v>363</v>
      </c>
      <c r="EU196" s="18"/>
      <c r="EV196" s="422" t="n">
        <f>IF(L212="",0,L212-EV195)</f>
        <v>0</v>
      </c>
      <c r="EW196" s="422" t="n">
        <f t="shared" ref="EW196:HH196" si="890">IF(M212="",0,M212-EW195)</f>
        <v>413948.37929137197</v>
      </c>
      <c r="EX196" s="422">
        <f t="shared" si="890"/>
        <v>142737.98220339679</v>
      </c>
      <c r="EY196" s="422">
        <f t="shared" si="890"/>
        <v>-244595.09859436523</v>
      </c>
      <c r="EZ196" s="422">
        <f t="shared" si="890"/>
        <v>-781231.92888711998</v>
      </c>
      <c r="FA196" s="422">
        <f t="shared" si="890"/>
        <v>-1616404.3057297477</v>
      </c>
      <c r="FB196" s="422">
        <f t="shared" si="890"/>
        <v>-1855172.6038037571</v>
      </c>
      <c r="FC196" s="422">
        <f t="shared" si="890"/>
        <v>-3036761.4778166781</v>
      </c>
      <c r="FD196" s="422">
        <f t="shared" si="890"/>
        <v>-4475672.1026817523</v>
      </c>
      <c r="FE196" s="422">
        <f t="shared" si="890"/>
        <v>-6167178.0251177372</v>
      </c>
      <c r="FF196" s="422">
        <f t="shared" si="890"/>
        <v>-8082772.9142263671</v>
      </c>
      <c r="FG196" s="422">
        <f t="shared" si="890"/>
        <v>-10166833.183075439</v>
      </c>
      <c r="FH196" s="422">
        <f t="shared" si="890"/>
        <v>-12336315.391972035</v>
      </c>
      <c r="FI196" s="422">
        <f t="shared" si="890"/>
        <v>-14484287.493165776</v>
      </c>
      <c r="FJ196" s="422">
        <f t="shared" si="890"/>
        <v>-16487519.239411835</v>
      </c>
      <c r="FK196" s="422">
        <f t="shared" si="890"/>
        <v>-18217610.643105783</v>
      </c>
      <c r="FL196" s="422">
        <f t="shared" si="890"/>
        <v>-3404701.9096873729</v>
      </c>
      <c r="FM196" s="422">
        <f t="shared" si="890"/>
        <v>853119.55281024228</v>
      </c>
      <c r="FN196" s="422">
        <f t="shared" si="890"/>
        <v>3665053.5541383428</v>
      </c>
      <c r="FO196" s="422">
        <f t="shared" si="890"/>
        <v>3410662.1015776722</v>
      </c>
      <c r="FP196" s="422">
        <f t="shared" si="890"/>
        <v>3247961.4392093075</v>
      </c>
      <c r="FQ196" s="422">
        <f t="shared" si="890"/>
        <v>3879141.5832031192</v>
      </c>
      <c r="FR196" s="422">
        <f t="shared" si="890"/>
        <v>3730403.2008891301</v>
      </c>
      <c r="FS196" s="422">
        <f t="shared" si="890"/>
        <v>3593524.9150274647</v>
      </c>
      <c r="FT196" s="422">
        <f t="shared" si="890"/>
        <v>3776172.9559091972</v>
      </c>
      <c r="FU196" s="422">
        <f t="shared" si="890"/>
        <v>3668480.4053410282</v>
      </c>
      <c r="FV196" s="422">
        <f t="shared" si="890"/>
        <v>3576251.227137384</v>
      </c>
      <c r="FW196" s="422">
        <f t="shared" si="890"/>
        <v>3687043.5329968771</v>
      </c>
      <c r="FX196" s="422">
        <f t="shared" si="890"/>
        <v>2995370.3668411849</v>
      </c>
      <c r="FY196" s="422">
        <f t="shared" si="890"/>
        <v>1576563.4029267943</v>
      </c>
      <c r="FZ196" s="422">
        <f t="shared" si="890"/>
        <v>2641225.1199580738</v>
      </c>
      <c r="GA196" s="422">
        <f t="shared" si="890"/>
        <v>3037129.1260873023</v>
      </c>
      <c r="GB196" s="422">
        <f t="shared" si="890"/>
        <v>3331940.0298578748</v>
      </c>
      <c r="GC196" s="422">
        <f t="shared" si="890"/>
        <v>3543075.2003101264</v>
      </c>
      <c r="GD196" s="422">
        <f t="shared" si="890"/>
        <v>3941015.5223757271</v>
      </c>
      <c r="GE196" s="422">
        <f t="shared" si="890"/>
        <v>4033678.1277150894</v>
      </c>
      <c r="GF196" s="422">
        <f t="shared" si="890"/>
        <v>4101932.8264588993</v>
      </c>
      <c r="GG196" s="422">
        <f t="shared" si="890"/>
        <v>3678495.6694553457</v>
      </c>
      <c r="GH196" s="422">
        <f t="shared" si="890"/>
        <v>3665813.0495049832</v>
      </c>
      <c r="GI196" s="422">
        <f t="shared" si="890"/>
        <v>3653035.3099049935</v>
      </c>
      <c r="GJ196" s="422">
        <f t="shared" si="890"/>
        <v>3646481.5132933473</v>
      </c>
      <c r="GK196" s="422">
        <f t="shared" si="890"/>
        <v>3633511.3888515048</v>
      </c>
      <c r="GL196" s="422">
        <f t="shared" si="890"/>
        <v>3620443.988476349</v>
      </c>
      <c r="GM196" s="422">
        <f t="shared" si="890"/>
        <v>3771400.5906808469</v>
      </c>
      <c r="GN196" s="422">
        <f t="shared" si="890"/>
        <v>3758136.4442587923</v>
      </c>
      <c r="GO196" s="422">
        <f t="shared" si="890"/>
        <v>3744772.8167385729</v>
      </c>
      <c r="GP196" s="422">
        <f t="shared" si="890"/>
        <v>3760449.378678618</v>
      </c>
      <c r="GQ196" s="422">
        <f t="shared" si="890"/>
        <v>3746884.5450415472</v>
      </c>
      <c r="GR196" s="422">
        <f t="shared" si="890"/>
        <v>3733217.9751521973</v>
      </c>
      <c r="GS196" s="422">
        <f t="shared" si="890"/>
        <v>3585939.2095313119</v>
      </c>
      <c r="GT196" s="422">
        <f t="shared" si="890"/>
        <v>3572066.8723490657</v>
      </c>
      <c r="GU196" s="422">
        <f t="shared" si="890"/>
        <v>3558090.4926379537</v>
      </c>
      <c r="GV196" s="422">
        <f t="shared" si="890"/>
        <v>3550318.4775790079</v>
      </c>
      <c r="GW196" s="422">
        <f t="shared" si="890"/>
        <v>3536131.6660008691</v>
      </c>
      <c r="GX196" s="422">
        <f t="shared" si="890"/>
        <v>3521838.4533358952</v>
      </c>
      <c r="GY196" s="422">
        <f t="shared" si="890"/>
        <v>3655983.2974481955</v>
      </c>
      <c r="GZ196" s="422">
        <f t="shared" si="890"/>
        <v>3641474.8826000346</v>
      </c>
      <c r="HA196" s="422">
        <f t="shared" si="890"/>
        <v>3626857.6546405125</v>
      </c>
      <c r="HB196" s="422">
        <f t="shared" si="890"/>
        <v>3642291.1287212931</v>
      </c>
      <c r="HC196" s="422">
        <f t="shared" si="890"/>
        <v>3627453.8201233055</v>
      </c>
      <c r="HD196" s="422">
        <f t="shared" si="890"/>
        <v>3612505.2317108326</v>
      </c>
      <c r="HE196" s="422">
        <f t="shared" si="890"/>
        <v>826226240.47788835</v>
      </c>
      <c r="HF196" s="422">
        <f t="shared" si="890"/>
        <v>0</v>
      </c>
      <c r="HG196" s="422">
        <f t="shared" si="890"/>
        <v>0</v>
      </c>
      <c r="HH196" s="422">
        <f t="shared" si="890"/>
        <v>0</v>
      </c>
      <c r="HI196" s="422" t="n">
        <f t="shared" ref="HI196:JT196" si="891">IF(BY212="",0,BY212-HI195)</f>
        <v>0</v>
      </c>
      <c r="HJ196" s="422">
        <f t="shared" si="891"/>
        <v>0</v>
      </c>
      <c r="HK196" s="422">
        <f t="shared" si="891"/>
        <v>0</v>
      </c>
      <c r="HL196" s="422">
        <f t="shared" si="891"/>
        <v>0</v>
      </c>
      <c r="HM196" s="422">
        <f t="shared" si="891"/>
        <v>0</v>
      </c>
      <c r="HN196" s="422">
        <f t="shared" si="891"/>
        <v>0</v>
      </c>
      <c r="HO196" s="422">
        <f t="shared" si="891"/>
        <v>0</v>
      </c>
      <c r="HP196" s="422">
        <f t="shared" si="891"/>
        <v>0</v>
      </c>
      <c r="HQ196" s="422">
        <f t="shared" si="891"/>
        <v>0</v>
      </c>
      <c r="HR196" s="422">
        <f t="shared" si="891"/>
        <v>0</v>
      </c>
      <c r="HS196" s="422">
        <f t="shared" si="891"/>
        <v>0</v>
      </c>
      <c r="HT196" s="422">
        <f t="shared" si="891"/>
        <v>0</v>
      </c>
      <c r="HU196" s="422">
        <f t="shared" si="891"/>
        <v>0</v>
      </c>
      <c r="HV196" s="422">
        <f t="shared" si="891"/>
        <v>0</v>
      </c>
      <c r="HW196" s="422">
        <f t="shared" si="891"/>
        <v>0</v>
      </c>
      <c r="HX196" s="422">
        <f t="shared" si="891"/>
        <v>0</v>
      </c>
      <c r="HY196" s="422">
        <f t="shared" si="891"/>
        <v>0</v>
      </c>
      <c r="HZ196" s="422">
        <f t="shared" si="891"/>
        <v>0</v>
      </c>
      <c r="IA196" s="422">
        <f t="shared" si="891"/>
        <v>0</v>
      </c>
      <c r="IB196" s="422">
        <f t="shared" si="891"/>
        <v>0</v>
      </c>
      <c r="IC196" s="422">
        <f t="shared" si="891"/>
        <v>0</v>
      </c>
      <c r="ID196" s="422">
        <f t="shared" si="891"/>
        <v>0</v>
      </c>
      <c r="IE196" s="422">
        <f t="shared" si="891"/>
        <v>0</v>
      </c>
      <c r="IF196" s="422">
        <f t="shared" si="891"/>
        <v>0</v>
      </c>
      <c r="IG196" s="422">
        <f t="shared" si="891"/>
        <v>0</v>
      </c>
      <c r="IH196" s="422">
        <f t="shared" si="891"/>
        <v>0</v>
      </c>
      <c r="II196" s="422">
        <f t="shared" si="891"/>
        <v>0</v>
      </c>
      <c r="IJ196" s="422">
        <f t="shared" si="891"/>
        <v>0</v>
      </c>
      <c r="IK196" s="422">
        <f t="shared" si="891"/>
        <v>0</v>
      </c>
      <c r="IL196" s="422">
        <f t="shared" si="891"/>
        <v>0</v>
      </c>
      <c r="IM196" s="422">
        <f t="shared" si="891"/>
        <v>0</v>
      </c>
      <c r="IN196" s="422">
        <f t="shared" si="891"/>
        <v>0</v>
      </c>
      <c r="IO196" s="422">
        <f t="shared" si="891"/>
        <v>0</v>
      </c>
      <c r="IP196" s="422">
        <f t="shared" si="891"/>
        <v>0</v>
      </c>
      <c r="IQ196" s="422">
        <f t="shared" si="891"/>
        <v>0</v>
      </c>
      <c r="IR196" s="422">
        <f t="shared" si="891"/>
        <v>0</v>
      </c>
      <c r="IS196" s="422">
        <f t="shared" si="891"/>
        <v>0</v>
      </c>
      <c r="IT196" s="422">
        <f t="shared" si="891"/>
        <v>0</v>
      </c>
      <c r="IU196" s="422">
        <f t="shared" si="891"/>
        <v>0</v>
      </c>
      <c r="IV196" s="422">
        <f t="shared" si="891"/>
        <v>0</v>
      </c>
      <c r="IW196" s="422">
        <f t="shared" si="891"/>
        <v>0</v>
      </c>
      <c r="IX196" s="422">
        <f t="shared" si="891"/>
        <v>0</v>
      </c>
      <c r="IY196" s="422">
        <f t="shared" si="891"/>
        <v>0</v>
      </c>
      <c r="IZ196" s="422">
        <f t="shared" si="891"/>
        <v>0</v>
      </c>
      <c r="JA196" s="422">
        <f t="shared" si="891"/>
        <v>0</v>
      </c>
      <c r="JB196" s="422">
        <f t="shared" si="891"/>
        <v>0</v>
      </c>
      <c r="JC196" s="422">
        <f t="shared" si="891"/>
        <v>0</v>
      </c>
      <c r="JD196" s="422">
        <f t="shared" si="891"/>
        <v>0</v>
      </c>
      <c r="JE196" s="422">
        <f t="shared" si="891"/>
        <v>0</v>
      </c>
      <c r="JF196" s="422">
        <f t="shared" si="891"/>
        <v>0</v>
      </c>
      <c r="JG196" s="422">
        <f t="shared" si="891"/>
        <v>0</v>
      </c>
      <c r="JH196" s="422">
        <f t="shared" si="891"/>
        <v>0</v>
      </c>
      <c r="JI196" s="422">
        <f t="shared" si="891"/>
        <v>0</v>
      </c>
      <c r="JJ196" s="422">
        <f t="shared" si="891"/>
        <v>0</v>
      </c>
      <c r="JK196" s="422">
        <f t="shared" si="891"/>
        <v>0</v>
      </c>
      <c r="JL196" s="422">
        <f t="shared" si="891"/>
        <v>0</v>
      </c>
      <c r="JM196" s="422">
        <f t="shared" si="891"/>
        <v>0</v>
      </c>
      <c r="JN196" s="422">
        <f t="shared" si="891"/>
        <v>0</v>
      </c>
      <c r="JO196" s="422">
        <f t="shared" si="891"/>
        <v>0</v>
      </c>
      <c r="JP196" s="422">
        <f t="shared" si="891"/>
        <v>0</v>
      </c>
      <c r="JQ196" s="422">
        <f t="shared" si="891"/>
        <v>0</v>
      </c>
      <c r="JR196" s="422">
        <f t="shared" si="891"/>
        <v>0</v>
      </c>
      <c r="JS196" s="422">
        <f t="shared" si="891"/>
        <v>0</v>
      </c>
      <c r="JT196" s="422">
        <f t="shared" si="891"/>
        <v>0</v>
      </c>
      <c r="JU196" s="422" t="n">
        <f t="shared" ref="JU196:JX196" si="892">IF(EK212="",0,EK212-JU195)</f>
        <v>0</v>
      </c>
      <c r="JV196" s="422">
        <f t="shared" si="892"/>
        <v>0</v>
      </c>
      <c r="JW196" s="422">
        <f t="shared" si="892"/>
        <v>0</v>
      </c>
      <c r="JX196" s="422">
        <f t="shared" si="892"/>
        <v>0</v>
      </c>
      <c r="JZ196" s="263"/>
      <c r="KA196" s="263"/>
      <c r="KB196" s="263"/>
      <c r="KC196" s="263"/>
      <c r="KD196" s="263"/>
      <c r="KE196" s="263"/>
      <c r="KF196" s="263"/>
      <c r="KG196" s="263"/>
      <c r="KH196" s="263"/>
      <c r="KI196" s="263"/>
      <c r="KJ196" s="263"/>
      <c r="KK196" s="263"/>
      <c r="KL196" s="263"/>
      <c r="KM196" s="263"/>
      <c r="KN196" s="263"/>
      <c r="KO196" s="263"/>
      <c r="KP196" s="263"/>
      <c r="KQ196" s="263"/>
      <c r="KR196" s="263"/>
      <c r="KS196" s="263"/>
      <c r="KT196" s="263"/>
      <c r="KU196" s="263"/>
      <c r="KV196" s="263"/>
      <c r="KW196" s="263"/>
      <c r="KX196" s="263"/>
      <c r="KY196" s="263"/>
      <c r="KZ196" s="263"/>
      <c r="LA196" s="263"/>
      <c r="LB196" s="263"/>
      <c r="LC196" s="263"/>
      <c r="LD196" s="263"/>
      <c r="LE196" s="263"/>
      <c r="LF196" s="263"/>
      <c r="LG196" s="263"/>
      <c r="LH196" s="263"/>
      <c r="LI196" s="263"/>
      <c r="LJ196" s="263"/>
      <c r="LK196" s="263"/>
      <c r="LL196" s="263"/>
      <c r="LM196" s="263"/>
      <c r="LN196" s="263"/>
      <c r="LO196" s="263"/>
      <c r="LP196" s="263"/>
      <c r="LQ196" s="263"/>
      <c r="LR196" s="263"/>
      <c r="LS196" s="263"/>
      <c r="LT196" s="263"/>
      <c r="LU196" s="263"/>
      <c r="LV196" s="263"/>
      <c r="LW196" s="263"/>
      <c r="LX196" s="263"/>
      <c r="LY196" s="263"/>
      <c r="LZ196" s="263"/>
      <c r="MA196" s="263"/>
      <c r="MB196" s="263"/>
      <c r="MC196" s="263"/>
      <c r="MD196" s="263"/>
      <c r="ME196" s="263"/>
      <c r="MF196" s="263"/>
      <c r="MG196" s="263"/>
      <c r="MH196" s="263"/>
      <c r="MI196" s="263"/>
      <c r="MJ196" s="263"/>
      <c r="MK196" s="263"/>
      <c r="ML196" s="263"/>
      <c r="MM196" s="263"/>
      <c r="MN196" s="263"/>
      <c r="MO196" s="263"/>
      <c r="MP196" s="263"/>
      <c r="MQ196" s="263"/>
      <c r="MR196" s="263"/>
      <c r="MS196" s="263"/>
      <c r="MT196" s="263"/>
      <c r="MU196" s="263"/>
      <c r="MV196" s="263"/>
      <c r="MW196" s="263"/>
      <c r="MX196" s="263"/>
      <c r="MY196" s="263"/>
      <c r="MZ196" s="263"/>
      <c r="NA196" s="263"/>
      <c r="NB196" s="263"/>
      <c r="NC196" s="263"/>
      <c r="ND196" s="263"/>
      <c r="NE196" s="263"/>
      <c r="NF196" s="263"/>
      <c r="NG196" s="263"/>
      <c r="NH196" s="263"/>
      <c r="NI196" s="263"/>
      <c r="NJ196" s="263"/>
      <c r="NK196" s="263"/>
      <c r="NL196" s="263"/>
      <c r="NM196" s="263"/>
      <c r="NN196" s="263"/>
      <c r="NO196" s="263"/>
      <c r="NP196" s="263"/>
      <c r="NQ196" s="263"/>
      <c r="NR196" s="263"/>
      <c r="NS196" s="263"/>
      <c r="NT196" s="263"/>
      <c r="NU196" s="263"/>
      <c r="NV196" s="263"/>
      <c r="NW196" s="263"/>
      <c r="NX196" s="263"/>
      <c r="NY196" s="263"/>
      <c r="NZ196" s="263"/>
      <c r="OA196" s="263"/>
      <c r="OB196" s="263"/>
      <c r="OC196" s="263"/>
      <c r="OD196" s="263"/>
      <c r="OE196" s="263"/>
      <c r="OF196" s="263"/>
      <c r="OG196" s="263"/>
      <c r="OH196" s="263"/>
      <c r="OI196" s="263"/>
      <c r="OJ196" s="263"/>
      <c r="OK196" s="263"/>
      <c r="OL196" s="263"/>
      <c r="OM196" s="263"/>
      <c r="ON196" s="263"/>
      <c r="OO196" s="263"/>
      <c r="OP196" s="263"/>
      <c r="OQ196" s="263"/>
      <c r="OR196" s="263"/>
      <c r="OS196" s="263"/>
      <c r="OT196" s="263"/>
      <c r="OU196" s="263"/>
      <c r="OV196" s="263"/>
      <c r="OW196" s="263"/>
      <c r="OX196" s="263"/>
      <c r="OY196" s="263"/>
      <c r="OZ196" s="263"/>
      <c r="PA196" s="263"/>
      <c r="PB196" s="263"/>
      <c r="PC196" s="263"/>
      <c r="PD196" s="263"/>
      <c r="PE196" s="263"/>
      <c r="PF196" s="263"/>
      <c r="PG196" s="263"/>
      <c r="PH196" s="263"/>
    </row>
    <row r="197">
      <c r="B197" s="34" t="s">
        <v>364</v>
      </c>
      <c r="C197" s="404"/>
      <c r="D197" s="404"/>
      <c r="E197" s="404"/>
      <c r="F197" s="404"/>
      <c r="G197" s="404"/>
      <c r="H197" s="41"/>
      <c r="I197" s="449" t="n">
        <f>SUM(L197:EN197)</f>
        <v>69621442.15219094</v>
      </c>
      <c r="L197" s="421" t="str">
        <f t="shared" ref="L197:AQ197" si="893">IF(L194="","",(L3&lt;=ConstDebt_Payoff)*EV61)</f>
      </c>
      <c r="M197" s="421">
        <f t="shared" si="893"/>
        <v>0</v>
      </c>
      <c r="N197" s="421">
        <f t="shared" si="893"/>
        <v>0</v>
      </c>
      <c r="O197" s="421">
        <f t="shared" si="893"/>
        <v>0</v>
      </c>
      <c r="P197" s="421">
        <f t="shared" si="893"/>
        <v>0</v>
      </c>
      <c r="Q197" s="421">
        <f t="shared" si="893"/>
        <v>0</v>
      </c>
      <c r="R197" s="421">
        <f t="shared" si="893"/>
        <v>857.54167226929167</v>
      </c>
      <c r="S197" s="421">
        <f t="shared" si="893"/>
        <v>863.97323481131127</v>
      </c>
      <c r="T197" s="421">
        <f t="shared" si="893"/>
        <v>870.45303407239624</v>
      </c>
      <c r="U197" s="421">
        <f t="shared" si="893"/>
        <v>876.9814318279391</v>
      </c>
      <c r="V197" s="421">
        <f t="shared" si="893"/>
        <v>883.55879256664866</v>
      </c>
      <c r="W197" s="421">
        <f t="shared" si="893"/>
        <v>890.18548351089851</v>
      </c>
      <c r="X197" s="421">
        <f t="shared" si="893"/>
        <v>896.86187463723036</v>
      </c>
      <c r="Y197" s="421">
        <f t="shared" si="893"/>
        <v>903.58833869700959</v>
      </c>
      <c r="Z197" s="421">
        <f t="shared" si="893"/>
        <v>910.3652512372372</v>
      </c>
      <c r="AA197" s="421">
        <f t="shared" si="893"/>
        <v>917.1929906215164</v>
      </c>
      <c r="AB197" s="421">
        <f t="shared" si="893"/>
        <v>924.07193805117777</v>
      </c>
      <c r="AC197" s="421">
        <f t="shared" si="893"/>
        <v>72031.806270673565</v>
      </c>
      <c r="AD197" s="421">
        <f t="shared" si="893"/>
        <v>232303.11644658397</v>
      </c>
      <c r="AE197" s="421">
        <f t="shared" si="893"/>
        <v>395945.43193133594</v>
      </c>
      <c r="AF197" s="421">
        <f t="shared" si="893"/>
        <v>558646.09429970162</v>
      </c>
      <c r="AG197" s="421">
        <f t="shared" si="893"/>
        <v>716228.25051748392</v>
      </c>
      <c r="AH197" s="421">
        <f t="shared" si="893"/>
        <v>864966.63283146347</v>
      </c>
      <c r="AI197" s="421">
        <f t="shared" si="893"/>
        <v>1001844.9186931379</v>
      </c>
      <c r="AJ197" s="421">
        <f t="shared" si="893"/>
        <v>1124725.6044287735</v>
      </c>
      <c r="AK197" s="421">
        <f t="shared" si="893"/>
        <v>1232418.1549969541</v>
      </c>
      <c r="AL197" s="421">
        <f t="shared" si="893"/>
        <v>1324647.3332006049</v>
      </c>
      <c r="AM197" s="421">
        <f t="shared" si="893"/>
        <v>1401937.8279245971</v>
      </c>
      <c r="AN197" s="421">
        <f t="shared" si="893"/>
        <v>1465441.0890209107</v>
      </c>
      <c r="AO197" s="421">
        <f t="shared" si="893"/>
        <v>1516734.379120159</v>
      </c>
      <c r="AP197" s="421">
        <f t="shared" si="893"/>
        <v>1557620.5878071587</v>
      </c>
      <c r="AQ197" s="421">
        <f t="shared" si="893"/>
        <v>1589951.574740933</v>
      </c>
      <c r="AR197" s="421" t="n">
        <f t="shared" ref="AR197:BW197" si="894">IF(AR194="","",(AR3&lt;=ConstDebt_Payoff)*GB61)</f>
        <v>1615489.6188388604</v>
      </c>
      <c r="AS197" s="421">
        <f t="shared" si="894"/>
        <v>1635812.9471134718</v>
      </c>
      <c r="AT197" s="421">
        <f t="shared" si="894"/>
        <v>1652263.924122947</v>
      </c>
      <c r="AU197" s="421">
        <f t="shared" si="894"/>
        <v>1665933.2853540105</v>
      </c>
      <c r="AV197" s="421">
        <f t="shared" si="894"/>
        <v>1678427.7849941654</v>
      </c>
      <c r="AW197" s="421">
        <f t="shared" si="894"/>
        <v>1691015.9933816215</v>
      </c>
      <c r="AX197" s="421">
        <f t="shared" si="894"/>
        <v>1703698.6133319838</v>
      </c>
      <c r="AY197" s="421">
        <f t="shared" si="894"/>
        <v>1716476.3529319735</v>
      </c>
      <c r="AZ197" s="421">
        <f t="shared" si="894"/>
        <v>1729349.9255789632</v>
      </c>
      <c r="BA197" s="421">
        <f t="shared" si="894"/>
        <v>1742320.0500208056</v>
      </c>
      <c r="BB197" s="421">
        <f t="shared" si="894"/>
        <v>1755387.4503959615</v>
      </c>
      <c r="BC197" s="421">
        <f t="shared" si="894"/>
        <v>1768552.8562739315</v>
      </c>
      <c r="BD197" s="76">
        <f t="shared" si="894"/>
        <v>1781817.0026959858</v>
      </c>
      <c r="BE197" s="76">
        <f t="shared" si="894"/>
        <v>1795180.6302162057</v>
      </c>
      <c r="BF197" s="76">
        <f t="shared" si="894"/>
        <v>1808644.4849428274</v>
      </c>
      <c r="BG197" s="76">
        <f t="shared" si="894"/>
        <v>1822209.3185798984</v>
      </c>
      <c r="BH197" s="76">
        <f t="shared" si="894"/>
        <v>1835875.8884692478</v>
      </c>
      <c r="BI197" s="76">
        <f t="shared" si="894"/>
        <v>1849644.957632767</v>
      </c>
      <c r="BJ197" s="76">
        <f t="shared" si="894"/>
        <v>1863517.2948150132</v>
      </c>
      <c r="BK197" s="76">
        <f t="shared" si="894"/>
        <v>1877493.6745261254</v>
      </c>
      <c r="BL197" s="76">
        <f t="shared" si="894"/>
        <v>1891574.8770850713</v>
      </c>
      <c r="BM197" s="76">
        <f t="shared" si="894"/>
        <v>1905761.6886632096</v>
      </c>
      <c r="BN197" s="76">
        <f t="shared" si="894"/>
        <v>1920054.9013281837</v>
      </c>
      <c r="BO197" s="76">
        <f t="shared" si="894"/>
        <v>1934455.3130881449</v>
      </c>
      <c r="BP197" s="76">
        <f t="shared" si="894"/>
        <v>1948963.727936306</v>
      </c>
      <c r="BQ197" s="76">
        <f t="shared" si="894"/>
        <v>1963580.9558958281</v>
      </c>
      <c r="BR197" s="76">
        <f t="shared" si="894"/>
        <v>1978307.8130650471</v>
      </c>
      <c r="BS197" s="76">
        <f t="shared" si="894"/>
        <v>1993145.1216630349</v>
      </c>
      <c r="BT197" s="76">
        <f t="shared" si="894"/>
        <v>2008093.7100755076</v>
      </c>
      <c r="BU197" s="76">
        <f t="shared" si="894"/>
        <v>2023154.4129010744</v>
      </c>
      <c r="BV197" s="76" t="str">
        <f t="shared" si="894"/>
      </c>
      <c r="BW197" s="76" t="str">
        <f t="shared" si="894"/>
      </c>
      <c r="BX197" s="76" t="str">
        <f t="shared" ref="BX197:DC197" si="895">IF(BX194="","",(BX3&lt;=ConstDebt_Payoff)*HH61)</f>
      </c>
      <c r="BY197" s="76" t="str">
        <f t="shared" si="895"/>
      </c>
      <c r="BZ197" s="76" t="str">
        <f t="shared" si="895"/>
      </c>
      <c r="CA197" s="76" t="str">
        <f t="shared" si="895"/>
      </c>
      <c r="CB197" s="76" t="str">
        <f t="shared" si="895"/>
      </c>
      <c r="CC197" s="76" t="str">
        <f t="shared" si="895"/>
      </c>
      <c r="CD197" s="76" t="str">
        <f t="shared" si="895"/>
      </c>
      <c r="CE197" s="76" t="str">
        <f t="shared" si="895"/>
      </c>
      <c r="CF197" s="76" t="str">
        <f t="shared" si="895"/>
      </c>
      <c r="CG197" s="76" t="str">
        <f t="shared" si="895"/>
      </c>
      <c r="CH197" s="76" t="str">
        <f t="shared" si="895"/>
      </c>
      <c r="CI197" s="76" t="str">
        <f t="shared" si="895"/>
      </c>
      <c r="CJ197" s="76" t="str">
        <f t="shared" si="895"/>
      </c>
      <c r="CK197" s="76" t="str">
        <f t="shared" si="895"/>
      </c>
      <c r="CL197" s="76" t="str">
        <f t="shared" si="895"/>
      </c>
      <c r="CM197" s="76" t="str">
        <f t="shared" si="895"/>
      </c>
      <c r="CN197" s="76" t="str">
        <f t="shared" si="895"/>
      </c>
      <c r="CO197" s="76" t="str">
        <f t="shared" si="895"/>
      </c>
      <c r="CP197" s="76" t="str">
        <f t="shared" si="895"/>
      </c>
      <c r="CQ197" s="76" t="str">
        <f t="shared" si="895"/>
      </c>
      <c r="CR197" s="76" t="str">
        <f t="shared" si="895"/>
      </c>
      <c r="CS197" s="76" t="str">
        <f t="shared" si="895"/>
      </c>
      <c r="CT197" s="76" t="str">
        <f t="shared" si="895"/>
      </c>
      <c r="CU197" s="76" t="str">
        <f t="shared" si="895"/>
      </c>
      <c r="CV197" s="76" t="str">
        <f t="shared" si="895"/>
      </c>
      <c r="CW197" s="76" t="str">
        <f t="shared" si="895"/>
      </c>
      <c r="CX197" s="76" t="str">
        <f t="shared" si="895"/>
      </c>
      <c r="CY197" s="76" t="str">
        <f t="shared" si="895"/>
      </c>
      <c r="CZ197" s="76" t="str">
        <f t="shared" si="895"/>
      </c>
      <c r="DA197" s="76" t="str">
        <f t="shared" si="895"/>
      </c>
      <c r="DB197" s="76" t="str">
        <f t="shared" si="895"/>
      </c>
      <c r="DC197" s="76" t="str">
        <f t="shared" si="895"/>
      </c>
      <c r="DD197" s="76" t="str">
        <f t="shared" ref="DD197:EI197" si="896">IF(DD194="","",(DD3&lt;=ConstDebt_Payoff)*IN61)</f>
      </c>
      <c r="DE197" s="76" t="str">
        <f t="shared" si="896"/>
      </c>
      <c r="DF197" s="76" t="str">
        <f t="shared" si="896"/>
      </c>
      <c r="DG197" s="76" t="str">
        <f t="shared" si="896"/>
      </c>
      <c r="DH197" s="76" t="str">
        <f t="shared" si="896"/>
      </c>
      <c r="DI197" s="76" t="str">
        <f t="shared" si="896"/>
      </c>
      <c r="DJ197" s="76" t="str">
        <f t="shared" si="896"/>
      </c>
      <c r="DK197" s="76" t="str">
        <f t="shared" si="896"/>
      </c>
      <c r="DL197" s="76" t="str">
        <f t="shared" si="896"/>
      </c>
      <c r="DM197" s="76" t="str">
        <f t="shared" si="896"/>
      </c>
      <c r="DN197" s="76" t="str">
        <f t="shared" si="896"/>
      </c>
      <c r="DO197" s="76" t="str">
        <f t="shared" si="896"/>
      </c>
      <c r="DP197" s="76" t="str">
        <f t="shared" si="896"/>
      </c>
      <c r="DQ197" s="76" t="str">
        <f t="shared" si="896"/>
      </c>
      <c r="DR197" s="76" t="str">
        <f t="shared" si="896"/>
      </c>
      <c r="DS197" s="76" t="str">
        <f t="shared" si="896"/>
      </c>
      <c r="DT197" s="76" t="str">
        <f t="shared" si="896"/>
      </c>
      <c r="DU197" s="76" t="str">
        <f t="shared" si="896"/>
      </c>
      <c r="DV197" s="76" t="str">
        <f t="shared" si="896"/>
      </c>
      <c r="DW197" s="76" t="str">
        <f t="shared" si="896"/>
      </c>
      <c r="DX197" s="76" t="str">
        <f t="shared" si="896"/>
      </c>
      <c r="DY197" s="76" t="str">
        <f t="shared" si="896"/>
      </c>
      <c r="DZ197" s="76" t="str">
        <f t="shared" si="896"/>
      </c>
      <c r="EA197" s="76" t="str">
        <f t="shared" si="896"/>
      </c>
      <c r="EB197" s="76" t="str">
        <f t="shared" si="896"/>
      </c>
      <c r="EC197" s="76" t="str">
        <f t="shared" si="896"/>
      </c>
      <c r="ED197" s="76" t="str">
        <f t="shared" si="896"/>
      </c>
      <c r="EE197" s="76" t="str">
        <f t="shared" si="896"/>
      </c>
      <c r="EF197" s="76" t="str">
        <f t="shared" si="896"/>
      </c>
      <c r="EG197" s="76" t="str">
        <f t="shared" si="896"/>
      </c>
      <c r="EH197" s="76" t="str">
        <f t="shared" si="896"/>
      </c>
      <c r="EI197" s="76" t="str">
        <f t="shared" si="896"/>
      </c>
      <c r="EJ197" s="76" t="str">
        <f t="shared" ref="EJ197:EN197" si="897">IF(EJ194="","",(EJ3&lt;=ConstDebt_Payoff)*JT61)</f>
      </c>
      <c r="EK197" s="76" t="str">
        <f t="shared" si="897"/>
      </c>
      <c r="EL197" s="76" t="str">
        <f t="shared" si="897"/>
      </c>
      <c r="EM197" s="76" t="str">
        <f t="shared" si="897"/>
      </c>
      <c r="EN197" s="76" t="str">
        <f t="shared" si="897"/>
      </c>
      <c r="EP197" s="409"/>
      <c r="EQ197" s="530"/>
      <c r="ER197" s="530"/>
      <c r="ES197" s="530"/>
      <c r="ET197" s="530"/>
      <c r="EU197" s="306"/>
      <c r="EV197" s="198" t="n">
        <f t="shared" ref="EV197:GA197" si="898">EV3</f>
        <v>0</v>
      </c>
      <c r="EW197" s="198">
        <f t="shared" si="898"/>
        <v>1</v>
      </c>
      <c r="EX197" s="198">
        <f t="shared" si="898"/>
        <v>2</v>
      </c>
      <c r="EY197" s="198">
        <f t="shared" si="898"/>
        <v>3</v>
      </c>
      <c r="EZ197" s="198">
        <f t="shared" si="898"/>
        <v>4</v>
      </c>
      <c r="FA197" s="198">
        <f t="shared" si="898"/>
        <v>5</v>
      </c>
      <c r="FB197" s="198">
        <f t="shared" si="898"/>
        <v>6</v>
      </c>
      <c r="FC197" s="198">
        <f t="shared" si="898"/>
        <v>7</v>
      </c>
      <c r="FD197" s="198">
        <f t="shared" si="898"/>
        <v>8</v>
      </c>
      <c r="FE197" s="198">
        <f t="shared" si="898"/>
        <v>9</v>
      </c>
      <c r="FF197" s="198">
        <f t="shared" si="898"/>
        <v>10</v>
      </c>
      <c r="FG197" s="198">
        <f t="shared" si="898"/>
        <v>11</v>
      </c>
      <c r="FH197" s="198">
        <f t="shared" si="898"/>
        <v>12</v>
      </c>
      <c r="FI197" s="198">
        <f t="shared" si="898"/>
        <v>13</v>
      </c>
      <c r="FJ197" s="198">
        <f t="shared" si="898"/>
        <v>14</v>
      </c>
      <c r="FK197" s="198">
        <f t="shared" si="898"/>
        <v>15</v>
      </c>
      <c r="FL197" s="198">
        <f t="shared" si="898"/>
        <v>16</v>
      </c>
      <c r="FM197" s="198">
        <f t="shared" si="898"/>
        <v>17</v>
      </c>
      <c r="FN197" s="198">
        <f t="shared" si="898"/>
        <v>18</v>
      </c>
      <c r="FO197" s="198">
        <f t="shared" si="898"/>
        <v>19</v>
      </c>
      <c r="FP197" s="198">
        <f t="shared" si="898"/>
        <v>20</v>
      </c>
      <c r="FQ197" s="198">
        <f t="shared" si="898"/>
        <v>21</v>
      </c>
      <c r="FR197" s="198">
        <f t="shared" si="898"/>
        <v>22</v>
      </c>
      <c r="FS197" s="198">
        <f t="shared" si="898"/>
        <v>23</v>
      </c>
      <c r="FT197" s="198">
        <f t="shared" si="898"/>
        <v>24</v>
      </c>
      <c r="FU197" s="198">
        <f t="shared" si="898"/>
        <v>25</v>
      </c>
      <c r="FV197" s="198">
        <f t="shared" si="898"/>
        <v>26</v>
      </c>
      <c r="FW197" s="198">
        <f t="shared" si="898"/>
        <v>27</v>
      </c>
      <c r="FX197" s="198">
        <f t="shared" si="898"/>
        <v>28</v>
      </c>
      <c r="FY197" s="198">
        <f t="shared" si="898"/>
        <v>29</v>
      </c>
      <c r="FZ197" s="198">
        <f t="shared" si="898"/>
        <v>30</v>
      </c>
      <c r="GA197" s="198">
        <f t="shared" si="898"/>
        <v>31</v>
      </c>
      <c r="GB197" s="198" t="n">
        <f t="shared" ref="GB197:HG197" si="899">GB3</f>
        <v>32</v>
      </c>
      <c r="GC197" s="198">
        <f t="shared" si="899"/>
        <v>33</v>
      </c>
      <c r="GD197" s="198">
        <f t="shared" si="899"/>
        <v>34</v>
      </c>
      <c r="GE197" s="198">
        <f t="shared" si="899"/>
        <v>35</v>
      </c>
      <c r="GF197" s="198">
        <f t="shared" si="899"/>
        <v>36</v>
      </c>
      <c r="GG197" s="198">
        <f t="shared" si="899"/>
        <v>37</v>
      </c>
      <c r="GH197" s="198">
        <f t="shared" si="899"/>
        <v>38</v>
      </c>
      <c r="GI197" s="198">
        <f t="shared" si="899"/>
        <v>39</v>
      </c>
      <c r="GJ197" s="198">
        <f t="shared" si="899"/>
        <v>40</v>
      </c>
      <c r="GK197" s="198">
        <f t="shared" si="899"/>
        <v>41</v>
      </c>
      <c r="GL197" s="198">
        <f t="shared" si="899"/>
        <v>42</v>
      </c>
      <c r="GM197" s="198">
        <f t="shared" si="899"/>
        <v>43</v>
      </c>
      <c r="GN197" s="198">
        <f t="shared" si="899"/>
        <v>44</v>
      </c>
      <c r="GO197" s="198">
        <f t="shared" si="899"/>
        <v>45</v>
      </c>
      <c r="GP197" s="198">
        <f t="shared" si="899"/>
        <v>46</v>
      </c>
      <c r="GQ197" s="198">
        <f t="shared" si="899"/>
        <v>47</v>
      </c>
      <c r="GR197" s="198">
        <f t="shared" si="899"/>
        <v>48</v>
      </c>
      <c r="GS197" s="198">
        <f t="shared" si="899"/>
        <v>49</v>
      </c>
      <c r="GT197" s="198">
        <f t="shared" si="899"/>
        <v>50</v>
      </c>
      <c r="GU197" s="198">
        <f t="shared" si="899"/>
        <v>51</v>
      </c>
      <c r="GV197" s="198">
        <f t="shared" si="899"/>
        <v>52</v>
      </c>
      <c r="GW197" s="198">
        <f t="shared" si="899"/>
        <v>53</v>
      </c>
      <c r="GX197" s="198">
        <f t="shared" si="899"/>
        <v>54</v>
      </c>
      <c r="GY197" s="198">
        <f t="shared" si="899"/>
        <v>55</v>
      </c>
      <c r="GZ197" s="198">
        <f t="shared" si="899"/>
        <v>56</v>
      </c>
      <c r="HA197" s="198">
        <f t="shared" si="899"/>
        <v>57</v>
      </c>
      <c r="HB197" s="198">
        <f t="shared" si="899"/>
        <v>58</v>
      </c>
      <c r="HC197" s="198">
        <f t="shared" si="899"/>
        <v>59</v>
      </c>
      <c r="HD197" s="198">
        <f t="shared" si="899"/>
        <v>60</v>
      </c>
      <c r="HE197" s="198">
        <f t="shared" si="899"/>
        <v>61</v>
      </c>
      <c r="HF197" s="198">
        <f t="shared" si="899"/>
        <v>62</v>
      </c>
      <c r="HG197" s="198">
        <f t="shared" si="899"/>
        <v>63</v>
      </c>
      <c r="HH197" s="198" t="n">
        <f t="shared" ref="HH197:IM197" si="900">HH3</f>
        <v>64</v>
      </c>
      <c r="HI197" s="198">
        <f t="shared" si="900"/>
        <v>65</v>
      </c>
      <c r="HJ197" s="198">
        <f t="shared" si="900"/>
        <v>66</v>
      </c>
      <c r="HK197" s="198">
        <f t="shared" si="900"/>
        <v>67</v>
      </c>
      <c r="HL197" s="198">
        <f t="shared" si="900"/>
        <v>68</v>
      </c>
      <c r="HM197" s="198">
        <f t="shared" si="900"/>
        <v>69</v>
      </c>
      <c r="HN197" s="198">
        <f t="shared" si="900"/>
        <v>70</v>
      </c>
      <c r="HO197" s="198">
        <f t="shared" si="900"/>
        <v>71</v>
      </c>
      <c r="HP197" s="198">
        <f t="shared" si="900"/>
        <v>72</v>
      </c>
      <c r="HQ197" s="198">
        <f t="shared" si="900"/>
        <v>73</v>
      </c>
      <c r="HR197" s="198">
        <f t="shared" si="900"/>
        <v>74</v>
      </c>
      <c r="HS197" s="198">
        <f t="shared" si="900"/>
        <v>75</v>
      </c>
      <c r="HT197" s="198">
        <f t="shared" si="900"/>
        <v>76</v>
      </c>
      <c r="HU197" s="198">
        <f t="shared" si="900"/>
        <v>77</v>
      </c>
      <c r="HV197" s="198">
        <f t="shared" si="900"/>
        <v>78</v>
      </c>
      <c r="HW197" s="198">
        <f t="shared" si="900"/>
        <v>79</v>
      </c>
      <c r="HX197" s="198">
        <f t="shared" si="900"/>
        <v>80</v>
      </c>
      <c r="HY197" s="198">
        <f t="shared" si="900"/>
        <v>81</v>
      </c>
      <c r="HZ197" s="198">
        <f t="shared" si="900"/>
        <v>82</v>
      </c>
      <c r="IA197" s="198">
        <f t="shared" si="900"/>
        <v>83</v>
      </c>
      <c r="IB197" s="198">
        <f t="shared" si="900"/>
        <v>84</v>
      </c>
      <c r="IC197" s="198">
        <f t="shared" si="900"/>
        <v>85</v>
      </c>
      <c r="ID197" s="198">
        <f t="shared" si="900"/>
        <v>86</v>
      </c>
      <c r="IE197" s="198">
        <f t="shared" si="900"/>
        <v>87</v>
      </c>
      <c r="IF197" s="198">
        <f t="shared" si="900"/>
        <v>88</v>
      </c>
      <c r="IG197" s="198">
        <f t="shared" si="900"/>
        <v>89</v>
      </c>
      <c r="IH197" s="198">
        <f t="shared" si="900"/>
        <v>90</v>
      </c>
      <c r="II197" s="198">
        <f t="shared" si="900"/>
        <v>91</v>
      </c>
      <c r="IJ197" s="198">
        <f t="shared" si="900"/>
        <v>92</v>
      </c>
      <c r="IK197" s="198">
        <f t="shared" si="900"/>
        <v>93</v>
      </c>
      <c r="IL197" s="198">
        <f t="shared" si="900"/>
        <v>94</v>
      </c>
      <c r="IM197" s="198">
        <f t="shared" si="900"/>
        <v>95</v>
      </c>
      <c r="IN197" s="198" t="n">
        <f t="shared" ref="IN197:JX197" si="901">IN3</f>
        <v>96</v>
      </c>
      <c r="IO197" s="198">
        <f t="shared" si="901"/>
        <v>97</v>
      </c>
      <c r="IP197" s="198">
        <f t="shared" si="901"/>
        <v>98</v>
      </c>
      <c r="IQ197" s="198">
        <f t="shared" si="901"/>
        <v>99</v>
      </c>
      <c r="IR197" s="198">
        <f t="shared" si="901"/>
        <v>100</v>
      </c>
      <c r="IS197" s="198">
        <f t="shared" si="901"/>
        <v>101</v>
      </c>
      <c r="IT197" s="198">
        <f t="shared" si="901"/>
        <v>102</v>
      </c>
      <c r="IU197" s="198">
        <f t="shared" si="901"/>
        <v>103</v>
      </c>
      <c r="IV197" s="198">
        <f t="shared" si="901"/>
        <v>104</v>
      </c>
      <c r="IW197" s="198">
        <f t="shared" si="901"/>
        <v>105</v>
      </c>
      <c r="IX197" s="198">
        <f t="shared" si="901"/>
        <v>106</v>
      </c>
      <c r="IY197" s="198">
        <f t="shared" si="901"/>
        <v>107</v>
      </c>
      <c r="IZ197" s="198">
        <f t="shared" si="901"/>
        <v>108</v>
      </c>
      <c r="JA197" s="198">
        <f t="shared" si="901"/>
        <v>109</v>
      </c>
      <c r="JB197" s="198">
        <f t="shared" si="901"/>
        <v>110</v>
      </c>
      <c r="JC197" s="198">
        <f t="shared" si="901"/>
        <v>111</v>
      </c>
      <c r="JD197" s="198">
        <f t="shared" si="901"/>
        <v>112</v>
      </c>
      <c r="JE197" s="198">
        <f t="shared" si="901"/>
        <v>113</v>
      </c>
      <c r="JF197" s="198">
        <f t="shared" si="901"/>
        <v>114</v>
      </c>
      <c r="JG197" s="198">
        <f t="shared" si="901"/>
        <v>115</v>
      </c>
      <c r="JH197" s="198">
        <f t="shared" si="901"/>
        <v>116</v>
      </c>
      <c r="JI197" s="198">
        <f t="shared" si="901"/>
        <v>117</v>
      </c>
      <c r="JJ197" s="198">
        <f t="shared" si="901"/>
        <v>118</v>
      </c>
      <c r="JK197" s="198">
        <f t="shared" si="901"/>
        <v>119</v>
      </c>
      <c r="JL197" s="198">
        <f t="shared" si="901"/>
        <v>120</v>
      </c>
      <c r="JM197" s="198">
        <f t="shared" si="901"/>
        <v>121</v>
      </c>
      <c r="JN197" s="198">
        <f t="shared" si="901"/>
        <v>122</v>
      </c>
      <c r="JO197" s="198">
        <f t="shared" si="901"/>
        <v>123</v>
      </c>
      <c r="JP197" s="198">
        <f t="shared" si="901"/>
        <v>124</v>
      </c>
      <c r="JQ197" s="198">
        <f t="shared" si="901"/>
        <v>125</v>
      </c>
      <c r="JR197" s="198">
        <f t="shared" si="901"/>
        <v>126</v>
      </c>
      <c r="JS197" s="198">
        <f t="shared" si="901"/>
        <v>127</v>
      </c>
      <c r="JT197" s="198">
        <f t="shared" si="901"/>
        <v>128</v>
      </c>
      <c r="JU197" s="198">
        <f t="shared" si="901"/>
        <v>129</v>
      </c>
      <c r="JV197" s="198">
        <f t="shared" si="901"/>
        <v>130</v>
      </c>
      <c r="JW197" s="198">
        <f t="shared" si="901"/>
        <v>131</v>
      </c>
      <c r="JX197" s="198">
        <f t="shared" si="901"/>
        <v>132</v>
      </c>
      <c r="JZ197" s="263"/>
      <c r="KA197" s="263"/>
      <c r="KB197" s="263"/>
      <c r="KC197" s="263"/>
      <c r="KD197" s="263"/>
      <c r="KE197" s="263"/>
      <c r="KF197" s="263"/>
      <c r="KG197" s="263"/>
      <c r="KH197" s="263"/>
      <c r="KI197" s="263"/>
      <c r="KJ197" s="263"/>
      <c r="KK197" s="263"/>
      <c r="KL197" s="263"/>
      <c r="KM197" s="263"/>
      <c r="KN197" s="263"/>
      <c r="KO197" s="263"/>
      <c r="KP197" s="263"/>
      <c r="KQ197" s="263"/>
      <c r="KR197" s="263"/>
      <c r="KS197" s="263"/>
      <c r="KT197" s="263"/>
      <c r="KU197" s="263"/>
      <c r="KV197" s="263"/>
      <c r="KW197" s="263"/>
      <c r="KX197" s="263"/>
      <c r="KY197" s="263"/>
      <c r="KZ197" s="263"/>
      <c r="LA197" s="263"/>
      <c r="LB197" s="263"/>
      <c r="LC197" s="263"/>
      <c r="LD197" s="263"/>
      <c r="LE197" s="263"/>
      <c r="LF197" s="263"/>
      <c r="LG197" s="263"/>
      <c r="LH197" s="263"/>
      <c r="LI197" s="263"/>
      <c r="LJ197" s="263"/>
      <c r="LK197" s="263"/>
      <c r="LL197" s="263"/>
      <c r="LM197" s="263"/>
      <c r="LN197" s="263"/>
      <c r="LO197" s="263"/>
      <c r="LP197" s="263"/>
      <c r="LQ197" s="263"/>
      <c r="LR197" s="263"/>
      <c r="LS197" s="263"/>
      <c r="LT197" s="263"/>
      <c r="LU197" s="263"/>
      <c r="LV197" s="263"/>
      <c r="LW197" s="263"/>
      <c r="LX197" s="263"/>
      <c r="LY197" s="263"/>
      <c r="LZ197" s="263"/>
      <c r="MA197" s="263"/>
      <c r="MB197" s="263"/>
      <c r="MC197" s="263"/>
      <c r="MD197" s="263"/>
      <c r="ME197" s="263"/>
      <c r="MF197" s="263"/>
      <c r="MG197" s="263"/>
      <c r="MH197" s="263"/>
      <c r="MI197" s="263"/>
      <c r="MJ197" s="263"/>
      <c r="MK197" s="263"/>
      <c r="ML197" s="263"/>
      <c r="MM197" s="263"/>
      <c r="MN197" s="263"/>
      <c r="MO197" s="263"/>
      <c r="MP197" s="263"/>
      <c r="MQ197" s="263"/>
      <c r="MR197" s="263"/>
      <c r="MS197" s="263"/>
      <c r="MT197" s="263"/>
      <c r="MU197" s="263"/>
      <c r="MV197" s="263"/>
      <c r="MW197" s="263"/>
      <c r="MX197" s="263"/>
      <c r="MY197" s="263"/>
      <c r="MZ197" s="263"/>
      <c r="NA197" s="263"/>
      <c r="NB197" s="263"/>
      <c r="NC197" s="263"/>
      <c r="ND197" s="263"/>
      <c r="NE197" s="263"/>
      <c r="NF197" s="263"/>
      <c r="NG197" s="263"/>
      <c r="NH197" s="263"/>
      <c r="NI197" s="263"/>
      <c r="NJ197" s="263"/>
      <c r="NK197" s="263"/>
      <c r="NL197" s="263"/>
      <c r="NM197" s="263"/>
      <c r="NN197" s="263"/>
      <c r="NO197" s="263"/>
      <c r="NP197" s="263"/>
      <c r="NQ197" s="263"/>
      <c r="NR197" s="263"/>
      <c r="NS197" s="263"/>
      <c r="NT197" s="263"/>
      <c r="NU197" s="263"/>
      <c r="NV197" s="263"/>
      <c r="NW197" s="263"/>
      <c r="NX197" s="263"/>
      <c r="NY197" s="263"/>
      <c r="NZ197" s="263"/>
      <c r="OA197" s="263"/>
      <c r="OB197" s="263"/>
      <c r="OC197" s="263"/>
      <c r="OD197" s="263"/>
      <c r="OE197" s="263"/>
      <c r="OF197" s="263"/>
      <c r="OG197" s="263"/>
      <c r="OH197" s="263"/>
      <c r="OI197" s="263"/>
      <c r="OJ197" s="263"/>
      <c r="OK197" s="263"/>
      <c r="OL197" s="263"/>
      <c r="OM197" s="263"/>
      <c r="ON197" s="263"/>
      <c r="OO197" s="263"/>
      <c r="OP197" s="263"/>
      <c r="OQ197" s="263"/>
      <c r="OR197" s="263"/>
      <c r="OS197" s="263"/>
      <c r="OT197" s="263"/>
      <c r="OU197" s="263"/>
      <c r="OV197" s="263"/>
      <c r="OW197" s="263"/>
      <c r="OX197" s="263"/>
      <c r="OY197" s="263"/>
      <c r="OZ197" s="263"/>
      <c r="PA197" s="263"/>
      <c r="PB197" s="263"/>
      <c r="PC197" s="263"/>
      <c r="PD197" s="263"/>
      <c r="PE197" s="263"/>
      <c r="PF197" s="263"/>
      <c r="PG197" s="263"/>
      <c r="PH197" s="263"/>
    </row>
    <row r="198">
      <c r="B198" s="34"/>
      <c r="C198" s="404"/>
      <c r="D198" s="404"/>
      <c r="E198" s="404"/>
      <c r="F198" s="404"/>
      <c r="G198" s="404"/>
      <c r="H198" s="404"/>
      <c r="I198" s="404"/>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c r="DM198" s="76"/>
      <c r="DN198" s="76"/>
      <c r="DO198" s="76"/>
      <c r="DP198" s="76"/>
      <c r="DQ198" s="76"/>
      <c r="DR198" s="76"/>
      <c r="DS198" s="76"/>
      <c r="DT198" s="76"/>
      <c r="DU198" s="76"/>
      <c r="DV198" s="76"/>
      <c r="DW198" s="76"/>
      <c r="DX198" s="76"/>
      <c r="DY198" s="76"/>
      <c r="DZ198" s="76"/>
      <c r="EA198" s="76"/>
      <c r="EB198" s="76"/>
      <c r="EC198" s="76"/>
      <c r="ED198" s="76"/>
      <c r="EE198" s="76"/>
      <c r="EF198" s="76"/>
      <c r="EG198" s="76"/>
      <c r="EH198" s="76"/>
      <c r="EI198" s="76"/>
      <c r="EJ198" s="76"/>
      <c r="EK198" s="76"/>
      <c r="EL198" s="76"/>
      <c r="EM198" s="76"/>
      <c r="EN198" s="76"/>
      <c r="EP198" s="409" t="s">
        <v>365</v>
      </c>
      <c r="EQ198" s="18"/>
      <c r="ER198" s="18"/>
      <c r="ES198" s="18"/>
      <c r="ET198" s="18" t="s">
        <v>366</v>
      </c>
      <c r="EU198" s="18"/>
      <c r="EV198" s="422" t="n">
        <f t="shared" ref="EV198:GA198" si="902">(EV$197&lt;=Timing_Reversion_Month)*EU202</f>
        <v>0</v>
      </c>
      <c r="EW198" s="422">
        <f t="shared" si="902"/>
        <v>82683053.259915501</v>
      </c>
      <c r="EX198" s="422">
        <f t="shared" si="902"/>
        <v>82885725.797198251</v>
      </c>
      <c r="EY198" s="422">
        <f t="shared" si="902"/>
        <v>83347508.938218087</v>
      </c>
      <c r="EZ198" s="422">
        <f t="shared" si="902"/>
        <v>84180586.726395071</v>
      </c>
      <c r="FA198" s="422">
        <f t="shared" si="902"/>
        <v>85529473.764317051</v>
      </c>
      <c r="FB198" s="422">
        <f t="shared" si="902"/>
        <v>87681496.425238773</v>
      </c>
      <c r="FC198" s="422">
        <f t="shared" si="902"/>
        <v>90075859.292431727</v>
      </c>
      <c r="FD198" s="422">
        <f t="shared" si="902"/>
        <v>93609988.537256971</v>
      </c>
      <c r="FE198" s="422">
        <f t="shared" si="902"/>
        <v>98536554.487812504</v>
      </c>
      <c r="FF198" s="422">
        <f t="shared" si="902"/>
        <v>105105558.41832614</v>
      </c>
      <c r="FG198" s="422">
        <f t="shared" si="902"/>
        <v>113541722.42868516</v>
      </c>
      <c r="FH198" s="422">
        <f t="shared" si="902"/>
        <v>124018545.85602142</v>
      </c>
      <c r="FI198" s="422">
        <f t="shared" si="902"/>
        <v>136631887.23557633</v>
      </c>
      <c r="FJ198" s="422">
        <f t="shared" si="902"/>
        <v>151376710.54068455</v>
      </c>
      <c r="FK198" s="422">
        <f t="shared" si="902"/>
        <v>168130874.71352574</v>
      </c>
      <c r="FL198" s="422">
        <f t="shared" si="902"/>
        <v>186649378.3979615</v>
      </c>
      <c r="FM198" s="422">
        <f t="shared" si="902"/>
        <v>191229087.62903455</v>
      </c>
      <c r="FN198" s="422">
        <f t="shared" si="902"/>
        <v>191796873.91585711</v>
      </c>
      <c r="FO198" s="422">
        <f t="shared" si="902"/>
        <v>189697415.12076157</v>
      </c>
      <c r="FP198" s="422">
        <f t="shared" si="902"/>
        <v>187824496.72727352</v>
      </c>
      <c r="FQ198" s="422">
        <f t="shared" si="902"/>
        <v>186092645.23462883</v>
      </c>
      <c r="FR198" s="422">
        <f t="shared" si="902"/>
        <v>183748690.59154698</v>
      </c>
      <c r="FS198" s="422">
        <f t="shared" si="902"/>
        <v>181529143.77271235</v>
      </c>
      <c r="FT198" s="422">
        <f t="shared" si="902"/>
        <v>179423634.33390766</v>
      </c>
      <c r="FU198" s="422">
        <f t="shared" si="902"/>
        <v>177129434.16899469</v>
      </c>
      <c r="FV198" s="422">
        <f t="shared" si="902"/>
        <v>174921006.884781</v>
      </c>
      <c r="FW198" s="422">
        <f t="shared" si="902"/>
        <v>172784280.47040328</v>
      </c>
      <c r="FX198" s="422">
        <f t="shared" si="902"/>
        <v>170526901.2873525</v>
      </c>
      <c r="FY198" s="422">
        <f t="shared" si="902"/>
        <v>168910341.95053026</v>
      </c>
      <c r="FZ198" s="422">
        <f t="shared" si="902"/>
        <v>168629998.16362649</v>
      </c>
      <c r="GA198" s="422">
        <f t="shared" si="902"/>
        <v>167336205.21723112</v>
      </c>
      <c r="GB198" s="422" t="n">
        <f t="shared" ref="GB198:HG198" si="903">(GB$197&lt;=Timing_Reversion_Month)*GA202</f>
        <v>165656978.68094417</v>
      </c>
      <c r="GC198" s="422">
        <f t="shared" si="903"/>
        <v>163685579.05750713</v>
      </c>
      <c r="GD198" s="422">
        <f t="shared" si="903"/>
        <v>161499392.507669</v>
      </c>
      <c r="GE198" s="422">
        <f t="shared" si="903"/>
        <v>158919406.09857449</v>
      </c>
      <c r="GF198" s="422">
        <f t="shared" si="903"/>
        <v>156232795.41820601</v>
      </c>
      <c r="GG198" s="422">
        <f t="shared" si="903"/>
        <v>153461979.50223291</v>
      </c>
      <c r="GH198" s="422">
        <f t="shared" si="903"/>
        <v>151073458.71925727</v>
      </c>
      <c r="GI198" s="422">
        <f t="shared" si="903"/>
        <v>148679771.58370426</v>
      </c>
      <c r="GJ198" s="422">
        <f t="shared" si="903"/>
        <v>146280971.22366762</v>
      </c>
      <c r="GK198" s="422">
        <f t="shared" si="903"/>
        <v>143871108.0406464</v>
      </c>
      <c r="GL198" s="422">
        <f t="shared" si="903"/>
        <v>141456197.81273726</v>
      </c>
      <c r="GM198" s="422">
        <f t="shared" si="903"/>
        <v>139036296.5763925</v>
      </c>
      <c r="GN198" s="422">
        <f t="shared" si="903"/>
        <v>136455545.55735004</v>
      </c>
      <c r="GO198" s="422">
        <f t="shared" si="903"/>
        <v>133868795.17041583</v>
      </c>
      <c r="GP198" s="422">
        <f t="shared" si="903"/>
        <v>131276096.68324906</v>
      </c>
      <c r="GQ198" s="422">
        <f t="shared" si="903"/>
        <v>128649819.04598098</v>
      </c>
      <c r="GR198" s="422">
        <f t="shared" si="903"/>
        <v>126017499.56861837</v>
      </c>
      <c r="GS198" s="422">
        <f t="shared" si="903"/>
        <v>123379191.35510594</v>
      </c>
      <c r="GT198" s="422">
        <f t="shared" si="903"/>
        <v>120861782.82863094</v>
      </c>
      <c r="GU198" s="422">
        <f t="shared" si="903"/>
        <v>118339409.24530996</v>
      </c>
      <c r="GV198" s="422">
        <f t="shared" si="903"/>
        <v>115812133.66077547</v>
      </c>
      <c r="GW198" s="422">
        <f t="shared" si="903"/>
        <v>113274026.59830026</v>
      </c>
      <c r="GX198" s="422">
        <f t="shared" si="903"/>
        <v>110731104.04861407</v>
      </c>
      <c r="GY198" s="422">
        <f t="shared" si="903"/>
        <v>108183432.38597612</v>
      </c>
      <c r="GZ198" s="422">
        <f t="shared" si="903"/>
        <v>105489961.22805549</v>
      </c>
      <c r="HA198" s="422">
        <f t="shared" si="903"/>
        <v>102790860.34676278</v>
      </c>
      <c r="HB198" s="422">
        <f t="shared" si="903"/>
        <v>100086192.53931727</v>
      </c>
      <c r="HC198" s="422">
        <f t="shared" si="903"/>
        <v>97347369.516144007</v>
      </c>
      <c r="HD198" s="422">
        <f t="shared" si="903"/>
        <v>94602902.353105143</v>
      </c>
      <c r="HE198" s="422">
        <f t="shared" si="903"/>
        <v>91852856.08688359</v>
      </c>
      <c r="HF198" s="422">
        <f t="shared" si="903"/>
        <v>0</v>
      </c>
      <c r="HG198" s="422">
        <f t="shared" si="903"/>
        <v>0</v>
      </c>
      <c r="HH198" s="422" t="n">
        <f t="shared" ref="HH198:IM198" si="904">(HH$197&lt;=Timing_Reversion_Month)*HG202</f>
        <v>0</v>
      </c>
      <c r="HI198" s="422">
        <f t="shared" si="904"/>
        <v>0</v>
      </c>
      <c r="HJ198" s="422">
        <f t="shared" si="904"/>
        <v>0</v>
      </c>
      <c r="HK198" s="422">
        <f t="shared" si="904"/>
        <v>0</v>
      </c>
      <c r="HL198" s="422">
        <f t="shared" si="904"/>
        <v>0</v>
      </c>
      <c r="HM198" s="422">
        <f t="shared" si="904"/>
        <v>0</v>
      </c>
      <c r="HN198" s="422">
        <f t="shared" si="904"/>
        <v>0</v>
      </c>
      <c r="HO198" s="422">
        <f t="shared" si="904"/>
        <v>0</v>
      </c>
      <c r="HP198" s="422">
        <f t="shared" si="904"/>
        <v>0</v>
      </c>
      <c r="HQ198" s="422">
        <f t="shared" si="904"/>
        <v>0</v>
      </c>
      <c r="HR198" s="422">
        <f t="shared" si="904"/>
        <v>0</v>
      </c>
      <c r="HS198" s="422">
        <f t="shared" si="904"/>
        <v>0</v>
      </c>
      <c r="HT198" s="422">
        <f t="shared" si="904"/>
        <v>0</v>
      </c>
      <c r="HU198" s="422">
        <f t="shared" si="904"/>
        <v>0</v>
      </c>
      <c r="HV198" s="422">
        <f t="shared" si="904"/>
        <v>0</v>
      </c>
      <c r="HW198" s="422">
        <f t="shared" si="904"/>
        <v>0</v>
      </c>
      <c r="HX198" s="422">
        <f t="shared" si="904"/>
        <v>0</v>
      </c>
      <c r="HY198" s="422">
        <f t="shared" si="904"/>
        <v>0</v>
      </c>
      <c r="HZ198" s="422">
        <f t="shared" si="904"/>
        <v>0</v>
      </c>
      <c r="IA198" s="422">
        <f t="shared" si="904"/>
        <v>0</v>
      </c>
      <c r="IB198" s="422">
        <f t="shared" si="904"/>
        <v>0</v>
      </c>
      <c r="IC198" s="422">
        <f t="shared" si="904"/>
        <v>0</v>
      </c>
      <c r="ID198" s="422">
        <f t="shared" si="904"/>
        <v>0</v>
      </c>
      <c r="IE198" s="422">
        <f t="shared" si="904"/>
        <v>0</v>
      </c>
      <c r="IF198" s="422">
        <f t="shared" si="904"/>
        <v>0</v>
      </c>
      <c r="IG198" s="422">
        <f t="shared" si="904"/>
        <v>0</v>
      </c>
      <c r="IH198" s="422">
        <f t="shared" si="904"/>
        <v>0</v>
      </c>
      <c r="II198" s="422">
        <f t="shared" si="904"/>
        <v>0</v>
      </c>
      <c r="IJ198" s="422">
        <f t="shared" si="904"/>
        <v>0</v>
      </c>
      <c r="IK198" s="422">
        <f t="shared" si="904"/>
        <v>0</v>
      </c>
      <c r="IL198" s="422">
        <f t="shared" si="904"/>
        <v>0</v>
      </c>
      <c r="IM198" s="422">
        <f t="shared" si="904"/>
        <v>0</v>
      </c>
      <c r="IN198" s="422" t="n">
        <f t="shared" ref="IN198:JX198" si="905">(IN$197&lt;=Timing_Reversion_Month)*IM202</f>
        <v>0</v>
      </c>
      <c r="IO198" s="422">
        <f t="shared" si="905"/>
        <v>0</v>
      </c>
      <c r="IP198" s="422">
        <f t="shared" si="905"/>
        <v>0</v>
      </c>
      <c r="IQ198" s="422">
        <f t="shared" si="905"/>
        <v>0</v>
      </c>
      <c r="IR198" s="422">
        <f t="shared" si="905"/>
        <v>0</v>
      </c>
      <c r="IS198" s="422">
        <f t="shared" si="905"/>
        <v>0</v>
      </c>
      <c r="IT198" s="422">
        <f t="shared" si="905"/>
        <v>0</v>
      </c>
      <c r="IU198" s="422">
        <f t="shared" si="905"/>
        <v>0</v>
      </c>
      <c r="IV198" s="422">
        <f t="shared" si="905"/>
        <v>0</v>
      </c>
      <c r="IW198" s="422">
        <f t="shared" si="905"/>
        <v>0</v>
      </c>
      <c r="IX198" s="422">
        <f t="shared" si="905"/>
        <v>0</v>
      </c>
      <c r="IY198" s="422">
        <f t="shared" si="905"/>
        <v>0</v>
      </c>
      <c r="IZ198" s="422">
        <f t="shared" si="905"/>
        <v>0</v>
      </c>
      <c r="JA198" s="422">
        <f t="shared" si="905"/>
        <v>0</v>
      </c>
      <c r="JB198" s="422">
        <f t="shared" si="905"/>
        <v>0</v>
      </c>
      <c r="JC198" s="422">
        <f t="shared" si="905"/>
        <v>0</v>
      </c>
      <c r="JD198" s="422">
        <f t="shared" si="905"/>
        <v>0</v>
      </c>
      <c r="JE198" s="422">
        <f t="shared" si="905"/>
        <v>0</v>
      </c>
      <c r="JF198" s="422">
        <f t="shared" si="905"/>
        <v>0</v>
      </c>
      <c r="JG198" s="422">
        <f t="shared" si="905"/>
        <v>0</v>
      </c>
      <c r="JH198" s="422">
        <f t="shared" si="905"/>
        <v>0</v>
      </c>
      <c r="JI198" s="422">
        <f t="shared" si="905"/>
        <v>0</v>
      </c>
      <c r="JJ198" s="422">
        <f t="shared" si="905"/>
        <v>0</v>
      </c>
      <c r="JK198" s="422">
        <f t="shared" si="905"/>
        <v>0</v>
      </c>
      <c r="JL198" s="422">
        <f t="shared" si="905"/>
        <v>0</v>
      </c>
      <c r="JM198" s="422">
        <f t="shared" si="905"/>
        <v>0</v>
      </c>
      <c r="JN198" s="422">
        <f t="shared" si="905"/>
        <v>0</v>
      </c>
      <c r="JO198" s="422">
        <f t="shared" si="905"/>
        <v>0</v>
      </c>
      <c r="JP198" s="422">
        <f t="shared" si="905"/>
        <v>0</v>
      </c>
      <c r="JQ198" s="422">
        <f t="shared" si="905"/>
        <v>0</v>
      </c>
      <c r="JR198" s="422">
        <f t="shared" si="905"/>
        <v>0</v>
      </c>
      <c r="JS198" s="422">
        <f t="shared" si="905"/>
        <v>0</v>
      </c>
      <c r="JT198" s="422">
        <f t="shared" si="905"/>
        <v>0</v>
      </c>
      <c r="JU198" s="422">
        <f t="shared" si="905"/>
        <v>0</v>
      </c>
      <c r="JV198" s="422">
        <f t="shared" si="905"/>
        <v>0</v>
      </c>
      <c r="JW198" s="422">
        <f t="shared" si="905"/>
        <v>0</v>
      </c>
      <c r="JX198" s="422">
        <f t="shared" si="905"/>
        <v>0</v>
      </c>
      <c r="JZ198" s="263"/>
      <c r="KA198" s="263"/>
      <c r="KB198" s="263"/>
      <c r="KC198" s="263"/>
      <c r="KD198" s="263"/>
      <c r="KE198" s="263"/>
      <c r="KF198" s="263"/>
      <c r="KG198" s="263"/>
      <c r="KH198" s="263"/>
      <c r="KI198" s="263"/>
      <c r="KJ198" s="263"/>
      <c r="KK198" s="263"/>
      <c r="KL198" s="263"/>
      <c r="KM198" s="263"/>
      <c r="KN198" s="263"/>
      <c r="KO198" s="263"/>
      <c r="KP198" s="263"/>
      <c r="KQ198" s="263"/>
      <c r="KR198" s="263"/>
      <c r="KS198" s="263"/>
      <c r="KT198" s="263"/>
      <c r="KU198" s="263"/>
      <c r="KV198" s="263"/>
      <c r="KW198" s="263"/>
      <c r="KX198" s="263"/>
      <c r="KY198" s="263"/>
      <c r="KZ198" s="263"/>
      <c r="LA198" s="263"/>
      <c r="LB198" s="263"/>
      <c r="LC198" s="263"/>
      <c r="LD198" s="263"/>
      <c r="LE198" s="263"/>
      <c r="LF198" s="263"/>
      <c r="LG198" s="263"/>
      <c r="LH198" s="263"/>
      <c r="LI198" s="263"/>
      <c r="LJ198" s="263"/>
      <c r="LK198" s="263"/>
      <c r="LL198" s="263"/>
      <c r="LM198" s="263"/>
      <c r="LN198" s="263"/>
      <c r="LO198" s="263"/>
      <c r="LP198" s="263"/>
      <c r="LQ198" s="263"/>
      <c r="LR198" s="263"/>
      <c r="LS198" s="263"/>
      <c r="LT198" s="263"/>
      <c r="LU198" s="263"/>
      <c r="LV198" s="263"/>
      <c r="LW198" s="263"/>
      <c r="LX198" s="263"/>
      <c r="LY198" s="263"/>
      <c r="LZ198" s="263"/>
      <c r="MA198" s="263"/>
      <c r="MB198" s="263"/>
      <c r="MC198" s="263"/>
      <c r="MD198" s="263"/>
      <c r="ME198" s="263"/>
      <c r="MF198" s="263"/>
      <c r="MG198" s="263"/>
      <c r="MH198" s="263"/>
      <c r="MI198" s="263"/>
      <c r="MJ198" s="263"/>
      <c r="MK198" s="263"/>
      <c r="ML198" s="263"/>
      <c r="MM198" s="263"/>
      <c r="MN198" s="263"/>
      <c r="MO198" s="263"/>
      <c r="MP198" s="263"/>
      <c r="MQ198" s="263"/>
      <c r="MR198" s="263"/>
      <c r="MS198" s="263"/>
      <c r="MT198" s="263"/>
      <c r="MU198" s="263"/>
      <c r="MV198" s="263"/>
      <c r="MW198" s="263"/>
      <c r="MX198" s="263"/>
      <c r="MY198" s="263"/>
      <c r="MZ198" s="263"/>
      <c r="NA198" s="263"/>
      <c r="NB198" s="263"/>
      <c r="NC198" s="263"/>
      <c r="ND198" s="263"/>
      <c r="NE198" s="263"/>
      <c r="NF198" s="263"/>
      <c r="NG198" s="263"/>
      <c r="NH198" s="263"/>
      <c r="NI198" s="263"/>
      <c r="NJ198" s="263"/>
      <c r="NK198" s="263"/>
      <c r="NL198" s="263"/>
      <c r="NM198" s="263"/>
      <c r="NN198" s="263"/>
      <c r="NO198" s="263"/>
      <c r="NP198" s="263"/>
      <c r="NQ198" s="263"/>
      <c r="NR198" s="263"/>
      <c r="NS198" s="263"/>
      <c r="NT198" s="263"/>
      <c r="NU198" s="263"/>
      <c r="NV198" s="263"/>
      <c r="NW198" s="263"/>
      <c r="NX198" s="263"/>
      <c r="NY198" s="263"/>
      <c r="NZ198" s="263"/>
      <c r="OA198" s="263"/>
      <c r="OB198" s="263"/>
      <c r="OC198" s="263"/>
      <c r="OD198" s="263"/>
      <c r="OE198" s="263"/>
      <c r="OF198" s="263"/>
      <c r="OG198" s="263"/>
      <c r="OH198" s="263"/>
      <c r="OI198" s="263"/>
      <c r="OJ198" s="263"/>
      <c r="OK198" s="263"/>
      <c r="OL198" s="263"/>
      <c r="OM198" s="263"/>
      <c r="ON198" s="263"/>
      <c r="OO198" s="263"/>
      <c r="OP198" s="263"/>
      <c r="OQ198" s="263"/>
      <c r="OR198" s="263"/>
      <c r="OS198" s="263"/>
      <c r="OT198" s="263"/>
      <c r="OU198" s="263"/>
      <c r="OV198" s="263"/>
      <c r="OW198" s="263"/>
      <c r="OX198" s="263"/>
      <c r="OY198" s="263"/>
      <c r="OZ198" s="263"/>
      <c r="PA198" s="263"/>
      <c r="PB198" s="263"/>
      <c r="PC198" s="263"/>
      <c r="PD198" s="263"/>
      <c r="PE198" s="263"/>
      <c r="PF198" s="263"/>
      <c r="PG198" s="263"/>
      <c r="PH198" s="263"/>
    </row>
    <row r="199">
      <c r="B199" s="34" t="s">
        <v>367</v>
      </c>
      <c r="C199" s="404"/>
      <c r="D199" s="404"/>
      <c r="E199" s="404"/>
      <c r="F199" s="404"/>
      <c r="G199" s="404"/>
      <c r="H199" s="41"/>
      <c r="I199" s="449" t="n">
        <f>SUM(L199:EN199)</f>
        <v>213018833.90950713</v>
      </c>
      <c r="L199" s="421" t="str">
        <f t="shared" ref="L199:AQ199" si="906">IF(L194="","",L75)</f>
      </c>
      <c r="M199" s="421">
        <f t="shared" si="906"/>
        <v>313055.55555555556</v>
      </c>
      <c r="N199" s="421">
        <f t="shared" si="906"/>
        <v>313055.55555555556</v>
      </c>
      <c r="O199" s="421">
        <f t="shared" si="906"/>
        <v>313055.55555555556</v>
      </c>
      <c r="P199" s="421">
        <f t="shared" si="906"/>
        <v>313055.55555555556</v>
      </c>
      <c r="Q199" s="421">
        <f t="shared" si="906"/>
        <v>313055.55555555556</v>
      </c>
      <c r="R199" s="421">
        <f t="shared" si="906"/>
        <v>313055.55555555556</v>
      </c>
      <c r="S199" s="421">
        <f t="shared" si="906"/>
        <v>313055.55555555556</v>
      </c>
      <c r="T199" s="421">
        <f t="shared" si="906"/>
        <v>313055.55555555556</v>
      </c>
      <c r="U199" s="421">
        <f t="shared" si="906"/>
        <v>313055.55555555556</v>
      </c>
      <c r="V199" s="421">
        <f t="shared" si="906"/>
        <v>313055.55555555556</v>
      </c>
      <c r="W199" s="421">
        <f t="shared" si="906"/>
        <v>313055.55555555556</v>
      </c>
      <c r="X199" s="421">
        <f t="shared" si="906"/>
        <v>313055.55555555556</v>
      </c>
      <c r="Y199" s="421">
        <f t="shared" si="906"/>
        <v>313055.55555555556</v>
      </c>
      <c r="Z199" s="421">
        <f t="shared" si="906"/>
        <v>313055.55555555556</v>
      </c>
      <c r="AA199" s="421">
        <f t="shared" si="906"/>
        <v>313055.55555555556</v>
      </c>
      <c r="AB199" s="421">
        <f t="shared" si="906"/>
        <v>16462723.177979652</v>
      </c>
      <c r="AC199" s="421">
        <f t="shared" si="906"/>
        <v>21785085.385473285</v>
      </c>
      <c r="AD199" s="421">
        <f t="shared" si="906"/>
        <v>21990476.974151812</v>
      </c>
      <c r="AE199" s="421">
        <f t="shared" si="906"/>
        <v>21610531.77273963</v>
      </c>
      <c r="AF199" s="421">
        <f t="shared" si="906"/>
        <v>20765363.623626839</v>
      </c>
      <c r="AG199" s="421">
        <f t="shared" si="906"/>
        <v>19428611.61356866</v>
      </c>
      <c r="AH199" s="421">
        <f t="shared" si="906"/>
        <v>17698527.037614021</v>
      </c>
      <c r="AI199" s="421">
        <f t="shared" si="906"/>
        <v>15695302.068280539</v>
      </c>
      <c r="AJ199" s="421">
        <f t="shared" si="906"/>
        <v>13547336.693550859</v>
      </c>
      <c r="AK199" s="421">
        <f t="shared" si="906"/>
        <v>11377861.161045346</v>
      </c>
      <c r="AL199" s="421">
        <f t="shared" si="906"/>
        <v>9293807.5188872553</v>
      </c>
      <c r="AM199" s="421">
        <f t="shared" si="906"/>
        <v>7378219.2071393942</v>
      </c>
      <c r="AN199" s="421">
        <f t="shared" si="906"/>
        <v>5058549.9080417454</v>
      </c>
      <c r="AO199" s="421">
        <f t="shared" si="906"/>
        <v>2255947.0727027655</v>
      </c>
      <c r="AP199" s="421">
        <f t="shared" si="906"/>
        <v>1627021.1181430221</v>
      </c>
      <c r="AQ199" s="421">
        <f t="shared" si="906"/>
        <v>1117199.4128260016</v>
      </c>
      <c r="AR199" s="421" t="n">
        <f t="shared" ref="AR199:BW199" si="907">IF(AR194="","",AR75)</f>
        <v>313055.55555555556</v>
      </c>
      <c r="AS199" s="421">
        <f t="shared" si="907"/>
        <v>411536.54192188382</v>
      </c>
      <c r="AT199" s="421">
        <f t="shared" si="907"/>
        <v>313055.55555555556</v>
      </c>
      <c r="AU199" s="421">
        <f t="shared" si="907"/>
        <v>148177.12503796816</v>
      </c>
      <c r="AV199" s="421">
        <f t="shared" si="907"/>
        <v>44612.052331984043</v>
      </c>
      <c r="AW199" s="421">
        <f t="shared" si="907"/>
        <v>0</v>
      </c>
      <c r="AX199" s="421">
        <f t="shared" si="907"/>
        <v>0</v>
      </c>
      <c r="AY199" s="421">
        <f t="shared" si="907"/>
        <v>0</v>
      </c>
      <c r="AZ199" s="421">
        <f t="shared" si="907"/>
        <v>0</v>
      </c>
      <c r="BA199" s="421">
        <f t="shared" si="907"/>
        <v>0</v>
      </c>
      <c r="BB199" s="421">
        <f t="shared" si="907"/>
        <v>0</v>
      </c>
      <c r="BC199" s="421">
        <f t="shared" si="907"/>
        <v>0</v>
      </c>
      <c r="BD199" s="76">
        <f t="shared" si="907"/>
        <v>0</v>
      </c>
      <c r="BE199" s="76">
        <f t="shared" si="907"/>
        <v>0</v>
      </c>
      <c r="BF199" s="76">
        <f t="shared" si="907"/>
        <v>0</v>
      </c>
      <c r="BG199" s="76">
        <f t="shared" si="907"/>
        <v>0</v>
      </c>
      <c r="BH199" s="76">
        <f t="shared" si="907"/>
        <v>0</v>
      </c>
      <c r="BI199" s="76">
        <f t="shared" si="907"/>
        <v>0</v>
      </c>
      <c r="BJ199" s="76">
        <f t="shared" si="907"/>
        <v>0</v>
      </c>
      <c r="BK199" s="76">
        <f t="shared" si="907"/>
        <v>0</v>
      </c>
      <c r="BL199" s="76">
        <f t="shared" si="907"/>
        <v>0</v>
      </c>
      <c r="BM199" s="76">
        <f t="shared" si="907"/>
        <v>0</v>
      </c>
      <c r="BN199" s="76">
        <f t="shared" si="907"/>
        <v>0</v>
      </c>
      <c r="BO199" s="76">
        <f t="shared" si="907"/>
        <v>0</v>
      </c>
      <c r="BP199" s="76">
        <f t="shared" si="907"/>
        <v>0</v>
      </c>
      <c r="BQ199" s="76">
        <f t="shared" si="907"/>
        <v>0</v>
      </c>
      <c r="BR199" s="76">
        <f t="shared" si="907"/>
        <v>0</v>
      </c>
      <c r="BS199" s="76">
        <f t="shared" si="907"/>
        <v>0</v>
      </c>
      <c r="BT199" s="76">
        <f t="shared" si="907"/>
        <v>0</v>
      </c>
      <c r="BU199" s="76">
        <f t="shared" si="907"/>
        <v>0</v>
      </c>
      <c r="BV199" s="76" t="str">
        <f t="shared" si="907"/>
      </c>
      <c r="BW199" s="76" t="str">
        <f t="shared" si="907"/>
      </c>
      <c r="BX199" s="76" t="str">
        <f t="shared" ref="BX199:DC199" si="908">IF(BX194="","",BX75)</f>
      </c>
      <c r="BY199" s="76" t="str">
        <f t="shared" si="908"/>
      </c>
      <c r="BZ199" s="76" t="str">
        <f t="shared" si="908"/>
      </c>
      <c r="CA199" s="76" t="str">
        <f t="shared" si="908"/>
      </c>
      <c r="CB199" s="76" t="str">
        <f t="shared" si="908"/>
      </c>
      <c r="CC199" s="76" t="str">
        <f t="shared" si="908"/>
      </c>
      <c r="CD199" s="76" t="str">
        <f t="shared" si="908"/>
      </c>
      <c r="CE199" s="76" t="str">
        <f t="shared" si="908"/>
      </c>
      <c r="CF199" s="76" t="str">
        <f t="shared" si="908"/>
      </c>
      <c r="CG199" s="76" t="str">
        <f t="shared" si="908"/>
      </c>
      <c r="CH199" s="76" t="str">
        <f t="shared" si="908"/>
      </c>
      <c r="CI199" s="76" t="str">
        <f t="shared" si="908"/>
      </c>
      <c r="CJ199" s="76" t="str">
        <f t="shared" si="908"/>
      </c>
      <c r="CK199" s="76" t="str">
        <f t="shared" si="908"/>
      </c>
      <c r="CL199" s="76" t="str">
        <f t="shared" si="908"/>
      </c>
      <c r="CM199" s="76" t="str">
        <f t="shared" si="908"/>
      </c>
      <c r="CN199" s="76" t="str">
        <f t="shared" si="908"/>
      </c>
      <c r="CO199" s="76" t="str">
        <f t="shared" si="908"/>
      </c>
      <c r="CP199" s="76" t="str">
        <f t="shared" si="908"/>
      </c>
      <c r="CQ199" s="76" t="str">
        <f t="shared" si="908"/>
      </c>
      <c r="CR199" s="76" t="str">
        <f t="shared" si="908"/>
      </c>
      <c r="CS199" s="76" t="str">
        <f t="shared" si="908"/>
      </c>
      <c r="CT199" s="76" t="str">
        <f t="shared" si="908"/>
      </c>
      <c r="CU199" s="76" t="str">
        <f t="shared" si="908"/>
      </c>
      <c r="CV199" s="76" t="str">
        <f t="shared" si="908"/>
      </c>
      <c r="CW199" s="76" t="str">
        <f t="shared" si="908"/>
      </c>
      <c r="CX199" s="76" t="str">
        <f t="shared" si="908"/>
      </c>
      <c r="CY199" s="76" t="str">
        <f t="shared" si="908"/>
      </c>
      <c r="CZ199" s="76" t="str">
        <f t="shared" si="908"/>
      </c>
      <c r="DA199" s="76" t="str">
        <f t="shared" si="908"/>
      </c>
      <c r="DB199" s="76" t="str">
        <f t="shared" si="908"/>
      </c>
      <c r="DC199" s="76" t="str">
        <f t="shared" si="908"/>
      </c>
      <c r="DD199" s="76" t="str">
        <f t="shared" ref="DD199:EN199" si="909">IF(DD194="","",DD75)</f>
      </c>
      <c r="DE199" s="76" t="str">
        <f t="shared" si="909"/>
      </c>
      <c r="DF199" s="76" t="str">
        <f t="shared" si="909"/>
      </c>
      <c r="DG199" s="76" t="str">
        <f t="shared" si="909"/>
      </c>
      <c r="DH199" s="76" t="str">
        <f t="shared" si="909"/>
      </c>
      <c r="DI199" s="76" t="str">
        <f t="shared" si="909"/>
      </c>
      <c r="DJ199" s="76" t="str">
        <f t="shared" si="909"/>
      </c>
      <c r="DK199" s="76" t="str">
        <f t="shared" si="909"/>
      </c>
      <c r="DL199" s="76" t="str">
        <f t="shared" si="909"/>
      </c>
      <c r="DM199" s="76" t="str">
        <f t="shared" si="909"/>
      </c>
      <c r="DN199" s="76" t="str">
        <f t="shared" si="909"/>
      </c>
      <c r="DO199" s="76" t="str">
        <f t="shared" si="909"/>
      </c>
      <c r="DP199" s="76" t="str">
        <f t="shared" si="909"/>
      </c>
      <c r="DQ199" s="76" t="str">
        <f t="shared" si="909"/>
      </c>
      <c r="DR199" s="76" t="str">
        <f t="shared" si="909"/>
      </c>
      <c r="DS199" s="76" t="str">
        <f t="shared" si="909"/>
      </c>
      <c r="DT199" s="76" t="str">
        <f t="shared" si="909"/>
      </c>
      <c r="DU199" s="76" t="str">
        <f t="shared" si="909"/>
      </c>
      <c r="DV199" s="76" t="str">
        <f t="shared" si="909"/>
      </c>
      <c r="DW199" s="76" t="str">
        <f t="shared" si="909"/>
      </c>
      <c r="DX199" s="76" t="str">
        <f t="shared" si="909"/>
      </c>
      <c r="DY199" s="76" t="str">
        <f t="shared" si="909"/>
      </c>
      <c r="DZ199" s="76" t="str">
        <f t="shared" si="909"/>
      </c>
      <c r="EA199" s="76" t="str">
        <f t="shared" si="909"/>
      </c>
      <c r="EB199" s="76" t="str">
        <f t="shared" si="909"/>
      </c>
      <c r="EC199" s="76" t="str">
        <f t="shared" si="909"/>
      </c>
      <c r="ED199" s="76" t="str">
        <f t="shared" si="909"/>
      </c>
      <c r="EE199" s="76" t="str">
        <f t="shared" si="909"/>
      </c>
      <c r="EF199" s="76" t="str">
        <f t="shared" si="909"/>
      </c>
      <c r="EG199" s="76" t="str">
        <f t="shared" si="909"/>
      </c>
      <c r="EH199" s="76" t="str">
        <f t="shared" si="909"/>
      </c>
      <c r="EI199" s="76" t="str">
        <f t="shared" si="909"/>
      </c>
      <c r="EJ199" s="76" t="str">
        <f t="shared" si="909"/>
      </c>
      <c r="EK199" s="76" t="str">
        <f t="shared" si="909"/>
      </c>
      <c r="EL199" s="76" t="str">
        <f t="shared" si="909"/>
      </c>
      <c r="EM199" s="76" t="str">
        <f t="shared" si="909"/>
      </c>
      <c r="EN199" s="76" t="str">
        <f t="shared" si="909"/>
      </c>
      <c r="EP199" s="409" t="s">
        <v>368</v>
      </c>
      <c r="EQ199" s="18"/>
      <c r="ER199" s="18"/>
      <c r="ES199" s="18"/>
      <c r="ET199" s="18" t="s">
        <v>369</v>
      </c>
      <c r="EU199" s="18"/>
      <c r="EV199" s="422" t="n">
        <f t="shared" ref="EV199:GA199" si="910">(EV$197&lt;=Timing_Reversion_Month)*(EV198*((1+$EP200)^(1/12)-1))</f>
        <v>0</v>
      </c>
      <c r="EW199" s="422">
        <f t="shared" si="910"/>
        <v>595923.49760956282</v>
      </c>
      <c r="EX199" s="422">
        <f t="shared" si="910"/>
        <v>597384.22411306144</v>
      </c>
      <c r="EY199" s="422">
        <f t="shared" si="910"/>
        <v>600712.44451233256</v>
      </c>
      <c r="EZ199" s="422">
        <f t="shared" si="910"/>
        <v>606716.70547921606</v>
      </c>
      <c r="FA199" s="422">
        <f t="shared" si="910"/>
        <v>616438.57047846576</v>
      </c>
      <c r="FB199" s="422">
        <f t="shared" si="910"/>
        <v>631948.89357938152</v>
      </c>
      <c r="FC199" s="422">
        <f t="shared" si="910"/>
        <v>649205.8408993932</v>
      </c>
      <c r="FD199" s="422">
        <f t="shared" si="910"/>
        <v>674677.4530078629</v>
      </c>
      <c r="FE199" s="422">
        <f t="shared" si="910"/>
        <v>710184.80665178702</v>
      </c>
      <c r="FF199" s="422">
        <f t="shared" si="910"/>
        <v>757529.74184397166</v>
      </c>
      <c r="FG199" s="422">
        <f t="shared" si="910"/>
        <v>818331.90341458563</v>
      </c>
      <c r="FH199" s="422">
        <f t="shared" si="910"/>
        <v>893841.75718147366</v>
      </c>
      <c r="FI199" s="422">
        <f t="shared" si="910"/>
        <v>984750.1866007318</v>
      </c>
      <c r="FJ199" s="422">
        <f t="shared" si="910"/>
        <v>1091020.8953999544</v>
      </c>
      <c r="FK199" s="422">
        <f t="shared" si="910"/>
        <v>1211773.573485255</v>
      </c>
      <c r="FL199" s="422">
        <f t="shared" si="910"/>
        <v>1345242.4168700525</v>
      </c>
      <c r="FM199" s="422">
        <f t="shared" si="910"/>
        <v>1378249.8619922919</v>
      </c>
      <c r="FN199" s="422">
        <f t="shared" si="910"/>
        <v>1382342.0813358908</v>
      </c>
      <c r="FO199" s="422">
        <f t="shared" si="910"/>
        <v>1367210.6030107304</v>
      </c>
      <c r="FP199" s="422">
        <f t="shared" si="910"/>
        <v>1353711.8746041227</v>
      </c>
      <c r="FQ199" s="422">
        <f t="shared" si="910"/>
        <v>1341229.8609610985</v>
      </c>
      <c r="FR199" s="422">
        <f t="shared" si="910"/>
        <v>1324336.2220100476</v>
      </c>
      <c r="FS199" s="422">
        <f t="shared" si="910"/>
        <v>1308339.2304714038</v>
      </c>
      <c r="FT199" s="422">
        <f t="shared" si="910"/>
        <v>1293164.1432007609</v>
      </c>
      <c r="FU199" s="422">
        <f t="shared" si="910"/>
        <v>1276629.1008602988</v>
      </c>
      <c r="FV199" s="422">
        <f t="shared" si="910"/>
        <v>1260712.251402793</v>
      </c>
      <c r="FW199" s="422">
        <f t="shared" si="910"/>
        <v>1245312.1732962434</v>
      </c>
      <c r="FX199" s="422">
        <f t="shared" si="910"/>
        <v>1229042.5116768798</v>
      </c>
      <c r="FY199" s="422">
        <f t="shared" si="910"/>
        <v>1217391.4458766824</v>
      </c>
      <c r="FZ199" s="422">
        <f t="shared" si="910"/>
        <v>1215370.9175647967</v>
      </c>
      <c r="GA199" s="422">
        <f t="shared" si="910"/>
        <v>1206046.1334959881</v>
      </c>
      <c r="GB199" s="422" t="n">
        <f t="shared" ref="GB199:HG199" si="911">(GB$197&lt;=Timing_Reversion_Month)*(GB198*((1+$EP200)^(1/12)-1))</f>
        <v>1193943.4049279317</v>
      </c>
      <c r="GC199" s="422">
        <f t="shared" si="911"/>
        <v>1179734.8904565107</v>
      </c>
      <c r="GD199" s="422">
        <f t="shared" si="911"/>
        <v>1163978.3371624381</v>
      </c>
      <c r="GE199" s="422">
        <f t="shared" si="911"/>
        <v>1145383.5409608553</v>
      </c>
      <c r="GF199" s="422">
        <f t="shared" si="911"/>
        <v>1126020.2691628535</v>
      </c>
      <c r="GG199" s="422">
        <f t="shared" si="911"/>
        <v>1106050.103006938</v>
      </c>
      <c r="GH199" s="422">
        <f t="shared" si="911"/>
        <v>1088835.2614767205</v>
      </c>
      <c r="GI199" s="422">
        <f t="shared" si="911"/>
        <v>1071583.1843731129</v>
      </c>
      <c r="GJ199" s="422">
        <f t="shared" si="911"/>
        <v>1054294.2546074635</v>
      </c>
      <c r="GK199" s="422">
        <f t="shared" si="911"/>
        <v>1036925.5914997753</v>
      </c>
      <c r="GL199" s="422">
        <f t="shared" si="911"/>
        <v>1019520.5527077887</v>
      </c>
      <c r="GM199" s="422">
        <f t="shared" si="911"/>
        <v>1002079.5421043331</v>
      </c>
      <c r="GN199" s="422">
        <f t="shared" si="911"/>
        <v>983479.23511164472</v>
      </c>
      <c r="GO199" s="422">
        <f t="shared" si="911"/>
        <v>964835.68873486819</v>
      </c>
      <c r="GP199" s="422">
        <f t="shared" si="911"/>
        <v>946149.27247659874</v>
      </c>
      <c r="GQ199" s="422">
        <f t="shared" si="911"/>
        <v>927220.84042686794</v>
      </c>
      <c r="GR199" s="422">
        <f t="shared" si="911"/>
        <v>908248.86288215173</v>
      </c>
      <c r="GS199" s="422">
        <f t="shared" si="911"/>
        <v>889233.72257974849</v>
      </c>
      <c r="GT199" s="422">
        <f t="shared" si="911"/>
        <v>871089.94541064394</v>
      </c>
      <c r="GU199" s="422">
        <f t="shared" si="911"/>
        <v>852910.3834715673</v>
      </c>
      <c r="GV199" s="422">
        <f t="shared" si="911"/>
        <v>834695.49122484878</v>
      </c>
      <c r="GW199" s="422">
        <f t="shared" si="911"/>
        <v>816402.53301461996</v>
      </c>
      <c r="GX199" s="422">
        <f t="shared" si="911"/>
        <v>798074.86803113681</v>
      </c>
      <c r="GY199" s="422">
        <f t="shared" si="911"/>
        <v>779712.97465514555</v>
      </c>
      <c r="GZ199" s="422">
        <f t="shared" si="911"/>
        <v>760300.25717732252</v>
      </c>
      <c r="HA199" s="422">
        <f t="shared" si="911"/>
        <v>740846.96446297632</v>
      </c>
      <c r="HB199" s="422">
        <f t="shared" si="911"/>
        <v>721353.54911196989</v>
      </c>
      <c r="HC199" s="422">
        <f t="shared" si="911"/>
        <v>701613.96607828129</v>
      </c>
      <c r="HD199" s="422">
        <f t="shared" si="911"/>
        <v>681833.70390373969</v>
      </c>
      <c r="HE199" s="422">
        <f t="shared" si="911"/>
        <v>662013.2313287463</v>
      </c>
      <c r="HF199" s="422">
        <f t="shared" si="911"/>
        <v>0</v>
      </c>
      <c r="HG199" s="422">
        <f t="shared" si="911"/>
        <v>0</v>
      </c>
      <c r="HH199" s="422" t="n">
        <f t="shared" ref="HH199:IM199" si="912">(HH$197&lt;=Timing_Reversion_Month)*(HH198*((1+$EP200)^(1/12)-1))</f>
        <v>0</v>
      </c>
      <c r="HI199" s="422">
        <f t="shared" si="912"/>
        <v>0</v>
      </c>
      <c r="HJ199" s="422">
        <f t="shared" si="912"/>
        <v>0</v>
      </c>
      <c r="HK199" s="422">
        <f t="shared" si="912"/>
        <v>0</v>
      </c>
      <c r="HL199" s="422">
        <f t="shared" si="912"/>
        <v>0</v>
      </c>
      <c r="HM199" s="422">
        <f t="shared" si="912"/>
        <v>0</v>
      </c>
      <c r="HN199" s="422">
        <f t="shared" si="912"/>
        <v>0</v>
      </c>
      <c r="HO199" s="422">
        <f t="shared" si="912"/>
        <v>0</v>
      </c>
      <c r="HP199" s="422">
        <f t="shared" si="912"/>
        <v>0</v>
      </c>
      <c r="HQ199" s="422">
        <f t="shared" si="912"/>
        <v>0</v>
      </c>
      <c r="HR199" s="422">
        <f t="shared" si="912"/>
        <v>0</v>
      </c>
      <c r="HS199" s="422">
        <f t="shared" si="912"/>
        <v>0</v>
      </c>
      <c r="HT199" s="422">
        <f t="shared" si="912"/>
        <v>0</v>
      </c>
      <c r="HU199" s="422">
        <f t="shared" si="912"/>
        <v>0</v>
      </c>
      <c r="HV199" s="422">
        <f t="shared" si="912"/>
        <v>0</v>
      </c>
      <c r="HW199" s="422">
        <f t="shared" si="912"/>
        <v>0</v>
      </c>
      <c r="HX199" s="422">
        <f t="shared" si="912"/>
        <v>0</v>
      </c>
      <c r="HY199" s="422">
        <f t="shared" si="912"/>
        <v>0</v>
      </c>
      <c r="HZ199" s="422">
        <f t="shared" si="912"/>
        <v>0</v>
      </c>
      <c r="IA199" s="422">
        <f t="shared" si="912"/>
        <v>0</v>
      </c>
      <c r="IB199" s="422">
        <f t="shared" si="912"/>
        <v>0</v>
      </c>
      <c r="IC199" s="422">
        <f t="shared" si="912"/>
        <v>0</v>
      </c>
      <c r="ID199" s="422">
        <f t="shared" si="912"/>
        <v>0</v>
      </c>
      <c r="IE199" s="422">
        <f t="shared" si="912"/>
        <v>0</v>
      </c>
      <c r="IF199" s="422">
        <f t="shared" si="912"/>
        <v>0</v>
      </c>
      <c r="IG199" s="422">
        <f t="shared" si="912"/>
        <v>0</v>
      </c>
      <c r="IH199" s="422">
        <f t="shared" si="912"/>
        <v>0</v>
      </c>
      <c r="II199" s="422">
        <f t="shared" si="912"/>
        <v>0</v>
      </c>
      <c r="IJ199" s="422">
        <f t="shared" si="912"/>
        <v>0</v>
      </c>
      <c r="IK199" s="422">
        <f t="shared" si="912"/>
        <v>0</v>
      </c>
      <c r="IL199" s="422">
        <f t="shared" si="912"/>
        <v>0</v>
      </c>
      <c r="IM199" s="422">
        <f t="shared" si="912"/>
        <v>0</v>
      </c>
      <c r="IN199" s="422" t="n">
        <f t="shared" ref="IN199:JS199" si="913">(IN$197&lt;=Timing_Reversion_Month)*(IN198*((1+$EP200)^(1/12)-1))</f>
        <v>0</v>
      </c>
      <c r="IO199" s="422">
        <f t="shared" si="913"/>
        <v>0</v>
      </c>
      <c r="IP199" s="422">
        <f t="shared" si="913"/>
        <v>0</v>
      </c>
      <c r="IQ199" s="422">
        <f t="shared" si="913"/>
        <v>0</v>
      </c>
      <c r="IR199" s="422">
        <f t="shared" si="913"/>
        <v>0</v>
      </c>
      <c r="IS199" s="422">
        <f t="shared" si="913"/>
        <v>0</v>
      </c>
      <c r="IT199" s="422">
        <f t="shared" si="913"/>
        <v>0</v>
      </c>
      <c r="IU199" s="422">
        <f t="shared" si="913"/>
        <v>0</v>
      </c>
      <c r="IV199" s="422">
        <f t="shared" si="913"/>
        <v>0</v>
      </c>
      <c r="IW199" s="422">
        <f t="shared" si="913"/>
        <v>0</v>
      </c>
      <c r="IX199" s="422">
        <f t="shared" si="913"/>
        <v>0</v>
      </c>
      <c r="IY199" s="422">
        <f t="shared" si="913"/>
        <v>0</v>
      </c>
      <c r="IZ199" s="422">
        <f t="shared" si="913"/>
        <v>0</v>
      </c>
      <c r="JA199" s="422">
        <f t="shared" si="913"/>
        <v>0</v>
      </c>
      <c r="JB199" s="422">
        <f t="shared" si="913"/>
        <v>0</v>
      </c>
      <c r="JC199" s="422">
        <f t="shared" si="913"/>
        <v>0</v>
      </c>
      <c r="JD199" s="422">
        <f t="shared" si="913"/>
        <v>0</v>
      </c>
      <c r="JE199" s="422">
        <f t="shared" si="913"/>
        <v>0</v>
      </c>
      <c r="JF199" s="422">
        <f t="shared" si="913"/>
        <v>0</v>
      </c>
      <c r="JG199" s="422">
        <f t="shared" si="913"/>
        <v>0</v>
      </c>
      <c r="JH199" s="422">
        <f t="shared" si="913"/>
        <v>0</v>
      </c>
      <c r="JI199" s="422">
        <f t="shared" si="913"/>
        <v>0</v>
      </c>
      <c r="JJ199" s="422">
        <f t="shared" si="913"/>
        <v>0</v>
      </c>
      <c r="JK199" s="422">
        <f t="shared" si="913"/>
        <v>0</v>
      </c>
      <c r="JL199" s="422">
        <f t="shared" si="913"/>
        <v>0</v>
      </c>
      <c r="JM199" s="422">
        <f t="shared" si="913"/>
        <v>0</v>
      </c>
      <c r="JN199" s="422">
        <f t="shared" si="913"/>
        <v>0</v>
      </c>
      <c r="JO199" s="422">
        <f t="shared" si="913"/>
        <v>0</v>
      </c>
      <c r="JP199" s="422">
        <f t="shared" si="913"/>
        <v>0</v>
      </c>
      <c r="JQ199" s="422">
        <f t="shared" si="913"/>
        <v>0</v>
      </c>
      <c r="JR199" s="422">
        <f t="shared" si="913"/>
        <v>0</v>
      </c>
      <c r="JS199" s="422">
        <f t="shared" si="913"/>
        <v>0</v>
      </c>
      <c r="JT199" s="422" t="n">
        <f t="shared" ref="JT199:JX199" si="914">(JT$197&lt;=Timing_Reversion_Month)*(JT198*((1+$EP200)^(1/12)-1))</f>
        <v>0</v>
      </c>
      <c r="JU199" s="422">
        <f t="shared" si="914"/>
        <v>0</v>
      </c>
      <c r="JV199" s="422">
        <f t="shared" si="914"/>
        <v>0</v>
      </c>
      <c r="JW199" s="422">
        <f t="shared" si="914"/>
        <v>0</v>
      </c>
      <c r="JX199" s="422">
        <f t="shared" si="914"/>
        <v>0</v>
      </c>
      <c r="JZ199" s="263"/>
      <c r="KA199" s="263"/>
      <c r="KB199" s="263"/>
      <c r="KC199" s="263"/>
      <c r="KD199" s="263"/>
      <c r="KE199" s="263"/>
      <c r="KF199" s="263"/>
      <c r="KG199" s="263"/>
      <c r="KH199" s="263"/>
      <c r="KI199" s="263"/>
      <c r="KJ199" s="263"/>
      <c r="KK199" s="263"/>
      <c r="KL199" s="263"/>
      <c r="KM199" s="263"/>
      <c r="KN199" s="263"/>
      <c r="KO199" s="263"/>
      <c r="KP199" s="263"/>
      <c r="KQ199" s="263"/>
      <c r="KR199" s="263"/>
      <c r="KS199" s="263"/>
      <c r="KT199" s="263"/>
      <c r="KU199" s="263"/>
      <c r="KV199" s="263"/>
      <c r="KW199" s="263"/>
      <c r="KX199" s="263"/>
      <c r="KY199" s="263"/>
      <c r="KZ199" s="263"/>
      <c r="LA199" s="263"/>
      <c r="LB199" s="263"/>
      <c r="LC199" s="263"/>
      <c r="LD199" s="263"/>
      <c r="LE199" s="263"/>
      <c r="LF199" s="263"/>
      <c r="LG199" s="263"/>
      <c r="LH199" s="263"/>
      <c r="LI199" s="263"/>
      <c r="LJ199" s="263"/>
      <c r="LK199" s="263"/>
      <c r="LL199" s="263"/>
      <c r="LM199" s="263"/>
      <c r="LN199" s="263"/>
      <c r="LO199" s="263"/>
      <c r="LP199" s="263"/>
      <c r="LQ199" s="263"/>
      <c r="LR199" s="263"/>
      <c r="LS199" s="263"/>
      <c r="LT199" s="263"/>
      <c r="LU199" s="263"/>
      <c r="LV199" s="263"/>
      <c r="LW199" s="263"/>
      <c r="LX199" s="263"/>
      <c r="LY199" s="263"/>
      <c r="LZ199" s="263"/>
      <c r="MA199" s="263"/>
      <c r="MB199" s="263"/>
      <c r="MC199" s="263"/>
      <c r="MD199" s="263"/>
      <c r="ME199" s="263"/>
      <c r="MF199" s="263"/>
      <c r="MG199" s="263"/>
      <c r="MH199" s="263"/>
      <c r="MI199" s="263"/>
      <c r="MJ199" s="263"/>
      <c r="MK199" s="263"/>
      <c r="ML199" s="263"/>
      <c r="MM199" s="263"/>
      <c r="MN199" s="263"/>
      <c r="MO199" s="263"/>
      <c r="MP199" s="263"/>
      <c r="MQ199" s="263"/>
      <c r="MR199" s="263"/>
      <c r="MS199" s="263"/>
      <c r="MT199" s="263"/>
      <c r="MU199" s="263"/>
      <c r="MV199" s="263"/>
      <c r="MW199" s="263"/>
      <c r="MX199" s="263"/>
      <c r="MY199" s="263"/>
      <c r="MZ199" s="263"/>
      <c r="NA199" s="263"/>
      <c r="NB199" s="263"/>
      <c r="NC199" s="263"/>
      <c r="ND199" s="263"/>
      <c r="NE199" s="263"/>
      <c r="NF199" s="263"/>
      <c r="NG199" s="263"/>
      <c r="NH199" s="263"/>
      <c r="NI199" s="263"/>
      <c r="NJ199" s="263"/>
      <c r="NK199" s="263"/>
      <c r="NL199" s="263"/>
      <c r="NM199" s="263"/>
      <c r="NN199" s="263"/>
      <c r="NO199" s="263"/>
      <c r="NP199" s="263"/>
      <c r="NQ199" s="263"/>
      <c r="NR199" s="263"/>
      <c r="NS199" s="263"/>
      <c r="NT199" s="263"/>
      <c r="NU199" s="263"/>
      <c r="NV199" s="263"/>
      <c r="NW199" s="263"/>
      <c r="NX199" s="263"/>
      <c r="NY199" s="263"/>
      <c r="NZ199" s="263"/>
      <c r="OA199" s="263"/>
      <c r="OB199" s="263"/>
      <c r="OC199" s="263"/>
      <c r="OD199" s="263"/>
      <c r="OE199" s="263"/>
      <c r="OF199" s="263"/>
      <c r="OG199" s="263"/>
      <c r="OH199" s="263"/>
      <c r="OI199" s="263"/>
      <c r="OJ199" s="263"/>
      <c r="OK199" s="263"/>
      <c r="OL199" s="263"/>
      <c r="OM199" s="263"/>
      <c r="ON199" s="263"/>
      <c r="OO199" s="263"/>
      <c r="OP199" s="263"/>
      <c r="OQ199" s="263"/>
      <c r="OR199" s="263"/>
      <c r="OS199" s="263"/>
      <c r="OT199" s="263"/>
      <c r="OU199" s="263"/>
      <c r="OV199" s="263"/>
      <c r="OW199" s="263"/>
      <c r="OX199" s="263"/>
      <c r="OY199" s="263"/>
      <c r="OZ199" s="263"/>
      <c r="PA199" s="263"/>
      <c r="PB199" s="263"/>
      <c r="PC199" s="263"/>
      <c r="PD199" s="263"/>
      <c r="PE199" s="263"/>
      <c r="PF199" s="263"/>
      <c r="PG199" s="263"/>
      <c r="PH199" s="263"/>
    </row>
    <row r="200">
      <c r="B200" s="34" t="s">
        <v>370</v>
      </c>
      <c r="C200" s="404"/>
      <c r="D200" s="404"/>
      <c r="E200" s="404"/>
      <c r="F200" s="404"/>
      <c r="G200" s="404"/>
      <c r="H200" s="41"/>
      <c r="I200" s="449" t="n">
        <f>SUM(L200:EN200)</f>
        <v>0</v>
      </c>
      <c r="K200" s="5"/>
      <c r="L200" s="462" t="str">
        <f t="shared" ref="L200:AQ200" si="915">IF(L194="","",L82)</f>
      </c>
      <c r="M200" s="462">
        <f t="shared" si="915"/>
        <v>0</v>
      </c>
      <c r="N200" s="462">
        <f t="shared" si="915"/>
        <v>0</v>
      </c>
      <c r="O200" s="462">
        <f t="shared" si="915"/>
        <v>0</v>
      </c>
      <c r="P200" s="462">
        <f t="shared" si="915"/>
        <v>0</v>
      </c>
      <c r="Q200" s="462">
        <f t="shared" si="915"/>
        <v>0</v>
      </c>
      <c r="R200" s="462">
        <f t="shared" si="915"/>
        <v>0</v>
      </c>
      <c r="S200" s="462">
        <f t="shared" si="915"/>
        <v>0</v>
      </c>
      <c r="T200" s="462">
        <f t="shared" si="915"/>
        <v>0</v>
      </c>
      <c r="U200" s="462">
        <f t="shared" si="915"/>
        <v>0</v>
      </c>
      <c r="V200" s="462">
        <f t="shared" si="915"/>
        <v>0</v>
      </c>
      <c r="W200" s="462">
        <f t="shared" si="915"/>
        <v>0</v>
      </c>
      <c r="X200" s="462">
        <f t="shared" si="915"/>
        <v>0</v>
      </c>
      <c r="Y200" s="462">
        <f t="shared" si="915"/>
        <v>0</v>
      </c>
      <c r="Z200" s="462">
        <f t="shared" si="915"/>
        <v>0</v>
      </c>
      <c r="AA200" s="462">
        <f t="shared" si="915"/>
        <v>0</v>
      </c>
      <c r="AB200" s="462">
        <f t="shared" si="915"/>
        <v>0</v>
      </c>
      <c r="AC200" s="462">
        <f t="shared" si="915"/>
        <v>0</v>
      </c>
      <c r="AD200" s="462">
        <f t="shared" si="915"/>
        <v>0</v>
      </c>
      <c r="AE200" s="462">
        <f t="shared" si="915"/>
        <v>0</v>
      </c>
      <c r="AF200" s="462">
        <f t="shared" si="915"/>
        <v>0</v>
      </c>
      <c r="AG200" s="462">
        <f t="shared" si="915"/>
        <v>0</v>
      </c>
      <c r="AH200" s="462">
        <f t="shared" si="915"/>
        <v>0</v>
      </c>
      <c r="AI200" s="462">
        <f t="shared" si="915"/>
        <v>0</v>
      </c>
      <c r="AJ200" s="462">
        <f t="shared" si="915"/>
        <v>0</v>
      </c>
      <c r="AK200" s="462">
        <f t="shared" si="915"/>
        <v>0</v>
      </c>
      <c r="AL200" s="462">
        <f t="shared" si="915"/>
        <v>0</v>
      </c>
      <c r="AM200" s="462">
        <f t="shared" si="915"/>
        <v>0</v>
      </c>
      <c r="AN200" s="462">
        <f t="shared" si="915"/>
        <v>0</v>
      </c>
      <c r="AO200" s="462">
        <f t="shared" si="915"/>
        <v>0</v>
      </c>
      <c r="AP200" s="462">
        <f t="shared" si="915"/>
        <v>0</v>
      </c>
      <c r="AQ200" s="462">
        <f t="shared" si="915"/>
        <v>0</v>
      </c>
      <c r="AR200" s="462" t="n">
        <f t="shared" ref="AR200:BW200" si="916">IF(AR194="","",AR82)</f>
        <v>0</v>
      </c>
      <c r="AS200" s="462">
        <f t="shared" si="916"/>
        <v>0</v>
      </c>
      <c r="AT200" s="462">
        <f t="shared" si="916"/>
        <v>0</v>
      </c>
      <c r="AU200" s="462">
        <f t="shared" si="916"/>
        <v>0</v>
      </c>
      <c r="AV200" s="462">
        <f t="shared" si="916"/>
        <v>0</v>
      </c>
      <c r="AW200" s="462">
        <f t="shared" si="916"/>
        <v>0</v>
      </c>
      <c r="AX200" s="462">
        <f t="shared" si="916"/>
        <v>0</v>
      </c>
      <c r="AY200" s="462">
        <f t="shared" si="916"/>
        <v>0</v>
      </c>
      <c r="AZ200" s="462">
        <f t="shared" si="916"/>
        <v>0</v>
      </c>
      <c r="BA200" s="462">
        <f t="shared" si="916"/>
        <v>0</v>
      </c>
      <c r="BB200" s="462">
        <f t="shared" si="916"/>
        <v>0</v>
      </c>
      <c r="BC200" s="462">
        <f t="shared" si="916"/>
        <v>0</v>
      </c>
      <c r="BD200" s="272">
        <f t="shared" si="916"/>
        <v>0</v>
      </c>
      <c r="BE200" s="272">
        <f t="shared" si="916"/>
        <v>0</v>
      </c>
      <c r="BF200" s="272">
        <f t="shared" si="916"/>
        <v>0</v>
      </c>
      <c r="BG200" s="272">
        <f t="shared" si="916"/>
        <v>0</v>
      </c>
      <c r="BH200" s="272">
        <f t="shared" si="916"/>
        <v>0</v>
      </c>
      <c r="BI200" s="272">
        <f t="shared" si="916"/>
        <v>0</v>
      </c>
      <c r="BJ200" s="272">
        <f t="shared" si="916"/>
        <v>0</v>
      </c>
      <c r="BK200" s="272">
        <f t="shared" si="916"/>
        <v>0</v>
      </c>
      <c r="BL200" s="272">
        <f t="shared" si="916"/>
        <v>0</v>
      </c>
      <c r="BM200" s="272">
        <f t="shared" si="916"/>
        <v>0</v>
      </c>
      <c r="BN200" s="272">
        <f t="shared" si="916"/>
        <v>0</v>
      </c>
      <c r="BO200" s="272">
        <f t="shared" si="916"/>
        <v>0</v>
      </c>
      <c r="BP200" s="272">
        <f t="shared" si="916"/>
        <v>0</v>
      </c>
      <c r="BQ200" s="272">
        <f t="shared" si="916"/>
        <v>0</v>
      </c>
      <c r="BR200" s="272">
        <f t="shared" si="916"/>
        <v>0</v>
      </c>
      <c r="BS200" s="272">
        <f t="shared" si="916"/>
        <v>0</v>
      </c>
      <c r="BT200" s="272">
        <f t="shared" si="916"/>
        <v>0</v>
      </c>
      <c r="BU200" s="272">
        <f t="shared" si="916"/>
        <v>0</v>
      </c>
      <c r="BV200" s="272" t="str">
        <f t="shared" si="916"/>
      </c>
      <c r="BW200" s="272" t="str">
        <f t="shared" si="916"/>
      </c>
      <c r="BX200" s="272" t="str">
        <f t="shared" ref="BX200:DC200" si="917">IF(BX194="","",BX82)</f>
      </c>
      <c r="BY200" s="272" t="str">
        <f t="shared" si="917"/>
      </c>
      <c r="BZ200" s="272" t="str">
        <f t="shared" si="917"/>
      </c>
      <c r="CA200" s="272" t="str">
        <f t="shared" si="917"/>
      </c>
      <c r="CB200" s="272" t="str">
        <f t="shared" si="917"/>
      </c>
      <c r="CC200" s="272" t="str">
        <f t="shared" si="917"/>
      </c>
      <c r="CD200" s="272" t="str">
        <f t="shared" si="917"/>
      </c>
      <c r="CE200" s="272" t="str">
        <f t="shared" si="917"/>
      </c>
      <c r="CF200" s="272" t="str">
        <f t="shared" si="917"/>
      </c>
      <c r="CG200" s="272" t="str">
        <f t="shared" si="917"/>
      </c>
      <c r="CH200" s="272" t="str">
        <f t="shared" si="917"/>
      </c>
      <c r="CI200" s="272" t="str">
        <f t="shared" si="917"/>
      </c>
      <c r="CJ200" s="272" t="str">
        <f t="shared" si="917"/>
      </c>
      <c r="CK200" s="272" t="str">
        <f t="shared" si="917"/>
      </c>
      <c r="CL200" s="272" t="str">
        <f t="shared" si="917"/>
      </c>
      <c r="CM200" s="272" t="str">
        <f t="shared" si="917"/>
      </c>
      <c r="CN200" s="272" t="str">
        <f t="shared" si="917"/>
      </c>
      <c r="CO200" s="272" t="str">
        <f t="shared" si="917"/>
      </c>
      <c r="CP200" s="272" t="str">
        <f t="shared" si="917"/>
      </c>
      <c r="CQ200" s="272" t="str">
        <f t="shared" si="917"/>
      </c>
      <c r="CR200" s="272" t="str">
        <f t="shared" si="917"/>
      </c>
      <c r="CS200" s="272" t="str">
        <f t="shared" si="917"/>
      </c>
      <c r="CT200" s="272" t="str">
        <f t="shared" si="917"/>
      </c>
      <c r="CU200" s="272" t="str">
        <f t="shared" si="917"/>
      </c>
      <c r="CV200" s="272" t="str">
        <f t="shared" si="917"/>
      </c>
      <c r="CW200" s="272" t="str">
        <f t="shared" si="917"/>
      </c>
      <c r="CX200" s="272" t="str">
        <f t="shared" si="917"/>
      </c>
      <c r="CY200" s="272" t="str">
        <f t="shared" si="917"/>
      </c>
      <c r="CZ200" s="272" t="str">
        <f t="shared" si="917"/>
      </c>
      <c r="DA200" s="272" t="str">
        <f t="shared" si="917"/>
      </c>
      <c r="DB200" s="272" t="str">
        <f t="shared" si="917"/>
      </c>
      <c r="DC200" s="272" t="str">
        <f t="shared" si="917"/>
      </c>
      <c r="DD200" s="272" t="str">
        <f t="shared" ref="DD200:EN200" si="918">IF(DD194="","",DD82)</f>
      </c>
      <c r="DE200" s="272" t="str">
        <f t="shared" si="918"/>
      </c>
      <c r="DF200" s="272" t="str">
        <f t="shared" si="918"/>
      </c>
      <c r="DG200" s="272" t="str">
        <f t="shared" si="918"/>
      </c>
      <c r="DH200" s="272" t="str">
        <f t="shared" si="918"/>
      </c>
      <c r="DI200" s="272" t="str">
        <f t="shared" si="918"/>
      </c>
      <c r="DJ200" s="272" t="str">
        <f t="shared" si="918"/>
      </c>
      <c r="DK200" s="272" t="str">
        <f t="shared" si="918"/>
      </c>
      <c r="DL200" s="272" t="str">
        <f t="shared" si="918"/>
      </c>
      <c r="DM200" s="272" t="str">
        <f t="shared" si="918"/>
      </c>
      <c r="DN200" s="272" t="str">
        <f t="shared" si="918"/>
      </c>
      <c r="DO200" s="272" t="str">
        <f t="shared" si="918"/>
      </c>
      <c r="DP200" s="272" t="str">
        <f t="shared" si="918"/>
      </c>
      <c r="DQ200" s="272" t="str">
        <f t="shared" si="918"/>
      </c>
      <c r="DR200" s="272" t="str">
        <f t="shared" si="918"/>
      </c>
      <c r="DS200" s="272" t="str">
        <f t="shared" si="918"/>
      </c>
      <c r="DT200" s="272" t="str">
        <f t="shared" si="918"/>
      </c>
      <c r="DU200" s="272" t="str">
        <f t="shared" si="918"/>
      </c>
      <c r="DV200" s="272" t="str">
        <f t="shared" si="918"/>
      </c>
      <c r="DW200" s="272" t="str">
        <f t="shared" si="918"/>
      </c>
      <c r="DX200" s="272" t="str">
        <f t="shared" si="918"/>
      </c>
      <c r="DY200" s="272" t="str">
        <f t="shared" si="918"/>
      </c>
      <c r="DZ200" s="272" t="str">
        <f t="shared" si="918"/>
      </c>
      <c r="EA200" s="272" t="str">
        <f t="shared" si="918"/>
      </c>
      <c r="EB200" s="272" t="str">
        <f t="shared" si="918"/>
      </c>
      <c r="EC200" s="272" t="str">
        <f t="shared" si="918"/>
      </c>
      <c r="ED200" s="272" t="str">
        <f t="shared" si="918"/>
      </c>
      <c r="EE200" s="272" t="str">
        <f t="shared" si="918"/>
      </c>
      <c r="EF200" s="272" t="str">
        <f t="shared" si="918"/>
      </c>
      <c r="EG200" s="272" t="str">
        <f t="shared" si="918"/>
      </c>
      <c r="EH200" s="272" t="str">
        <f t="shared" si="918"/>
      </c>
      <c r="EI200" s="272" t="str">
        <f t="shared" si="918"/>
      </c>
      <c r="EJ200" s="272" t="str">
        <f t="shared" si="918"/>
      </c>
      <c r="EK200" s="272" t="str">
        <f t="shared" si="918"/>
      </c>
      <c r="EL200" s="272" t="str">
        <f t="shared" si="918"/>
      </c>
      <c r="EM200" s="272" t="str">
        <f t="shared" si="918"/>
      </c>
      <c r="EN200" s="272" t="str">
        <f t="shared" si="918"/>
      </c>
      <c r="EO200" s="5"/>
      <c r="EP200" s="223" t="n">
        <f>F233</f>
        <v>0.09</v>
      </c>
      <c r="EQ200" s="18" t="s">
        <v>371</v>
      </c>
      <c r="ER200" s="18"/>
      <c r="ES200" s="18"/>
      <c r="ET200" s="18" t="s">
        <v>372</v>
      </c>
      <c r="EU200" s="18"/>
      <c r="EV200" s="422" t="n">
        <f t="shared" ref="EV200:GA200" si="919">IF(L229="",0,L229)</f>
        <v>82683053.2599155</v>
      </c>
      <c r="EW200" s="422">
        <f t="shared" si="919"/>
        <v>0</v>
      </c>
      <c r="EX200" s="422">
        <f t="shared" si="919"/>
        <v>0</v>
      </c>
      <c r="EY200" s="422">
        <f t="shared" si="919"/>
        <v>232365.34366464696</v>
      </c>
      <c r="EZ200" s="422">
        <f t="shared" si="919"/>
        <v>742170.33244276396</v>
      </c>
      <c r="FA200" s="422">
        <f t="shared" si="919"/>
        <v>1535584.0904432603</v>
      </c>
      <c r="FB200" s="422">
        <f t="shared" si="919"/>
        <v>1762413.9736135693</v>
      </c>
      <c r="FC200" s="422">
        <f t="shared" si="919"/>
        <v>2884923.403925844</v>
      </c>
      <c r="FD200" s="422">
        <f t="shared" si="919"/>
        <v>4251888.4975476647</v>
      </c>
      <c r="FE200" s="422">
        <f t="shared" si="919"/>
        <v>5858819.1238618502</v>
      </c>
      <c r="FF200" s="422">
        <f t="shared" si="919"/>
        <v>7678634.2685150485</v>
      </c>
      <c r="FG200" s="422">
        <f t="shared" si="919"/>
        <v>9658491.5239216667</v>
      </c>
      <c r="FH200" s="422">
        <f t="shared" si="919"/>
        <v>11719499.622373434</v>
      </c>
      <c r="FI200" s="422">
        <f t="shared" si="919"/>
        <v>13760073.118507486</v>
      </c>
      <c r="FJ200" s="422">
        <f t="shared" si="919"/>
        <v>15663143.277441243</v>
      </c>
      <c r="FK200" s="422">
        <f t="shared" si="919"/>
        <v>17306730.110950492</v>
      </c>
      <c r="FL200" s="422">
        <f t="shared" si="919"/>
        <v>3234466.8142030039</v>
      </c>
      <c r="FM200" s="422">
        <f t="shared" si="919"/>
        <v>0</v>
      </c>
      <c r="FN200" s="422">
        <f t="shared" si="919"/>
        <v>0</v>
      </c>
      <c r="FO200" s="422">
        <f t="shared" si="919"/>
        <v>0</v>
      </c>
      <c r="FP200" s="422">
        <f t="shared" si="919"/>
        <v>0</v>
      </c>
      <c r="FQ200" s="422">
        <f t="shared" si="919"/>
        <v>0</v>
      </c>
      <c r="FR200" s="422">
        <f t="shared" si="919"/>
        <v>0</v>
      </c>
      <c r="FS200" s="422">
        <f t="shared" si="919"/>
        <v>0</v>
      </c>
      <c r="FT200" s="422">
        <f t="shared" si="919"/>
        <v>0</v>
      </c>
      <c r="FU200" s="422">
        <f t="shared" si="919"/>
        <v>0</v>
      </c>
      <c r="FV200" s="422">
        <f t="shared" si="919"/>
        <v>0</v>
      </c>
      <c r="FW200" s="422">
        <f t="shared" si="919"/>
        <v>0</v>
      </c>
      <c r="FX200" s="422">
        <f t="shared" si="919"/>
        <v>0</v>
      </c>
      <c r="FY200" s="422">
        <f t="shared" si="919"/>
        <v>0</v>
      </c>
      <c r="FZ200" s="422">
        <f t="shared" si="919"/>
        <v>0</v>
      </c>
      <c r="GA200" s="422">
        <f t="shared" si="919"/>
        <v>0</v>
      </c>
      <c r="GB200" s="422" t="n">
        <f t="shared" ref="GB200:HG200" si="920">IF(AR229="",0,AR229)</f>
        <v>0</v>
      </c>
      <c r="GC200" s="422">
        <f t="shared" si="920"/>
        <v>0</v>
      </c>
      <c r="GD200" s="422">
        <f t="shared" si="920"/>
        <v>0</v>
      </c>
      <c r="GE200" s="422">
        <f t="shared" si="920"/>
        <v>0</v>
      </c>
      <c r="GF200" s="422">
        <f t="shared" si="920"/>
        <v>0</v>
      </c>
      <c r="GG200" s="422">
        <f t="shared" si="920"/>
        <v>0</v>
      </c>
      <c r="GH200" s="422">
        <f t="shared" si="920"/>
        <v>0</v>
      </c>
      <c r="GI200" s="422">
        <f t="shared" si="920"/>
        <v>0</v>
      </c>
      <c r="GJ200" s="422">
        <f t="shared" si="920"/>
        <v>0</v>
      </c>
      <c r="GK200" s="422">
        <f t="shared" si="920"/>
        <v>0</v>
      </c>
      <c r="GL200" s="422">
        <f t="shared" si="920"/>
        <v>0</v>
      </c>
      <c r="GM200" s="422">
        <f t="shared" si="920"/>
        <v>0</v>
      </c>
      <c r="GN200" s="422">
        <f t="shared" si="920"/>
        <v>0</v>
      </c>
      <c r="GO200" s="422">
        <f t="shared" si="920"/>
        <v>0</v>
      </c>
      <c r="GP200" s="422">
        <f t="shared" si="920"/>
        <v>0</v>
      </c>
      <c r="GQ200" s="422">
        <f t="shared" si="920"/>
        <v>0</v>
      </c>
      <c r="GR200" s="422">
        <f t="shared" si="920"/>
        <v>0</v>
      </c>
      <c r="GS200" s="422">
        <f t="shared" si="920"/>
        <v>0</v>
      </c>
      <c r="GT200" s="422">
        <f t="shared" si="920"/>
        <v>0</v>
      </c>
      <c r="GU200" s="422">
        <f t="shared" si="920"/>
        <v>0</v>
      </c>
      <c r="GV200" s="422">
        <f t="shared" si="920"/>
        <v>0</v>
      </c>
      <c r="GW200" s="422">
        <f t="shared" si="920"/>
        <v>0</v>
      </c>
      <c r="GX200" s="422">
        <f t="shared" si="920"/>
        <v>0</v>
      </c>
      <c r="GY200" s="422">
        <f t="shared" si="920"/>
        <v>0</v>
      </c>
      <c r="GZ200" s="422">
        <f t="shared" si="920"/>
        <v>0</v>
      </c>
      <c r="HA200" s="422">
        <f t="shared" si="920"/>
        <v>0</v>
      </c>
      <c r="HB200" s="422">
        <f t="shared" si="920"/>
        <v>0</v>
      </c>
      <c r="HC200" s="422">
        <f t="shared" si="920"/>
        <v>0</v>
      </c>
      <c r="HD200" s="422">
        <f t="shared" si="920"/>
        <v>0</v>
      </c>
      <c r="HE200" s="422">
        <f t="shared" si="920"/>
        <v>0</v>
      </c>
      <c r="HF200" s="422">
        <f t="shared" si="920"/>
        <v>0</v>
      </c>
      <c r="HG200" s="422">
        <f t="shared" si="920"/>
        <v>0</v>
      </c>
      <c r="HH200" s="422" t="n">
        <f t="shared" ref="HH200:IM200" si="921">IF(BX229="",0,BX229)</f>
        <v>0</v>
      </c>
      <c r="HI200" s="422">
        <f t="shared" si="921"/>
        <v>0</v>
      </c>
      <c r="HJ200" s="422">
        <f t="shared" si="921"/>
        <v>0</v>
      </c>
      <c r="HK200" s="422">
        <f t="shared" si="921"/>
        <v>0</v>
      </c>
      <c r="HL200" s="422">
        <f t="shared" si="921"/>
        <v>0</v>
      </c>
      <c r="HM200" s="422">
        <f t="shared" si="921"/>
        <v>0</v>
      </c>
      <c r="HN200" s="422">
        <f t="shared" si="921"/>
        <v>0</v>
      </c>
      <c r="HO200" s="422">
        <f t="shared" si="921"/>
        <v>0</v>
      </c>
      <c r="HP200" s="422">
        <f t="shared" si="921"/>
        <v>0</v>
      </c>
      <c r="HQ200" s="422">
        <f t="shared" si="921"/>
        <v>0</v>
      </c>
      <c r="HR200" s="422">
        <f t="shared" si="921"/>
        <v>0</v>
      </c>
      <c r="HS200" s="422">
        <f t="shared" si="921"/>
        <v>0</v>
      </c>
      <c r="HT200" s="422">
        <f t="shared" si="921"/>
        <v>0</v>
      </c>
      <c r="HU200" s="422">
        <f t="shared" si="921"/>
        <v>0</v>
      </c>
      <c r="HV200" s="422">
        <f t="shared" si="921"/>
        <v>0</v>
      </c>
      <c r="HW200" s="422">
        <f t="shared" si="921"/>
        <v>0</v>
      </c>
      <c r="HX200" s="422">
        <f t="shared" si="921"/>
        <v>0</v>
      </c>
      <c r="HY200" s="422">
        <f t="shared" si="921"/>
        <v>0</v>
      </c>
      <c r="HZ200" s="422">
        <f t="shared" si="921"/>
        <v>0</v>
      </c>
      <c r="IA200" s="422">
        <f t="shared" si="921"/>
        <v>0</v>
      </c>
      <c r="IB200" s="422">
        <f t="shared" si="921"/>
        <v>0</v>
      </c>
      <c r="IC200" s="422">
        <f t="shared" si="921"/>
        <v>0</v>
      </c>
      <c r="ID200" s="422">
        <f t="shared" si="921"/>
        <v>0</v>
      </c>
      <c r="IE200" s="422">
        <f t="shared" si="921"/>
        <v>0</v>
      </c>
      <c r="IF200" s="422">
        <f t="shared" si="921"/>
        <v>0</v>
      </c>
      <c r="IG200" s="422">
        <f t="shared" si="921"/>
        <v>0</v>
      </c>
      <c r="IH200" s="422">
        <f t="shared" si="921"/>
        <v>0</v>
      </c>
      <c r="II200" s="422">
        <f t="shared" si="921"/>
        <v>0</v>
      </c>
      <c r="IJ200" s="422">
        <f t="shared" si="921"/>
        <v>0</v>
      </c>
      <c r="IK200" s="422">
        <f t="shared" si="921"/>
        <v>0</v>
      </c>
      <c r="IL200" s="422">
        <f t="shared" si="921"/>
        <v>0</v>
      </c>
      <c r="IM200" s="422">
        <f t="shared" si="921"/>
        <v>0</v>
      </c>
      <c r="IN200" s="422" t="n">
        <f t="shared" ref="IN200:JS200" si="922">IF(DD229="",0,DD229)</f>
        <v>0</v>
      </c>
      <c r="IO200" s="422">
        <f t="shared" si="922"/>
        <v>0</v>
      </c>
      <c r="IP200" s="422">
        <f t="shared" si="922"/>
        <v>0</v>
      </c>
      <c r="IQ200" s="422">
        <f t="shared" si="922"/>
        <v>0</v>
      </c>
      <c r="IR200" s="422">
        <f t="shared" si="922"/>
        <v>0</v>
      </c>
      <c r="IS200" s="422">
        <f t="shared" si="922"/>
        <v>0</v>
      </c>
      <c r="IT200" s="422">
        <f t="shared" si="922"/>
        <v>0</v>
      </c>
      <c r="IU200" s="422">
        <f t="shared" si="922"/>
        <v>0</v>
      </c>
      <c r="IV200" s="422">
        <f t="shared" si="922"/>
        <v>0</v>
      </c>
      <c r="IW200" s="422">
        <f t="shared" si="922"/>
        <v>0</v>
      </c>
      <c r="IX200" s="422">
        <f t="shared" si="922"/>
        <v>0</v>
      </c>
      <c r="IY200" s="422">
        <f t="shared" si="922"/>
        <v>0</v>
      </c>
      <c r="IZ200" s="422">
        <f t="shared" si="922"/>
        <v>0</v>
      </c>
      <c r="JA200" s="422">
        <f t="shared" si="922"/>
        <v>0</v>
      </c>
      <c r="JB200" s="422">
        <f t="shared" si="922"/>
        <v>0</v>
      </c>
      <c r="JC200" s="422">
        <f t="shared" si="922"/>
        <v>0</v>
      </c>
      <c r="JD200" s="422">
        <f t="shared" si="922"/>
        <v>0</v>
      </c>
      <c r="JE200" s="422">
        <f t="shared" si="922"/>
        <v>0</v>
      </c>
      <c r="JF200" s="422">
        <f t="shared" si="922"/>
        <v>0</v>
      </c>
      <c r="JG200" s="422">
        <f t="shared" si="922"/>
        <v>0</v>
      </c>
      <c r="JH200" s="422">
        <f t="shared" si="922"/>
        <v>0</v>
      </c>
      <c r="JI200" s="422">
        <f t="shared" si="922"/>
        <v>0</v>
      </c>
      <c r="JJ200" s="422">
        <f t="shared" si="922"/>
        <v>0</v>
      </c>
      <c r="JK200" s="422">
        <f t="shared" si="922"/>
        <v>0</v>
      </c>
      <c r="JL200" s="422">
        <f t="shared" si="922"/>
        <v>0</v>
      </c>
      <c r="JM200" s="422">
        <f t="shared" si="922"/>
        <v>0</v>
      </c>
      <c r="JN200" s="422">
        <f t="shared" si="922"/>
        <v>0</v>
      </c>
      <c r="JO200" s="422">
        <f t="shared" si="922"/>
        <v>0</v>
      </c>
      <c r="JP200" s="422">
        <f t="shared" si="922"/>
        <v>0</v>
      </c>
      <c r="JQ200" s="422">
        <f t="shared" si="922"/>
        <v>0</v>
      </c>
      <c r="JR200" s="422">
        <f t="shared" si="922"/>
        <v>0</v>
      </c>
      <c r="JS200" s="422">
        <f t="shared" si="922"/>
        <v>0</v>
      </c>
      <c r="JT200" s="422" t="n">
        <f t="shared" ref="JT200:JX200" si="923">IF(EJ229="",0,EJ229)</f>
        <v>0</v>
      </c>
      <c r="JU200" s="422">
        <f t="shared" si="923"/>
        <v>0</v>
      </c>
      <c r="JV200" s="422">
        <f t="shared" si="923"/>
        <v>0</v>
      </c>
      <c r="JW200" s="422">
        <f t="shared" si="923"/>
        <v>0</v>
      </c>
      <c r="JX200" s="422">
        <f t="shared" si="923"/>
        <v>0</v>
      </c>
      <c r="JZ200" s="263"/>
      <c r="KA200" s="263"/>
      <c r="KB200" s="263"/>
      <c r="KC200" s="263"/>
      <c r="KD200" s="263"/>
      <c r="KE200" s="263"/>
      <c r="KF200" s="263"/>
      <c r="KG200" s="263"/>
      <c r="KH200" s="263"/>
      <c r="KI200" s="263"/>
      <c r="KJ200" s="263"/>
      <c r="KK200" s="263"/>
      <c r="KL200" s="263"/>
      <c r="KM200" s="263"/>
      <c r="KN200" s="263"/>
      <c r="KO200" s="263"/>
      <c r="KP200" s="263"/>
      <c r="KQ200" s="263"/>
      <c r="KR200" s="263"/>
      <c r="KS200" s="263"/>
      <c r="KT200" s="263"/>
      <c r="KU200" s="263"/>
      <c r="KV200" s="263"/>
      <c r="KW200" s="263"/>
      <c r="KX200" s="263"/>
      <c r="KY200" s="263"/>
      <c r="KZ200" s="263"/>
      <c r="LA200" s="263"/>
      <c r="LB200" s="263"/>
      <c r="LC200" s="263"/>
      <c r="LD200" s="263"/>
      <c r="LE200" s="263"/>
      <c r="LF200" s="263"/>
      <c r="LG200" s="263"/>
      <c r="LH200" s="263"/>
      <c r="LI200" s="263"/>
      <c r="LJ200" s="263"/>
      <c r="LK200" s="263"/>
      <c r="LL200" s="263"/>
      <c r="LM200" s="263"/>
      <c r="LN200" s="263"/>
      <c r="LO200" s="263"/>
      <c r="LP200" s="263"/>
      <c r="LQ200" s="263"/>
      <c r="LR200" s="263"/>
      <c r="LS200" s="263"/>
      <c r="LT200" s="263"/>
      <c r="LU200" s="263"/>
      <c r="LV200" s="263"/>
      <c r="LW200" s="263"/>
      <c r="LX200" s="263"/>
      <c r="LY200" s="263"/>
      <c r="LZ200" s="263"/>
      <c r="MA200" s="263"/>
      <c r="MB200" s="263"/>
      <c r="MC200" s="263"/>
      <c r="MD200" s="263"/>
      <c r="ME200" s="263"/>
      <c r="MF200" s="263"/>
      <c r="MG200" s="263"/>
      <c r="MH200" s="263"/>
      <c r="MI200" s="263"/>
      <c r="MJ200" s="263"/>
      <c r="MK200" s="263"/>
      <c r="ML200" s="263"/>
      <c r="MM200" s="263"/>
      <c r="MN200" s="263"/>
      <c r="MO200" s="263"/>
      <c r="MP200" s="263"/>
      <c r="MQ200" s="263"/>
      <c r="MR200" s="263"/>
      <c r="MS200" s="263"/>
      <c r="MT200" s="263"/>
      <c r="MU200" s="263"/>
      <c r="MV200" s="263"/>
      <c r="MW200" s="263"/>
      <c r="MX200" s="263"/>
      <c r="MY200" s="263"/>
      <c r="MZ200" s="263"/>
      <c r="NA200" s="263"/>
      <c r="NB200" s="263"/>
      <c r="NC200" s="263"/>
      <c r="ND200" s="263"/>
      <c r="NE200" s="263"/>
      <c r="NF200" s="263"/>
      <c r="NG200" s="263"/>
      <c r="NH200" s="263"/>
      <c r="NI200" s="263"/>
      <c r="NJ200" s="263"/>
      <c r="NK200" s="263"/>
      <c r="NL200" s="263"/>
      <c r="NM200" s="263"/>
      <c r="NN200" s="263"/>
      <c r="NO200" s="263"/>
      <c r="NP200" s="263"/>
      <c r="NQ200" s="263"/>
      <c r="NR200" s="263"/>
      <c r="NS200" s="263"/>
      <c r="NT200" s="263"/>
      <c r="NU200" s="263"/>
      <c r="NV200" s="263"/>
      <c r="NW200" s="263"/>
      <c r="NX200" s="263"/>
      <c r="NY200" s="263"/>
      <c r="NZ200" s="263"/>
      <c r="OA200" s="263"/>
      <c r="OB200" s="263"/>
      <c r="OC200" s="263"/>
      <c r="OD200" s="263"/>
      <c r="OE200" s="263"/>
      <c r="OF200" s="263"/>
      <c r="OG200" s="263"/>
      <c r="OH200" s="263"/>
      <c r="OI200" s="263"/>
      <c r="OJ200" s="263"/>
      <c r="OK200" s="263"/>
      <c r="OL200" s="263"/>
      <c r="OM200" s="263"/>
      <c r="ON200" s="263"/>
      <c r="OO200" s="263"/>
      <c r="OP200" s="263"/>
      <c r="OQ200" s="263"/>
      <c r="OR200" s="263"/>
      <c r="OS200" s="263"/>
      <c r="OT200" s="263"/>
      <c r="OU200" s="263"/>
      <c r="OV200" s="263"/>
      <c r="OW200" s="263"/>
      <c r="OX200" s="263"/>
      <c r="OY200" s="263"/>
      <c r="OZ200" s="263"/>
      <c r="PA200" s="263"/>
      <c r="PB200" s="263"/>
      <c r="PC200" s="263"/>
      <c r="PD200" s="263"/>
      <c r="PE200" s="263"/>
      <c r="PF200" s="263"/>
      <c r="PG200" s="263"/>
      <c r="PH200" s="263"/>
    </row>
    <row r="201">
      <c r="B201" s="34"/>
      <c r="C201" s="404"/>
      <c r="D201" s="404"/>
      <c r="E201" s="404"/>
      <c r="F201" s="404"/>
      <c r="G201" s="404"/>
      <c r="H201" s="41"/>
      <c r="I201" s="41"/>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c r="DM201" s="76"/>
      <c r="DN201" s="76"/>
      <c r="DO201" s="76"/>
      <c r="DP201" s="76"/>
      <c r="DQ201" s="76"/>
      <c r="DR201" s="76"/>
      <c r="DS201" s="76"/>
      <c r="DT201" s="76"/>
      <c r="DU201" s="76"/>
      <c r="DV201" s="76"/>
      <c r="DW201" s="76"/>
      <c r="DX201" s="76"/>
      <c r="DY201" s="76"/>
      <c r="DZ201" s="76"/>
      <c r="EA201" s="76"/>
      <c r="EB201" s="76"/>
      <c r="EC201" s="76"/>
      <c r="ED201" s="76"/>
      <c r="EE201" s="76"/>
      <c r="EF201" s="76"/>
      <c r="EG201" s="76"/>
      <c r="EH201" s="76"/>
      <c r="EI201" s="76"/>
      <c r="EJ201" s="76"/>
      <c r="EK201" s="76"/>
      <c r="EL201" s="76"/>
      <c r="EM201" s="76"/>
      <c r="EN201" s="76"/>
      <c r="EP201" s="409"/>
      <c r="EQ201" s="18"/>
      <c r="ER201" s="18"/>
      <c r="ES201" s="18"/>
      <c r="ET201" s="18" t="s">
        <v>373</v>
      </c>
      <c r="EU201" s="18"/>
      <c r="EV201" s="422" t="n">
        <f>(EV$197&lt;=Timing_Reversion_Month)*(MIN(EV198+EV199,MAX(EV196,0)*$I$233))</f>
        <v>0</v>
      </c>
      <c r="EW201" s="422" t="n">
        <f t="shared" ref="EW201:GA201" si="924">(EW$197&lt;=Timing_Reversion_Month)*(MIN(EW198+EW199,MAX(EW196,0)*$I$233))</f>
        <v>393250.9603268033</v>
      </c>
      <c r="EX201" s="422">
        <f t="shared" si="924"/>
        <v>135601.08309322695</v>
      </c>
      <c r="EY201" s="422">
        <f t="shared" si="924"/>
        <v>0</v>
      </c>
      <c r="EZ201" s="422">
        <f t="shared" si="924"/>
        <v>0</v>
      </c>
      <c r="FA201" s="422">
        <f t="shared" si="924"/>
        <v>0</v>
      </c>
      <c r="FB201" s="422">
        <f t="shared" si="924"/>
        <v>0</v>
      </c>
      <c r="FC201" s="422">
        <f t="shared" si="924"/>
        <v>0</v>
      </c>
      <c r="FD201" s="422">
        <f t="shared" si="924"/>
        <v>0</v>
      </c>
      <c r="FE201" s="422">
        <f t="shared" si="924"/>
        <v>0</v>
      </c>
      <c r="FF201" s="422">
        <f t="shared" si="924"/>
        <v>0</v>
      </c>
      <c r="FG201" s="422">
        <f t="shared" si="924"/>
        <v>0</v>
      </c>
      <c r="FH201" s="422">
        <f t="shared" si="924"/>
        <v>0</v>
      </c>
      <c r="FI201" s="422">
        <f t="shared" si="924"/>
        <v>0</v>
      </c>
      <c r="FJ201" s="422">
        <f t="shared" si="924"/>
        <v>0</v>
      </c>
      <c r="FK201" s="422">
        <f t="shared" si="924"/>
        <v>0</v>
      </c>
      <c r="FL201" s="422">
        <f t="shared" si="924"/>
        <v>0</v>
      </c>
      <c r="FM201" s="422">
        <f t="shared" si="924"/>
        <v>810463.57516973012</v>
      </c>
      <c r="FN201" s="422">
        <f t="shared" si="924"/>
        <v>3481800.8764314256</v>
      </c>
      <c r="FO201" s="422">
        <f t="shared" si="924"/>
        <v>3240128.9964987882</v>
      </c>
      <c r="FP201" s="422">
        <f t="shared" si="924"/>
        <v>3085563.367248842</v>
      </c>
      <c r="FQ201" s="422">
        <f t="shared" si="924"/>
        <v>3685184.504042963</v>
      </c>
      <c r="FR201" s="422">
        <f t="shared" si="924"/>
        <v>3543883.0408446733</v>
      </c>
      <c r="FS201" s="422">
        <f t="shared" si="924"/>
        <v>3413848.6692760913</v>
      </c>
      <c r="FT201" s="422">
        <f t="shared" si="924"/>
        <v>3587364.308113737</v>
      </c>
      <c r="FU201" s="422">
        <f t="shared" si="924"/>
        <v>3485056.3850739766</v>
      </c>
      <c r="FV201" s="422">
        <f t="shared" si="924"/>
        <v>3397438.6657805145</v>
      </c>
      <c r="FW201" s="422">
        <f t="shared" si="924"/>
        <v>3502691.3563470333</v>
      </c>
      <c r="FX201" s="422">
        <f t="shared" si="924"/>
        <v>2845601.8484991253</v>
      </c>
      <c r="FY201" s="422">
        <f t="shared" si="924"/>
        <v>1497735.2327804544</v>
      </c>
      <c r="FZ201" s="422">
        <f t="shared" si="924"/>
        <v>2509163.8639601702</v>
      </c>
      <c r="GA201" s="422">
        <f t="shared" si="924"/>
        <v>2885272.669782937</v>
      </c>
      <c r="GB201" s="422" t="n">
        <f t="shared" ref="GB201:HG201" si="925">(GB$197&lt;=Timing_Reversion_Month)*(MIN(GB198+GB199,MAX(GB196,0)*$I$233))</f>
        <v>3165343.028364981</v>
      </c>
      <c r="GC201" s="422">
        <f t="shared" si="925"/>
        <v>3365921.4402946201</v>
      </c>
      <c r="GD201" s="422">
        <f t="shared" si="925"/>
        <v>3743964.7462569405</v>
      </c>
      <c r="GE201" s="422">
        <f t="shared" si="925"/>
        <v>3831994.2213293347</v>
      </c>
      <c r="GF201" s="422">
        <f t="shared" si="925"/>
        <v>3896836.1851359541</v>
      </c>
      <c r="GG201" s="422">
        <f t="shared" si="925"/>
        <v>3494570.8859825782</v>
      </c>
      <c r="GH201" s="422">
        <f t="shared" si="925"/>
        <v>3482522.3970297338</v>
      </c>
      <c r="GI201" s="422">
        <f t="shared" si="925"/>
        <v>3470383.5444097435</v>
      </c>
      <c r="GJ201" s="422">
        <f t="shared" si="925"/>
        <v>3464157.4376286799</v>
      </c>
      <c r="GK201" s="422">
        <f t="shared" si="925"/>
        <v>3451835.8194089294</v>
      </c>
      <c r="GL201" s="422">
        <f t="shared" si="925"/>
        <v>3439421.7890525316</v>
      </c>
      <c r="GM201" s="422">
        <f t="shared" si="925"/>
        <v>3582830.5611468046</v>
      </c>
      <c r="GN201" s="422">
        <f t="shared" si="925"/>
        <v>3570229.6220458527</v>
      </c>
      <c r="GO201" s="422">
        <f t="shared" si="925"/>
        <v>3557534.1759016439</v>
      </c>
      <c r="GP201" s="422">
        <f t="shared" si="925"/>
        <v>3572426.9097446869</v>
      </c>
      <c r="GQ201" s="422">
        <f t="shared" si="925"/>
        <v>3559540.3177894698</v>
      </c>
      <c r="GR201" s="422">
        <f t="shared" si="925"/>
        <v>3546557.0763945873</v>
      </c>
      <c r="GS201" s="422">
        <f t="shared" si="925"/>
        <v>3406642.2490547462</v>
      </c>
      <c r="GT201" s="422">
        <f t="shared" si="925"/>
        <v>3393463.5287316125</v>
      </c>
      <c r="GU201" s="422">
        <f t="shared" si="925"/>
        <v>3380185.9680060558</v>
      </c>
      <c r="GV201" s="422">
        <f t="shared" si="925"/>
        <v>3372802.5537000573</v>
      </c>
      <c r="GW201" s="422">
        <f t="shared" si="925"/>
        <v>3359325.0827008253</v>
      </c>
      <c r="GX201" s="422">
        <f t="shared" si="925"/>
        <v>3345746.5306691001</v>
      </c>
      <c r="GY201" s="422">
        <f t="shared" si="925"/>
        <v>3473184.1325757857</v>
      </c>
      <c r="GZ201" s="422">
        <f t="shared" si="925"/>
        <v>3459401.1384700327</v>
      </c>
      <c r="HA201" s="422">
        <f t="shared" si="925"/>
        <v>3445514.7719084867</v>
      </c>
      <c r="HB201" s="422">
        <f t="shared" si="925"/>
        <v>3460176.5722852284</v>
      </c>
      <c r="HC201" s="422">
        <f t="shared" si="925"/>
        <v>3446081.1291171401</v>
      </c>
      <c r="HD201" s="422">
        <f t="shared" si="925"/>
        <v>3431879.9701252906</v>
      </c>
      <c r="HE201" s="422">
        <f t="shared" si="925"/>
        <v>92514869.31821233</v>
      </c>
      <c r="HF201" s="422">
        <f t="shared" si="925"/>
        <v>0</v>
      </c>
      <c r="HG201" s="422">
        <f t="shared" si="925"/>
        <v>0</v>
      </c>
      <c r="HH201" s="422" t="n">
        <f t="shared" ref="HH201:IM201" si="926">(HH$197&lt;=Timing_Reversion_Month)*(MIN(HH198+HH199,MAX(HH196,0)*$I$233))</f>
        <v>0</v>
      </c>
      <c r="HI201" s="422">
        <f t="shared" si="926"/>
        <v>0</v>
      </c>
      <c r="HJ201" s="422">
        <f t="shared" si="926"/>
        <v>0</v>
      </c>
      <c r="HK201" s="422">
        <f t="shared" si="926"/>
        <v>0</v>
      </c>
      <c r="HL201" s="422">
        <f t="shared" si="926"/>
        <v>0</v>
      </c>
      <c r="HM201" s="422">
        <f t="shared" si="926"/>
        <v>0</v>
      </c>
      <c r="HN201" s="422">
        <f t="shared" si="926"/>
        <v>0</v>
      </c>
      <c r="HO201" s="422">
        <f t="shared" si="926"/>
        <v>0</v>
      </c>
      <c r="HP201" s="422">
        <f t="shared" si="926"/>
        <v>0</v>
      </c>
      <c r="HQ201" s="422">
        <f t="shared" si="926"/>
        <v>0</v>
      </c>
      <c r="HR201" s="422">
        <f t="shared" si="926"/>
        <v>0</v>
      </c>
      <c r="HS201" s="422">
        <f t="shared" si="926"/>
        <v>0</v>
      </c>
      <c r="HT201" s="422">
        <f t="shared" si="926"/>
        <v>0</v>
      </c>
      <c r="HU201" s="422">
        <f t="shared" si="926"/>
        <v>0</v>
      </c>
      <c r="HV201" s="422">
        <f t="shared" si="926"/>
        <v>0</v>
      </c>
      <c r="HW201" s="422">
        <f t="shared" si="926"/>
        <v>0</v>
      </c>
      <c r="HX201" s="422">
        <f t="shared" si="926"/>
        <v>0</v>
      </c>
      <c r="HY201" s="422">
        <f t="shared" si="926"/>
        <v>0</v>
      </c>
      <c r="HZ201" s="422">
        <f t="shared" si="926"/>
        <v>0</v>
      </c>
      <c r="IA201" s="422">
        <f t="shared" si="926"/>
        <v>0</v>
      </c>
      <c r="IB201" s="422">
        <f t="shared" si="926"/>
        <v>0</v>
      </c>
      <c r="IC201" s="422">
        <f t="shared" si="926"/>
        <v>0</v>
      </c>
      <c r="ID201" s="422">
        <f t="shared" si="926"/>
        <v>0</v>
      </c>
      <c r="IE201" s="422">
        <f t="shared" si="926"/>
        <v>0</v>
      </c>
      <c r="IF201" s="422">
        <f t="shared" si="926"/>
        <v>0</v>
      </c>
      <c r="IG201" s="422">
        <f t="shared" si="926"/>
        <v>0</v>
      </c>
      <c r="IH201" s="422">
        <f t="shared" si="926"/>
        <v>0</v>
      </c>
      <c r="II201" s="422">
        <f t="shared" si="926"/>
        <v>0</v>
      </c>
      <c r="IJ201" s="422">
        <f t="shared" si="926"/>
        <v>0</v>
      </c>
      <c r="IK201" s="422">
        <f t="shared" si="926"/>
        <v>0</v>
      </c>
      <c r="IL201" s="422">
        <f t="shared" si="926"/>
        <v>0</v>
      </c>
      <c r="IM201" s="422">
        <f t="shared" si="926"/>
        <v>0</v>
      </c>
      <c r="IN201" s="422" t="n">
        <f t="shared" ref="IN201:JX201" si="927">(IN$197&lt;=Timing_Reversion_Month)*(MIN(IN198+IN199,MAX(IN196,0)*$I$233))</f>
        <v>0</v>
      </c>
      <c r="IO201" s="422">
        <f t="shared" si="927"/>
        <v>0</v>
      </c>
      <c r="IP201" s="422">
        <f t="shared" si="927"/>
        <v>0</v>
      </c>
      <c r="IQ201" s="422">
        <f t="shared" si="927"/>
        <v>0</v>
      </c>
      <c r="IR201" s="422">
        <f t="shared" si="927"/>
        <v>0</v>
      </c>
      <c r="IS201" s="422">
        <f t="shared" si="927"/>
        <v>0</v>
      </c>
      <c r="IT201" s="422">
        <f t="shared" si="927"/>
        <v>0</v>
      </c>
      <c r="IU201" s="422">
        <f t="shared" si="927"/>
        <v>0</v>
      </c>
      <c r="IV201" s="422">
        <f t="shared" si="927"/>
        <v>0</v>
      </c>
      <c r="IW201" s="422">
        <f t="shared" si="927"/>
        <v>0</v>
      </c>
      <c r="IX201" s="422">
        <f t="shared" si="927"/>
        <v>0</v>
      </c>
      <c r="IY201" s="422">
        <f t="shared" si="927"/>
        <v>0</v>
      </c>
      <c r="IZ201" s="422">
        <f t="shared" si="927"/>
        <v>0</v>
      </c>
      <c r="JA201" s="422">
        <f t="shared" si="927"/>
        <v>0</v>
      </c>
      <c r="JB201" s="422">
        <f t="shared" si="927"/>
        <v>0</v>
      </c>
      <c r="JC201" s="422">
        <f t="shared" si="927"/>
        <v>0</v>
      </c>
      <c r="JD201" s="422">
        <f t="shared" si="927"/>
        <v>0</v>
      </c>
      <c r="JE201" s="422">
        <f t="shared" si="927"/>
        <v>0</v>
      </c>
      <c r="JF201" s="422">
        <f t="shared" si="927"/>
        <v>0</v>
      </c>
      <c r="JG201" s="422">
        <f t="shared" si="927"/>
        <v>0</v>
      </c>
      <c r="JH201" s="422">
        <f t="shared" si="927"/>
        <v>0</v>
      </c>
      <c r="JI201" s="422">
        <f t="shared" si="927"/>
        <v>0</v>
      </c>
      <c r="JJ201" s="422">
        <f t="shared" si="927"/>
        <v>0</v>
      </c>
      <c r="JK201" s="422">
        <f t="shared" si="927"/>
        <v>0</v>
      </c>
      <c r="JL201" s="422">
        <f t="shared" si="927"/>
        <v>0</v>
      </c>
      <c r="JM201" s="422">
        <f t="shared" si="927"/>
        <v>0</v>
      </c>
      <c r="JN201" s="422">
        <f t="shared" si="927"/>
        <v>0</v>
      </c>
      <c r="JO201" s="422">
        <f t="shared" si="927"/>
        <v>0</v>
      </c>
      <c r="JP201" s="422">
        <f t="shared" si="927"/>
        <v>0</v>
      </c>
      <c r="JQ201" s="422">
        <f t="shared" si="927"/>
        <v>0</v>
      </c>
      <c r="JR201" s="422">
        <f t="shared" si="927"/>
        <v>0</v>
      </c>
      <c r="JS201" s="422">
        <f t="shared" si="927"/>
        <v>0</v>
      </c>
      <c r="JT201" s="422">
        <f t="shared" si="927"/>
        <v>0</v>
      </c>
      <c r="JU201" s="422">
        <f t="shared" si="927"/>
        <v>0</v>
      </c>
      <c r="JV201" s="422">
        <f t="shared" si="927"/>
        <v>0</v>
      </c>
      <c r="JW201" s="422">
        <f t="shared" si="927"/>
        <v>0</v>
      </c>
      <c r="JX201" s="422">
        <f t="shared" si="927"/>
        <v>0</v>
      </c>
      <c r="JZ201" s="263"/>
      <c r="KA201" s="263"/>
      <c r="KB201" s="263"/>
      <c r="KC201" s="263"/>
      <c r="KD201" s="263"/>
      <c r="KE201" s="263"/>
      <c r="KF201" s="263"/>
      <c r="KG201" s="263"/>
      <c r="KH201" s="263"/>
      <c r="KI201" s="263"/>
      <c r="KJ201" s="263"/>
      <c r="KK201" s="263"/>
      <c r="KL201" s="263"/>
      <c r="KM201" s="263"/>
      <c r="KN201" s="263"/>
      <c r="KO201" s="263"/>
      <c r="KP201" s="263"/>
      <c r="KQ201" s="263"/>
      <c r="KR201" s="263"/>
      <c r="KS201" s="263"/>
      <c r="KT201" s="263"/>
      <c r="KU201" s="263"/>
      <c r="KV201" s="263"/>
      <c r="KW201" s="263"/>
      <c r="KX201" s="263"/>
      <c r="KY201" s="263"/>
      <c r="KZ201" s="263"/>
      <c r="LA201" s="263"/>
      <c r="LB201" s="263"/>
      <c r="LC201" s="263"/>
      <c r="LD201" s="263"/>
      <c r="LE201" s="263"/>
      <c r="LF201" s="263"/>
      <c r="LG201" s="263"/>
      <c r="LH201" s="263"/>
      <c r="LI201" s="263"/>
      <c r="LJ201" s="263"/>
      <c r="LK201" s="263"/>
      <c r="LL201" s="263"/>
      <c r="LM201" s="263"/>
      <c r="LN201" s="263"/>
      <c r="LO201" s="263"/>
      <c r="LP201" s="263"/>
      <c r="LQ201" s="263"/>
      <c r="LR201" s="263"/>
      <c r="LS201" s="263"/>
      <c r="LT201" s="263"/>
      <c r="LU201" s="263"/>
      <c r="LV201" s="263"/>
      <c r="LW201" s="263"/>
      <c r="LX201" s="263"/>
      <c r="LY201" s="263"/>
      <c r="LZ201" s="263"/>
      <c r="MA201" s="263"/>
      <c r="MB201" s="263"/>
      <c r="MC201" s="263"/>
      <c r="MD201" s="263"/>
      <c r="ME201" s="263"/>
      <c r="MF201" s="263"/>
      <c r="MG201" s="263"/>
      <c r="MH201" s="263"/>
      <c r="MI201" s="263"/>
      <c r="MJ201" s="263"/>
      <c r="MK201" s="263"/>
      <c r="ML201" s="263"/>
      <c r="MM201" s="263"/>
      <c r="MN201" s="263"/>
      <c r="MO201" s="263"/>
      <c r="MP201" s="263"/>
      <c r="MQ201" s="263"/>
      <c r="MR201" s="263"/>
      <c r="MS201" s="263"/>
      <c r="MT201" s="263"/>
      <c r="MU201" s="263"/>
      <c r="MV201" s="263"/>
      <c r="MW201" s="263"/>
      <c r="MX201" s="263"/>
      <c r="MY201" s="263"/>
      <c r="MZ201" s="263"/>
      <c r="NA201" s="263"/>
      <c r="NB201" s="263"/>
      <c r="NC201" s="263"/>
      <c r="ND201" s="263"/>
      <c r="NE201" s="263"/>
      <c r="NF201" s="263"/>
      <c r="NG201" s="263"/>
      <c r="NH201" s="263"/>
      <c r="NI201" s="263"/>
      <c r="NJ201" s="263"/>
      <c r="NK201" s="263"/>
      <c r="NL201" s="263"/>
      <c r="NM201" s="263"/>
      <c r="NN201" s="263"/>
      <c r="NO201" s="263"/>
      <c r="NP201" s="263"/>
      <c r="NQ201" s="263"/>
      <c r="NR201" s="263"/>
      <c r="NS201" s="263"/>
      <c r="NT201" s="263"/>
      <c r="NU201" s="263"/>
      <c r="NV201" s="263"/>
      <c r="NW201" s="263"/>
      <c r="NX201" s="263"/>
      <c r="NY201" s="263"/>
      <c r="NZ201" s="263"/>
      <c r="OA201" s="263"/>
      <c r="OB201" s="263"/>
      <c r="OC201" s="263"/>
      <c r="OD201" s="263"/>
      <c r="OE201" s="263"/>
      <c r="OF201" s="263"/>
      <c r="OG201" s="263"/>
      <c r="OH201" s="263"/>
      <c r="OI201" s="263"/>
      <c r="OJ201" s="263"/>
      <c r="OK201" s="263"/>
      <c r="OL201" s="263"/>
      <c r="OM201" s="263"/>
      <c r="ON201" s="263"/>
      <c r="OO201" s="263"/>
      <c r="OP201" s="263"/>
      <c r="OQ201" s="263"/>
      <c r="OR201" s="263"/>
      <c r="OS201" s="263"/>
      <c r="OT201" s="263"/>
      <c r="OU201" s="263"/>
      <c r="OV201" s="263"/>
      <c r="OW201" s="263"/>
      <c r="OX201" s="263"/>
      <c r="OY201" s="263"/>
      <c r="OZ201" s="263"/>
      <c r="PA201" s="263"/>
      <c r="PB201" s="263"/>
      <c r="PC201" s="263"/>
      <c r="PD201" s="263"/>
      <c r="PE201" s="263"/>
      <c r="PF201" s="263"/>
      <c r="PG201" s="263"/>
      <c r="PH201" s="263"/>
    </row>
    <row r="202">
      <c r="B202" s="34" t="s">
        <v>68</v>
      </c>
      <c r="C202" s="404"/>
      <c r="D202" s="404"/>
      <c r="E202" s="404"/>
      <c r="F202" s="404"/>
      <c r="G202" s="404"/>
      <c r="H202" s="41"/>
      <c r="I202" s="449" t="n">
        <f>SUM(L202:EN202)</f>
        <v>235104056.0619682</v>
      </c>
      <c r="L202" s="421" t="str">
        <f t="shared" ref="L202:AQ202" si="928">IF(L194="","",L155)</f>
      </c>
      <c r="M202" s="421">
        <f t="shared" si="928"/>
        <v>0</v>
      </c>
      <c r="N202" s="421">
        <f t="shared" si="928"/>
        <v>0</v>
      </c>
      <c r="O202" s="421">
        <f t="shared" si="928"/>
        <v>0</v>
      </c>
      <c r="P202" s="421">
        <f t="shared" si="928"/>
        <v>0</v>
      </c>
      <c r="Q202" s="421">
        <f t="shared" si="928"/>
        <v>-114338.88963590557</v>
      </c>
      <c r="R202" s="421">
        <f t="shared" si="928"/>
        <v>585807.05234234873</v>
      </c>
      <c r="S202" s="421">
        <f t="shared" si="928"/>
        <v>585807.05234234873</v>
      </c>
      <c r="T202" s="421">
        <f t="shared" si="928"/>
        <v>585807.05234234873</v>
      </c>
      <c r="U202" s="421">
        <f t="shared" si="928"/>
        <v>585807.05234234873</v>
      </c>
      <c r="V202" s="421">
        <f t="shared" si="928"/>
        <v>585807.05234234873</v>
      </c>
      <c r="W202" s="421">
        <f t="shared" si="928"/>
        <v>585807.05234234873</v>
      </c>
      <c r="X202" s="421">
        <f t="shared" si="928"/>
        <v>585807.05234234873</v>
      </c>
      <c r="Y202" s="421">
        <f t="shared" si="928"/>
        <v>585807.05234234873</v>
      </c>
      <c r="Z202" s="421">
        <f t="shared" si="928"/>
        <v>585807.05234234873</v>
      </c>
      <c r="AA202" s="421">
        <f t="shared" si="928"/>
        <v>585807.05234234873</v>
      </c>
      <c r="AB202" s="421">
        <f t="shared" si="928"/>
        <v>585807.05234234873</v>
      </c>
      <c r="AC202" s="421">
        <f t="shared" si="928"/>
        <v>437542.19079168688</v>
      </c>
      <c r="AD202" s="421">
        <f t="shared" si="928"/>
        <v>3493551.9779534517</v>
      </c>
      <c r="AE202" s="421">
        <f t="shared" si="928"/>
        <v>3493551.9779534517</v>
      </c>
      <c r="AF202" s="421">
        <f t="shared" si="928"/>
        <v>3493551.9779534517</v>
      </c>
      <c r="AG202" s="421">
        <f t="shared" si="928"/>
        <v>4282314.2781650471</v>
      </c>
      <c r="AH202" s="421">
        <f t="shared" si="928"/>
        <v>4282314.2781650471</v>
      </c>
      <c r="AI202" s="421">
        <f t="shared" si="928"/>
        <v>4282314.2781650471</v>
      </c>
      <c r="AJ202" s="421">
        <f t="shared" si="928"/>
        <v>4587843.0047824392</v>
      </c>
      <c r="AK202" s="421">
        <f t="shared" si="928"/>
        <v>4587843.0047824392</v>
      </c>
      <c r="AL202" s="421">
        <f t="shared" si="928"/>
        <v>4587843.0047824392</v>
      </c>
      <c r="AM202" s="421">
        <f t="shared" si="928"/>
        <v>4775925.8053659182</v>
      </c>
      <c r="AN202" s="421">
        <f t="shared" si="928"/>
        <v>4775925.8053659182</v>
      </c>
      <c r="AO202" s="421">
        <f t="shared" si="928"/>
        <v>4772110.8218239592</v>
      </c>
      <c r="AP202" s="421">
        <f t="shared" si="928"/>
        <v>5325002.2596516162</v>
      </c>
      <c r="AQ202" s="421">
        <f t="shared" si="928"/>
        <v>5325002.2596516162</v>
      </c>
      <c r="AR202" s="421" t="n">
        <f t="shared" ref="AR202:BW202" si="929">IF(AR194="","",AR155)</f>
        <v>5325002.259651616</v>
      </c>
      <c r="AS202" s="421">
        <f t="shared" si="929"/>
        <v>5325002.2596516162</v>
      </c>
      <c r="AT202" s="421">
        <f t="shared" si="929"/>
        <v>5450541.4642952997</v>
      </c>
      <c r="AU202" s="421">
        <f t="shared" si="929"/>
        <v>5450541.4642952997</v>
      </c>
      <c r="AV202" s="421">
        <f t="shared" si="929"/>
        <v>5450541.4642952997</v>
      </c>
      <c r="AW202" s="421">
        <f t="shared" si="929"/>
        <v>5369511.662836967</v>
      </c>
      <c r="AX202" s="421">
        <f t="shared" si="929"/>
        <v>5369511.662836967</v>
      </c>
      <c r="AY202" s="421">
        <f t="shared" si="929"/>
        <v>5369511.662836967</v>
      </c>
      <c r="AZ202" s="421">
        <f t="shared" si="929"/>
        <v>5375831.4388723103</v>
      </c>
      <c r="BA202" s="421">
        <f t="shared" si="929"/>
        <v>5375831.4388723103</v>
      </c>
      <c r="BB202" s="421">
        <f t="shared" si="929"/>
        <v>5375831.4388723103</v>
      </c>
      <c r="BC202" s="421">
        <f t="shared" si="929"/>
        <v>5539953.4469547784</v>
      </c>
      <c r="BD202" s="76">
        <f t="shared" si="929"/>
        <v>5539953.4469547784</v>
      </c>
      <c r="BE202" s="76">
        <f t="shared" si="929"/>
        <v>5539953.4469547784</v>
      </c>
      <c r="BF202" s="76">
        <f t="shared" si="929"/>
        <v>5569093.8636214454</v>
      </c>
      <c r="BG202" s="76">
        <f t="shared" si="929"/>
        <v>5569093.8636214454</v>
      </c>
      <c r="BH202" s="76">
        <f t="shared" si="929"/>
        <v>5569093.8636214454</v>
      </c>
      <c r="BI202" s="76">
        <f t="shared" si="929"/>
        <v>5575170.3509256123</v>
      </c>
      <c r="BJ202" s="76">
        <f t="shared" si="929"/>
        <v>5575170.3509256123</v>
      </c>
      <c r="BK202" s="76">
        <f t="shared" si="929"/>
        <v>5575170.3509256123</v>
      </c>
      <c r="BL202" s="76">
        <f t="shared" si="929"/>
        <v>5581479.5384256123</v>
      </c>
      <c r="BM202" s="76">
        <f t="shared" si="929"/>
        <v>5581479.5384256123</v>
      </c>
      <c r="BN202" s="76">
        <f t="shared" si="929"/>
        <v>5581479.5384256123</v>
      </c>
      <c r="BO202" s="76">
        <f t="shared" si="929"/>
        <v>5730024.794297874</v>
      </c>
      <c r="BP202" s="76">
        <f t="shared" si="929"/>
        <v>5730024.794297874</v>
      </c>
      <c r="BQ202" s="76">
        <f t="shared" si="929"/>
        <v>5730024.794297874</v>
      </c>
      <c r="BR202" s="76">
        <f t="shared" si="929"/>
        <v>5760185.1255478738</v>
      </c>
      <c r="BS202" s="76">
        <f t="shared" si="929"/>
        <v>5760185.1255478738</v>
      </c>
      <c r="BT202" s="76">
        <f t="shared" si="929"/>
        <v>5760185.1255478738</v>
      </c>
      <c r="BU202" s="76">
        <f t="shared" si="929"/>
        <v>5766500.8738481235</v>
      </c>
      <c r="BV202" s="76" t="str">
        <f t="shared" si="929"/>
      </c>
      <c r="BW202" s="76" t="str">
        <f t="shared" si="929"/>
      </c>
      <c r="BX202" s="76" t="str">
        <f t="shared" ref="BX202:DC202" si="930">IF(BX194="","",BX155)</f>
      </c>
      <c r="BY202" s="76" t="str">
        <f t="shared" si="930"/>
      </c>
      <c r="BZ202" s="76" t="str">
        <f t="shared" si="930"/>
      </c>
      <c r="CA202" s="76" t="str">
        <f t="shared" si="930"/>
      </c>
      <c r="CB202" s="76" t="str">
        <f t="shared" si="930"/>
      </c>
      <c r="CC202" s="76" t="str">
        <f t="shared" si="930"/>
      </c>
      <c r="CD202" s="76" t="str">
        <f t="shared" si="930"/>
      </c>
      <c r="CE202" s="76" t="str">
        <f t="shared" si="930"/>
      </c>
      <c r="CF202" s="76" t="str">
        <f t="shared" si="930"/>
      </c>
      <c r="CG202" s="76" t="str">
        <f t="shared" si="930"/>
      </c>
      <c r="CH202" s="76" t="str">
        <f t="shared" si="930"/>
      </c>
      <c r="CI202" s="76" t="str">
        <f t="shared" si="930"/>
      </c>
      <c r="CJ202" s="76" t="str">
        <f t="shared" si="930"/>
      </c>
      <c r="CK202" s="76" t="str">
        <f t="shared" si="930"/>
      </c>
      <c r="CL202" s="76" t="str">
        <f t="shared" si="930"/>
      </c>
      <c r="CM202" s="76" t="str">
        <f t="shared" si="930"/>
      </c>
      <c r="CN202" s="76" t="str">
        <f t="shared" si="930"/>
      </c>
      <c r="CO202" s="76" t="str">
        <f t="shared" si="930"/>
      </c>
      <c r="CP202" s="76" t="str">
        <f t="shared" si="930"/>
      </c>
      <c r="CQ202" s="76" t="str">
        <f t="shared" si="930"/>
      </c>
      <c r="CR202" s="76" t="str">
        <f t="shared" si="930"/>
      </c>
      <c r="CS202" s="76" t="str">
        <f t="shared" si="930"/>
      </c>
      <c r="CT202" s="76" t="str">
        <f t="shared" si="930"/>
      </c>
      <c r="CU202" s="76" t="str">
        <f t="shared" si="930"/>
      </c>
      <c r="CV202" s="76" t="str">
        <f t="shared" si="930"/>
      </c>
      <c r="CW202" s="76" t="str">
        <f t="shared" si="930"/>
      </c>
      <c r="CX202" s="76" t="str">
        <f t="shared" si="930"/>
      </c>
      <c r="CY202" s="76" t="str">
        <f t="shared" si="930"/>
      </c>
      <c r="CZ202" s="76" t="str">
        <f t="shared" si="930"/>
      </c>
      <c r="DA202" s="76" t="str">
        <f t="shared" si="930"/>
      </c>
      <c r="DB202" s="76" t="str">
        <f t="shared" si="930"/>
      </c>
      <c r="DC202" s="76" t="str">
        <f t="shared" si="930"/>
      </c>
      <c r="DD202" s="76" t="str">
        <f t="shared" ref="DD202:EN202" si="931">IF(DD194="","",DD155)</f>
      </c>
      <c r="DE202" s="76" t="str">
        <f t="shared" si="931"/>
      </c>
      <c r="DF202" s="76" t="str">
        <f t="shared" si="931"/>
      </c>
      <c r="DG202" s="76" t="str">
        <f t="shared" si="931"/>
      </c>
      <c r="DH202" s="76" t="str">
        <f t="shared" si="931"/>
      </c>
      <c r="DI202" s="76" t="str">
        <f t="shared" si="931"/>
      </c>
      <c r="DJ202" s="76" t="str">
        <f t="shared" si="931"/>
      </c>
      <c r="DK202" s="76" t="str">
        <f t="shared" si="931"/>
      </c>
      <c r="DL202" s="76" t="str">
        <f t="shared" si="931"/>
      </c>
      <c r="DM202" s="76" t="str">
        <f t="shared" si="931"/>
      </c>
      <c r="DN202" s="76" t="str">
        <f t="shared" si="931"/>
      </c>
      <c r="DO202" s="76" t="str">
        <f t="shared" si="931"/>
      </c>
      <c r="DP202" s="76" t="str">
        <f t="shared" si="931"/>
      </c>
      <c r="DQ202" s="76" t="str">
        <f t="shared" si="931"/>
      </c>
      <c r="DR202" s="76" t="str">
        <f t="shared" si="931"/>
      </c>
      <c r="DS202" s="76" t="str">
        <f t="shared" si="931"/>
      </c>
      <c r="DT202" s="76" t="str">
        <f t="shared" si="931"/>
      </c>
      <c r="DU202" s="76" t="str">
        <f t="shared" si="931"/>
      </c>
      <c r="DV202" s="76" t="str">
        <f t="shared" si="931"/>
      </c>
      <c r="DW202" s="76" t="str">
        <f t="shared" si="931"/>
      </c>
      <c r="DX202" s="76" t="str">
        <f t="shared" si="931"/>
      </c>
      <c r="DY202" s="76" t="str">
        <f t="shared" si="931"/>
      </c>
      <c r="DZ202" s="76" t="str">
        <f t="shared" si="931"/>
      </c>
      <c r="EA202" s="76" t="str">
        <f t="shared" si="931"/>
      </c>
      <c r="EB202" s="76" t="str">
        <f t="shared" si="931"/>
      </c>
      <c r="EC202" s="76" t="str">
        <f t="shared" si="931"/>
      </c>
      <c r="ED202" s="76" t="str">
        <f t="shared" si="931"/>
      </c>
      <c r="EE202" s="76" t="str">
        <f t="shared" si="931"/>
      </c>
      <c r="EF202" s="76" t="str">
        <f t="shared" si="931"/>
      </c>
      <c r="EG202" s="76" t="str">
        <f t="shared" si="931"/>
      </c>
      <c r="EH202" s="76" t="str">
        <f t="shared" si="931"/>
      </c>
      <c r="EI202" s="76" t="str">
        <f t="shared" si="931"/>
      </c>
      <c r="EJ202" s="76" t="str">
        <f t="shared" si="931"/>
      </c>
      <c r="EK202" s="76" t="str">
        <f t="shared" si="931"/>
      </c>
      <c r="EL202" s="76" t="str">
        <f t="shared" si="931"/>
      </c>
      <c r="EM202" s="76" t="str">
        <f t="shared" si="931"/>
      </c>
      <c r="EN202" s="76" t="str">
        <f t="shared" si="931"/>
      </c>
      <c r="EP202" s="409"/>
      <c r="EQ202" s="18"/>
      <c r="ER202" s="18"/>
      <c r="ES202" s="18"/>
      <c r="ET202" s="18" t="s">
        <v>374</v>
      </c>
      <c r="EU202" s="18"/>
      <c r="EV202" s="422" t="n">
        <f t="shared" ref="EV202:GA202" si="932">(EV$197&lt;=Timing_Reversion_Month)*(EV198+EV199+EV200-EV201)</f>
        <v>82683053.2599155</v>
      </c>
      <c r="EW202" s="422">
        <f t="shared" si="932"/>
        <v>82885725.797198251</v>
      </c>
      <c r="EX202" s="422">
        <f t="shared" si="932"/>
        <v>83347508.938218087</v>
      </c>
      <c r="EY202" s="422">
        <f t="shared" si="932"/>
        <v>84180586.726395071</v>
      </c>
      <c r="EZ202" s="422">
        <f t="shared" si="932"/>
        <v>85529473.764317051</v>
      </c>
      <c r="FA202" s="422">
        <f t="shared" si="932"/>
        <v>87681496.425238773</v>
      </c>
      <c r="FB202" s="422">
        <f t="shared" si="932"/>
        <v>90075859.292431727</v>
      </c>
      <c r="FC202" s="422">
        <f t="shared" si="932"/>
        <v>93609988.537256971</v>
      </c>
      <c r="FD202" s="422">
        <f t="shared" si="932"/>
        <v>98536554.487812504</v>
      </c>
      <c r="FE202" s="422">
        <f t="shared" si="932"/>
        <v>105105558.41832614</v>
      </c>
      <c r="FF202" s="422">
        <f t="shared" si="932"/>
        <v>113541722.42868516</v>
      </c>
      <c r="FG202" s="422">
        <f t="shared" si="932"/>
        <v>124018545.85602142</v>
      </c>
      <c r="FH202" s="422">
        <f t="shared" si="932"/>
        <v>136631887.23557633</v>
      </c>
      <c r="FI202" s="422">
        <f t="shared" si="932"/>
        <v>151376710.54068455</v>
      </c>
      <c r="FJ202" s="422">
        <f t="shared" si="932"/>
        <v>168130874.71352574</v>
      </c>
      <c r="FK202" s="422">
        <f t="shared" si="932"/>
        <v>186649378.3979615</v>
      </c>
      <c r="FL202" s="422">
        <f t="shared" si="932"/>
        <v>191229087.62903455</v>
      </c>
      <c r="FM202" s="422">
        <f t="shared" si="932"/>
        <v>191796873.91585711</v>
      </c>
      <c r="FN202" s="422">
        <f t="shared" si="932"/>
        <v>189697415.12076157</v>
      </c>
      <c r="FO202" s="422">
        <f t="shared" si="932"/>
        <v>187824496.72727352</v>
      </c>
      <c r="FP202" s="422">
        <f t="shared" si="932"/>
        <v>186092645.23462883</v>
      </c>
      <c r="FQ202" s="422">
        <f t="shared" si="932"/>
        <v>183748690.59154698</v>
      </c>
      <c r="FR202" s="422">
        <f t="shared" si="932"/>
        <v>181529143.77271235</v>
      </c>
      <c r="FS202" s="422">
        <f t="shared" si="932"/>
        <v>179423634.33390766</v>
      </c>
      <c r="FT202" s="422">
        <f t="shared" si="932"/>
        <v>177129434.16899469</v>
      </c>
      <c r="FU202" s="422">
        <f t="shared" si="932"/>
        <v>174921006.884781</v>
      </c>
      <c r="FV202" s="422">
        <f t="shared" si="932"/>
        <v>172784280.47040328</v>
      </c>
      <c r="FW202" s="422">
        <f t="shared" si="932"/>
        <v>170526901.2873525</v>
      </c>
      <c r="FX202" s="422">
        <f t="shared" si="932"/>
        <v>168910341.95053026</v>
      </c>
      <c r="FY202" s="422">
        <f t="shared" si="932"/>
        <v>168629998.16362649</v>
      </c>
      <c r="FZ202" s="422">
        <f t="shared" si="932"/>
        <v>167336205.21723112</v>
      </c>
      <c r="GA202" s="422">
        <f t="shared" si="932"/>
        <v>165656978.68094417</v>
      </c>
      <c r="GB202" s="422" t="n">
        <f t="shared" ref="GB202:HG202" si="933">(GB$197&lt;=Timing_Reversion_Month)*(GB198+GB199+GB200-GB201)</f>
        <v>163685579.05750713</v>
      </c>
      <c r="GC202" s="422">
        <f t="shared" si="933"/>
        <v>161499392.507669</v>
      </c>
      <c r="GD202" s="422">
        <f t="shared" si="933"/>
        <v>158919406.09857449</v>
      </c>
      <c r="GE202" s="422">
        <f t="shared" si="933"/>
        <v>156232795.41820601</v>
      </c>
      <c r="GF202" s="422">
        <f t="shared" si="933"/>
        <v>153461979.50223291</v>
      </c>
      <c r="GG202" s="422">
        <f t="shared" si="933"/>
        <v>151073458.71925727</v>
      </c>
      <c r="GH202" s="422">
        <f t="shared" si="933"/>
        <v>148679771.58370426</v>
      </c>
      <c r="GI202" s="422">
        <f t="shared" si="933"/>
        <v>146280971.22366762</v>
      </c>
      <c r="GJ202" s="422">
        <f t="shared" si="933"/>
        <v>143871108.0406464</v>
      </c>
      <c r="GK202" s="422">
        <f t="shared" si="933"/>
        <v>141456197.81273726</v>
      </c>
      <c r="GL202" s="422">
        <f t="shared" si="933"/>
        <v>139036296.5763925</v>
      </c>
      <c r="GM202" s="422">
        <f t="shared" si="933"/>
        <v>136455545.55735004</v>
      </c>
      <c r="GN202" s="422">
        <f t="shared" si="933"/>
        <v>133868795.17041583</v>
      </c>
      <c r="GO202" s="422">
        <f t="shared" si="933"/>
        <v>131276096.68324906</v>
      </c>
      <c r="GP202" s="422">
        <f t="shared" si="933"/>
        <v>128649819.04598098</v>
      </c>
      <c r="GQ202" s="422">
        <f t="shared" si="933"/>
        <v>126017499.56861837</v>
      </c>
      <c r="GR202" s="422">
        <f t="shared" si="933"/>
        <v>123379191.35510594</v>
      </c>
      <c r="GS202" s="422">
        <f t="shared" si="933"/>
        <v>120861782.82863094</v>
      </c>
      <c r="GT202" s="422">
        <f t="shared" si="933"/>
        <v>118339409.24530996</v>
      </c>
      <c r="GU202" s="422">
        <f t="shared" si="933"/>
        <v>115812133.66077547</v>
      </c>
      <c r="GV202" s="422">
        <f t="shared" si="933"/>
        <v>113274026.59830026</v>
      </c>
      <c r="GW202" s="422">
        <f t="shared" si="933"/>
        <v>110731104.04861407</v>
      </c>
      <c r="GX202" s="422">
        <f t="shared" si="933"/>
        <v>108183432.38597612</v>
      </c>
      <c r="GY202" s="422">
        <f t="shared" si="933"/>
        <v>105489961.22805549</v>
      </c>
      <c r="GZ202" s="422">
        <f t="shared" si="933"/>
        <v>102790860.34676278</v>
      </c>
      <c r="HA202" s="422">
        <f t="shared" si="933"/>
        <v>100086192.53931727</v>
      </c>
      <c r="HB202" s="422">
        <f t="shared" si="933"/>
        <v>97347369.516144007</v>
      </c>
      <c r="HC202" s="422">
        <f t="shared" si="933"/>
        <v>94602902.353105143</v>
      </c>
      <c r="HD202" s="422">
        <f t="shared" si="933"/>
        <v>91852856.08688359</v>
      </c>
      <c r="HE202" s="422">
        <f t="shared" si="933"/>
        <v>0</v>
      </c>
      <c r="HF202" s="422">
        <f t="shared" si="933"/>
        <v>0</v>
      </c>
      <c r="HG202" s="422">
        <f t="shared" si="933"/>
        <v>0</v>
      </c>
      <c r="HH202" s="422" t="n">
        <f t="shared" ref="HH202:IM202" si="934">(HH$197&lt;=Timing_Reversion_Month)*(HH198+HH199+HH200-HH201)</f>
        <v>0</v>
      </c>
      <c r="HI202" s="422">
        <f t="shared" si="934"/>
        <v>0</v>
      </c>
      <c r="HJ202" s="422">
        <f t="shared" si="934"/>
        <v>0</v>
      </c>
      <c r="HK202" s="422">
        <f t="shared" si="934"/>
        <v>0</v>
      </c>
      <c r="HL202" s="422">
        <f t="shared" si="934"/>
        <v>0</v>
      </c>
      <c r="HM202" s="422">
        <f t="shared" si="934"/>
        <v>0</v>
      </c>
      <c r="HN202" s="422">
        <f t="shared" si="934"/>
        <v>0</v>
      </c>
      <c r="HO202" s="422">
        <f t="shared" si="934"/>
        <v>0</v>
      </c>
      <c r="HP202" s="422">
        <f t="shared" si="934"/>
        <v>0</v>
      </c>
      <c r="HQ202" s="422">
        <f t="shared" si="934"/>
        <v>0</v>
      </c>
      <c r="HR202" s="422">
        <f t="shared" si="934"/>
        <v>0</v>
      </c>
      <c r="HS202" s="422">
        <f t="shared" si="934"/>
        <v>0</v>
      </c>
      <c r="HT202" s="422">
        <f t="shared" si="934"/>
        <v>0</v>
      </c>
      <c r="HU202" s="422">
        <f t="shared" si="934"/>
        <v>0</v>
      </c>
      <c r="HV202" s="422">
        <f t="shared" si="934"/>
        <v>0</v>
      </c>
      <c r="HW202" s="422">
        <f t="shared" si="934"/>
        <v>0</v>
      </c>
      <c r="HX202" s="422">
        <f t="shared" si="934"/>
        <v>0</v>
      </c>
      <c r="HY202" s="422">
        <f t="shared" si="934"/>
        <v>0</v>
      </c>
      <c r="HZ202" s="422">
        <f t="shared" si="934"/>
        <v>0</v>
      </c>
      <c r="IA202" s="422">
        <f t="shared" si="934"/>
        <v>0</v>
      </c>
      <c r="IB202" s="422">
        <f t="shared" si="934"/>
        <v>0</v>
      </c>
      <c r="IC202" s="422">
        <f t="shared" si="934"/>
        <v>0</v>
      </c>
      <c r="ID202" s="422">
        <f t="shared" si="934"/>
        <v>0</v>
      </c>
      <c r="IE202" s="422">
        <f t="shared" si="934"/>
        <v>0</v>
      </c>
      <c r="IF202" s="422">
        <f t="shared" si="934"/>
        <v>0</v>
      </c>
      <c r="IG202" s="422">
        <f t="shared" si="934"/>
        <v>0</v>
      </c>
      <c r="IH202" s="422">
        <f t="shared" si="934"/>
        <v>0</v>
      </c>
      <c r="II202" s="422">
        <f t="shared" si="934"/>
        <v>0</v>
      </c>
      <c r="IJ202" s="422">
        <f t="shared" si="934"/>
        <v>0</v>
      </c>
      <c r="IK202" s="422">
        <f t="shared" si="934"/>
        <v>0</v>
      </c>
      <c r="IL202" s="422">
        <f t="shared" si="934"/>
        <v>0</v>
      </c>
      <c r="IM202" s="422">
        <f t="shared" si="934"/>
        <v>0</v>
      </c>
      <c r="IN202" s="422" t="n">
        <f t="shared" ref="IN202:JS202" si="935">(IN$197&lt;=Timing_Reversion_Month)*(IN198+IN199+IN200-IN201)</f>
        <v>0</v>
      </c>
      <c r="IO202" s="422">
        <f t="shared" si="935"/>
        <v>0</v>
      </c>
      <c r="IP202" s="422">
        <f t="shared" si="935"/>
        <v>0</v>
      </c>
      <c r="IQ202" s="422">
        <f t="shared" si="935"/>
        <v>0</v>
      </c>
      <c r="IR202" s="422">
        <f t="shared" si="935"/>
        <v>0</v>
      </c>
      <c r="IS202" s="422">
        <f t="shared" si="935"/>
        <v>0</v>
      </c>
      <c r="IT202" s="422">
        <f t="shared" si="935"/>
        <v>0</v>
      </c>
      <c r="IU202" s="422">
        <f t="shared" si="935"/>
        <v>0</v>
      </c>
      <c r="IV202" s="422">
        <f t="shared" si="935"/>
        <v>0</v>
      </c>
      <c r="IW202" s="422">
        <f t="shared" si="935"/>
        <v>0</v>
      </c>
      <c r="IX202" s="422">
        <f t="shared" si="935"/>
        <v>0</v>
      </c>
      <c r="IY202" s="422">
        <f t="shared" si="935"/>
        <v>0</v>
      </c>
      <c r="IZ202" s="422">
        <f t="shared" si="935"/>
        <v>0</v>
      </c>
      <c r="JA202" s="422">
        <f t="shared" si="935"/>
        <v>0</v>
      </c>
      <c r="JB202" s="422">
        <f t="shared" si="935"/>
        <v>0</v>
      </c>
      <c r="JC202" s="422">
        <f t="shared" si="935"/>
        <v>0</v>
      </c>
      <c r="JD202" s="422">
        <f t="shared" si="935"/>
        <v>0</v>
      </c>
      <c r="JE202" s="422">
        <f t="shared" si="935"/>
        <v>0</v>
      </c>
      <c r="JF202" s="422">
        <f t="shared" si="935"/>
        <v>0</v>
      </c>
      <c r="JG202" s="422">
        <f t="shared" si="935"/>
        <v>0</v>
      </c>
      <c r="JH202" s="422">
        <f t="shared" si="935"/>
        <v>0</v>
      </c>
      <c r="JI202" s="422">
        <f t="shared" si="935"/>
        <v>0</v>
      </c>
      <c r="JJ202" s="422">
        <f t="shared" si="935"/>
        <v>0</v>
      </c>
      <c r="JK202" s="422">
        <f t="shared" si="935"/>
        <v>0</v>
      </c>
      <c r="JL202" s="422">
        <f t="shared" si="935"/>
        <v>0</v>
      </c>
      <c r="JM202" s="422">
        <f t="shared" si="935"/>
        <v>0</v>
      </c>
      <c r="JN202" s="422">
        <f t="shared" si="935"/>
        <v>0</v>
      </c>
      <c r="JO202" s="422">
        <f t="shared" si="935"/>
        <v>0</v>
      </c>
      <c r="JP202" s="422">
        <f t="shared" si="935"/>
        <v>0</v>
      </c>
      <c r="JQ202" s="422">
        <f t="shared" si="935"/>
        <v>0</v>
      </c>
      <c r="JR202" s="422">
        <f t="shared" si="935"/>
        <v>0</v>
      </c>
      <c r="JS202" s="422">
        <f t="shared" si="935"/>
        <v>0</v>
      </c>
      <c r="JT202" s="422" t="n">
        <f t="shared" ref="JT202:JX202" si="936">(JT$197&lt;=Timing_Reversion_Month)*(JT198+JT199+JT200-JT201)</f>
        <v>0</v>
      </c>
      <c r="JU202" s="422">
        <f t="shared" si="936"/>
        <v>0</v>
      </c>
      <c r="JV202" s="422">
        <f t="shared" si="936"/>
        <v>0</v>
      </c>
      <c r="JW202" s="422">
        <f t="shared" si="936"/>
        <v>0</v>
      </c>
      <c r="JX202" s="422">
        <f t="shared" si="936"/>
        <v>0</v>
      </c>
      <c r="JZ202" s="263"/>
      <c r="KA202" s="263"/>
      <c r="KB202" s="263"/>
      <c r="KC202" s="263"/>
      <c r="KD202" s="263"/>
      <c r="KE202" s="263"/>
      <c r="KF202" s="263"/>
      <c r="KG202" s="263"/>
      <c r="KH202" s="263"/>
      <c r="KI202" s="263"/>
      <c r="KJ202" s="263"/>
      <c r="KK202" s="263"/>
      <c r="KL202" s="263"/>
      <c r="KM202" s="263"/>
      <c r="KN202" s="263"/>
      <c r="KO202" s="263"/>
      <c r="KP202" s="263"/>
      <c r="KQ202" s="263"/>
      <c r="KR202" s="263"/>
      <c r="KS202" s="263"/>
      <c r="KT202" s="263"/>
      <c r="KU202" s="263"/>
      <c r="KV202" s="263"/>
      <c r="KW202" s="263"/>
      <c r="KX202" s="263"/>
      <c r="KY202" s="263"/>
      <c r="KZ202" s="263"/>
      <c r="LA202" s="263"/>
      <c r="LB202" s="263"/>
      <c r="LC202" s="263"/>
      <c r="LD202" s="263"/>
      <c r="LE202" s="263"/>
      <c r="LF202" s="263"/>
      <c r="LG202" s="263"/>
      <c r="LH202" s="263"/>
      <c r="LI202" s="263"/>
      <c r="LJ202" s="263"/>
      <c r="LK202" s="263"/>
      <c r="LL202" s="263"/>
      <c r="LM202" s="263"/>
      <c r="LN202" s="263"/>
      <c r="LO202" s="263"/>
      <c r="LP202" s="263"/>
      <c r="LQ202" s="263"/>
      <c r="LR202" s="263"/>
      <c r="LS202" s="263"/>
      <c r="LT202" s="263"/>
      <c r="LU202" s="263"/>
      <c r="LV202" s="263"/>
      <c r="LW202" s="263"/>
      <c r="LX202" s="263"/>
      <c r="LY202" s="263"/>
      <c r="LZ202" s="263"/>
      <c r="MA202" s="263"/>
      <c r="MB202" s="263"/>
      <c r="MC202" s="263"/>
      <c r="MD202" s="263"/>
      <c r="ME202" s="263"/>
      <c r="MF202" s="263"/>
      <c r="MG202" s="263"/>
      <c r="MH202" s="263"/>
      <c r="MI202" s="263"/>
      <c r="MJ202" s="263"/>
      <c r="MK202" s="263"/>
      <c r="ML202" s="263"/>
      <c r="MM202" s="263"/>
      <c r="MN202" s="263"/>
      <c r="MO202" s="263"/>
      <c r="MP202" s="263"/>
      <c r="MQ202" s="263"/>
      <c r="MR202" s="263"/>
      <c r="MS202" s="263"/>
      <c r="MT202" s="263"/>
      <c r="MU202" s="263"/>
      <c r="MV202" s="263"/>
      <c r="MW202" s="263"/>
      <c r="MX202" s="263"/>
      <c r="MY202" s="263"/>
      <c r="MZ202" s="263"/>
      <c r="NA202" s="263"/>
      <c r="NB202" s="263"/>
      <c r="NC202" s="263"/>
      <c r="ND202" s="263"/>
      <c r="NE202" s="263"/>
      <c r="NF202" s="263"/>
      <c r="NG202" s="263"/>
      <c r="NH202" s="263"/>
      <c r="NI202" s="263"/>
      <c r="NJ202" s="263"/>
      <c r="NK202" s="263"/>
      <c r="NL202" s="263"/>
      <c r="NM202" s="263"/>
      <c r="NN202" s="263"/>
      <c r="NO202" s="263"/>
      <c r="NP202" s="263"/>
      <c r="NQ202" s="263"/>
      <c r="NR202" s="263"/>
      <c r="NS202" s="263"/>
      <c r="NT202" s="263"/>
      <c r="NU202" s="263"/>
      <c r="NV202" s="263"/>
      <c r="NW202" s="263"/>
      <c r="NX202" s="263"/>
      <c r="NY202" s="263"/>
      <c r="NZ202" s="263"/>
      <c r="OA202" s="263"/>
      <c r="OB202" s="263"/>
      <c r="OC202" s="263"/>
      <c r="OD202" s="263"/>
      <c r="OE202" s="263"/>
      <c r="OF202" s="263"/>
      <c r="OG202" s="263"/>
      <c r="OH202" s="263"/>
      <c r="OI202" s="263"/>
      <c r="OJ202" s="263"/>
      <c r="OK202" s="263"/>
      <c r="OL202" s="263"/>
      <c r="OM202" s="263"/>
      <c r="ON202" s="263"/>
      <c r="OO202" s="263"/>
      <c r="OP202" s="263"/>
      <c r="OQ202" s="263"/>
      <c r="OR202" s="263"/>
      <c r="OS202" s="263"/>
      <c r="OT202" s="263"/>
      <c r="OU202" s="263"/>
      <c r="OV202" s="263"/>
      <c r="OW202" s="263"/>
      <c r="OX202" s="263"/>
      <c r="OY202" s="263"/>
      <c r="OZ202" s="263"/>
      <c r="PA202" s="263"/>
      <c r="PB202" s="263"/>
      <c r="PC202" s="263"/>
      <c r="PD202" s="263"/>
      <c r="PE202" s="263"/>
      <c r="PF202" s="263"/>
      <c r="PG202" s="263"/>
      <c r="PH202" s="263"/>
    </row>
    <row r="203">
      <c r="B203" s="34" t="s">
        <v>375</v>
      </c>
      <c r="C203" s="404"/>
      <c r="D203" s="404"/>
      <c r="E203" s="404"/>
      <c r="F203" s="404"/>
      <c r="G203" s="404"/>
      <c r="H203" s="41"/>
      <c r="I203" s="449" t="n">
        <f>SUM(L203:EN203)</f>
        <v>0</v>
      </c>
      <c r="K203" s="5"/>
      <c r="L203" s="421" t="str">
        <f t="shared" ref="L203:AQ203" si="937">IF(L194="","",L156)</f>
      </c>
      <c r="M203" s="421">
        <f t="shared" si="937"/>
        <v>0</v>
      </c>
      <c r="N203" s="421">
        <f t="shared" si="937"/>
        <v>0</v>
      </c>
      <c r="O203" s="421">
        <f t="shared" si="937"/>
        <v>0</v>
      </c>
      <c r="P203" s="421">
        <f t="shared" si="937"/>
        <v>0</v>
      </c>
      <c r="Q203" s="421">
        <f t="shared" si="937"/>
        <v>0</v>
      </c>
      <c r="R203" s="421">
        <f t="shared" si="937"/>
        <v>0</v>
      </c>
      <c r="S203" s="421">
        <f t="shared" si="937"/>
        <v>0</v>
      </c>
      <c r="T203" s="421">
        <f t="shared" si="937"/>
        <v>0</v>
      </c>
      <c r="U203" s="421">
        <f t="shared" si="937"/>
        <v>0</v>
      </c>
      <c r="V203" s="421">
        <f t="shared" si="937"/>
        <v>0</v>
      </c>
      <c r="W203" s="421">
        <f t="shared" si="937"/>
        <v>0</v>
      </c>
      <c r="X203" s="421">
        <f t="shared" si="937"/>
        <v>0</v>
      </c>
      <c r="Y203" s="421">
        <f t="shared" si="937"/>
        <v>0</v>
      </c>
      <c r="Z203" s="421">
        <f t="shared" si="937"/>
        <v>0</v>
      </c>
      <c r="AA203" s="421">
        <f t="shared" si="937"/>
        <v>0</v>
      </c>
      <c r="AB203" s="421">
        <f t="shared" si="937"/>
        <v>0</v>
      </c>
      <c r="AC203" s="421">
        <f t="shared" si="937"/>
        <v>0</v>
      </c>
      <c r="AD203" s="421">
        <f t="shared" si="937"/>
        <v>0</v>
      </c>
      <c r="AE203" s="421">
        <f t="shared" si="937"/>
        <v>0</v>
      </c>
      <c r="AF203" s="421">
        <f t="shared" si="937"/>
        <v>0</v>
      </c>
      <c r="AG203" s="421">
        <f t="shared" si="937"/>
        <v>0</v>
      </c>
      <c r="AH203" s="421">
        <f t="shared" si="937"/>
        <v>0</v>
      </c>
      <c r="AI203" s="421">
        <f t="shared" si="937"/>
        <v>0</v>
      </c>
      <c r="AJ203" s="421">
        <f t="shared" si="937"/>
        <v>0</v>
      </c>
      <c r="AK203" s="421">
        <f t="shared" si="937"/>
        <v>0</v>
      </c>
      <c r="AL203" s="421">
        <f t="shared" si="937"/>
        <v>0</v>
      </c>
      <c r="AM203" s="421">
        <f t="shared" si="937"/>
        <v>0</v>
      </c>
      <c r="AN203" s="421">
        <f t="shared" si="937"/>
        <v>0</v>
      </c>
      <c r="AO203" s="421">
        <f t="shared" si="937"/>
        <v>0</v>
      </c>
      <c r="AP203" s="421">
        <f t="shared" si="937"/>
        <v>0</v>
      </c>
      <c r="AQ203" s="421">
        <f t="shared" si="937"/>
        <v>0</v>
      </c>
      <c r="AR203" s="421" t="n">
        <f t="shared" ref="AR203:BW203" si="938">IF(AR194="","",AR156)</f>
        <v>0</v>
      </c>
      <c r="AS203" s="421">
        <f t="shared" si="938"/>
        <v>0</v>
      </c>
      <c r="AT203" s="421">
        <f t="shared" si="938"/>
        <v>0</v>
      </c>
      <c r="AU203" s="421">
        <f t="shared" si="938"/>
        <v>0</v>
      </c>
      <c r="AV203" s="421">
        <f t="shared" si="938"/>
        <v>0</v>
      </c>
      <c r="AW203" s="421">
        <f t="shared" si="938"/>
        <v>0</v>
      </c>
      <c r="AX203" s="421">
        <f t="shared" si="938"/>
        <v>0</v>
      </c>
      <c r="AY203" s="421">
        <f t="shared" si="938"/>
        <v>0</v>
      </c>
      <c r="AZ203" s="421">
        <f t="shared" si="938"/>
        <v>0</v>
      </c>
      <c r="BA203" s="421">
        <f t="shared" si="938"/>
        <v>0</v>
      </c>
      <c r="BB203" s="421">
        <f t="shared" si="938"/>
        <v>0</v>
      </c>
      <c r="BC203" s="421">
        <f t="shared" si="938"/>
        <v>0</v>
      </c>
      <c r="BD203" s="76">
        <f t="shared" si="938"/>
        <v>0</v>
      </c>
      <c r="BE203" s="76">
        <f t="shared" si="938"/>
        <v>0</v>
      </c>
      <c r="BF203" s="76">
        <f t="shared" si="938"/>
        <v>0</v>
      </c>
      <c r="BG203" s="76">
        <f t="shared" si="938"/>
        <v>0</v>
      </c>
      <c r="BH203" s="76">
        <f t="shared" si="938"/>
        <v>0</v>
      </c>
      <c r="BI203" s="76">
        <f t="shared" si="938"/>
        <v>0</v>
      </c>
      <c r="BJ203" s="76">
        <f t="shared" si="938"/>
        <v>0</v>
      </c>
      <c r="BK203" s="76">
        <f t="shared" si="938"/>
        <v>0</v>
      </c>
      <c r="BL203" s="76">
        <f t="shared" si="938"/>
        <v>0</v>
      </c>
      <c r="BM203" s="76">
        <f t="shared" si="938"/>
        <v>0</v>
      </c>
      <c r="BN203" s="76">
        <f t="shared" si="938"/>
        <v>0</v>
      </c>
      <c r="BO203" s="76">
        <f t="shared" si="938"/>
        <v>0</v>
      </c>
      <c r="BP203" s="76">
        <f t="shared" si="938"/>
        <v>0</v>
      </c>
      <c r="BQ203" s="76">
        <f t="shared" si="938"/>
        <v>0</v>
      </c>
      <c r="BR203" s="76">
        <f t="shared" si="938"/>
        <v>0</v>
      </c>
      <c r="BS203" s="76">
        <f t="shared" si="938"/>
        <v>0</v>
      </c>
      <c r="BT203" s="76">
        <f t="shared" si="938"/>
        <v>0</v>
      </c>
      <c r="BU203" s="76">
        <f t="shared" si="938"/>
        <v>0</v>
      </c>
      <c r="BV203" s="76" t="str">
        <f t="shared" si="938"/>
      </c>
      <c r="BW203" s="76" t="str">
        <f t="shared" si="938"/>
      </c>
      <c r="BX203" s="76" t="str">
        <f t="shared" ref="BX203:DC203" si="939">IF(BX194="","",BX156)</f>
      </c>
      <c r="BY203" s="76" t="str">
        <f t="shared" si="939"/>
      </c>
      <c r="BZ203" s="76" t="str">
        <f t="shared" si="939"/>
      </c>
      <c r="CA203" s="76" t="str">
        <f t="shared" si="939"/>
      </c>
      <c r="CB203" s="76" t="str">
        <f t="shared" si="939"/>
      </c>
      <c r="CC203" s="76" t="str">
        <f t="shared" si="939"/>
      </c>
      <c r="CD203" s="76" t="str">
        <f t="shared" si="939"/>
      </c>
      <c r="CE203" s="76" t="str">
        <f t="shared" si="939"/>
      </c>
      <c r="CF203" s="76" t="str">
        <f t="shared" si="939"/>
      </c>
      <c r="CG203" s="76" t="str">
        <f t="shared" si="939"/>
      </c>
      <c r="CH203" s="76" t="str">
        <f t="shared" si="939"/>
      </c>
      <c r="CI203" s="76" t="str">
        <f t="shared" si="939"/>
      </c>
      <c r="CJ203" s="76" t="str">
        <f t="shared" si="939"/>
      </c>
      <c r="CK203" s="76" t="str">
        <f t="shared" si="939"/>
      </c>
      <c r="CL203" s="76" t="str">
        <f t="shared" si="939"/>
      </c>
      <c r="CM203" s="76" t="str">
        <f t="shared" si="939"/>
      </c>
      <c r="CN203" s="76" t="str">
        <f t="shared" si="939"/>
      </c>
      <c r="CO203" s="76" t="str">
        <f t="shared" si="939"/>
      </c>
      <c r="CP203" s="76" t="str">
        <f t="shared" si="939"/>
      </c>
      <c r="CQ203" s="76" t="str">
        <f t="shared" si="939"/>
      </c>
      <c r="CR203" s="76" t="str">
        <f t="shared" si="939"/>
      </c>
      <c r="CS203" s="76" t="str">
        <f t="shared" si="939"/>
      </c>
      <c r="CT203" s="76" t="str">
        <f t="shared" si="939"/>
      </c>
      <c r="CU203" s="76" t="str">
        <f t="shared" si="939"/>
      </c>
      <c r="CV203" s="76" t="str">
        <f t="shared" si="939"/>
      </c>
      <c r="CW203" s="76" t="str">
        <f t="shared" si="939"/>
      </c>
      <c r="CX203" s="76" t="str">
        <f t="shared" si="939"/>
      </c>
      <c r="CY203" s="76" t="str">
        <f t="shared" si="939"/>
      </c>
      <c r="CZ203" s="76" t="str">
        <f t="shared" si="939"/>
      </c>
      <c r="DA203" s="76" t="str">
        <f t="shared" si="939"/>
      </c>
      <c r="DB203" s="76" t="str">
        <f t="shared" si="939"/>
      </c>
      <c r="DC203" s="76" t="str">
        <f t="shared" si="939"/>
      </c>
      <c r="DD203" s="76" t="str">
        <f t="shared" ref="DD203:EN203" si="940">IF(DD194="","",DD156)</f>
      </c>
      <c r="DE203" s="76" t="str">
        <f t="shared" si="940"/>
      </c>
      <c r="DF203" s="76" t="str">
        <f t="shared" si="940"/>
      </c>
      <c r="DG203" s="76" t="str">
        <f t="shared" si="940"/>
      </c>
      <c r="DH203" s="76" t="str">
        <f t="shared" si="940"/>
      </c>
      <c r="DI203" s="76" t="str">
        <f t="shared" si="940"/>
      </c>
      <c r="DJ203" s="76" t="str">
        <f t="shared" si="940"/>
      </c>
      <c r="DK203" s="76" t="str">
        <f t="shared" si="940"/>
      </c>
      <c r="DL203" s="76" t="str">
        <f t="shared" si="940"/>
      </c>
      <c r="DM203" s="76" t="str">
        <f t="shared" si="940"/>
      </c>
      <c r="DN203" s="76" t="str">
        <f t="shared" si="940"/>
      </c>
      <c r="DO203" s="76" t="str">
        <f t="shared" si="940"/>
      </c>
      <c r="DP203" s="76" t="str">
        <f t="shared" si="940"/>
      </c>
      <c r="DQ203" s="76" t="str">
        <f t="shared" si="940"/>
      </c>
      <c r="DR203" s="76" t="str">
        <f t="shared" si="940"/>
      </c>
      <c r="DS203" s="76" t="str">
        <f t="shared" si="940"/>
      </c>
      <c r="DT203" s="76" t="str">
        <f t="shared" si="940"/>
      </c>
      <c r="DU203" s="76" t="str">
        <f t="shared" si="940"/>
      </c>
      <c r="DV203" s="76" t="str">
        <f t="shared" si="940"/>
      </c>
      <c r="DW203" s="76" t="str">
        <f t="shared" si="940"/>
      </c>
      <c r="DX203" s="76" t="str">
        <f t="shared" si="940"/>
      </c>
      <c r="DY203" s="76" t="str">
        <f t="shared" si="940"/>
      </c>
      <c r="DZ203" s="76" t="str">
        <f t="shared" si="940"/>
      </c>
      <c r="EA203" s="76" t="str">
        <f t="shared" si="940"/>
      </c>
      <c r="EB203" s="76" t="str">
        <f t="shared" si="940"/>
      </c>
      <c r="EC203" s="76" t="str">
        <f t="shared" si="940"/>
      </c>
      <c r="ED203" s="76" t="str">
        <f t="shared" si="940"/>
      </c>
      <c r="EE203" s="76" t="str">
        <f t="shared" si="940"/>
      </c>
      <c r="EF203" s="76" t="str">
        <f t="shared" si="940"/>
      </c>
      <c r="EG203" s="76" t="str">
        <f t="shared" si="940"/>
      </c>
      <c r="EH203" s="76" t="str">
        <f t="shared" si="940"/>
      </c>
      <c r="EI203" s="76" t="str">
        <f t="shared" si="940"/>
      </c>
      <c r="EJ203" s="76" t="str">
        <f t="shared" si="940"/>
      </c>
      <c r="EK203" s="76" t="str">
        <f t="shared" si="940"/>
      </c>
      <c r="EL203" s="76" t="str">
        <f t="shared" si="940"/>
      </c>
      <c r="EM203" s="76" t="str">
        <f t="shared" si="940"/>
      </c>
      <c r="EN203" s="76" t="str">
        <f t="shared" si="940"/>
      </c>
      <c r="EO203" s="5"/>
      <c r="EP203" s="409"/>
      <c r="EQ203" s="18"/>
      <c r="ER203" s="18"/>
      <c r="ES203" s="394" t="s">
        <v>376</v>
      </c>
      <c r="ET203" s="307" t="n">
        <f>XIRR($EV203:INDEX($EV203:$PH203,1,Timing_Reversion_Month+1),$EV$24:INDEX($EV$24:$PH$24,1,Timing_Reversion_Month+1))</f>
        <v>0.08990015767554854</v>
      </c>
      <c r="EU203" s="394"/>
      <c r="EV203" s="534" t="n">
        <f>+-EV200+EV201</f>
        <v>-82683053.2599155</v>
      </c>
      <c r="EW203" s="534" t="n">
        <f t="shared" ref="EW203:GA203" si="941">+-EW200+EW201</f>
        <v>393250.9603268033</v>
      </c>
      <c r="EX203" s="534">
        <f t="shared" si="941"/>
        <v>135601.08309322695</v>
      </c>
      <c r="EY203" s="534">
        <f t="shared" si="941"/>
        <v>-232365.34366464696</v>
      </c>
      <c r="EZ203" s="534">
        <f t="shared" si="941"/>
        <v>-742170.33244276396</v>
      </c>
      <c r="FA203" s="534">
        <f t="shared" si="941"/>
        <v>-1535584.0904432603</v>
      </c>
      <c r="FB203" s="534">
        <f t="shared" si="941"/>
        <v>-1762413.9736135693</v>
      </c>
      <c r="FC203" s="534">
        <f t="shared" si="941"/>
        <v>-2884923.403925844</v>
      </c>
      <c r="FD203" s="534">
        <f t="shared" si="941"/>
        <v>-4251888.4975476647</v>
      </c>
      <c r="FE203" s="534">
        <f t="shared" si="941"/>
        <v>-5858819.1238618502</v>
      </c>
      <c r="FF203" s="534">
        <f t="shared" si="941"/>
        <v>-7678634.2685150485</v>
      </c>
      <c r="FG203" s="534">
        <f t="shared" si="941"/>
        <v>-9658491.5239216667</v>
      </c>
      <c r="FH203" s="534">
        <f t="shared" si="941"/>
        <v>-11719499.622373434</v>
      </c>
      <c r="FI203" s="534">
        <f t="shared" si="941"/>
        <v>-13760073.118507486</v>
      </c>
      <c r="FJ203" s="534">
        <f t="shared" si="941"/>
        <v>-15663143.277441243</v>
      </c>
      <c r="FK203" s="534">
        <f t="shared" si="941"/>
        <v>-17306730.110950492</v>
      </c>
      <c r="FL203" s="534">
        <f t="shared" si="941"/>
        <v>-3234466.8142030039</v>
      </c>
      <c r="FM203" s="534">
        <f t="shared" si="941"/>
        <v>810463.57516973012</v>
      </c>
      <c r="FN203" s="534">
        <f t="shared" si="941"/>
        <v>3481800.8764314256</v>
      </c>
      <c r="FO203" s="534">
        <f t="shared" si="941"/>
        <v>3240128.9964987882</v>
      </c>
      <c r="FP203" s="534">
        <f t="shared" si="941"/>
        <v>3085563.367248842</v>
      </c>
      <c r="FQ203" s="534">
        <f t="shared" si="941"/>
        <v>3685184.504042963</v>
      </c>
      <c r="FR203" s="534">
        <f t="shared" si="941"/>
        <v>3543883.0408446733</v>
      </c>
      <c r="FS203" s="534">
        <f t="shared" si="941"/>
        <v>3413848.6692760913</v>
      </c>
      <c r="FT203" s="534">
        <f t="shared" si="941"/>
        <v>3587364.308113737</v>
      </c>
      <c r="FU203" s="534">
        <f t="shared" si="941"/>
        <v>3485056.3850739766</v>
      </c>
      <c r="FV203" s="534">
        <f t="shared" si="941"/>
        <v>3397438.6657805145</v>
      </c>
      <c r="FW203" s="534">
        <f t="shared" si="941"/>
        <v>3502691.3563470333</v>
      </c>
      <c r="FX203" s="534">
        <f t="shared" si="941"/>
        <v>2845601.8484991253</v>
      </c>
      <c r="FY203" s="534">
        <f t="shared" si="941"/>
        <v>1497735.2327804544</v>
      </c>
      <c r="FZ203" s="534">
        <f t="shared" si="941"/>
        <v>2509163.8639601702</v>
      </c>
      <c r="GA203" s="534">
        <f t="shared" si="941"/>
        <v>2885272.669782937</v>
      </c>
      <c r="GB203" s="534" t="n">
        <f t="shared" ref="GB203:HG203" si="942">+-GB200+GB201</f>
        <v>3165343.028364981</v>
      </c>
      <c r="GC203" s="534">
        <f t="shared" si="942"/>
        <v>3365921.4402946201</v>
      </c>
      <c r="GD203" s="534">
        <f t="shared" si="942"/>
        <v>3743964.7462569405</v>
      </c>
      <c r="GE203" s="534">
        <f t="shared" si="942"/>
        <v>3831994.2213293347</v>
      </c>
      <c r="GF203" s="534">
        <f t="shared" si="942"/>
        <v>3896836.1851359541</v>
      </c>
      <c r="GG203" s="534">
        <f t="shared" si="942"/>
        <v>3494570.8859825782</v>
      </c>
      <c r="GH203" s="534">
        <f t="shared" si="942"/>
        <v>3482522.3970297338</v>
      </c>
      <c r="GI203" s="534">
        <f t="shared" si="942"/>
        <v>3470383.5444097435</v>
      </c>
      <c r="GJ203" s="534">
        <f t="shared" si="942"/>
        <v>3464157.4376286799</v>
      </c>
      <c r="GK203" s="534">
        <f t="shared" si="942"/>
        <v>3451835.8194089294</v>
      </c>
      <c r="GL203" s="534">
        <f t="shared" si="942"/>
        <v>3439421.7890525316</v>
      </c>
      <c r="GM203" s="534">
        <f t="shared" si="942"/>
        <v>3582830.5611468046</v>
      </c>
      <c r="GN203" s="534">
        <f t="shared" si="942"/>
        <v>3570229.6220458527</v>
      </c>
      <c r="GO203" s="534">
        <f t="shared" si="942"/>
        <v>3557534.1759016439</v>
      </c>
      <c r="GP203" s="534">
        <f t="shared" si="942"/>
        <v>3572426.9097446869</v>
      </c>
      <c r="GQ203" s="534">
        <f t="shared" si="942"/>
        <v>3559540.3177894698</v>
      </c>
      <c r="GR203" s="534">
        <f t="shared" si="942"/>
        <v>3546557.0763945873</v>
      </c>
      <c r="GS203" s="534">
        <f t="shared" si="942"/>
        <v>3406642.2490547462</v>
      </c>
      <c r="GT203" s="534">
        <f t="shared" si="942"/>
        <v>3393463.5287316125</v>
      </c>
      <c r="GU203" s="534">
        <f t="shared" si="942"/>
        <v>3380185.9680060558</v>
      </c>
      <c r="GV203" s="534">
        <f t="shared" si="942"/>
        <v>3372802.5537000573</v>
      </c>
      <c r="GW203" s="534">
        <f t="shared" si="942"/>
        <v>3359325.0827008253</v>
      </c>
      <c r="GX203" s="534">
        <f t="shared" si="942"/>
        <v>3345746.5306691001</v>
      </c>
      <c r="GY203" s="534">
        <f t="shared" si="942"/>
        <v>3473184.1325757857</v>
      </c>
      <c r="GZ203" s="534">
        <f t="shared" si="942"/>
        <v>3459401.1384700327</v>
      </c>
      <c r="HA203" s="534">
        <f t="shared" si="942"/>
        <v>3445514.7719084867</v>
      </c>
      <c r="HB203" s="534">
        <f t="shared" si="942"/>
        <v>3460176.5722852284</v>
      </c>
      <c r="HC203" s="534">
        <f t="shared" si="942"/>
        <v>3446081.1291171401</v>
      </c>
      <c r="HD203" s="534">
        <f t="shared" si="942"/>
        <v>3431879.9701252906</v>
      </c>
      <c r="HE203" s="534">
        <f t="shared" si="942"/>
        <v>92514869.31821233</v>
      </c>
      <c r="HF203" s="534">
        <f t="shared" si="942"/>
        <v>0</v>
      </c>
      <c r="HG203" s="534">
        <f t="shared" si="942"/>
        <v>0</v>
      </c>
      <c r="HH203" s="534" t="n">
        <f t="shared" ref="HH203:IM203" si="943">+-HH200+HH201</f>
        <v>0</v>
      </c>
      <c r="HI203" s="534">
        <f t="shared" si="943"/>
        <v>0</v>
      </c>
      <c r="HJ203" s="534">
        <f t="shared" si="943"/>
        <v>0</v>
      </c>
      <c r="HK203" s="534">
        <f t="shared" si="943"/>
        <v>0</v>
      </c>
      <c r="HL203" s="534">
        <f t="shared" si="943"/>
        <v>0</v>
      </c>
      <c r="HM203" s="534">
        <f t="shared" si="943"/>
        <v>0</v>
      </c>
      <c r="HN203" s="534">
        <f t="shared" si="943"/>
        <v>0</v>
      </c>
      <c r="HO203" s="534">
        <f t="shared" si="943"/>
        <v>0</v>
      </c>
      <c r="HP203" s="534">
        <f t="shared" si="943"/>
        <v>0</v>
      </c>
      <c r="HQ203" s="534">
        <f t="shared" si="943"/>
        <v>0</v>
      </c>
      <c r="HR203" s="534">
        <f t="shared" si="943"/>
        <v>0</v>
      </c>
      <c r="HS203" s="534">
        <f t="shared" si="943"/>
        <v>0</v>
      </c>
      <c r="HT203" s="534">
        <f t="shared" si="943"/>
        <v>0</v>
      </c>
      <c r="HU203" s="534">
        <f t="shared" si="943"/>
        <v>0</v>
      </c>
      <c r="HV203" s="534">
        <f t="shared" si="943"/>
        <v>0</v>
      </c>
      <c r="HW203" s="534">
        <f t="shared" si="943"/>
        <v>0</v>
      </c>
      <c r="HX203" s="534">
        <f t="shared" si="943"/>
        <v>0</v>
      </c>
      <c r="HY203" s="534">
        <f t="shared" si="943"/>
        <v>0</v>
      </c>
      <c r="HZ203" s="534">
        <f t="shared" si="943"/>
        <v>0</v>
      </c>
      <c r="IA203" s="534">
        <f t="shared" si="943"/>
        <v>0</v>
      </c>
      <c r="IB203" s="534">
        <f t="shared" si="943"/>
        <v>0</v>
      </c>
      <c r="IC203" s="534">
        <f t="shared" si="943"/>
        <v>0</v>
      </c>
      <c r="ID203" s="534">
        <f t="shared" si="943"/>
        <v>0</v>
      </c>
      <c r="IE203" s="534">
        <f t="shared" si="943"/>
        <v>0</v>
      </c>
      <c r="IF203" s="534">
        <f t="shared" si="943"/>
        <v>0</v>
      </c>
      <c r="IG203" s="534">
        <f t="shared" si="943"/>
        <v>0</v>
      </c>
      <c r="IH203" s="534">
        <f t="shared" si="943"/>
        <v>0</v>
      </c>
      <c r="II203" s="534">
        <f t="shared" si="943"/>
        <v>0</v>
      </c>
      <c r="IJ203" s="534">
        <f t="shared" si="943"/>
        <v>0</v>
      </c>
      <c r="IK203" s="534">
        <f t="shared" si="943"/>
        <v>0</v>
      </c>
      <c r="IL203" s="534">
        <f t="shared" si="943"/>
        <v>0</v>
      </c>
      <c r="IM203" s="534">
        <f t="shared" si="943"/>
        <v>0</v>
      </c>
      <c r="IN203" s="534" t="n">
        <f t="shared" ref="IN203:JX203" si="944">+-IN200+IN201</f>
        <v>0</v>
      </c>
      <c r="IO203" s="534">
        <f t="shared" si="944"/>
        <v>0</v>
      </c>
      <c r="IP203" s="534">
        <f t="shared" si="944"/>
        <v>0</v>
      </c>
      <c r="IQ203" s="534">
        <f t="shared" si="944"/>
        <v>0</v>
      </c>
      <c r="IR203" s="534">
        <f t="shared" si="944"/>
        <v>0</v>
      </c>
      <c r="IS203" s="534">
        <f t="shared" si="944"/>
        <v>0</v>
      </c>
      <c r="IT203" s="534">
        <f t="shared" si="944"/>
        <v>0</v>
      </c>
      <c r="IU203" s="534">
        <f t="shared" si="944"/>
        <v>0</v>
      </c>
      <c r="IV203" s="534">
        <f t="shared" si="944"/>
        <v>0</v>
      </c>
      <c r="IW203" s="534">
        <f t="shared" si="944"/>
        <v>0</v>
      </c>
      <c r="IX203" s="534">
        <f t="shared" si="944"/>
        <v>0</v>
      </c>
      <c r="IY203" s="534">
        <f t="shared" si="944"/>
        <v>0</v>
      </c>
      <c r="IZ203" s="534">
        <f t="shared" si="944"/>
        <v>0</v>
      </c>
      <c r="JA203" s="534">
        <f t="shared" si="944"/>
        <v>0</v>
      </c>
      <c r="JB203" s="534">
        <f t="shared" si="944"/>
        <v>0</v>
      </c>
      <c r="JC203" s="534">
        <f t="shared" si="944"/>
        <v>0</v>
      </c>
      <c r="JD203" s="534">
        <f t="shared" si="944"/>
        <v>0</v>
      </c>
      <c r="JE203" s="534">
        <f t="shared" si="944"/>
        <v>0</v>
      </c>
      <c r="JF203" s="534">
        <f t="shared" si="944"/>
        <v>0</v>
      </c>
      <c r="JG203" s="534">
        <f t="shared" si="944"/>
        <v>0</v>
      </c>
      <c r="JH203" s="534">
        <f t="shared" si="944"/>
        <v>0</v>
      </c>
      <c r="JI203" s="534">
        <f t="shared" si="944"/>
        <v>0</v>
      </c>
      <c r="JJ203" s="534">
        <f t="shared" si="944"/>
        <v>0</v>
      </c>
      <c r="JK203" s="534">
        <f t="shared" si="944"/>
        <v>0</v>
      </c>
      <c r="JL203" s="534">
        <f t="shared" si="944"/>
        <v>0</v>
      </c>
      <c r="JM203" s="534">
        <f t="shared" si="944"/>
        <v>0</v>
      </c>
      <c r="JN203" s="534">
        <f t="shared" si="944"/>
        <v>0</v>
      </c>
      <c r="JO203" s="534">
        <f t="shared" si="944"/>
        <v>0</v>
      </c>
      <c r="JP203" s="534">
        <f t="shared" si="944"/>
        <v>0</v>
      </c>
      <c r="JQ203" s="534">
        <f t="shared" si="944"/>
        <v>0</v>
      </c>
      <c r="JR203" s="534">
        <f t="shared" si="944"/>
        <v>0</v>
      </c>
      <c r="JS203" s="534">
        <f t="shared" si="944"/>
        <v>0</v>
      </c>
      <c r="JT203" s="534">
        <f t="shared" si="944"/>
        <v>0</v>
      </c>
      <c r="JU203" s="534">
        <f t="shared" si="944"/>
        <v>0</v>
      </c>
      <c r="JV203" s="534">
        <f t="shared" si="944"/>
        <v>0</v>
      </c>
      <c r="JW203" s="534">
        <f t="shared" si="944"/>
        <v>0</v>
      </c>
      <c r="JX203" s="534">
        <f t="shared" si="944"/>
        <v>0</v>
      </c>
      <c r="JZ203" s="263"/>
      <c r="KA203" s="263"/>
      <c r="KB203" s="263"/>
      <c r="KC203" s="263"/>
      <c r="KD203" s="263"/>
      <c r="KE203" s="263"/>
      <c r="KF203" s="263"/>
      <c r="KG203" s="263"/>
      <c r="KH203" s="263"/>
      <c r="KI203" s="263"/>
      <c r="KJ203" s="263"/>
      <c r="KK203" s="263"/>
      <c r="KL203" s="263"/>
      <c r="KM203" s="263"/>
      <c r="KN203" s="263"/>
      <c r="KO203" s="263"/>
      <c r="KP203" s="263"/>
      <c r="KQ203" s="263"/>
      <c r="KR203" s="263"/>
      <c r="KS203" s="263"/>
      <c r="KT203" s="263"/>
      <c r="KU203" s="263"/>
      <c r="KV203" s="263"/>
      <c r="KW203" s="263"/>
      <c r="KX203" s="263"/>
      <c r="KY203" s="263"/>
      <c r="KZ203" s="263"/>
      <c r="LA203" s="263"/>
      <c r="LB203" s="263"/>
      <c r="LC203" s="263"/>
      <c r="LD203" s="263"/>
      <c r="LE203" s="263"/>
      <c r="LF203" s="263"/>
      <c r="LG203" s="263"/>
      <c r="LH203" s="263"/>
      <c r="LI203" s="263"/>
      <c r="LJ203" s="263"/>
      <c r="LK203" s="263"/>
      <c r="LL203" s="263"/>
      <c r="LM203" s="263"/>
      <c r="LN203" s="263"/>
      <c r="LO203" s="263"/>
      <c r="LP203" s="263"/>
      <c r="LQ203" s="263"/>
      <c r="LR203" s="263"/>
      <c r="LS203" s="263"/>
      <c r="LT203" s="263"/>
      <c r="LU203" s="263"/>
      <c r="LV203" s="263"/>
      <c r="LW203" s="263"/>
      <c r="LX203" s="263"/>
      <c r="LY203" s="263"/>
      <c r="LZ203" s="263"/>
      <c r="MA203" s="263"/>
      <c r="MB203" s="263"/>
      <c r="MC203" s="263"/>
      <c r="MD203" s="263"/>
      <c r="ME203" s="263"/>
      <c r="MF203" s="263"/>
      <c r="MG203" s="263"/>
      <c r="MH203" s="263"/>
      <c r="MI203" s="263"/>
      <c r="MJ203" s="263"/>
      <c r="MK203" s="263"/>
      <c r="ML203" s="263"/>
      <c r="MM203" s="263"/>
      <c r="MN203" s="263"/>
      <c r="MO203" s="263"/>
      <c r="MP203" s="263"/>
      <c r="MQ203" s="263"/>
      <c r="MR203" s="263"/>
      <c r="MS203" s="263"/>
      <c r="MT203" s="263"/>
      <c r="MU203" s="263"/>
      <c r="MV203" s="263"/>
      <c r="MW203" s="263"/>
      <c r="MX203" s="263"/>
      <c r="MY203" s="263"/>
      <c r="MZ203" s="263"/>
      <c r="NA203" s="263"/>
      <c r="NB203" s="263"/>
      <c r="NC203" s="263"/>
      <c r="ND203" s="263"/>
      <c r="NE203" s="263"/>
      <c r="NF203" s="263"/>
      <c r="NG203" s="263"/>
      <c r="NH203" s="263"/>
      <c r="NI203" s="263"/>
      <c r="NJ203" s="263"/>
      <c r="NK203" s="263"/>
      <c r="NL203" s="263"/>
      <c r="NM203" s="263"/>
      <c r="NN203" s="263"/>
      <c r="NO203" s="263"/>
      <c r="NP203" s="263"/>
      <c r="NQ203" s="263"/>
      <c r="NR203" s="263"/>
      <c r="NS203" s="263"/>
      <c r="NT203" s="263"/>
      <c r="NU203" s="263"/>
      <c r="NV203" s="263"/>
      <c r="NW203" s="263"/>
      <c r="NX203" s="263"/>
      <c r="NY203" s="263"/>
      <c r="NZ203" s="263"/>
      <c r="OA203" s="263"/>
      <c r="OB203" s="263"/>
      <c r="OC203" s="263"/>
      <c r="OD203" s="263"/>
      <c r="OE203" s="263"/>
      <c r="OF203" s="263"/>
      <c r="OG203" s="263"/>
      <c r="OH203" s="263"/>
      <c r="OI203" s="263"/>
      <c r="OJ203" s="263"/>
      <c r="OK203" s="263"/>
      <c r="OL203" s="263"/>
      <c r="OM203" s="263"/>
      <c r="ON203" s="263"/>
      <c r="OO203" s="263"/>
      <c r="OP203" s="263"/>
      <c r="OQ203" s="263"/>
      <c r="OR203" s="263"/>
      <c r="OS203" s="263"/>
      <c r="OT203" s="263"/>
      <c r="OU203" s="263"/>
      <c r="OV203" s="263"/>
      <c r="OW203" s="263"/>
      <c r="OX203" s="263"/>
      <c r="OY203" s="263"/>
      <c r="OZ203" s="263"/>
      <c r="PA203" s="263"/>
      <c r="PB203" s="263"/>
      <c r="PC203" s="263"/>
      <c r="PD203" s="263"/>
      <c r="PE203" s="263"/>
      <c r="PF203" s="263"/>
      <c r="PG203" s="263"/>
      <c r="PH203" s="263"/>
    </row>
    <row r="204">
      <c r="B204" s="34"/>
      <c r="C204" s="404"/>
      <c r="D204" s="404"/>
      <c r="E204" s="404"/>
      <c r="F204" s="404"/>
      <c r="G204" s="404"/>
      <c r="H204" s="404"/>
      <c r="I204" s="404"/>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c r="DM204" s="76"/>
      <c r="DN204" s="76"/>
      <c r="DO204" s="76"/>
      <c r="DP204" s="76"/>
      <c r="DQ204" s="76"/>
      <c r="DR204" s="76"/>
      <c r="DS204" s="76"/>
      <c r="DT204" s="76"/>
      <c r="DU204" s="76"/>
      <c r="DV204" s="76"/>
      <c r="DW204" s="76"/>
      <c r="DX204" s="76"/>
      <c r="DY204" s="76"/>
      <c r="DZ204" s="76"/>
      <c r="EA204" s="76"/>
      <c r="EB204" s="76"/>
      <c r="EC204" s="76"/>
      <c r="ED204" s="76"/>
      <c r="EE204" s="76"/>
      <c r="EF204" s="76"/>
      <c r="EG204" s="76"/>
      <c r="EH204" s="76"/>
      <c r="EI204" s="76"/>
      <c r="EJ204" s="76"/>
      <c r="EK204" s="76"/>
      <c r="EL204" s="76"/>
      <c r="EM204" s="76"/>
      <c r="EN204" s="76"/>
      <c r="EP204" s="220"/>
      <c r="EQ204" s="18"/>
      <c r="ER204" s="18"/>
      <c r="ES204" s="18"/>
      <c r="ET204" s="18" t="s">
        <v>377</v>
      </c>
      <c r="EU204" s="18"/>
      <c r="EV204" s="422" t="n">
        <f t="shared" ref="EV204:GA204" si="945">(EV$197&lt;=Timing_Reversion_Month)*EU208</f>
        <v>0</v>
      </c>
      <c r="EW204" s="422">
        <f t="shared" si="945"/>
        <v>4351739.6452587107</v>
      </c>
      <c r="EX204" s="422">
        <f t="shared" si="945"/>
        <v>4362406.6209051721</v>
      </c>
      <c r="EY204" s="422">
        <f t="shared" si="945"/>
        <v>4386710.9967483208</v>
      </c>
      <c r="EZ204" s="422">
        <f t="shared" si="945"/>
        <v>4430557.1961260568</v>
      </c>
      <c r="FA204" s="422">
        <f t="shared" si="945"/>
        <v>4501551.2507535294</v>
      </c>
      <c r="FB204" s="422">
        <f t="shared" si="945"/>
        <v>4614815.6013283571</v>
      </c>
      <c r="FC204" s="422">
        <f t="shared" si="945"/>
        <v>4740834.6996016707</v>
      </c>
      <c r="FD204" s="422">
        <f t="shared" si="945"/>
        <v>4926841.5019608941</v>
      </c>
      <c r="FE204" s="422">
        <f t="shared" si="945"/>
        <v>5186134.4467269741</v>
      </c>
      <c r="FF204" s="422">
        <f t="shared" si="945"/>
        <v>5531871.4957013763</v>
      </c>
      <c r="FG204" s="422">
        <f t="shared" si="945"/>
        <v>5975880.1278255358</v>
      </c>
      <c r="FH204" s="422">
        <f t="shared" si="945"/>
        <v>6527291.8871590225</v>
      </c>
      <c r="FI204" s="422">
        <f t="shared" si="945"/>
        <v>7191151.9597671749</v>
      </c>
      <c r="FJ204" s="422">
        <f t="shared" si="945"/>
        <v>7967195.2916149758</v>
      </c>
      <c r="FK204" s="422">
        <f t="shared" si="945"/>
        <v>8848993.4059750382</v>
      </c>
      <c r="FL204" s="422">
        <f t="shared" si="945"/>
        <v>9823651.4946295507</v>
      </c>
      <c r="FM204" s="422">
        <f t="shared" si="945"/>
        <v>10064688.822580764</v>
      </c>
      <c r="FN204" s="422">
        <f t="shared" si="945"/>
        <v>10094572.311360899</v>
      </c>
      <c r="FO204" s="422">
        <f t="shared" si="945"/>
        <v>9984074.4800400808</v>
      </c>
      <c r="FP204" s="422">
        <f t="shared" si="945"/>
        <v>9885499.827751236</v>
      </c>
      <c r="FQ204" s="422">
        <f t="shared" si="945"/>
        <v>9794349.7491909862</v>
      </c>
      <c r="FR204" s="422">
        <f t="shared" si="945"/>
        <v>9670983.7153445724</v>
      </c>
      <c r="FS204" s="422">
        <f t="shared" si="945"/>
        <v>9554165.4617216978</v>
      </c>
      <c r="FT204" s="422">
        <f t="shared" si="945"/>
        <v>9443349.1754688192</v>
      </c>
      <c r="FU204" s="422">
        <f t="shared" si="945"/>
        <v>9322601.7983681373</v>
      </c>
      <c r="FV204" s="422">
        <f t="shared" si="945"/>
        <v>9206368.7834095228</v>
      </c>
      <c r="FW204" s="422">
        <f t="shared" si="945"/>
        <v>9093909.4984422754</v>
      </c>
      <c r="FX204" s="422">
        <f t="shared" si="945"/>
        <v>8975100.0677553918</v>
      </c>
      <c r="FY204" s="422">
        <f t="shared" si="945"/>
        <v>8890017.9973963257</v>
      </c>
      <c r="FZ204" s="422">
        <f t="shared" si="945"/>
        <v>8875263.061243495</v>
      </c>
      <c r="GA204" s="422">
        <f t="shared" si="945"/>
        <v>8807168.6956437379</v>
      </c>
      <c r="GB204" s="422" t="n">
        <f t="shared" ref="GB204:HG204" si="946">(GB$197&lt;=Timing_Reversion_Month)*GA208</f>
        <v>8718788.351628635</v>
      </c>
      <c r="GC204" s="422">
        <f t="shared" si="946"/>
        <v>8615030.4767108969</v>
      </c>
      <c r="GD204" s="422">
        <f t="shared" si="946"/>
        <v>8499968.0267194174</v>
      </c>
      <c r="GE204" s="422">
        <f t="shared" si="946"/>
        <v>8364179.2683460219</v>
      </c>
      <c r="GF204" s="422">
        <f t="shared" si="946"/>
        <v>8222778.7062213654</v>
      </c>
      <c r="GG204" s="422">
        <f t="shared" si="946"/>
        <v>8076946.2895912016</v>
      </c>
      <c r="GH204" s="422">
        <f t="shared" si="946"/>
        <v>7951234.6694345893</v>
      </c>
      <c r="GI204" s="422">
        <f t="shared" si="946"/>
        <v>7825251.135984431</v>
      </c>
      <c r="GJ204" s="422">
        <f t="shared" si="946"/>
        <v>7698998.4854561873</v>
      </c>
      <c r="GK204" s="422">
        <f t="shared" si="946"/>
        <v>7572163.5810866496</v>
      </c>
      <c r="GL204" s="422">
        <f t="shared" si="946"/>
        <v>7445063.0427756421</v>
      </c>
      <c r="GM204" s="422">
        <f t="shared" si="946"/>
        <v>7317699.8198101297</v>
      </c>
      <c r="GN204" s="422">
        <f t="shared" si="946"/>
        <v>7181870.8188078944</v>
      </c>
      <c r="GO204" s="422">
        <f t="shared" si="946"/>
        <v>7045726.0616008304</v>
      </c>
      <c r="GP204" s="422">
        <f t="shared" si="946"/>
        <v>6909268.2464867895</v>
      </c>
      <c r="GQ204" s="422">
        <f t="shared" si="946"/>
        <v>6771043.107683206</v>
      </c>
      <c r="GR204" s="422">
        <f t="shared" si="946"/>
        <v>6632499.9772957005</v>
      </c>
      <c r="GS204" s="422">
        <f t="shared" si="946"/>
        <v>6493641.6502687307</v>
      </c>
      <c r="GT204" s="422">
        <f t="shared" si="946"/>
        <v>6361146.4646647843</v>
      </c>
      <c r="GU204" s="422">
        <f t="shared" si="946"/>
        <v>6228389.9602794703</v>
      </c>
      <c r="GV204" s="422">
        <f t="shared" si="946"/>
        <v>6095375.4558302863</v>
      </c>
      <c r="GW204" s="422">
        <f t="shared" si="946"/>
        <v>5961790.8735947497</v>
      </c>
      <c r="GX204" s="422">
        <f t="shared" si="946"/>
        <v>5827952.8446638966</v>
      </c>
      <c r="GY204" s="422">
        <f t="shared" si="946"/>
        <v>5693864.8624197934</v>
      </c>
      <c r="GZ204" s="422">
        <f t="shared" si="946"/>
        <v>5552103.2225292334</v>
      </c>
      <c r="HA204" s="422">
        <f t="shared" si="946"/>
        <v>5410045.2814085651</v>
      </c>
      <c r="HB204" s="422">
        <f t="shared" si="946"/>
        <v>5267694.3441745909</v>
      </c>
      <c r="HC204" s="422">
        <f t="shared" si="946"/>
        <v>5123545.7640075777</v>
      </c>
      <c r="HD204" s="422">
        <f t="shared" si="946"/>
        <v>4979100.1238476383</v>
      </c>
      <c r="HE204" s="422">
        <f t="shared" si="946"/>
        <v>4834360.8466780828</v>
      </c>
      <c r="HF204" s="422">
        <f t="shared" si="946"/>
        <v>0</v>
      </c>
      <c r="HG204" s="422">
        <f t="shared" si="946"/>
        <v>0</v>
      </c>
      <c r="HH204" s="422" t="n">
        <f t="shared" ref="HH204:IM204" si="947">(HH$197&lt;=Timing_Reversion_Month)*HG208</f>
        <v>0</v>
      </c>
      <c r="HI204" s="422">
        <f t="shared" si="947"/>
        <v>0</v>
      </c>
      <c r="HJ204" s="422">
        <f t="shared" si="947"/>
        <v>0</v>
      </c>
      <c r="HK204" s="422">
        <f t="shared" si="947"/>
        <v>0</v>
      </c>
      <c r="HL204" s="422">
        <f t="shared" si="947"/>
        <v>0</v>
      </c>
      <c r="HM204" s="422">
        <f t="shared" si="947"/>
        <v>0</v>
      </c>
      <c r="HN204" s="422">
        <f t="shared" si="947"/>
        <v>0</v>
      </c>
      <c r="HO204" s="422">
        <f t="shared" si="947"/>
        <v>0</v>
      </c>
      <c r="HP204" s="422">
        <f t="shared" si="947"/>
        <v>0</v>
      </c>
      <c r="HQ204" s="422">
        <f t="shared" si="947"/>
        <v>0</v>
      </c>
      <c r="HR204" s="422">
        <f t="shared" si="947"/>
        <v>0</v>
      </c>
      <c r="HS204" s="422">
        <f t="shared" si="947"/>
        <v>0</v>
      </c>
      <c r="HT204" s="422">
        <f t="shared" si="947"/>
        <v>0</v>
      </c>
      <c r="HU204" s="422">
        <f t="shared" si="947"/>
        <v>0</v>
      </c>
      <c r="HV204" s="422">
        <f t="shared" si="947"/>
        <v>0</v>
      </c>
      <c r="HW204" s="422">
        <f t="shared" si="947"/>
        <v>0</v>
      </c>
      <c r="HX204" s="422">
        <f t="shared" si="947"/>
        <v>0</v>
      </c>
      <c r="HY204" s="422">
        <f t="shared" si="947"/>
        <v>0</v>
      </c>
      <c r="HZ204" s="422">
        <f t="shared" si="947"/>
        <v>0</v>
      </c>
      <c r="IA204" s="422">
        <f t="shared" si="947"/>
        <v>0</v>
      </c>
      <c r="IB204" s="422">
        <f t="shared" si="947"/>
        <v>0</v>
      </c>
      <c r="IC204" s="422">
        <f t="shared" si="947"/>
        <v>0</v>
      </c>
      <c r="ID204" s="422">
        <f t="shared" si="947"/>
        <v>0</v>
      </c>
      <c r="IE204" s="422">
        <f t="shared" si="947"/>
        <v>0</v>
      </c>
      <c r="IF204" s="422">
        <f t="shared" si="947"/>
        <v>0</v>
      </c>
      <c r="IG204" s="422">
        <f t="shared" si="947"/>
        <v>0</v>
      </c>
      <c r="IH204" s="422">
        <f t="shared" si="947"/>
        <v>0</v>
      </c>
      <c r="II204" s="422">
        <f t="shared" si="947"/>
        <v>0</v>
      </c>
      <c r="IJ204" s="422">
        <f t="shared" si="947"/>
        <v>0</v>
      </c>
      <c r="IK204" s="422">
        <f t="shared" si="947"/>
        <v>0</v>
      </c>
      <c r="IL204" s="422">
        <f t="shared" si="947"/>
        <v>0</v>
      </c>
      <c r="IM204" s="422">
        <f t="shared" si="947"/>
        <v>0</v>
      </c>
      <c r="IN204" s="422" t="n">
        <f t="shared" ref="IN204:JX204" si="948">(IN$197&lt;=Timing_Reversion_Month)*IM208</f>
        <v>0</v>
      </c>
      <c r="IO204" s="422">
        <f t="shared" si="948"/>
        <v>0</v>
      </c>
      <c r="IP204" s="422">
        <f t="shared" si="948"/>
        <v>0</v>
      </c>
      <c r="IQ204" s="422">
        <f t="shared" si="948"/>
        <v>0</v>
      </c>
      <c r="IR204" s="422">
        <f t="shared" si="948"/>
        <v>0</v>
      </c>
      <c r="IS204" s="422">
        <f t="shared" si="948"/>
        <v>0</v>
      </c>
      <c r="IT204" s="422">
        <f t="shared" si="948"/>
        <v>0</v>
      </c>
      <c r="IU204" s="422">
        <f t="shared" si="948"/>
        <v>0</v>
      </c>
      <c r="IV204" s="422">
        <f t="shared" si="948"/>
        <v>0</v>
      </c>
      <c r="IW204" s="422">
        <f t="shared" si="948"/>
        <v>0</v>
      </c>
      <c r="IX204" s="422">
        <f t="shared" si="948"/>
        <v>0</v>
      </c>
      <c r="IY204" s="422">
        <f t="shared" si="948"/>
        <v>0</v>
      </c>
      <c r="IZ204" s="422">
        <f t="shared" si="948"/>
        <v>0</v>
      </c>
      <c r="JA204" s="422">
        <f t="shared" si="948"/>
        <v>0</v>
      </c>
      <c r="JB204" s="422">
        <f t="shared" si="948"/>
        <v>0</v>
      </c>
      <c r="JC204" s="422">
        <f t="shared" si="948"/>
        <v>0</v>
      </c>
      <c r="JD204" s="422">
        <f t="shared" si="948"/>
        <v>0</v>
      </c>
      <c r="JE204" s="422">
        <f t="shared" si="948"/>
        <v>0</v>
      </c>
      <c r="JF204" s="422">
        <f t="shared" si="948"/>
        <v>0</v>
      </c>
      <c r="JG204" s="422">
        <f t="shared" si="948"/>
        <v>0</v>
      </c>
      <c r="JH204" s="422">
        <f t="shared" si="948"/>
        <v>0</v>
      </c>
      <c r="JI204" s="422">
        <f t="shared" si="948"/>
        <v>0</v>
      </c>
      <c r="JJ204" s="422">
        <f t="shared" si="948"/>
        <v>0</v>
      </c>
      <c r="JK204" s="422">
        <f t="shared" si="948"/>
        <v>0</v>
      </c>
      <c r="JL204" s="422">
        <f t="shared" si="948"/>
        <v>0</v>
      </c>
      <c r="JM204" s="422">
        <f t="shared" si="948"/>
        <v>0</v>
      </c>
      <c r="JN204" s="422">
        <f t="shared" si="948"/>
        <v>0</v>
      </c>
      <c r="JO204" s="422">
        <f t="shared" si="948"/>
        <v>0</v>
      </c>
      <c r="JP204" s="422">
        <f t="shared" si="948"/>
        <v>0</v>
      </c>
      <c r="JQ204" s="422">
        <f t="shared" si="948"/>
        <v>0</v>
      </c>
      <c r="JR204" s="422">
        <f t="shared" si="948"/>
        <v>0</v>
      </c>
      <c r="JS204" s="422">
        <f t="shared" si="948"/>
        <v>0</v>
      </c>
      <c r="JT204" s="422">
        <f t="shared" si="948"/>
        <v>0</v>
      </c>
      <c r="JU204" s="422">
        <f t="shared" si="948"/>
        <v>0</v>
      </c>
      <c r="JV204" s="422">
        <f t="shared" si="948"/>
        <v>0</v>
      </c>
      <c r="JW204" s="422">
        <f t="shared" si="948"/>
        <v>0</v>
      </c>
      <c r="JX204" s="422">
        <f t="shared" si="948"/>
        <v>0</v>
      </c>
      <c r="JZ204" s="263"/>
      <c r="KA204" s="263"/>
      <c r="KB204" s="263"/>
      <c r="KC204" s="263"/>
      <c r="KD204" s="263"/>
      <c r="KE204" s="263"/>
      <c r="KF204" s="263"/>
      <c r="KG204" s="263"/>
      <c r="KH204" s="263"/>
      <c r="KI204" s="263"/>
      <c r="KJ204" s="263"/>
      <c r="KK204" s="263"/>
      <c r="KL204" s="263"/>
      <c r="KM204" s="263"/>
      <c r="KN204" s="263"/>
      <c r="KO204" s="263"/>
      <c r="KP204" s="263"/>
      <c r="KQ204" s="263"/>
      <c r="KR204" s="263"/>
      <c r="KS204" s="263"/>
      <c r="KT204" s="263"/>
      <c r="KU204" s="263"/>
      <c r="KV204" s="263"/>
      <c r="KW204" s="263"/>
      <c r="KX204" s="263"/>
      <c r="KY204" s="263"/>
      <c r="KZ204" s="263"/>
      <c r="LA204" s="263"/>
      <c r="LB204" s="263"/>
      <c r="LC204" s="263"/>
      <c r="LD204" s="263"/>
      <c r="LE204" s="263"/>
      <c r="LF204" s="263"/>
      <c r="LG204" s="263"/>
      <c r="LH204" s="263"/>
      <c r="LI204" s="263"/>
      <c r="LJ204" s="263"/>
      <c r="LK204" s="263"/>
      <c r="LL204" s="263"/>
      <c r="LM204" s="263"/>
      <c r="LN204" s="263"/>
      <c r="LO204" s="263"/>
      <c r="LP204" s="263"/>
      <c r="LQ204" s="263"/>
      <c r="LR204" s="263"/>
      <c r="LS204" s="263"/>
      <c r="LT204" s="263"/>
      <c r="LU204" s="263"/>
      <c r="LV204" s="263"/>
      <c r="LW204" s="263"/>
      <c r="LX204" s="263"/>
      <c r="LY204" s="263"/>
      <c r="LZ204" s="263"/>
      <c r="MA204" s="263"/>
      <c r="MB204" s="263"/>
      <c r="MC204" s="263"/>
      <c r="MD204" s="263"/>
      <c r="ME204" s="263"/>
      <c r="MF204" s="263"/>
      <c r="MG204" s="263"/>
      <c r="MH204" s="263"/>
      <c r="MI204" s="263"/>
      <c r="MJ204" s="263"/>
      <c r="MK204" s="263"/>
      <c r="ML204" s="263"/>
      <c r="MM204" s="263"/>
      <c r="MN204" s="263"/>
      <c r="MO204" s="263"/>
      <c r="MP204" s="263"/>
      <c r="MQ204" s="263"/>
      <c r="MR204" s="263"/>
      <c r="MS204" s="263"/>
      <c r="MT204" s="263"/>
      <c r="MU204" s="263"/>
      <c r="MV204" s="263"/>
      <c r="MW204" s="263"/>
      <c r="MX204" s="263"/>
      <c r="MY204" s="263"/>
      <c r="MZ204" s="263"/>
      <c r="NA204" s="263"/>
      <c r="NB204" s="263"/>
      <c r="NC204" s="263"/>
      <c r="ND204" s="263"/>
      <c r="NE204" s="263"/>
      <c r="NF204" s="263"/>
      <c r="NG204" s="263"/>
      <c r="NH204" s="263"/>
      <c r="NI204" s="263"/>
      <c r="NJ204" s="263"/>
      <c r="NK204" s="263"/>
      <c r="NL204" s="263"/>
      <c r="NM204" s="263"/>
      <c r="NN204" s="263"/>
      <c r="NO204" s="263"/>
      <c r="NP204" s="263"/>
      <c r="NQ204" s="263"/>
      <c r="NR204" s="263"/>
      <c r="NS204" s="263"/>
      <c r="NT204" s="263"/>
      <c r="NU204" s="263"/>
      <c r="NV204" s="263"/>
      <c r="NW204" s="263"/>
      <c r="NX204" s="263"/>
      <c r="NY204" s="263"/>
      <c r="NZ204" s="263"/>
      <c r="OA204" s="263"/>
      <c r="OB204" s="263"/>
      <c r="OC204" s="263"/>
      <c r="OD204" s="263"/>
      <c r="OE204" s="263"/>
      <c r="OF204" s="263"/>
      <c r="OG204" s="263"/>
      <c r="OH204" s="263"/>
      <c r="OI204" s="263"/>
      <c r="OJ204" s="263"/>
      <c r="OK204" s="263"/>
      <c r="OL204" s="263"/>
      <c r="OM204" s="263"/>
      <c r="ON204" s="263"/>
      <c r="OO204" s="263"/>
      <c r="OP204" s="263"/>
      <c r="OQ204" s="263"/>
      <c r="OR204" s="263"/>
      <c r="OS204" s="263"/>
      <c r="OT204" s="263"/>
      <c r="OU204" s="263"/>
      <c r="OV204" s="263"/>
      <c r="OW204" s="263"/>
      <c r="OX204" s="263"/>
      <c r="OY204" s="263"/>
      <c r="OZ204" s="263"/>
      <c r="PA204" s="263"/>
      <c r="PB204" s="263"/>
      <c r="PC204" s="263"/>
      <c r="PD204" s="263"/>
      <c r="PE204" s="263"/>
      <c r="PF204" s="263"/>
      <c r="PG204" s="263"/>
      <c r="PH204" s="263"/>
    </row>
    <row r="205">
      <c r="B205" s="34" t="s">
        <v>353</v>
      </c>
      <c r="C205" s="404"/>
      <c r="D205" s="404"/>
      <c r="E205" s="404"/>
      <c r="F205" s="404"/>
      <c r="G205" s="404"/>
      <c r="H205" s="41"/>
      <c r="I205" s="449" t="n">
        <f t="shared" ref="I205:I207" si="949">SUM(L205:EN205)</f>
        <v>1036044973.4281422</v>
      </c>
      <c r="L205" s="421" t="str">
        <f t="shared" ref="L205:AQ205" si="950">IF(L194="","",(L194=Timing_Reversion_Month)*$E$190)</f>
      </c>
      <c r="M205" s="421">
        <f t="shared" si="950"/>
        <v>0</v>
      </c>
      <c r="N205" s="421">
        <f t="shared" si="950"/>
        <v>0</v>
      </c>
      <c r="O205" s="421">
        <f t="shared" si="950"/>
        <v>0</v>
      </c>
      <c r="P205" s="421">
        <f t="shared" si="950"/>
        <v>0</v>
      </c>
      <c r="Q205" s="421">
        <f t="shared" si="950"/>
        <v>0</v>
      </c>
      <c r="R205" s="421">
        <f t="shared" si="950"/>
        <v>0</v>
      </c>
      <c r="S205" s="421">
        <f t="shared" si="950"/>
        <v>0</v>
      </c>
      <c r="T205" s="421">
        <f t="shared" si="950"/>
        <v>0</v>
      </c>
      <c r="U205" s="421">
        <f t="shared" si="950"/>
        <v>0</v>
      </c>
      <c r="V205" s="421">
        <f t="shared" si="950"/>
        <v>0</v>
      </c>
      <c r="W205" s="421">
        <f t="shared" si="950"/>
        <v>0</v>
      </c>
      <c r="X205" s="421">
        <f t="shared" si="950"/>
        <v>0</v>
      </c>
      <c r="Y205" s="421">
        <f t="shared" si="950"/>
        <v>0</v>
      </c>
      <c r="Z205" s="421">
        <f t="shared" si="950"/>
        <v>0</v>
      </c>
      <c r="AA205" s="421">
        <f t="shared" si="950"/>
        <v>0</v>
      </c>
      <c r="AB205" s="421">
        <f t="shared" si="950"/>
        <v>0</v>
      </c>
      <c r="AC205" s="421">
        <f t="shared" si="950"/>
        <v>0</v>
      </c>
      <c r="AD205" s="421">
        <f t="shared" si="950"/>
        <v>0</v>
      </c>
      <c r="AE205" s="421">
        <f t="shared" si="950"/>
        <v>0</v>
      </c>
      <c r="AF205" s="421">
        <f t="shared" si="950"/>
        <v>0</v>
      </c>
      <c r="AG205" s="421">
        <f t="shared" si="950"/>
        <v>0</v>
      </c>
      <c r="AH205" s="421">
        <f t="shared" si="950"/>
        <v>0</v>
      </c>
      <c r="AI205" s="421">
        <f t="shared" si="950"/>
        <v>0</v>
      </c>
      <c r="AJ205" s="421">
        <f t="shared" si="950"/>
        <v>0</v>
      </c>
      <c r="AK205" s="421">
        <f t="shared" si="950"/>
        <v>0</v>
      </c>
      <c r="AL205" s="421">
        <f t="shared" si="950"/>
        <v>0</v>
      </c>
      <c r="AM205" s="421">
        <f t="shared" si="950"/>
        <v>0</v>
      </c>
      <c r="AN205" s="421">
        <f t="shared" si="950"/>
        <v>0</v>
      </c>
      <c r="AO205" s="421">
        <f t="shared" si="950"/>
        <v>0</v>
      </c>
      <c r="AP205" s="421">
        <f t="shared" si="950"/>
        <v>0</v>
      </c>
      <c r="AQ205" s="421">
        <f t="shared" si="950"/>
        <v>0</v>
      </c>
      <c r="AR205" s="421" t="n">
        <f t="shared" ref="AR205:BW205" si="951">IF(AR194="","",(AR194=Timing_Reversion_Month)*$E$190)</f>
        <v>0</v>
      </c>
      <c r="AS205" s="421">
        <f t="shared" si="951"/>
        <v>0</v>
      </c>
      <c r="AT205" s="421">
        <f t="shared" si="951"/>
        <v>0</v>
      </c>
      <c r="AU205" s="421">
        <f t="shared" si="951"/>
        <v>0</v>
      </c>
      <c r="AV205" s="421">
        <f t="shared" si="951"/>
        <v>0</v>
      </c>
      <c r="AW205" s="421">
        <f t="shared" si="951"/>
        <v>0</v>
      </c>
      <c r="AX205" s="421">
        <f t="shared" si="951"/>
        <v>0</v>
      </c>
      <c r="AY205" s="421">
        <f t="shared" si="951"/>
        <v>0</v>
      </c>
      <c r="AZ205" s="421">
        <f t="shared" si="951"/>
        <v>0</v>
      </c>
      <c r="BA205" s="421">
        <f t="shared" si="951"/>
        <v>0</v>
      </c>
      <c r="BB205" s="421">
        <f t="shared" si="951"/>
        <v>0</v>
      </c>
      <c r="BC205" s="421">
        <f t="shared" si="951"/>
        <v>0</v>
      </c>
      <c r="BD205" s="76">
        <f t="shared" si="951"/>
        <v>0</v>
      </c>
      <c r="BE205" s="76">
        <f t="shared" si="951"/>
        <v>0</v>
      </c>
      <c r="BF205" s="76">
        <f t="shared" si="951"/>
        <v>0</v>
      </c>
      <c r="BG205" s="76">
        <f t="shared" si="951"/>
        <v>0</v>
      </c>
      <c r="BH205" s="76">
        <f t="shared" si="951"/>
        <v>0</v>
      </c>
      <c r="BI205" s="76">
        <f t="shared" si="951"/>
        <v>0</v>
      </c>
      <c r="BJ205" s="76">
        <f t="shared" si="951"/>
        <v>0</v>
      </c>
      <c r="BK205" s="76">
        <f t="shared" si="951"/>
        <v>0</v>
      </c>
      <c r="BL205" s="76">
        <f t="shared" si="951"/>
        <v>0</v>
      </c>
      <c r="BM205" s="76">
        <f t="shared" si="951"/>
        <v>0</v>
      </c>
      <c r="BN205" s="76">
        <f t="shared" si="951"/>
        <v>0</v>
      </c>
      <c r="BO205" s="76">
        <f t="shared" si="951"/>
        <v>0</v>
      </c>
      <c r="BP205" s="76">
        <f t="shared" si="951"/>
        <v>0</v>
      </c>
      <c r="BQ205" s="76">
        <f t="shared" si="951"/>
        <v>0</v>
      </c>
      <c r="BR205" s="76">
        <f t="shared" si="951"/>
        <v>0</v>
      </c>
      <c r="BS205" s="76">
        <f t="shared" si="951"/>
        <v>0</v>
      </c>
      <c r="BT205" s="76">
        <f t="shared" si="951"/>
        <v>0</v>
      </c>
      <c r="BU205" s="76">
        <f t="shared" si="951"/>
        <v>1036044973.4281422</v>
      </c>
      <c r="BV205" s="76" t="str">
        <f t="shared" si="951"/>
      </c>
      <c r="BW205" s="76" t="str">
        <f t="shared" si="951"/>
      </c>
      <c r="BX205" s="76" t="str">
        <f t="shared" ref="BX205:DC205" si="952">IF(BX194="","",(BX194=Timing_Reversion_Month)*$E$190)</f>
      </c>
      <c r="BY205" s="76" t="str">
        <f t="shared" si="952"/>
      </c>
      <c r="BZ205" s="76" t="str">
        <f t="shared" si="952"/>
      </c>
      <c r="CA205" s="76" t="str">
        <f t="shared" si="952"/>
      </c>
      <c r="CB205" s="76" t="str">
        <f t="shared" si="952"/>
      </c>
      <c r="CC205" s="76" t="str">
        <f t="shared" si="952"/>
      </c>
      <c r="CD205" s="76" t="str">
        <f t="shared" si="952"/>
      </c>
      <c r="CE205" s="76" t="str">
        <f t="shared" si="952"/>
      </c>
      <c r="CF205" s="76" t="str">
        <f t="shared" si="952"/>
      </c>
      <c r="CG205" s="76" t="str">
        <f t="shared" si="952"/>
      </c>
      <c r="CH205" s="76" t="str">
        <f t="shared" si="952"/>
      </c>
      <c r="CI205" s="76" t="str">
        <f t="shared" si="952"/>
      </c>
      <c r="CJ205" s="76" t="str">
        <f t="shared" si="952"/>
      </c>
      <c r="CK205" s="76" t="str">
        <f t="shared" si="952"/>
      </c>
      <c r="CL205" s="76" t="str">
        <f t="shared" si="952"/>
      </c>
      <c r="CM205" s="76" t="str">
        <f t="shared" si="952"/>
      </c>
      <c r="CN205" s="76" t="str">
        <f t="shared" si="952"/>
      </c>
      <c r="CO205" s="76" t="str">
        <f t="shared" si="952"/>
      </c>
      <c r="CP205" s="76" t="str">
        <f t="shared" si="952"/>
      </c>
      <c r="CQ205" s="76" t="str">
        <f t="shared" si="952"/>
      </c>
      <c r="CR205" s="76" t="str">
        <f t="shared" si="952"/>
      </c>
      <c r="CS205" s="76" t="str">
        <f t="shared" si="952"/>
      </c>
      <c r="CT205" s="76" t="str">
        <f t="shared" si="952"/>
      </c>
      <c r="CU205" s="76" t="str">
        <f t="shared" si="952"/>
      </c>
      <c r="CV205" s="76" t="str">
        <f t="shared" si="952"/>
      </c>
      <c r="CW205" s="76" t="str">
        <f t="shared" si="952"/>
      </c>
      <c r="CX205" s="76" t="str">
        <f t="shared" si="952"/>
      </c>
      <c r="CY205" s="76" t="str">
        <f t="shared" si="952"/>
      </c>
      <c r="CZ205" s="76" t="str">
        <f t="shared" si="952"/>
      </c>
      <c r="DA205" s="76" t="str">
        <f t="shared" si="952"/>
      </c>
      <c r="DB205" s="76" t="str">
        <f t="shared" si="952"/>
      </c>
      <c r="DC205" s="76" t="str">
        <f t="shared" si="952"/>
      </c>
      <c r="DD205" s="76" t="str">
        <f t="shared" ref="DD205:EN205" si="953">IF(DD194="","",(DD194=Timing_Reversion_Month)*$E$190)</f>
      </c>
      <c r="DE205" s="76" t="str">
        <f t="shared" si="953"/>
      </c>
      <c r="DF205" s="76" t="str">
        <f t="shared" si="953"/>
      </c>
      <c r="DG205" s="76" t="str">
        <f t="shared" si="953"/>
      </c>
      <c r="DH205" s="76" t="str">
        <f t="shared" si="953"/>
      </c>
      <c r="DI205" s="76" t="str">
        <f t="shared" si="953"/>
      </c>
      <c r="DJ205" s="76" t="str">
        <f t="shared" si="953"/>
      </c>
      <c r="DK205" s="76" t="str">
        <f t="shared" si="953"/>
      </c>
      <c r="DL205" s="76" t="str">
        <f t="shared" si="953"/>
      </c>
      <c r="DM205" s="76" t="str">
        <f t="shared" si="953"/>
      </c>
      <c r="DN205" s="76" t="str">
        <f t="shared" si="953"/>
      </c>
      <c r="DO205" s="76" t="str">
        <f t="shared" si="953"/>
      </c>
      <c r="DP205" s="76" t="str">
        <f t="shared" si="953"/>
      </c>
      <c r="DQ205" s="76" t="str">
        <f t="shared" si="953"/>
      </c>
      <c r="DR205" s="76" t="str">
        <f t="shared" si="953"/>
      </c>
      <c r="DS205" s="76" t="str">
        <f t="shared" si="953"/>
      </c>
      <c r="DT205" s="76" t="str">
        <f t="shared" si="953"/>
      </c>
      <c r="DU205" s="76" t="str">
        <f t="shared" si="953"/>
      </c>
      <c r="DV205" s="76" t="str">
        <f t="shared" si="953"/>
      </c>
      <c r="DW205" s="76" t="str">
        <f t="shared" si="953"/>
      </c>
      <c r="DX205" s="76" t="str">
        <f t="shared" si="953"/>
      </c>
      <c r="DY205" s="76" t="str">
        <f t="shared" si="953"/>
      </c>
      <c r="DZ205" s="76" t="str">
        <f t="shared" si="953"/>
      </c>
      <c r="EA205" s="76" t="str">
        <f t="shared" si="953"/>
      </c>
      <c r="EB205" s="76" t="str">
        <f t="shared" si="953"/>
      </c>
      <c r="EC205" s="76" t="str">
        <f t="shared" si="953"/>
      </c>
      <c r="ED205" s="76" t="str">
        <f t="shared" si="953"/>
      </c>
      <c r="EE205" s="76" t="str">
        <f t="shared" si="953"/>
      </c>
      <c r="EF205" s="76" t="str">
        <f t="shared" si="953"/>
      </c>
      <c r="EG205" s="76" t="str">
        <f t="shared" si="953"/>
      </c>
      <c r="EH205" s="76" t="str">
        <f t="shared" si="953"/>
      </c>
      <c r="EI205" s="76" t="str">
        <f t="shared" si="953"/>
      </c>
      <c r="EJ205" s="76" t="str">
        <f t="shared" si="953"/>
      </c>
      <c r="EK205" s="76" t="str">
        <f t="shared" si="953"/>
      </c>
      <c r="EL205" s="76" t="str">
        <f t="shared" si="953"/>
      </c>
      <c r="EM205" s="76" t="str">
        <f t="shared" si="953"/>
      </c>
      <c r="EN205" s="76" t="str">
        <f t="shared" si="953"/>
      </c>
      <c r="EP205" s="220"/>
      <c r="EQ205" s="18"/>
      <c r="ER205" s="18"/>
      <c r="ES205" s="18"/>
      <c r="ET205" s="18" t="s">
        <v>378</v>
      </c>
      <c r="EU205" s="18"/>
      <c r="EV205" s="422" t="n">
        <f t="shared" ref="EV205:GA205" si="954">(EV$197&lt;=Timing_Reversion_Month)*(EV204*((1+$EP200)^(1/12)-1))</f>
        <v>0</v>
      </c>
      <c r="EW205" s="422">
        <f t="shared" si="954"/>
        <v>31364.394611029624</v>
      </c>
      <c r="EX205" s="422">
        <f t="shared" si="954"/>
        <v>31441.274953319029</v>
      </c>
      <c r="EY205" s="422">
        <f t="shared" si="954"/>
        <v>31616.444448017504</v>
      </c>
      <c r="EZ205" s="422">
        <f t="shared" si="954"/>
        <v>31932.45818311664</v>
      </c>
      <c r="FA205" s="422">
        <f t="shared" si="954"/>
        <v>32444.135288340309</v>
      </c>
      <c r="FB205" s="422">
        <f t="shared" si="954"/>
        <v>33260.468083125343</v>
      </c>
      <c r="FC205" s="422">
        <f t="shared" si="954"/>
        <v>34168.728468389127</v>
      </c>
      <c r="FD205" s="422">
        <f t="shared" si="954"/>
        <v>35509.339631992785</v>
      </c>
      <c r="FE205" s="422">
        <f t="shared" si="954"/>
        <v>37378.147718515109</v>
      </c>
      <c r="FF205" s="422">
        <f t="shared" si="954"/>
        <v>39869.986412840619</v>
      </c>
      <c r="FG205" s="422">
        <f t="shared" si="954"/>
        <v>43070.100179715038</v>
      </c>
      <c r="FH205" s="422">
        <f t="shared" si="954"/>
        <v>47044.303009551244</v>
      </c>
      <c r="FI205" s="422">
        <f t="shared" si="954"/>
        <v>51828.957189512199</v>
      </c>
      <c r="FJ205" s="422">
        <f t="shared" si="954"/>
        <v>57422.152389471274</v>
      </c>
      <c r="FK205" s="422">
        <f t="shared" si="954"/>
        <v>63777.556499223945</v>
      </c>
      <c r="FL205" s="422">
        <f t="shared" si="954"/>
        <v>70802.232466844856</v>
      </c>
      <c r="FM205" s="422">
        <f t="shared" si="954"/>
        <v>72539.466420646932</v>
      </c>
      <c r="FN205" s="422">
        <f t="shared" si="954"/>
        <v>72754.846386099511</v>
      </c>
      <c r="FO205" s="422">
        <f t="shared" si="954"/>
        <v>71958.452790038427</v>
      </c>
      <c r="FP205" s="422">
        <f t="shared" si="954"/>
        <v>71247.993400216976</v>
      </c>
      <c r="FQ205" s="422">
        <f t="shared" si="954"/>
        <v>70591.045313741983</v>
      </c>
      <c r="FR205" s="422">
        <f t="shared" si="954"/>
        <v>69701.906421581414</v>
      </c>
      <c r="FS205" s="422">
        <f t="shared" si="954"/>
        <v>68859.959498494907</v>
      </c>
      <c r="FT205" s="422">
        <f t="shared" si="954"/>
        <v>68061.270694776846</v>
      </c>
      <c r="FU205" s="422">
        <f t="shared" si="954"/>
        <v>67191.005308436754</v>
      </c>
      <c r="FV205" s="422">
        <f t="shared" si="954"/>
        <v>66353.27638962066</v>
      </c>
      <c r="FW205" s="422">
        <f t="shared" si="954"/>
        <v>65542.745962960151</v>
      </c>
      <c r="FX205" s="422">
        <f t="shared" si="954"/>
        <v>64686.447982993654</v>
      </c>
      <c r="FY205" s="422">
        <f t="shared" si="954"/>
        <v>64073.233993509573</v>
      </c>
      <c r="FZ205" s="422">
        <f t="shared" si="954"/>
        <v>63966.890398147167</v>
      </c>
      <c r="GA205" s="422">
        <f t="shared" si="954"/>
        <v>63476.112289262499</v>
      </c>
      <c r="GB205" s="422" t="n">
        <f t="shared" ref="GB205:HG205" si="955">(GB$197&lt;=Timing_Reversion_Month)*(GB204*((1+$EP200)^(1/12)-1))</f>
        <v>62839.12657515426</v>
      </c>
      <c r="GC205" s="422">
        <f t="shared" si="955"/>
        <v>62091.310024026854</v>
      </c>
      <c r="GD205" s="422">
        <f t="shared" si="955"/>
        <v>61262.017745391444</v>
      </c>
      <c r="GE205" s="422">
        <f t="shared" si="955"/>
        <v>60283.34426109762</v>
      </c>
      <c r="GF205" s="422">
        <f t="shared" si="955"/>
        <v>59264.22469278174</v>
      </c>
      <c r="GG205" s="422">
        <f t="shared" si="955"/>
        <v>58213.163316154598</v>
      </c>
      <c r="GH205" s="422">
        <f t="shared" si="955"/>
        <v>57307.119025090527</v>
      </c>
      <c r="GI205" s="422">
        <f t="shared" si="955"/>
        <v>56399.114967005909</v>
      </c>
      <c r="GJ205" s="422">
        <f t="shared" si="955"/>
        <v>55489.171295129636</v>
      </c>
      <c r="GK205" s="422">
        <f t="shared" si="955"/>
        <v>54575.031131567099</v>
      </c>
      <c r="GL205" s="422">
        <f t="shared" si="955"/>
        <v>53658.976458304649</v>
      </c>
      <c r="GM205" s="422">
        <f t="shared" si="955"/>
        <v>52741.028531806987</v>
      </c>
      <c r="GN205" s="422">
        <f t="shared" si="955"/>
        <v>51762.065005876022</v>
      </c>
      <c r="GO205" s="422">
        <f t="shared" si="955"/>
        <v>50780.825722887777</v>
      </c>
      <c r="GP205" s="422">
        <f t="shared" si="955"/>
        <v>49797.330130347276</v>
      </c>
      <c r="GQ205" s="422">
        <f t="shared" si="955"/>
        <v>48801.096864571977</v>
      </c>
      <c r="GR205" s="422">
        <f t="shared" si="955"/>
        <v>47802.571730639538</v>
      </c>
      <c r="GS205" s="422">
        <f t="shared" si="955"/>
        <v>46801.77487261832</v>
      </c>
      <c r="GT205" s="422">
        <f t="shared" si="955"/>
        <v>45846.839232139137</v>
      </c>
      <c r="GU205" s="422">
        <f t="shared" si="955"/>
        <v>44890.020182714055</v>
      </c>
      <c r="GV205" s="422">
        <f t="shared" si="955"/>
        <v>43931.341643413085</v>
      </c>
      <c r="GW205" s="422">
        <f t="shared" si="955"/>
        <v>42968.554369190519</v>
      </c>
      <c r="GX205" s="422">
        <f t="shared" si="955"/>
        <v>42003.940422691398</v>
      </c>
      <c r="GY205" s="422">
        <f t="shared" si="955"/>
        <v>41037.524981849747</v>
      </c>
      <c r="GZ205" s="422">
        <f t="shared" si="955"/>
        <v>40015.80300933274</v>
      </c>
      <c r="HA205" s="422">
        <f t="shared" si="955"/>
        <v>38991.945498051369</v>
      </c>
      <c r="HB205" s="422">
        <f t="shared" si="955"/>
        <v>37965.976269051032</v>
      </c>
      <c r="HC205" s="422">
        <f t="shared" si="955"/>
        <v>36927.05084622532</v>
      </c>
      <c r="HD205" s="422">
        <f t="shared" si="955"/>
        <v>35885.984415986291</v>
      </c>
      <c r="HE205" s="422">
        <f t="shared" si="955"/>
        <v>34842.801648881381</v>
      </c>
      <c r="HF205" s="422">
        <f t="shared" si="955"/>
        <v>0</v>
      </c>
      <c r="HG205" s="422">
        <f t="shared" si="955"/>
        <v>0</v>
      </c>
      <c r="HH205" s="422" t="n">
        <f t="shared" ref="HH205:IM205" si="956">(HH$197&lt;=Timing_Reversion_Month)*(HH204*((1+$EP200)^(1/12)-1))</f>
        <v>0</v>
      </c>
      <c r="HI205" s="422">
        <f t="shared" si="956"/>
        <v>0</v>
      </c>
      <c r="HJ205" s="422">
        <f t="shared" si="956"/>
        <v>0</v>
      </c>
      <c r="HK205" s="422">
        <f t="shared" si="956"/>
        <v>0</v>
      </c>
      <c r="HL205" s="422">
        <f t="shared" si="956"/>
        <v>0</v>
      </c>
      <c r="HM205" s="422">
        <f t="shared" si="956"/>
        <v>0</v>
      </c>
      <c r="HN205" s="422">
        <f t="shared" si="956"/>
        <v>0</v>
      </c>
      <c r="HO205" s="422">
        <f t="shared" si="956"/>
        <v>0</v>
      </c>
      <c r="HP205" s="422">
        <f t="shared" si="956"/>
        <v>0</v>
      </c>
      <c r="HQ205" s="422">
        <f t="shared" si="956"/>
        <v>0</v>
      </c>
      <c r="HR205" s="422">
        <f t="shared" si="956"/>
        <v>0</v>
      </c>
      <c r="HS205" s="422">
        <f t="shared" si="956"/>
        <v>0</v>
      </c>
      <c r="HT205" s="422">
        <f t="shared" si="956"/>
        <v>0</v>
      </c>
      <c r="HU205" s="422">
        <f t="shared" si="956"/>
        <v>0</v>
      </c>
      <c r="HV205" s="422">
        <f t="shared" si="956"/>
        <v>0</v>
      </c>
      <c r="HW205" s="422">
        <f t="shared" si="956"/>
        <v>0</v>
      </c>
      <c r="HX205" s="422">
        <f t="shared" si="956"/>
        <v>0</v>
      </c>
      <c r="HY205" s="422">
        <f t="shared" si="956"/>
        <v>0</v>
      </c>
      <c r="HZ205" s="422">
        <f t="shared" si="956"/>
        <v>0</v>
      </c>
      <c r="IA205" s="422">
        <f t="shared" si="956"/>
        <v>0</v>
      </c>
      <c r="IB205" s="422">
        <f t="shared" si="956"/>
        <v>0</v>
      </c>
      <c r="IC205" s="422">
        <f t="shared" si="956"/>
        <v>0</v>
      </c>
      <c r="ID205" s="422">
        <f t="shared" si="956"/>
        <v>0</v>
      </c>
      <c r="IE205" s="422">
        <f t="shared" si="956"/>
        <v>0</v>
      </c>
      <c r="IF205" s="422">
        <f t="shared" si="956"/>
        <v>0</v>
      </c>
      <c r="IG205" s="422">
        <f t="shared" si="956"/>
        <v>0</v>
      </c>
      <c r="IH205" s="422">
        <f t="shared" si="956"/>
        <v>0</v>
      </c>
      <c r="II205" s="422">
        <f t="shared" si="956"/>
        <v>0</v>
      </c>
      <c r="IJ205" s="422">
        <f t="shared" si="956"/>
        <v>0</v>
      </c>
      <c r="IK205" s="422">
        <f t="shared" si="956"/>
        <v>0</v>
      </c>
      <c r="IL205" s="422">
        <f t="shared" si="956"/>
        <v>0</v>
      </c>
      <c r="IM205" s="422">
        <f t="shared" si="956"/>
        <v>0</v>
      </c>
      <c r="IN205" s="422" t="n">
        <f t="shared" ref="IN205:JS205" si="957">(IN$197&lt;=Timing_Reversion_Month)*(IN204*((1+$EP200)^(1/12)-1))</f>
        <v>0</v>
      </c>
      <c r="IO205" s="422">
        <f t="shared" si="957"/>
        <v>0</v>
      </c>
      <c r="IP205" s="422">
        <f t="shared" si="957"/>
        <v>0</v>
      </c>
      <c r="IQ205" s="422">
        <f t="shared" si="957"/>
        <v>0</v>
      </c>
      <c r="IR205" s="422">
        <f t="shared" si="957"/>
        <v>0</v>
      </c>
      <c r="IS205" s="422">
        <f t="shared" si="957"/>
        <v>0</v>
      </c>
      <c r="IT205" s="422">
        <f t="shared" si="957"/>
        <v>0</v>
      </c>
      <c r="IU205" s="422">
        <f t="shared" si="957"/>
        <v>0</v>
      </c>
      <c r="IV205" s="422">
        <f t="shared" si="957"/>
        <v>0</v>
      </c>
      <c r="IW205" s="422">
        <f t="shared" si="957"/>
        <v>0</v>
      </c>
      <c r="IX205" s="422">
        <f t="shared" si="957"/>
        <v>0</v>
      </c>
      <c r="IY205" s="422">
        <f t="shared" si="957"/>
        <v>0</v>
      </c>
      <c r="IZ205" s="422">
        <f t="shared" si="957"/>
        <v>0</v>
      </c>
      <c r="JA205" s="422">
        <f t="shared" si="957"/>
        <v>0</v>
      </c>
      <c r="JB205" s="422">
        <f t="shared" si="957"/>
        <v>0</v>
      </c>
      <c r="JC205" s="422">
        <f t="shared" si="957"/>
        <v>0</v>
      </c>
      <c r="JD205" s="422">
        <f t="shared" si="957"/>
        <v>0</v>
      </c>
      <c r="JE205" s="422">
        <f t="shared" si="957"/>
        <v>0</v>
      </c>
      <c r="JF205" s="422">
        <f t="shared" si="957"/>
        <v>0</v>
      </c>
      <c r="JG205" s="422">
        <f t="shared" si="957"/>
        <v>0</v>
      </c>
      <c r="JH205" s="422">
        <f t="shared" si="957"/>
        <v>0</v>
      </c>
      <c r="JI205" s="422">
        <f t="shared" si="957"/>
        <v>0</v>
      </c>
      <c r="JJ205" s="422">
        <f t="shared" si="957"/>
        <v>0</v>
      </c>
      <c r="JK205" s="422">
        <f t="shared" si="957"/>
        <v>0</v>
      </c>
      <c r="JL205" s="422">
        <f t="shared" si="957"/>
        <v>0</v>
      </c>
      <c r="JM205" s="422">
        <f t="shared" si="957"/>
        <v>0</v>
      </c>
      <c r="JN205" s="422">
        <f t="shared" si="957"/>
        <v>0</v>
      </c>
      <c r="JO205" s="422">
        <f t="shared" si="957"/>
        <v>0</v>
      </c>
      <c r="JP205" s="422">
        <f t="shared" si="957"/>
        <v>0</v>
      </c>
      <c r="JQ205" s="422">
        <f t="shared" si="957"/>
        <v>0</v>
      </c>
      <c r="JR205" s="422">
        <f t="shared" si="957"/>
        <v>0</v>
      </c>
      <c r="JS205" s="422">
        <f t="shared" si="957"/>
        <v>0</v>
      </c>
      <c r="JT205" s="422" t="n">
        <f t="shared" ref="JT205:JX205" si="958">(JT$197&lt;=Timing_Reversion_Month)*(JT204*((1+$EP200)^(1/12)-1))</f>
        <v>0</v>
      </c>
      <c r="JU205" s="422">
        <f t="shared" si="958"/>
        <v>0</v>
      </c>
      <c r="JV205" s="422">
        <f t="shared" si="958"/>
        <v>0</v>
      </c>
      <c r="JW205" s="422">
        <f t="shared" si="958"/>
        <v>0</v>
      </c>
      <c r="JX205" s="422">
        <f t="shared" si="958"/>
        <v>0</v>
      </c>
      <c r="JZ205" s="263"/>
      <c r="KA205" s="263"/>
      <c r="KB205" s="263"/>
      <c r="KC205" s="263"/>
      <c r="KD205" s="263"/>
      <c r="KE205" s="263"/>
      <c r="KF205" s="263"/>
      <c r="KG205" s="263"/>
      <c r="KH205" s="263"/>
      <c r="KI205" s="263"/>
      <c r="KJ205" s="263"/>
      <c r="KK205" s="263"/>
      <c r="KL205" s="263"/>
      <c r="KM205" s="263"/>
      <c r="KN205" s="263"/>
      <c r="KO205" s="263"/>
      <c r="KP205" s="263"/>
      <c r="KQ205" s="263"/>
      <c r="KR205" s="263"/>
      <c r="KS205" s="263"/>
      <c r="KT205" s="263"/>
      <c r="KU205" s="263"/>
      <c r="KV205" s="263"/>
      <c r="KW205" s="263"/>
      <c r="KX205" s="263"/>
      <c r="KY205" s="263"/>
      <c r="KZ205" s="263"/>
      <c r="LA205" s="263"/>
      <c r="LB205" s="263"/>
      <c r="LC205" s="263"/>
      <c r="LD205" s="263"/>
      <c r="LE205" s="263"/>
      <c r="LF205" s="263"/>
      <c r="LG205" s="263"/>
      <c r="LH205" s="263"/>
      <c r="LI205" s="263"/>
      <c r="LJ205" s="263"/>
      <c r="LK205" s="263"/>
      <c r="LL205" s="263"/>
      <c r="LM205" s="263"/>
      <c r="LN205" s="263"/>
      <c r="LO205" s="263"/>
      <c r="LP205" s="263"/>
      <c r="LQ205" s="263"/>
      <c r="LR205" s="263"/>
      <c r="LS205" s="263"/>
      <c r="LT205" s="263"/>
      <c r="LU205" s="263"/>
      <c r="LV205" s="263"/>
      <c r="LW205" s="263"/>
      <c r="LX205" s="263"/>
      <c r="LY205" s="263"/>
      <c r="LZ205" s="263"/>
      <c r="MA205" s="263"/>
      <c r="MB205" s="263"/>
      <c r="MC205" s="263"/>
      <c r="MD205" s="263"/>
      <c r="ME205" s="263"/>
      <c r="MF205" s="263"/>
      <c r="MG205" s="263"/>
      <c r="MH205" s="263"/>
      <c r="MI205" s="263"/>
      <c r="MJ205" s="263"/>
      <c r="MK205" s="263"/>
      <c r="ML205" s="263"/>
      <c r="MM205" s="263"/>
      <c r="MN205" s="263"/>
      <c r="MO205" s="263"/>
      <c r="MP205" s="263"/>
      <c r="MQ205" s="263"/>
      <c r="MR205" s="263"/>
      <c r="MS205" s="263"/>
      <c r="MT205" s="263"/>
      <c r="MU205" s="263"/>
      <c r="MV205" s="263"/>
      <c r="MW205" s="263"/>
      <c r="MX205" s="263"/>
      <c r="MY205" s="263"/>
      <c r="MZ205" s="263"/>
      <c r="NA205" s="263"/>
      <c r="NB205" s="263"/>
      <c r="NC205" s="263"/>
      <c r="ND205" s="263"/>
      <c r="NE205" s="263"/>
      <c r="NF205" s="263"/>
      <c r="NG205" s="263"/>
      <c r="NH205" s="263"/>
      <c r="NI205" s="263"/>
      <c r="NJ205" s="263"/>
      <c r="NK205" s="263"/>
      <c r="NL205" s="263"/>
      <c r="NM205" s="263"/>
      <c r="NN205" s="263"/>
      <c r="NO205" s="263"/>
      <c r="NP205" s="263"/>
      <c r="NQ205" s="263"/>
      <c r="NR205" s="263"/>
      <c r="NS205" s="263"/>
      <c r="NT205" s="263"/>
      <c r="NU205" s="263"/>
      <c r="NV205" s="263"/>
      <c r="NW205" s="263"/>
      <c r="NX205" s="263"/>
      <c r="NY205" s="263"/>
      <c r="NZ205" s="263"/>
      <c r="OA205" s="263"/>
      <c r="OB205" s="263"/>
      <c r="OC205" s="263"/>
      <c r="OD205" s="263"/>
      <c r="OE205" s="263"/>
      <c r="OF205" s="263"/>
      <c r="OG205" s="263"/>
      <c r="OH205" s="263"/>
      <c r="OI205" s="263"/>
      <c r="OJ205" s="263"/>
      <c r="OK205" s="263"/>
      <c r="OL205" s="263"/>
      <c r="OM205" s="263"/>
      <c r="ON205" s="263"/>
      <c r="OO205" s="263"/>
      <c r="OP205" s="263"/>
      <c r="OQ205" s="263"/>
      <c r="OR205" s="263"/>
      <c r="OS205" s="263"/>
      <c r="OT205" s="263"/>
      <c r="OU205" s="263"/>
      <c r="OV205" s="263"/>
      <c r="OW205" s="263"/>
      <c r="OX205" s="263"/>
      <c r="OY205" s="263"/>
      <c r="OZ205" s="263"/>
      <c r="PA205" s="263"/>
      <c r="PB205" s="263"/>
      <c r="PC205" s="263"/>
      <c r="PD205" s="263"/>
      <c r="PE205" s="263"/>
      <c r="PF205" s="263"/>
      <c r="PG205" s="263"/>
      <c r="PH205" s="263"/>
    </row>
    <row r="206">
      <c r="B206" s="34" t="s">
        <v>379</v>
      </c>
      <c r="C206" s="404"/>
      <c r="D206" s="404"/>
      <c r="E206" s="404"/>
      <c r="F206" s="404"/>
      <c r="G206" s="404"/>
      <c r="H206" s="45"/>
      <c r="I206" s="449">
        <f t="shared" si="949"/>
        <v>-213422493.2274394</v>
      </c>
      <c r="L206" s="421" t="str">
        <f t="shared" ref="L206:AQ206" si="959">IF(L194="","",(L194=ConstDebt_Payoff)*-$I$75)</f>
      </c>
      <c r="M206" s="421">
        <f t="shared" si="959"/>
        <v>0</v>
      </c>
      <c r="N206" s="421">
        <f t="shared" si="959"/>
        <v>0</v>
      </c>
      <c r="O206" s="421">
        <f t="shared" si="959"/>
        <v>0</v>
      </c>
      <c r="P206" s="421">
        <f t="shared" si="959"/>
        <v>0</v>
      </c>
      <c r="Q206" s="421">
        <f t="shared" si="959"/>
        <v>0</v>
      </c>
      <c r="R206" s="421">
        <f t="shared" si="959"/>
        <v>0</v>
      </c>
      <c r="S206" s="421">
        <f t="shared" si="959"/>
        <v>0</v>
      </c>
      <c r="T206" s="421">
        <f t="shared" si="959"/>
        <v>0</v>
      </c>
      <c r="U206" s="421">
        <f t="shared" si="959"/>
        <v>0</v>
      </c>
      <c r="V206" s="421">
        <f t="shared" si="959"/>
        <v>0</v>
      </c>
      <c r="W206" s="421">
        <f t="shared" si="959"/>
        <v>0</v>
      </c>
      <c r="X206" s="421">
        <f t="shared" si="959"/>
        <v>0</v>
      </c>
      <c r="Y206" s="421">
        <f t="shared" si="959"/>
        <v>0</v>
      </c>
      <c r="Z206" s="421">
        <f t="shared" si="959"/>
        <v>0</v>
      </c>
      <c r="AA206" s="421">
        <f t="shared" si="959"/>
        <v>0</v>
      </c>
      <c r="AB206" s="421">
        <f t="shared" si="959"/>
        <v>0</v>
      </c>
      <c r="AC206" s="421">
        <f t="shared" si="959"/>
        <v>0</v>
      </c>
      <c r="AD206" s="421">
        <f t="shared" si="959"/>
        <v>0</v>
      </c>
      <c r="AE206" s="421">
        <f t="shared" si="959"/>
        <v>0</v>
      </c>
      <c r="AF206" s="421">
        <f t="shared" si="959"/>
        <v>0</v>
      </c>
      <c r="AG206" s="421">
        <f t="shared" si="959"/>
        <v>0</v>
      </c>
      <c r="AH206" s="421">
        <f t="shared" si="959"/>
        <v>0</v>
      </c>
      <c r="AI206" s="421">
        <f t="shared" si="959"/>
        <v>0</v>
      </c>
      <c r="AJ206" s="421">
        <f t="shared" si="959"/>
        <v>0</v>
      </c>
      <c r="AK206" s="421">
        <f t="shared" si="959"/>
        <v>0</v>
      </c>
      <c r="AL206" s="421">
        <f t="shared" si="959"/>
        <v>0</v>
      </c>
      <c r="AM206" s="421">
        <f t="shared" si="959"/>
        <v>0</v>
      </c>
      <c r="AN206" s="421">
        <f t="shared" si="959"/>
        <v>0</v>
      </c>
      <c r="AO206" s="421">
        <f t="shared" si="959"/>
        <v>0</v>
      </c>
      <c r="AP206" s="421">
        <f t="shared" si="959"/>
        <v>0</v>
      </c>
      <c r="AQ206" s="421">
        <f t="shared" si="959"/>
        <v>0</v>
      </c>
      <c r="AR206" s="421" t="n">
        <f t="shared" ref="AR206:BW206" si="960">IF(AR194="","",(AR194=ConstDebt_Payoff)*-$I$75)</f>
        <v>0</v>
      </c>
      <c r="AS206" s="421">
        <f t="shared" si="960"/>
        <v>0</v>
      </c>
      <c r="AT206" s="421">
        <f t="shared" si="960"/>
        <v>0</v>
      </c>
      <c r="AU206" s="421">
        <f t="shared" si="960"/>
        <v>0</v>
      </c>
      <c r="AV206" s="421">
        <f t="shared" si="960"/>
        <v>0</v>
      </c>
      <c r="AW206" s="421">
        <f t="shared" si="960"/>
        <v>0</v>
      </c>
      <c r="AX206" s="421">
        <f t="shared" si="960"/>
        <v>0</v>
      </c>
      <c r="AY206" s="421">
        <f t="shared" si="960"/>
        <v>0</v>
      </c>
      <c r="AZ206" s="421">
        <f t="shared" si="960"/>
        <v>0</v>
      </c>
      <c r="BA206" s="421">
        <f t="shared" si="960"/>
        <v>0</v>
      </c>
      <c r="BB206" s="421">
        <f t="shared" si="960"/>
        <v>0</v>
      </c>
      <c r="BC206" s="421">
        <f t="shared" si="960"/>
        <v>0</v>
      </c>
      <c r="BD206" s="76">
        <f t="shared" si="960"/>
        <v>0</v>
      </c>
      <c r="BE206" s="76">
        <f t="shared" si="960"/>
        <v>0</v>
      </c>
      <c r="BF206" s="76">
        <f t="shared" si="960"/>
        <v>0</v>
      </c>
      <c r="BG206" s="76">
        <f t="shared" si="960"/>
        <v>0</v>
      </c>
      <c r="BH206" s="76">
        <f t="shared" si="960"/>
        <v>0</v>
      </c>
      <c r="BI206" s="76">
        <f t="shared" si="960"/>
        <v>0</v>
      </c>
      <c r="BJ206" s="76">
        <f t="shared" si="960"/>
        <v>0</v>
      </c>
      <c r="BK206" s="76">
        <f t="shared" si="960"/>
        <v>0</v>
      </c>
      <c r="BL206" s="76">
        <f t="shared" si="960"/>
        <v>0</v>
      </c>
      <c r="BM206" s="76">
        <f t="shared" si="960"/>
        <v>0</v>
      </c>
      <c r="BN206" s="76">
        <f t="shared" si="960"/>
        <v>0</v>
      </c>
      <c r="BO206" s="76">
        <f t="shared" si="960"/>
        <v>0</v>
      </c>
      <c r="BP206" s="76">
        <f t="shared" si="960"/>
        <v>0</v>
      </c>
      <c r="BQ206" s="76">
        <f t="shared" si="960"/>
        <v>0</v>
      </c>
      <c r="BR206" s="76">
        <f t="shared" si="960"/>
        <v>0</v>
      </c>
      <c r="BS206" s="76">
        <f t="shared" si="960"/>
        <v>0</v>
      </c>
      <c r="BT206" s="76">
        <f t="shared" si="960"/>
        <v>0</v>
      </c>
      <c r="BU206" s="76">
        <f t="shared" si="960"/>
        <v>-213422493.2274394</v>
      </c>
      <c r="BV206" s="76" t="str">
        <f t="shared" si="960"/>
      </c>
      <c r="BW206" s="76" t="str">
        <f t="shared" si="960"/>
      </c>
      <c r="BX206" s="76" t="str">
        <f t="shared" ref="BX206:DC206" si="961">IF(BX194="","",(BX194=ConstDebt_Payoff)*-$I$75)</f>
      </c>
      <c r="BY206" s="76" t="str">
        <f t="shared" si="961"/>
      </c>
      <c r="BZ206" s="76" t="str">
        <f t="shared" si="961"/>
      </c>
      <c r="CA206" s="76" t="str">
        <f t="shared" si="961"/>
      </c>
      <c r="CB206" s="76" t="str">
        <f t="shared" si="961"/>
      </c>
      <c r="CC206" s="76" t="str">
        <f t="shared" si="961"/>
      </c>
      <c r="CD206" s="76" t="str">
        <f t="shared" si="961"/>
      </c>
      <c r="CE206" s="76" t="str">
        <f t="shared" si="961"/>
      </c>
      <c r="CF206" s="76" t="str">
        <f t="shared" si="961"/>
      </c>
      <c r="CG206" s="76" t="str">
        <f t="shared" si="961"/>
      </c>
      <c r="CH206" s="76" t="str">
        <f t="shared" si="961"/>
      </c>
      <c r="CI206" s="76" t="str">
        <f t="shared" si="961"/>
      </c>
      <c r="CJ206" s="76" t="str">
        <f t="shared" si="961"/>
      </c>
      <c r="CK206" s="76" t="str">
        <f t="shared" si="961"/>
      </c>
      <c r="CL206" s="76" t="str">
        <f t="shared" si="961"/>
      </c>
      <c r="CM206" s="76" t="str">
        <f t="shared" si="961"/>
      </c>
      <c r="CN206" s="76" t="str">
        <f t="shared" si="961"/>
      </c>
      <c r="CO206" s="76" t="str">
        <f t="shared" si="961"/>
      </c>
      <c r="CP206" s="76" t="str">
        <f t="shared" si="961"/>
      </c>
      <c r="CQ206" s="76" t="str">
        <f t="shared" si="961"/>
      </c>
      <c r="CR206" s="76" t="str">
        <f t="shared" si="961"/>
      </c>
      <c r="CS206" s="76" t="str">
        <f t="shared" si="961"/>
      </c>
      <c r="CT206" s="76" t="str">
        <f t="shared" si="961"/>
      </c>
      <c r="CU206" s="76" t="str">
        <f t="shared" si="961"/>
      </c>
      <c r="CV206" s="76" t="str">
        <f t="shared" si="961"/>
      </c>
      <c r="CW206" s="76" t="str">
        <f t="shared" si="961"/>
      </c>
      <c r="CX206" s="76" t="str">
        <f t="shared" si="961"/>
      </c>
      <c r="CY206" s="76" t="str">
        <f t="shared" si="961"/>
      </c>
      <c r="CZ206" s="76" t="str">
        <f t="shared" si="961"/>
      </c>
      <c r="DA206" s="76" t="str">
        <f t="shared" si="961"/>
      </c>
      <c r="DB206" s="76" t="str">
        <f t="shared" si="961"/>
      </c>
      <c r="DC206" s="76" t="str">
        <f t="shared" si="961"/>
      </c>
      <c r="DD206" s="76" t="str">
        <f t="shared" ref="DD206:EN206" si="962">IF(DD194="","",(DD194=ConstDebt_Payoff)*-$I$75)</f>
      </c>
      <c r="DE206" s="76" t="str">
        <f t="shared" si="962"/>
      </c>
      <c r="DF206" s="76" t="str">
        <f t="shared" si="962"/>
      </c>
      <c r="DG206" s="76" t="str">
        <f t="shared" si="962"/>
      </c>
      <c r="DH206" s="76" t="str">
        <f t="shared" si="962"/>
      </c>
      <c r="DI206" s="76" t="str">
        <f t="shared" si="962"/>
      </c>
      <c r="DJ206" s="76" t="str">
        <f t="shared" si="962"/>
      </c>
      <c r="DK206" s="76" t="str">
        <f t="shared" si="962"/>
      </c>
      <c r="DL206" s="76" t="str">
        <f t="shared" si="962"/>
      </c>
      <c r="DM206" s="76" t="str">
        <f t="shared" si="962"/>
      </c>
      <c r="DN206" s="76" t="str">
        <f t="shared" si="962"/>
      </c>
      <c r="DO206" s="76" t="str">
        <f t="shared" si="962"/>
      </c>
      <c r="DP206" s="76" t="str">
        <f t="shared" si="962"/>
      </c>
      <c r="DQ206" s="76" t="str">
        <f t="shared" si="962"/>
      </c>
      <c r="DR206" s="76" t="str">
        <f t="shared" si="962"/>
      </c>
      <c r="DS206" s="76" t="str">
        <f t="shared" si="962"/>
      </c>
      <c r="DT206" s="76" t="str">
        <f t="shared" si="962"/>
      </c>
      <c r="DU206" s="76" t="str">
        <f t="shared" si="962"/>
      </c>
      <c r="DV206" s="76" t="str">
        <f t="shared" si="962"/>
      </c>
      <c r="DW206" s="76" t="str">
        <f t="shared" si="962"/>
      </c>
      <c r="DX206" s="76" t="str">
        <f t="shared" si="962"/>
      </c>
      <c r="DY206" s="76" t="str">
        <f t="shared" si="962"/>
      </c>
      <c r="DZ206" s="76" t="str">
        <f t="shared" si="962"/>
      </c>
      <c r="EA206" s="76" t="str">
        <f t="shared" si="962"/>
      </c>
      <c r="EB206" s="76" t="str">
        <f t="shared" si="962"/>
      </c>
      <c r="EC206" s="76" t="str">
        <f t="shared" si="962"/>
      </c>
      <c r="ED206" s="76" t="str">
        <f t="shared" si="962"/>
      </c>
      <c r="EE206" s="76" t="str">
        <f t="shared" si="962"/>
      </c>
      <c r="EF206" s="76" t="str">
        <f t="shared" si="962"/>
      </c>
      <c r="EG206" s="76" t="str">
        <f t="shared" si="962"/>
      </c>
      <c r="EH206" s="76" t="str">
        <f t="shared" si="962"/>
      </c>
      <c r="EI206" s="76" t="str">
        <f t="shared" si="962"/>
      </c>
      <c r="EJ206" s="76" t="str">
        <f t="shared" si="962"/>
      </c>
      <c r="EK206" s="76" t="str">
        <f t="shared" si="962"/>
      </c>
      <c r="EL206" s="76" t="str">
        <f t="shared" si="962"/>
      </c>
      <c r="EM206" s="76" t="str">
        <f t="shared" si="962"/>
      </c>
      <c r="EN206" s="76" t="str">
        <f t="shared" si="962"/>
      </c>
      <c r="EP206" s="220"/>
      <c r="EQ206" s="18"/>
      <c r="ER206" s="18"/>
      <c r="ES206" s="18"/>
      <c r="ET206" s="18" t="s">
        <v>380</v>
      </c>
      <c r="EU206" s="18"/>
      <c r="EV206" s="422" t="n">
        <f>IF(L228="",0,L228)</f>
        <v>0</v>
      </c>
      <c r="EW206" s="422" t="n">
        <f t="shared" ref="EW206:HH206" si="963">IF(M228="",0,M228)</f>
        <v>0</v>
      </c>
      <c r="EX206" s="422">
        <f t="shared" si="963"/>
        <v>0</v>
      </c>
      <c r="EY206" s="422">
        <f t="shared" si="963"/>
        <v>12229.754929718263</v>
      </c>
      <c r="EZ206" s="422">
        <f t="shared" si="963"/>
        <v>39061.596444356001</v>
      </c>
      <c r="FA206" s="422">
        <f t="shared" si="963"/>
        <v>80820.215286487393</v>
      </c>
      <c r="FB206" s="422">
        <f t="shared" si="963"/>
        <v>92758.630190187861</v>
      </c>
      <c r="FC206" s="422">
        <f t="shared" si="963"/>
        <v>151838.07389083391</v>
      </c>
      <c r="FD206" s="422">
        <f t="shared" si="963"/>
        <v>223783.60513408761</v>
      </c>
      <c r="FE206" s="422">
        <f t="shared" si="963"/>
        <v>308358.90125588689</v>
      </c>
      <c r="FF206" s="422">
        <f t="shared" si="963"/>
        <v>404138.64571131836</v>
      </c>
      <c r="FG206" s="422">
        <f t="shared" si="963"/>
        <v>508341.65915377199</v>
      </c>
      <c r="FH206" s="422">
        <f t="shared" si="963"/>
        <v>616815.76959860174</v>
      </c>
      <c r="FI206" s="422">
        <f t="shared" si="963"/>
        <v>724214.3746582889</v>
      </c>
      <c r="FJ206" s="422">
        <f t="shared" si="963"/>
        <v>824375.9619705918</v>
      </c>
      <c r="FK206" s="422">
        <f t="shared" si="963"/>
        <v>910880.5321552892</v>
      </c>
      <c r="FL206" s="422">
        <f t="shared" si="963"/>
        <v>170235.09548436865</v>
      </c>
      <c r="FM206" s="422">
        <f t="shared" si="963"/>
        <v>0</v>
      </c>
      <c r="FN206" s="422">
        <f t="shared" si="963"/>
        <v>0</v>
      </c>
      <c r="FO206" s="422">
        <f t="shared" si="963"/>
        <v>0</v>
      </c>
      <c r="FP206" s="422">
        <f t="shared" si="963"/>
        <v>0</v>
      </c>
      <c r="FQ206" s="422">
        <f t="shared" si="963"/>
        <v>0</v>
      </c>
      <c r="FR206" s="422">
        <f t="shared" si="963"/>
        <v>0</v>
      </c>
      <c r="FS206" s="422">
        <f t="shared" si="963"/>
        <v>0</v>
      </c>
      <c r="FT206" s="422">
        <f t="shared" si="963"/>
        <v>0</v>
      </c>
      <c r="FU206" s="422">
        <f t="shared" si="963"/>
        <v>0</v>
      </c>
      <c r="FV206" s="422">
        <f t="shared" si="963"/>
        <v>0</v>
      </c>
      <c r="FW206" s="422">
        <f t="shared" si="963"/>
        <v>0</v>
      </c>
      <c r="FX206" s="422">
        <f t="shared" si="963"/>
        <v>0</v>
      </c>
      <c r="FY206" s="422">
        <f t="shared" si="963"/>
        <v>0</v>
      </c>
      <c r="FZ206" s="422">
        <f t="shared" si="963"/>
        <v>0</v>
      </c>
      <c r="GA206" s="422">
        <f t="shared" si="963"/>
        <v>0</v>
      </c>
      <c r="GB206" s="422">
        <f t="shared" si="963"/>
        <v>0</v>
      </c>
      <c r="GC206" s="422">
        <f t="shared" si="963"/>
        <v>0</v>
      </c>
      <c r="GD206" s="422">
        <f t="shared" si="963"/>
        <v>0</v>
      </c>
      <c r="GE206" s="422">
        <f t="shared" si="963"/>
        <v>0</v>
      </c>
      <c r="GF206" s="422">
        <f t="shared" si="963"/>
        <v>0</v>
      </c>
      <c r="GG206" s="422">
        <f t="shared" si="963"/>
        <v>0</v>
      </c>
      <c r="GH206" s="422">
        <f t="shared" si="963"/>
        <v>0</v>
      </c>
      <c r="GI206" s="422">
        <f t="shared" si="963"/>
        <v>0</v>
      </c>
      <c r="GJ206" s="422">
        <f t="shared" si="963"/>
        <v>0</v>
      </c>
      <c r="GK206" s="422">
        <f t="shared" si="963"/>
        <v>0</v>
      </c>
      <c r="GL206" s="422">
        <f t="shared" si="963"/>
        <v>0</v>
      </c>
      <c r="GM206" s="422">
        <f t="shared" si="963"/>
        <v>0</v>
      </c>
      <c r="GN206" s="422">
        <f t="shared" si="963"/>
        <v>0</v>
      </c>
      <c r="GO206" s="422">
        <f t="shared" si="963"/>
        <v>0</v>
      </c>
      <c r="GP206" s="422">
        <f t="shared" si="963"/>
        <v>0</v>
      </c>
      <c r="GQ206" s="422">
        <f t="shared" si="963"/>
        <v>0</v>
      </c>
      <c r="GR206" s="422">
        <f t="shared" si="963"/>
        <v>0</v>
      </c>
      <c r="GS206" s="422">
        <f t="shared" si="963"/>
        <v>0</v>
      </c>
      <c r="GT206" s="422">
        <f t="shared" si="963"/>
        <v>0</v>
      </c>
      <c r="GU206" s="422">
        <f t="shared" si="963"/>
        <v>0</v>
      </c>
      <c r="GV206" s="422">
        <f t="shared" si="963"/>
        <v>0</v>
      </c>
      <c r="GW206" s="422">
        <f t="shared" si="963"/>
        <v>0</v>
      </c>
      <c r="GX206" s="422">
        <f t="shared" si="963"/>
        <v>0</v>
      </c>
      <c r="GY206" s="422">
        <f t="shared" si="963"/>
        <v>0</v>
      </c>
      <c r="GZ206" s="422">
        <f t="shared" si="963"/>
        <v>0</v>
      </c>
      <c r="HA206" s="422">
        <f t="shared" si="963"/>
        <v>0</v>
      </c>
      <c r="HB206" s="422">
        <f t="shared" si="963"/>
        <v>0</v>
      </c>
      <c r="HC206" s="422">
        <f t="shared" si="963"/>
        <v>0</v>
      </c>
      <c r="HD206" s="422">
        <f t="shared" si="963"/>
        <v>0</v>
      </c>
      <c r="HE206" s="422">
        <f t="shared" si="963"/>
        <v>0</v>
      </c>
      <c r="HF206" s="422">
        <f t="shared" si="963"/>
        <v>0</v>
      </c>
      <c r="HG206" s="422">
        <f t="shared" si="963"/>
        <v>0</v>
      </c>
      <c r="HH206" s="422">
        <f t="shared" si="963"/>
        <v>0</v>
      </c>
      <c r="HI206" s="422" t="n">
        <f t="shared" ref="HI206:JT206" si="964">IF(BY228="",0,BY228)</f>
        <v>0</v>
      </c>
      <c r="HJ206" s="422">
        <f t="shared" si="964"/>
        <v>0</v>
      </c>
      <c r="HK206" s="422">
        <f t="shared" si="964"/>
        <v>0</v>
      </c>
      <c r="HL206" s="422">
        <f t="shared" si="964"/>
        <v>0</v>
      </c>
      <c r="HM206" s="422">
        <f t="shared" si="964"/>
        <v>0</v>
      </c>
      <c r="HN206" s="422">
        <f t="shared" si="964"/>
        <v>0</v>
      </c>
      <c r="HO206" s="422">
        <f t="shared" si="964"/>
        <v>0</v>
      </c>
      <c r="HP206" s="422">
        <f t="shared" si="964"/>
        <v>0</v>
      </c>
      <c r="HQ206" s="422">
        <f t="shared" si="964"/>
        <v>0</v>
      </c>
      <c r="HR206" s="422">
        <f t="shared" si="964"/>
        <v>0</v>
      </c>
      <c r="HS206" s="422">
        <f t="shared" si="964"/>
        <v>0</v>
      </c>
      <c r="HT206" s="422">
        <f t="shared" si="964"/>
        <v>0</v>
      </c>
      <c r="HU206" s="422">
        <f t="shared" si="964"/>
        <v>0</v>
      </c>
      <c r="HV206" s="422">
        <f t="shared" si="964"/>
        <v>0</v>
      </c>
      <c r="HW206" s="422">
        <f t="shared" si="964"/>
        <v>0</v>
      </c>
      <c r="HX206" s="422">
        <f t="shared" si="964"/>
        <v>0</v>
      </c>
      <c r="HY206" s="422">
        <f t="shared" si="964"/>
        <v>0</v>
      </c>
      <c r="HZ206" s="422">
        <f t="shared" si="964"/>
        <v>0</v>
      </c>
      <c r="IA206" s="422">
        <f t="shared" si="964"/>
        <v>0</v>
      </c>
      <c r="IB206" s="422">
        <f t="shared" si="964"/>
        <v>0</v>
      </c>
      <c r="IC206" s="422">
        <f t="shared" si="964"/>
        <v>0</v>
      </c>
      <c r="ID206" s="422">
        <f t="shared" si="964"/>
        <v>0</v>
      </c>
      <c r="IE206" s="422">
        <f t="shared" si="964"/>
        <v>0</v>
      </c>
      <c r="IF206" s="422">
        <f t="shared" si="964"/>
        <v>0</v>
      </c>
      <c r="IG206" s="422">
        <f t="shared" si="964"/>
        <v>0</v>
      </c>
      <c r="IH206" s="422">
        <f t="shared" si="964"/>
        <v>0</v>
      </c>
      <c r="II206" s="422">
        <f t="shared" si="964"/>
        <v>0</v>
      </c>
      <c r="IJ206" s="422">
        <f t="shared" si="964"/>
        <v>0</v>
      </c>
      <c r="IK206" s="422">
        <f t="shared" si="964"/>
        <v>0</v>
      </c>
      <c r="IL206" s="422">
        <f t="shared" si="964"/>
        <v>0</v>
      </c>
      <c r="IM206" s="422">
        <f t="shared" si="964"/>
        <v>0</v>
      </c>
      <c r="IN206" s="422">
        <f t="shared" si="964"/>
        <v>0</v>
      </c>
      <c r="IO206" s="422">
        <f t="shared" si="964"/>
        <v>0</v>
      </c>
      <c r="IP206" s="422">
        <f t="shared" si="964"/>
        <v>0</v>
      </c>
      <c r="IQ206" s="422">
        <f t="shared" si="964"/>
        <v>0</v>
      </c>
      <c r="IR206" s="422">
        <f t="shared" si="964"/>
        <v>0</v>
      </c>
      <c r="IS206" s="422">
        <f t="shared" si="964"/>
        <v>0</v>
      </c>
      <c r="IT206" s="422">
        <f t="shared" si="964"/>
        <v>0</v>
      </c>
      <c r="IU206" s="422">
        <f t="shared" si="964"/>
        <v>0</v>
      </c>
      <c r="IV206" s="422">
        <f t="shared" si="964"/>
        <v>0</v>
      </c>
      <c r="IW206" s="422">
        <f t="shared" si="964"/>
        <v>0</v>
      </c>
      <c r="IX206" s="422">
        <f t="shared" si="964"/>
        <v>0</v>
      </c>
      <c r="IY206" s="422">
        <f t="shared" si="964"/>
        <v>0</v>
      </c>
      <c r="IZ206" s="422">
        <f t="shared" si="964"/>
        <v>0</v>
      </c>
      <c r="JA206" s="422">
        <f t="shared" si="964"/>
        <v>0</v>
      </c>
      <c r="JB206" s="422">
        <f t="shared" si="964"/>
        <v>0</v>
      </c>
      <c r="JC206" s="422">
        <f t="shared" si="964"/>
        <v>0</v>
      </c>
      <c r="JD206" s="422">
        <f t="shared" si="964"/>
        <v>0</v>
      </c>
      <c r="JE206" s="422">
        <f t="shared" si="964"/>
        <v>0</v>
      </c>
      <c r="JF206" s="422">
        <f t="shared" si="964"/>
        <v>0</v>
      </c>
      <c r="JG206" s="422">
        <f t="shared" si="964"/>
        <v>0</v>
      </c>
      <c r="JH206" s="422">
        <f t="shared" si="964"/>
        <v>0</v>
      </c>
      <c r="JI206" s="422">
        <f t="shared" si="964"/>
        <v>0</v>
      </c>
      <c r="JJ206" s="422">
        <f t="shared" si="964"/>
        <v>0</v>
      </c>
      <c r="JK206" s="422">
        <f t="shared" si="964"/>
        <v>0</v>
      </c>
      <c r="JL206" s="422">
        <f t="shared" si="964"/>
        <v>0</v>
      </c>
      <c r="JM206" s="422">
        <f t="shared" si="964"/>
        <v>0</v>
      </c>
      <c r="JN206" s="422">
        <f t="shared" si="964"/>
        <v>0</v>
      </c>
      <c r="JO206" s="422">
        <f t="shared" si="964"/>
        <v>0</v>
      </c>
      <c r="JP206" s="422">
        <f t="shared" si="964"/>
        <v>0</v>
      </c>
      <c r="JQ206" s="422">
        <f t="shared" si="964"/>
        <v>0</v>
      </c>
      <c r="JR206" s="422">
        <f t="shared" si="964"/>
        <v>0</v>
      </c>
      <c r="JS206" s="422">
        <f t="shared" si="964"/>
        <v>0</v>
      </c>
      <c r="JT206" s="422">
        <f t="shared" si="964"/>
        <v>0</v>
      </c>
      <c r="JU206" s="422" t="n">
        <f t="shared" ref="JU206:JX206" si="965">IF(EK228="",0,EK228)</f>
        <v>0</v>
      </c>
      <c r="JV206" s="422">
        <f t="shared" si="965"/>
        <v>0</v>
      </c>
      <c r="JW206" s="422">
        <f t="shared" si="965"/>
        <v>0</v>
      </c>
      <c r="JX206" s="422">
        <f t="shared" si="965"/>
        <v>0</v>
      </c>
      <c r="JZ206" s="263"/>
      <c r="KA206" s="263"/>
      <c r="KB206" s="263"/>
      <c r="KC206" s="263"/>
      <c r="KD206" s="263"/>
      <c r="KE206" s="263"/>
      <c r="KF206" s="263"/>
      <c r="KG206" s="263"/>
      <c r="KH206" s="263"/>
      <c r="KI206" s="263"/>
      <c r="KJ206" s="263"/>
      <c r="KK206" s="263"/>
      <c r="KL206" s="263"/>
      <c r="KM206" s="263"/>
      <c r="KN206" s="263"/>
      <c r="KO206" s="263"/>
      <c r="KP206" s="263"/>
      <c r="KQ206" s="263"/>
      <c r="KR206" s="263"/>
      <c r="KS206" s="263"/>
      <c r="KT206" s="263"/>
      <c r="KU206" s="263"/>
      <c r="KV206" s="263"/>
      <c r="KW206" s="263"/>
      <c r="KX206" s="263"/>
      <c r="KY206" s="263"/>
      <c r="KZ206" s="263"/>
      <c r="LA206" s="263"/>
      <c r="LB206" s="263"/>
      <c r="LC206" s="263"/>
      <c r="LD206" s="263"/>
      <c r="LE206" s="263"/>
      <c r="LF206" s="263"/>
      <c r="LG206" s="263"/>
      <c r="LH206" s="263"/>
      <c r="LI206" s="263"/>
      <c r="LJ206" s="263"/>
      <c r="LK206" s="263"/>
      <c r="LL206" s="263"/>
      <c r="LM206" s="263"/>
      <c r="LN206" s="263"/>
      <c r="LO206" s="263"/>
      <c r="LP206" s="263"/>
      <c r="LQ206" s="263"/>
      <c r="LR206" s="263"/>
      <c r="LS206" s="263"/>
      <c r="LT206" s="263"/>
      <c r="LU206" s="263"/>
      <c r="LV206" s="263"/>
      <c r="LW206" s="263"/>
      <c r="LX206" s="263"/>
      <c r="LY206" s="263"/>
      <c r="LZ206" s="263"/>
      <c r="MA206" s="263"/>
      <c r="MB206" s="263"/>
      <c r="MC206" s="263"/>
      <c r="MD206" s="263"/>
      <c r="ME206" s="263"/>
      <c r="MF206" s="263"/>
      <c r="MG206" s="263"/>
      <c r="MH206" s="263"/>
      <c r="MI206" s="263"/>
      <c r="MJ206" s="263"/>
      <c r="MK206" s="263"/>
      <c r="ML206" s="263"/>
      <c r="MM206" s="263"/>
      <c r="MN206" s="263"/>
      <c r="MO206" s="263"/>
      <c r="MP206" s="263"/>
      <c r="MQ206" s="263"/>
      <c r="MR206" s="263"/>
      <c r="MS206" s="263"/>
      <c r="MT206" s="263"/>
      <c r="MU206" s="263"/>
      <c r="MV206" s="263"/>
      <c r="MW206" s="263"/>
      <c r="MX206" s="263"/>
      <c r="MY206" s="263"/>
      <c r="MZ206" s="263"/>
      <c r="NA206" s="263"/>
      <c r="NB206" s="263"/>
      <c r="NC206" s="263"/>
      <c r="ND206" s="263"/>
      <c r="NE206" s="263"/>
      <c r="NF206" s="263"/>
      <c r="NG206" s="263"/>
      <c r="NH206" s="263"/>
      <c r="NI206" s="263"/>
      <c r="NJ206" s="263"/>
      <c r="NK206" s="263"/>
      <c r="NL206" s="263"/>
      <c r="NM206" s="263"/>
      <c r="NN206" s="263"/>
      <c r="NO206" s="263"/>
      <c r="NP206" s="263"/>
      <c r="NQ206" s="263"/>
      <c r="NR206" s="263"/>
      <c r="NS206" s="263"/>
      <c r="NT206" s="263"/>
      <c r="NU206" s="263"/>
      <c r="NV206" s="263"/>
      <c r="NW206" s="263"/>
      <c r="NX206" s="263"/>
      <c r="NY206" s="263"/>
      <c r="NZ206" s="263"/>
      <c r="OA206" s="263"/>
      <c r="OB206" s="263"/>
      <c r="OC206" s="263"/>
      <c r="OD206" s="263"/>
      <c r="OE206" s="263"/>
      <c r="OF206" s="263"/>
      <c r="OG206" s="263"/>
      <c r="OH206" s="263"/>
      <c r="OI206" s="263"/>
      <c r="OJ206" s="263"/>
      <c r="OK206" s="263"/>
      <c r="OL206" s="263"/>
      <c r="OM206" s="263"/>
      <c r="ON206" s="263"/>
      <c r="OO206" s="263"/>
      <c r="OP206" s="263"/>
      <c r="OQ206" s="263"/>
      <c r="OR206" s="263"/>
      <c r="OS206" s="263"/>
      <c r="OT206" s="263"/>
      <c r="OU206" s="263"/>
      <c r="OV206" s="263"/>
      <c r="OW206" s="263"/>
      <c r="OX206" s="263"/>
      <c r="OY206" s="263"/>
      <c r="OZ206" s="263"/>
      <c r="PA206" s="263"/>
      <c r="PB206" s="263"/>
      <c r="PC206" s="263"/>
      <c r="PD206" s="263"/>
      <c r="PE206" s="263"/>
      <c r="PF206" s="263"/>
      <c r="PG206" s="263"/>
      <c r="PH206" s="263"/>
    </row>
    <row r="207">
      <c r="B207" s="34" t="s">
        <v>381</v>
      </c>
      <c r="C207" s="404"/>
      <c r="D207" s="404"/>
      <c r="E207" s="404"/>
      <c r="F207" s="404"/>
      <c r="G207" s="404"/>
      <c r="H207" s="45"/>
      <c r="I207" s="449">
        <f t="shared" si="949"/>
        <v>0</v>
      </c>
      <c r="K207" s="5"/>
      <c r="L207" s="462" t="str">
        <f t="shared" ref="L207:AQ207" si="966">IF(L194="","",L83)</f>
      </c>
      <c r="M207" s="462">
        <f t="shared" si="966"/>
        <v>0</v>
      </c>
      <c r="N207" s="462">
        <f t="shared" si="966"/>
        <v>0</v>
      </c>
      <c r="O207" s="462">
        <f t="shared" si="966"/>
        <v>0</v>
      </c>
      <c r="P207" s="462">
        <f t="shared" si="966"/>
        <v>0</v>
      </c>
      <c r="Q207" s="462">
        <f t="shared" si="966"/>
        <v>0</v>
      </c>
      <c r="R207" s="462">
        <f t="shared" si="966"/>
        <v>0</v>
      </c>
      <c r="S207" s="462">
        <f t="shared" si="966"/>
        <v>0</v>
      </c>
      <c r="T207" s="462">
        <f t="shared" si="966"/>
        <v>0</v>
      </c>
      <c r="U207" s="462">
        <f t="shared" si="966"/>
        <v>0</v>
      </c>
      <c r="V207" s="462">
        <f t="shared" si="966"/>
        <v>0</v>
      </c>
      <c r="W207" s="462">
        <f t="shared" si="966"/>
        <v>0</v>
      </c>
      <c r="X207" s="462">
        <f t="shared" si="966"/>
        <v>0</v>
      </c>
      <c r="Y207" s="462">
        <f t="shared" si="966"/>
        <v>0</v>
      </c>
      <c r="Z207" s="462">
        <f t="shared" si="966"/>
        <v>0</v>
      </c>
      <c r="AA207" s="462">
        <f t="shared" si="966"/>
        <v>0</v>
      </c>
      <c r="AB207" s="462">
        <f t="shared" si="966"/>
        <v>0</v>
      </c>
      <c r="AC207" s="462">
        <f t="shared" si="966"/>
        <v>0</v>
      </c>
      <c r="AD207" s="462">
        <f t="shared" si="966"/>
        <v>0</v>
      </c>
      <c r="AE207" s="462">
        <f t="shared" si="966"/>
        <v>0</v>
      </c>
      <c r="AF207" s="462">
        <f t="shared" si="966"/>
        <v>0</v>
      </c>
      <c r="AG207" s="462">
        <f t="shared" si="966"/>
        <v>0</v>
      </c>
      <c r="AH207" s="462">
        <f t="shared" si="966"/>
        <v>0</v>
      </c>
      <c r="AI207" s="462">
        <f t="shared" si="966"/>
        <v>0</v>
      </c>
      <c r="AJ207" s="462">
        <f t="shared" si="966"/>
        <v>0</v>
      </c>
      <c r="AK207" s="462">
        <f t="shared" si="966"/>
        <v>0</v>
      </c>
      <c r="AL207" s="462">
        <f t="shared" si="966"/>
        <v>0</v>
      </c>
      <c r="AM207" s="462">
        <f t="shared" si="966"/>
        <v>0</v>
      </c>
      <c r="AN207" s="462">
        <f t="shared" si="966"/>
        <v>0</v>
      </c>
      <c r="AO207" s="462">
        <f t="shared" si="966"/>
        <v>0</v>
      </c>
      <c r="AP207" s="462">
        <f t="shared" si="966"/>
        <v>0</v>
      </c>
      <c r="AQ207" s="462">
        <f t="shared" si="966"/>
        <v>0</v>
      </c>
      <c r="AR207" s="462" t="n">
        <f t="shared" ref="AR207:BW207" si="967">IF(AR194="","",AR83)</f>
        <v>0</v>
      </c>
      <c r="AS207" s="462">
        <f t="shared" si="967"/>
        <v>0</v>
      </c>
      <c r="AT207" s="462">
        <f t="shared" si="967"/>
        <v>0</v>
      </c>
      <c r="AU207" s="462">
        <f t="shared" si="967"/>
        <v>0</v>
      </c>
      <c r="AV207" s="462">
        <f t="shared" si="967"/>
        <v>0</v>
      </c>
      <c r="AW207" s="462">
        <f t="shared" si="967"/>
        <v>0</v>
      </c>
      <c r="AX207" s="462">
        <f t="shared" si="967"/>
        <v>0</v>
      </c>
      <c r="AY207" s="462">
        <f t="shared" si="967"/>
        <v>0</v>
      </c>
      <c r="AZ207" s="462">
        <f t="shared" si="967"/>
        <v>0</v>
      </c>
      <c r="BA207" s="462">
        <f t="shared" si="967"/>
        <v>0</v>
      </c>
      <c r="BB207" s="462">
        <f t="shared" si="967"/>
        <v>0</v>
      </c>
      <c r="BC207" s="462">
        <f t="shared" si="967"/>
        <v>0</v>
      </c>
      <c r="BD207" s="272">
        <f t="shared" si="967"/>
        <v>0</v>
      </c>
      <c r="BE207" s="272">
        <f t="shared" si="967"/>
        <v>0</v>
      </c>
      <c r="BF207" s="272">
        <f t="shared" si="967"/>
        <v>0</v>
      </c>
      <c r="BG207" s="272">
        <f t="shared" si="967"/>
        <v>0</v>
      </c>
      <c r="BH207" s="272">
        <f t="shared" si="967"/>
        <v>0</v>
      </c>
      <c r="BI207" s="272">
        <f t="shared" si="967"/>
        <v>0</v>
      </c>
      <c r="BJ207" s="272">
        <f t="shared" si="967"/>
        <v>0</v>
      </c>
      <c r="BK207" s="272">
        <f t="shared" si="967"/>
        <v>0</v>
      </c>
      <c r="BL207" s="272">
        <f t="shared" si="967"/>
        <v>0</v>
      </c>
      <c r="BM207" s="272">
        <f t="shared" si="967"/>
        <v>0</v>
      </c>
      <c r="BN207" s="272">
        <f t="shared" si="967"/>
        <v>0</v>
      </c>
      <c r="BO207" s="272">
        <f t="shared" si="967"/>
        <v>0</v>
      </c>
      <c r="BP207" s="272">
        <f t="shared" si="967"/>
        <v>0</v>
      </c>
      <c r="BQ207" s="272">
        <f t="shared" si="967"/>
        <v>0</v>
      </c>
      <c r="BR207" s="272">
        <f t="shared" si="967"/>
        <v>0</v>
      </c>
      <c r="BS207" s="272">
        <f t="shared" si="967"/>
        <v>0</v>
      </c>
      <c r="BT207" s="272">
        <f t="shared" si="967"/>
        <v>0</v>
      </c>
      <c r="BU207" s="272">
        <f t="shared" si="967"/>
        <v>0</v>
      </c>
      <c r="BV207" s="272" t="str">
        <f t="shared" si="967"/>
      </c>
      <c r="BW207" s="272" t="str">
        <f t="shared" si="967"/>
      </c>
      <c r="BX207" s="272" t="str">
        <f t="shared" ref="BX207:DC207" si="968">IF(BX194="","",BX83)</f>
      </c>
      <c r="BY207" s="272" t="str">
        <f t="shared" si="968"/>
      </c>
      <c r="BZ207" s="272" t="str">
        <f t="shared" si="968"/>
      </c>
      <c r="CA207" s="272" t="str">
        <f t="shared" si="968"/>
      </c>
      <c r="CB207" s="272" t="str">
        <f t="shared" si="968"/>
      </c>
      <c r="CC207" s="272" t="str">
        <f t="shared" si="968"/>
      </c>
      <c r="CD207" s="272" t="str">
        <f t="shared" si="968"/>
      </c>
      <c r="CE207" s="272" t="str">
        <f t="shared" si="968"/>
      </c>
      <c r="CF207" s="272" t="str">
        <f t="shared" si="968"/>
      </c>
      <c r="CG207" s="272" t="str">
        <f t="shared" si="968"/>
      </c>
      <c r="CH207" s="272" t="str">
        <f t="shared" si="968"/>
      </c>
      <c r="CI207" s="272" t="str">
        <f t="shared" si="968"/>
      </c>
      <c r="CJ207" s="272" t="str">
        <f t="shared" si="968"/>
      </c>
      <c r="CK207" s="272" t="str">
        <f t="shared" si="968"/>
      </c>
      <c r="CL207" s="272" t="str">
        <f t="shared" si="968"/>
      </c>
      <c r="CM207" s="272" t="str">
        <f t="shared" si="968"/>
      </c>
      <c r="CN207" s="272" t="str">
        <f t="shared" si="968"/>
      </c>
      <c r="CO207" s="272" t="str">
        <f t="shared" si="968"/>
      </c>
      <c r="CP207" s="272" t="str">
        <f t="shared" si="968"/>
      </c>
      <c r="CQ207" s="272" t="str">
        <f t="shared" si="968"/>
      </c>
      <c r="CR207" s="272" t="str">
        <f t="shared" si="968"/>
      </c>
      <c r="CS207" s="272" t="str">
        <f t="shared" si="968"/>
      </c>
      <c r="CT207" s="272" t="str">
        <f t="shared" si="968"/>
      </c>
      <c r="CU207" s="272" t="str">
        <f t="shared" si="968"/>
      </c>
      <c r="CV207" s="272" t="str">
        <f t="shared" si="968"/>
      </c>
      <c r="CW207" s="272" t="str">
        <f t="shared" si="968"/>
      </c>
      <c r="CX207" s="272" t="str">
        <f t="shared" si="968"/>
      </c>
      <c r="CY207" s="272" t="str">
        <f t="shared" si="968"/>
      </c>
      <c r="CZ207" s="272" t="str">
        <f t="shared" si="968"/>
      </c>
      <c r="DA207" s="272" t="str">
        <f t="shared" si="968"/>
      </c>
      <c r="DB207" s="272" t="str">
        <f t="shared" si="968"/>
      </c>
      <c r="DC207" s="272" t="str">
        <f t="shared" si="968"/>
      </c>
      <c r="DD207" s="272" t="str">
        <f t="shared" ref="DD207:EN207" si="969">IF(DD194="","",DD83)</f>
      </c>
      <c r="DE207" s="272" t="str">
        <f t="shared" si="969"/>
      </c>
      <c r="DF207" s="272" t="str">
        <f t="shared" si="969"/>
      </c>
      <c r="DG207" s="272" t="str">
        <f t="shared" si="969"/>
      </c>
      <c r="DH207" s="272" t="str">
        <f t="shared" si="969"/>
      </c>
      <c r="DI207" s="272" t="str">
        <f t="shared" si="969"/>
      </c>
      <c r="DJ207" s="272" t="str">
        <f t="shared" si="969"/>
      </c>
      <c r="DK207" s="272" t="str">
        <f t="shared" si="969"/>
      </c>
      <c r="DL207" s="272" t="str">
        <f t="shared" si="969"/>
      </c>
      <c r="DM207" s="272" t="str">
        <f t="shared" si="969"/>
      </c>
      <c r="DN207" s="272" t="str">
        <f t="shared" si="969"/>
      </c>
      <c r="DO207" s="272" t="str">
        <f t="shared" si="969"/>
      </c>
      <c r="DP207" s="272" t="str">
        <f t="shared" si="969"/>
      </c>
      <c r="DQ207" s="272" t="str">
        <f t="shared" si="969"/>
      </c>
      <c r="DR207" s="272" t="str">
        <f t="shared" si="969"/>
      </c>
      <c r="DS207" s="272" t="str">
        <f t="shared" si="969"/>
      </c>
      <c r="DT207" s="272" t="str">
        <f t="shared" si="969"/>
      </c>
      <c r="DU207" s="272" t="str">
        <f t="shared" si="969"/>
      </c>
      <c r="DV207" s="272" t="str">
        <f t="shared" si="969"/>
      </c>
      <c r="DW207" s="272" t="str">
        <f t="shared" si="969"/>
      </c>
      <c r="DX207" s="272" t="str">
        <f t="shared" si="969"/>
      </c>
      <c r="DY207" s="272" t="str">
        <f t="shared" si="969"/>
      </c>
      <c r="DZ207" s="272" t="str">
        <f t="shared" si="969"/>
      </c>
      <c r="EA207" s="272" t="str">
        <f t="shared" si="969"/>
      </c>
      <c r="EB207" s="272" t="str">
        <f t="shared" si="969"/>
      </c>
      <c r="EC207" s="272" t="str">
        <f t="shared" si="969"/>
      </c>
      <c r="ED207" s="272" t="str">
        <f t="shared" si="969"/>
      </c>
      <c r="EE207" s="272" t="str">
        <f t="shared" si="969"/>
      </c>
      <c r="EF207" s="272" t="str">
        <f t="shared" si="969"/>
      </c>
      <c r="EG207" s="272" t="str">
        <f t="shared" si="969"/>
      </c>
      <c r="EH207" s="272" t="str">
        <f t="shared" si="969"/>
      </c>
      <c r="EI207" s="272" t="str">
        <f t="shared" si="969"/>
      </c>
      <c r="EJ207" s="272" t="str">
        <f t="shared" si="969"/>
      </c>
      <c r="EK207" s="272" t="str">
        <f t="shared" si="969"/>
      </c>
      <c r="EL207" s="272" t="str">
        <f t="shared" si="969"/>
      </c>
      <c r="EM207" s="272" t="str">
        <f t="shared" si="969"/>
      </c>
      <c r="EN207" s="272" t="str">
        <f t="shared" si="969"/>
      </c>
      <c r="EO207" s="5"/>
      <c r="EP207" s="446" t="s">
        <v>382</v>
      </c>
      <c r="EQ207" s="220" t="b">
        <f>AND(H233&lt;H228,D233="Yes")</f>
        <v>0</v>
      </c>
      <c r="ER207" s="263"/>
      <c r="ES207" s="263"/>
      <c r="ET207" s="18" t="s">
        <v>383</v>
      </c>
      <c r="EU207" s="18"/>
      <c r="EV207" s="422" t="n">
        <f t="shared" ref="EV207:GA207" si="970">(EV$197&lt;=Timing_Reversion_Month)*IFERROR((IF(CU?,MAX(MIN(EV196-EV201,EV204+EV205+EV206),0),EV201/$I$233*$H$233)),0)</f>
        <v>0</v>
      </c>
      <c r="EW207" s="422">
        <f t="shared" si="970"/>
        <v>20697.418964568598</v>
      </c>
      <c r="EX207" s="422">
        <f t="shared" si="970"/>
        <v>7136.8991101698402</v>
      </c>
      <c r="EY207" s="422">
        <f t="shared" si="970"/>
        <v>0</v>
      </c>
      <c r="EZ207" s="422">
        <f t="shared" si="970"/>
        <v>0</v>
      </c>
      <c r="FA207" s="422">
        <f t="shared" si="970"/>
        <v>0</v>
      </c>
      <c r="FB207" s="422">
        <f t="shared" si="970"/>
        <v>0</v>
      </c>
      <c r="FC207" s="422">
        <f t="shared" si="970"/>
        <v>0</v>
      </c>
      <c r="FD207" s="422">
        <f t="shared" si="970"/>
        <v>0</v>
      </c>
      <c r="FE207" s="422">
        <f t="shared" si="970"/>
        <v>0</v>
      </c>
      <c r="FF207" s="422">
        <f t="shared" si="970"/>
        <v>0</v>
      </c>
      <c r="FG207" s="422">
        <f t="shared" si="970"/>
        <v>0</v>
      </c>
      <c r="FH207" s="422">
        <f t="shared" si="970"/>
        <v>0</v>
      </c>
      <c r="FI207" s="422">
        <f t="shared" si="970"/>
        <v>0</v>
      </c>
      <c r="FJ207" s="422">
        <f t="shared" si="970"/>
        <v>0</v>
      </c>
      <c r="FK207" s="422">
        <f t="shared" si="970"/>
        <v>0</v>
      </c>
      <c r="FL207" s="422">
        <f t="shared" si="970"/>
        <v>0</v>
      </c>
      <c r="FM207" s="422">
        <f t="shared" si="970"/>
        <v>42655.977640512116</v>
      </c>
      <c r="FN207" s="422">
        <f t="shared" si="970"/>
        <v>183252.67770691717</v>
      </c>
      <c r="FO207" s="422">
        <f t="shared" si="970"/>
        <v>170533.10507888361</v>
      </c>
      <c r="FP207" s="422">
        <f t="shared" si="970"/>
        <v>162398.0719604654</v>
      </c>
      <c r="FQ207" s="422">
        <f t="shared" si="970"/>
        <v>193957.07916015596</v>
      </c>
      <c r="FR207" s="422">
        <f t="shared" si="970"/>
        <v>186520.16004445651</v>
      </c>
      <c r="FS207" s="422">
        <f t="shared" si="970"/>
        <v>179676.24575137324</v>
      </c>
      <c r="FT207" s="422">
        <f t="shared" si="970"/>
        <v>188808.64779545987</v>
      </c>
      <c r="FU207" s="422">
        <f t="shared" si="970"/>
        <v>183424.02026705141</v>
      </c>
      <c r="FV207" s="422">
        <f t="shared" si="970"/>
        <v>178812.56135686921</v>
      </c>
      <c r="FW207" s="422">
        <f t="shared" si="970"/>
        <v>184352.17664984387</v>
      </c>
      <c r="FX207" s="422">
        <f t="shared" si="970"/>
        <v>149768.51834205925</v>
      </c>
      <c r="FY207" s="422">
        <f t="shared" si="970"/>
        <v>78828.170146339718</v>
      </c>
      <c r="FZ207" s="422">
        <f t="shared" si="970"/>
        <v>132061.2559979037</v>
      </c>
      <c r="GA207" s="422">
        <f t="shared" si="970"/>
        <v>151856.45630436513</v>
      </c>
      <c r="GB207" s="422" t="n">
        <f t="shared" ref="GB207:HG207" si="971">(GB$197&lt;=Timing_Reversion_Month)*IFERROR((IF(CU?,MAX(MIN(GB196-GB201,GB204+GB205+GB206),0),GB201/$I$233*$H$233)),0)</f>
        <v>166597.00149289376</v>
      </c>
      <c r="GC207" s="422">
        <f t="shared" si="971"/>
        <v>177153.76001550633</v>
      </c>
      <c r="GD207" s="422">
        <f t="shared" si="971"/>
        <v>197050.77611878637</v>
      </c>
      <c r="GE207" s="422">
        <f t="shared" si="971"/>
        <v>201683.90638575447</v>
      </c>
      <c r="GF207" s="422">
        <f t="shared" si="971"/>
        <v>205096.64132294498</v>
      </c>
      <c r="GG207" s="422">
        <f t="shared" si="971"/>
        <v>183924.7834727673</v>
      </c>
      <c r="GH207" s="422">
        <f t="shared" si="971"/>
        <v>183290.65247524917</v>
      </c>
      <c r="GI207" s="422">
        <f t="shared" si="971"/>
        <v>182651.76549524968</v>
      </c>
      <c r="GJ207" s="422">
        <f t="shared" si="971"/>
        <v>182324.07566466738</v>
      </c>
      <c r="GK207" s="422">
        <f t="shared" si="971"/>
        <v>181675.56944257524</v>
      </c>
      <c r="GL207" s="422">
        <f t="shared" si="971"/>
        <v>181022.19942381745</v>
      </c>
      <c r="GM207" s="422">
        <f t="shared" si="971"/>
        <v>188570.02953404235</v>
      </c>
      <c r="GN207" s="422">
        <f t="shared" si="971"/>
        <v>187906.82221293962</v>
      </c>
      <c r="GO207" s="422">
        <f t="shared" si="971"/>
        <v>187238.64083692865</v>
      </c>
      <c r="GP207" s="422">
        <f t="shared" si="971"/>
        <v>188022.46893393091</v>
      </c>
      <c r="GQ207" s="422">
        <f t="shared" si="971"/>
        <v>187344.22725207737</v>
      </c>
      <c r="GR207" s="422">
        <f t="shared" si="971"/>
        <v>186660.89875760989</v>
      </c>
      <c r="GS207" s="422">
        <f t="shared" si="971"/>
        <v>179296.96047656561</v>
      </c>
      <c r="GT207" s="422">
        <f t="shared" si="971"/>
        <v>178603.3436174533</v>
      </c>
      <c r="GU207" s="422">
        <f t="shared" si="971"/>
        <v>177904.52463189769</v>
      </c>
      <c r="GV207" s="422">
        <f t="shared" si="971"/>
        <v>177515.92387895042</v>
      </c>
      <c r="GW207" s="422">
        <f t="shared" si="971"/>
        <v>176806.58330004348</v>
      </c>
      <c r="GX207" s="422">
        <f t="shared" si="971"/>
        <v>176091.92266679477</v>
      </c>
      <c r="GY207" s="422">
        <f t="shared" si="971"/>
        <v>182799.16487240978</v>
      </c>
      <c r="GZ207" s="422">
        <f t="shared" si="971"/>
        <v>182073.74413000175</v>
      </c>
      <c r="HA207" s="422">
        <f t="shared" si="971"/>
        <v>181342.88273202564</v>
      </c>
      <c r="HB207" s="422">
        <f t="shared" si="971"/>
        <v>182114.55643606465</v>
      </c>
      <c r="HC207" s="422">
        <f t="shared" si="971"/>
        <v>181372.69100616529</v>
      </c>
      <c r="HD207" s="422">
        <f t="shared" si="971"/>
        <v>180625.26158554165</v>
      </c>
      <c r="HE207" s="422">
        <f t="shared" si="971"/>
        <v>4869203.648326965</v>
      </c>
      <c r="HF207" s="422">
        <f t="shared" si="971"/>
        <v>0</v>
      </c>
      <c r="HG207" s="422">
        <f t="shared" si="971"/>
        <v>0</v>
      </c>
      <c r="HH207" s="422" t="n">
        <f t="shared" ref="HH207:IM207" si="972">(HH$197&lt;=Timing_Reversion_Month)*IFERROR((IF(CU?,MAX(MIN(HH196-HH201,HH204+HH205+HH206),0),HH201/$I$233*$H$233)),0)</f>
        <v>0</v>
      </c>
      <c r="HI207" s="422">
        <f t="shared" si="972"/>
        <v>0</v>
      </c>
      <c r="HJ207" s="422">
        <f t="shared" si="972"/>
        <v>0</v>
      </c>
      <c r="HK207" s="422">
        <f t="shared" si="972"/>
        <v>0</v>
      </c>
      <c r="HL207" s="422">
        <f t="shared" si="972"/>
        <v>0</v>
      </c>
      <c r="HM207" s="422">
        <f t="shared" si="972"/>
        <v>0</v>
      </c>
      <c r="HN207" s="422">
        <f t="shared" si="972"/>
        <v>0</v>
      </c>
      <c r="HO207" s="422">
        <f t="shared" si="972"/>
        <v>0</v>
      </c>
      <c r="HP207" s="422">
        <f t="shared" si="972"/>
        <v>0</v>
      </c>
      <c r="HQ207" s="422">
        <f t="shared" si="972"/>
        <v>0</v>
      </c>
      <c r="HR207" s="422">
        <f t="shared" si="972"/>
        <v>0</v>
      </c>
      <c r="HS207" s="422">
        <f t="shared" si="972"/>
        <v>0</v>
      </c>
      <c r="HT207" s="422">
        <f t="shared" si="972"/>
        <v>0</v>
      </c>
      <c r="HU207" s="422">
        <f t="shared" si="972"/>
        <v>0</v>
      </c>
      <c r="HV207" s="422">
        <f t="shared" si="972"/>
        <v>0</v>
      </c>
      <c r="HW207" s="422">
        <f t="shared" si="972"/>
        <v>0</v>
      </c>
      <c r="HX207" s="422">
        <f t="shared" si="972"/>
        <v>0</v>
      </c>
      <c r="HY207" s="422">
        <f t="shared" si="972"/>
        <v>0</v>
      </c>
      <c r="HZ207" s="422">
        <f t="shared" si="972"/>
        <v>0</v>
      </c>
      <c r="IA207" s="422">
        <f t="shared" si="972"/>
        <v>0</v>
      </c>
      <c r="IB207" s="422">
        <f t="shared" si="972"/>
        <v>0</v>
      </c>
      <c r="IC207" s="422">
        <f t="shared" si="972"/>
        <v>0</v>
      </c>
      <c r="ID207" s="422">
        <f t="shared" si="972"/>
        <v>0</v>
      </c>
      <c r="IE207" s="422">
        <f t="shared" si="972"/>
        <v>0</v>
      </c>
      <c r="IF207" s="422">
        <f t="shared" si="972"/>
        <v>0</v>
      </c>
      <c r="IG207" s="422">
        <f t="shared" si="972"/>
        <v>0</v>
      </c>
      <c r="IH207" s="422">
        <f t="shared" si="972"/>
        <v>0</v>
      </c>
      <c r="II207" s="422">
        <f t="shared" si="972"/>
        <v>0</v>
      </c>
      <c r="IJ207" s="422">
        <f t="shared" si="972"/>
        <v>0</v>
      </c>
      <c r="IK207" s="422">
        <f t="shared" si="972"/>
        <v>0</v>
      </c>
      <c r="IL207" s="422">
        <f t="shared" si="972"/>
        <v>0</v>
      </c>
      <c r="IM207" s="422">
        <f t="shared" si="972"/>
        <v>0</v>
      </c>
      <c r="IN207" s="422" t="n">
        <f t="shared" ref="IN207:JS207" si="973">(IN$197&lt;=Timing_Reversion_Month)*IFERROR((IF(CU?,MAX(MIN(IN196-IN201,IN204+IN205+IN206),0),IN201/$I$233*$H$233)),0)</f>
        <v>0</v>
      </c>
      <c r="IO207" s="422">
        <f t="shared" si="973"/>
        <v>0</v>
      </c>
      <c r="IP207" s="422">
        <f t="shared" si="973"/>
        <v>0</v>
      </c>
      <c r="IQ207" s="422">
        <f t="shared" si="973"/>
        <v>0</v>
      </c>
      <c r="IR207" s="422">
        <f t="shared" si="973"/>
        <v>0</v>
      </c>
      <c r="IS207" s="422">
        <f t="shared" si="973"/>
        <v>0</v>
      </c>
      <c r="IT207" s="422">
        <f t="shared" si="973"/>
        <v>0</v>
      </c>
      <c r="IU207" s="422">
        <f t="shared" si="973"/>
        <v>0</v>
      </c>
      <c r="IV207" s="422">
        <f t="shared" si="973"/>
        <v>0</v>
      </c>
      <c r="IW207" s="422">
        <f t="shared" si="973"/>
        <v>0</v>
      </c>
      <c r="IX207" s="422">
        <f t="shared" si="973"/>
        <v>0</v>
      </c>
      <c r="IY207" s="422">
        <f t="shared" si="973"/>
        <v>0</v>
      </c>
      <c r="IZ207" s="422">
        <f t="shared" si="973"/>
        <v>0</v>
      </c>
      <c r="JA207" s="422">
        <f t="shared" si="973"/>
        <v>0</v>
      </c>
      <c r="JB207" s="422">
        <f t="shared" si="973"/>
        <v>0</v>
      </c>
      <c r="JC207" s="422">
        <f t="shared" si="973"/>
        <v>0</v>
      </c>
      <c r="JD207" s="422">
        <f t="shared" si="973"/>
        <v>0</v>
      </c>
      <c r="JE207" s="422">
        <f t="shared" si="973"/>
        <v>0</v>
      </c>
      <c r="JF207" s="422">
        <f t="shared" si="973"/>
        <v>0</v>
      </c>
      <c r="JG207" s="422">
        <f t="shared" si="973"/>
        <v>0</v>
      </c>
      <c r="JH207" s="422">
        <f t="shared" si="973"/>
        <v>0</v>
      </c>
      <c r="JI207" s="422">
        <f t="shared" si="973"/>
        <v>0</v>
      </c>
      <c r="JJ207" s="422">
        <f t="shared" si="973"/>
        <v>0</v>
      </c>
      <c r="JK207" s="422">
        <f t="shared" si="973"/>
        <v>0</v>
      </c>
      <c r="JL207" s="422">
        <f t="shared" si="973"/>
        <v>0</v>
      </c>
      <c r="JM207" s="422">
        <f t="shared" si="973"/>
        <v>0</v>
      </c>
      <c r="JN207" s="422">
        <f t="shared" si="973"/>
        <v>0</v>
      </c>
      <c r="JO207" s="422">
        <f t="shared" si="973"/>
        <v>0</v>
      </c>
      <c r="JP207" s="422">
        <f t="shared" si="973"/>
        <v>0</v>
      </c>
      <c r="JQ207" s="422">
        <f t="shared" si="973"/>
        <v>0</v>
      </c>
      <c r="JR207" s="422">
        <f t="shared" si="973"/>
        <v>0</v>
      </c>
      <c r="JS207" s="422">
        <f t="shared" si="973"/>
        <v>0</v>
      </c>
      <c r="JT207" s="422" t="n">
        <f t="shared" ref="JT207:JX207" si="974">(JT$197&lt;=Timing_Reversion_Month)*IFERROR((IF(CU?,MAX(MIN(JT196-JT201,JT204+JT205+JT206),0),JT201/$I$233*$H$233)),0)</f>
        <v>0</v>
      </c>
      <c r="JU207" s="422">
        <f t="shared" si="974"/>
        <v>0</v>
      </c>
      <c r="JV207" s="422">
        <f t="shared" si="974"/>
        <v>0</v>
      </c>
      <c r="JW207" s="422">
        <f t="shared" si="974"/>
        <v>0</v>
      </c>
      <c r="JX207" s="422">
        <f t="shared" si="974"/>
        <v>0</v>
      </c>
      <c r="JZ207" s="263"/>
      <c r="KA207" s="263"/>
      <c r="KB207" s="263"/>
      <c r="KC207" s="263"/>
      <c r="KD207" s="263"/>
      <c r="KE207" s="263"/>
      <c r="KF207" s="263"/>
      <c r="KG207" s="263"/>
      <c r="KH207" s="263"/>
      <c r="KI207" s="263"/>
      <c r="KJ207" s="263"/>
      <c r="KK207" s="263"/>
      <c r="KL207" s="263"/>
      <c r="KM207" s="263"/>
      <c r="KN207" s="263"/>
      <c r="KO207" s="263"/>
      <c r="KP207" s="263"/>
      <c r="KQ207" s="263"/>
      <c r="KR207" s="263"/>
      <c r="KS207" s="263"/>
      <c r="KT207" s="263"/>
      <c r="KU207" s="263"/>
      <c r="KV207" s="263"/>
      <c r="KW207" s="263"/>
      <c r="KX207" s="263"/>
      <c r="KY207" s="263"/>
      <c r="KZ207" s="263"/>
      <c r="LA207" s="263"/>
      <c r="LB207" s="263"/>
      <c r="LC207" s="263"/>
      <c r="LD207" s="263"/>
      <c r="LE207" s="263"/>
      <c r="LF207" s="263"/>
      <c r="LG207" s="263"/>
      <c r="LH207" s="263"/>
      <c r="LI207" s="263"/>
      <c r="LJ207" s="263"/>
      <c r="LK207" s="263"/>
      <c r="LL207" s="263"/>
      <c r="LM207" s="263"/>
      <c r="LN207" s="263"/>
      <c r="LO207" s="263"/>
      <c r="LP207" s="263"/>
      <c r="LQ207" s="263"/>
      <c r="LR207" s="263"/>
      <c r="LS207" s="263"/>
      <c r="LT207" s="263"/>
      <c r="LU207" s="263"/>
      <c r="LV207" s="263"/>
      <c r="LW207" s="263"/>
      <c r="LX207" s="263"/>
      <c r="LY207" s="263"/>
      <c r="LZ207" s="263"/>
      <c r="MA207" s="263"/>
      <c r="MB207" s="263"/>
      <c r="MC207" s="263"/>
      <c r="MD207" s="263"/>
      <c r="ME207" s="263"/>
      <c r="MF207" s="263"/>
      <c r="MG207" s="263"/>
      <c r="MH207" s="263"/>
      <c r="MI207" s="263"/>
      <c r="MJ207" s="263"/>
      <c r="MK207" s="263"/>
      <c r="ML207" s="263"/>
      <c r="MM207" s="263"/>
      <c r="MN207" s="263"/>
      <c r="MO207" s="263"/>
      <c r="MP207" s="263"/>
      <c r="MQ207" s="263"/>
      <c r="MR207" s="263"/>
      <c r="MS207" s="263"/>
      <c r="MT207" s="263"/>
      <c r="MU207" s="263"/>
      <c r="MV207" s="263"/>
      <c r="MW207" s="263"/>
      <c r="MX207" s="263"/>
      <c r="MY207" s="263"/>
      <c r="MZ207" s="263"/>
      <c r="NA207" s="263"/>
      <c r="NB207" s="263"/>
      <c r="NC207" s="263"/>
      <c r="ND207" s="263"/>
      <c r="NE207" s="263"/>
      <c r="NF207" s="263"/>
      <c r="NG207" s="263"/>
      <c r="NH207" s="263"/>
      <c r="NI207" s="263"/>
      <c r="NJ207" s="263"/>
      <c r="NK207" s="263"/>
      <c r="NL207" s="263"/>
      <c r="NM207" s="263"/>
      <c r="NN207" s="263"/>
      <c r="NO207" s="263"/>
      <c r="NP207" s="263"/>
      <c r="NQ207" s="263"/>
      <c r="NR207" s="263"/>
      <c r="NS207" s="263"/>
      <c r="NT207" s="263"/>
      <c r="NU207" s="263"/>
      <c r="NV207" s="263"/>
      <c r="NW207" s="263"/>
      <c r="NX207" s="263"/>
      <c r="NY207" s="263"/>
      <c r="NZ207" s="263"/>
      <c r="OA207" s="263"/>
      <c r="OB207" s="263"/>
      <c r="OC207" s="263"/>
      <c r="OD207" s="263"/>
      <c r="OE207" s="263"/>
      <c r="OF207" s="263"/>
      <c r="OG207" s="263"/>
      <c r="OH207" s="263"/>
      <c r="OI207" s="263"/>
      <c r="OJ207" s="263"/>
      <c r="OK207" s="263"/>
      <c r="OL207" s="263"/>
      <c r="OM207" s="263"/>
      <c r="ON207" s="263"/>
      <c r="OO207" s="263"/>
      <c r="OP207" s="263"/>
      <c r="OQ207" s="263"/>
      <c r="OR207" s="263"/>
      <c r="OS207" s="263"/>
      <c r="OT207" s="263"/>
      <c r="OU207" s="263"/>
      <c r="OV207" s="263"/>
      <c r="OW207" s="263"/>
      <c r="OX207" s="263"/>
      <c r="OY207" s="263"/>
      <c r="OZ207" s="263"/>
      <c r="PA207" s="263"/>
      <c r="PB207" s="263"/>
      <c r="PC207" s="263"/>
      <c r="PD207" s="263"/>
      <c r="PE207" s="263"/>
      <c r="PF207" s="263"/>
      <c r="PG207" s="263"/>
      <c r="PH207" s="263"/>
    </row>
    <row r="208">
      <c r="B208" s="34" t="s">
        <v>384</v>
      </c>
      <c r="C208" s="404"/>
      <c r="D208" s="404"/>
      <c r="E208" s="404"/>
      <c r="F208" s="404"/>
      <c r="G208" s="404"/>
      <c r="H208" s="41"/>
      <c r="I208" s="449" t="n">
        <f>SUM(I205:I207)+I200</f>
        <v>822622480.2007028</v>
      </c>
      <c r="K208" s="5"/>
      <c r="L208" s="462" t="str">
        <f>IF(L194="","",SUM(L205:L207,L200))</f>
      </c>
      <c r="M208" s="462" t="n">
        <f t="shared" ref="M208:BX208" si="975">IF(M194="","",SUM(M205:M207,M200))</f>
        <v>0</v>
      </c>
      <c r="N208" s="462">
        <f t="shared" si="975"/>
        <v>0</v>
      </c>
      <c r="O208" s="462">
        <f t="shared" si="975"/>
        <v>0</v>
      </c>
      <c r="P208" s="462">
        <f t="shared" si="975"/>
        <v>0</v>
      </c>
      <c r="Q208" s="462">
        <f t="shared" si="975"/>
        <v>0</v>
      </c>
      <c r="R208" s="462">
        <f t="shared" si="975"/>
        <v>0</v>
      </c>
      <c r="S208" s="462">
        <f t="shared" si="975"/>
        <v>0</v>
      </c>
      <c r="T208" s="462">
        <f t="shared" si="975"/>
        <v>0</v>
      </c>
      <c r="U208" s="462">
        <f t="shared" si="975"/>
        <v>0</v>
      </c>
      <c r="V208" s="462">
        <f t="shared" si="975"/>
        <v>0</v>
      </c>
      <c r="W208" s="462">
        <f t="shared" si="975"/>
        <v>0</v>
      </c>
      <c r="X208" s="462">
        <f t="shared" si="975"/>
        <v>0</v>
      </c>
      <c r="Y208" s="462">
        <f t="shared" si="975"/>
        <v>0</v>
      </c>
      <c r="Z208" s="462">
        <f t="shared" si="975"/>
        <v>0</v>
      </c>
      <c r="AA208" s="462">
        <f t="shared" si="975"/>
        <v>0</v>
      </c>
      <c r="AB208" s="462">
        <f t="shared" si="975"/>
        <v>0</v>
      </c>
      <c r="AC208" s="462">
        <f t="shared" si="975"/>
        <v>0</v>
      </c>
      <c r="AD208" s="462">
        <f t="shared" si="975"/>
        <v>0</v>
      </c>
      <c r="AE208" s="462">
        <f t="shared" si="975"/>
        <v>0</v>
      </c>
      <c r="AF208" s="462">
        <f t="shared" si="975"/>
        <v>0</v>
      </c>
      <c r="AG208" s="462">
        <f t="shared" si="975"/>
        <v>0</v>
      </c>
      <c r="AH208" s="462">
        <f t="shared" si="975"/>
        <v>0</v>
      </c>
      <c r="AI208" s="462">
        <f t="shared" si="975"/>
        <v>0</v>
      </c>
      <c r="AJ208" s="462">
        <f t="shared" si="975"/>
        <v>0</v>
      </c>
      <c r="AK208" s="462">
        <f t="shared" si="975"/>
        <v>0</v>
      </c>
      <c r="AL208" s="462">
        <f t="shared" si="975"/>
        <v>0</v>
      </c>
      <c r="AM208" s="462">
        <f t="shared" si="975"/>
        <v>0</v>
      </c>
      <c r="AN208" s="462">
        <f t="shared" si="975"/>
        <v>0</v>
      </c>
      <c r="AO208" s="462">
        <f t="shared" si="975"/>
        <v>0</v>
      </c>
      <c r="AP208" s="462">
        <f t="shared" si="975"/>
        <v>0</v>
      </c>
      <c r="AQ208" s="462">
        <f t="shared" si="975"/>
        <v>0</v>
      </c>
      <c r="AR208" s="462">
        <f t="shared" si="975"/>
        <v>0</v>
      </c>
      <c r="AS208" s="462">
        <f t="shared" si="975"/>
        <v>0</v>
      </c>
      <c r="AT208" s="462">
        <f t="shared" si="975"/>
        <v>0</v>
      </c>
      <c r="AU208" s="462">
        <f t="shared" si="975"/>
        <v>0</v>
      </c>
      <c r="AV208" s="462">
        <f t="shared" si="975"/>
        <v>0</v>
      </c>
      <c r="AW208" s="462">
        <f t="shared" si="975"/>
        <v>0</v>
      </c>
      <c r="AX208" s="462">
        <f t="shared" si="975"/>
        <v>0</v>
      </c>
      <c r="AY208" s="462">
        <f t="shared" si="975"/>
        <v>0</v>
      </c>
      <c r="AZ208" s="462">
        <f t="shared" si="975"/>
        <v>0</v>
      </c>
      <c r="BA208" s="462">
        <f t="shared" si="975"/>
        <v>0</v>
      </c>
      <c r="BB208" s="462">
        <f t="shared" si="975"/>
        <v>0</v>
      </c>
      <c r="BC208" s="462">
        <f t="shared" si="975"/>
        <v>0</v>
      </c>
      <c r="BD208" s="272">
        <f t="shared" si="975"/>
        <v>0</v>
      </c>
      <c r="BE208" s="272">
        <f t="shared" si="975"/>
        <v>0</v>
      </c>
      <c r="BF208" s="272">
        <f t="shared" si="975"/>
        <v>0</v>
      </c>
      <c r="BG208" s="272">
        <f t="shared" si="975"/>
        <v>0</v>
      </c>
      <c r="BH208" s="272">
        <f t="shared" si="975"/>
        <v>0</v>
      </c>
      <c r="BI208" s="272">
        <f t="shared" si="975"/>
        <v>0</v>
      </c>
      <c r="BJ208" s="272">
        <f t="shared" si="975"/>
        <v>0</v>
      </c>
      <c r="BK208" s="272">
        <f t="shared" si="975"/>
        <v>0</v>
      </c>
      <c r="BL208" s="272">
        <f t="shared" si="975"/>
        <v>0</v>
      </c>
      <c r="BM208" s="272">
        <f t="shared" si="975"/>
        <v>0</v>
      </c>
      <c r="BN208" s="272">
        <f t="shared" si="975"/>
        <v>0</v>
      </c>
      <c r="BO208" s="272">
        <f t="shared" si="975"/>
        <v>0</v>
      </c>
      <c r="BP208" s="272">
        <f t="shared" si="975"/>
        <v>0</v>
      </c>
      <c r="BQ208" s="272">
        <f t="shared" si="975"/>
        <v>0</v>
      </c>
      <c r="BR208" s="272">
        <f t="shared" si="975"/>
        <v>0</v>
      </c>
      <c r="BS208" s="272">
        <f t="shared" si="975"/>
        <v>0</v>
      </c>
      <c r="BT208" s="272">
        <f t="shared" si="975"/>
        <v>0</v>
      </c>
      <c r="BU208" s="272">
        <f t="shared" si="975"/>
        <v>822622480.20070279</v>
      </c>
      <c r="BV208" s="272" t="str">
        <f t="shared" si="975"/>
      </c>
      <c r="BW208" s="272" t="str">
        <f t="shared" si="975"/>
      </c>
      <c r="BX208" s="272" t="str">
        <f t="shared" si="975"/>
      </c>
      <c r="BY208" s="272" t="str">
        <f t="shared" ref="BY208:EJ208" si="976">IF(BY194="","",SUM(BY205:BY207,BY200))</f>
      </c>
      <c r="BZ208" s="272" t="str">
        <f t="shared" si="976"/>
      </c>
      <c r="CA208" s="272" t="str">
        <f t="shared" si="976"/>
      </c>
      <c r="CB208" s="272" t="str">
        <f t="shared" si="976"/>
      </c>
      <c r="CC208" s="272" t="str">
        <f t="shared" si="976"/>
      </c>
      <c r="CD208" s="272" t="str">
        <f t="shared" si="976"/>
      </c>
      <c r="CE208" s="272" t="str">
        <f t="shared" si="976"/>
      </c>
      <c r="CF208" s="272" t="str">
        <f t="shared" si="976"/>
      </c>
      <c r="CG208" s="272" t="str">
        <f t="shared" si="976"/>
      </c>
      <c r="CH208" s="272" t="str">
        <f t="shared" si="976"/>
      </c>
      <c r="CI208" s="272" t="str">
        <f t="shared" si="976"/>
      </c>
      <c r="CJ208" s="272" t="str">
        <f t="shared" si="976"/>
      </c>
      <c r="CK208" s="272" t="str">
        <f t="shared" si="976"/>
      </c>
      <c r="CL208" s="272" t="str">
        <f t="shared" si="976"/>
      </c>
      <c r="CM208" s="272" t="str">
        <f t="shared" si="976"/>
      </c>
      <c r="CN208" s="272" t="str">
        <f t="shared" si="976"/>
      </c>
      <c r="CO208" s="272" t="str">
        <f t="shared" si="976"/>
      </c>
      <c r="CP208" s="272" t="str">
        <f t="shared" si="976"/>
      </c>
      <c r="CQ208" s="272" t="str">
        <f t="shared" si="976"/>
      </c>
      <c r="CR208" s="272" t="str">
        <f t="shared" si="976"/>
      </c>
      <c r="CS208" s="272" t="str">
        <f t="shared" si="976"/>
      </c>
      <c r="CT208" s="272" t="str">
        <f t="shared" si="976"/>
      </c>
      <c r="CU208" s="272" t="str">
        <f t="shared" si="976"/>
      </c>
      <c r="CV208" s="272" t="str">
        <f t="shared" si="976"/>
      </c>
      <c r="CW208" s="272" t="str">
        <f t="shared" si="976"/>
      </c>
      <c r="CX208" s="272" t="str">
        <f t="shared" si="976"/>
      </c>
      <c r="CY208" s="272" t="str">
        <f t="shared" si="976"/>
      </c>
      <c r="CZ208" s="272" t="str">
        <f t="shared" si="976"/>
      </c>
      <c r="DA208" s="272" t="str">
        <f t="shared" si="976"/>
      </c>
      <c r="DB208" s="272" t="str">
        <f t="shared" si="976"/>
      </c>
      <c r="DC208" s="272" t="str">
        <f t="shared" si="976"/>
      </c>
      <c r="DD208" s="272" t="str">
        <f t="shared" si="976"/>
      </c>
      <c r="DE208" s="272" t="str">
        <f t="shared" si="976"/>
      </c>
      <c r="DF208" s="272" t="str">
        <f t="shared" si="976"/>
      </c>
      <c r="DG208" s="272" t="str">
        <f t="shared" si="976"/>
      </c>
      <c r="DH208" s="272" t="str">
        <f t="shared" si="976"/>
      </c>
      <c r="DI208" s="272" t="str">
        <f t="shared" si="976"/>
      </c>
      <c r="DJ208" s="272" t="str">
        <f t="shared" si="976"/>
      </c>
      <c r="DK208" s="272" t="str">
        <f t="shared" si="976"/>
      </c>
      <c r="DL208" s="272" t="str">
        <f t="shared" si="976"/>
      </c>
      <c r="DM208" s="272" t="str">
        <f t="shared" si="976"/>
      </c>
      <c r="DN208" s="272" t="str">
        <f t="shared" si="976"/>
      </c>
      <c r="DO208" s="272" t="str">
        <f t="shared" si="976"/>
      </c>
      <c r="DP208" s="272" t="str">
        <f t="shared" si="976"/>
      </c>
      <c r="DQ208" s="272" t="str">
        <f t="shared" si="976"/>
      </c>
      <c r="DR208" s="272" t="str">
        <f t="shared" si="976"/>
      </c>
      <c r="DS208" s="272" t="str">
        <f t="shared" si="976"/>
      </c>
      <c r="DT208" s="272" t="str">
        <f t="shared" si="976"/>
      </c>
      <c r="DU208" s="272" t="str">
        <f t="shared" si="976"/>
      </c>
      <c r="DV208" s="272" t="str">
        <f t="shared" si="976"/>
      </c>
      <c r="DW208" s="272" t="str">
        <f t="shared" si="976"/>
      </c>
      <c r="DX208" s="272" t="str">
        <f t="shared" si="976"/>
      </c>
      <c r="DY208" s="272" t="str">
        <f t="shared" si="976"/>
      </c>
      <c r="DZ208" s="272" t="str">
        <f t="shared" si="976"/>
      </c>
      <c r="EA208" s="272" t="str">
        <f t="shared" si="976"/>
      </c>
      <c r="EB208" s="272" t="str">
        <f t="shared" si="976"/>
      </c>
      <c r="EC208" s="272" t="str">
        <f t="shared" si="976"/>
      </c>
      <c r="ED208" s="272" t="str">
        <f t="shared" si="976"/>
      </c>
      <c r="EE208" s="272" t="str">
        <f t="shared" si="976"/>
      </c>
      <c r="EF208" s="272" t="str">
        <f t="shared" si="976"/>
      </c>
      <c r="EG208" s="272" t="str">
        <f t="shared" si="976"/>
      </c>
      <c r="EH208" s="272" t="str">
        <f t="shared" si="976"/>
      </c>
      <c r="EI208" s="272" t="str">
        <f t="shared" si="976"/>
      </c>
      <c r="EJ208" s="272" t="str">
        <f t="shared" si="976"/>
      </c>
      <c r="EK208" s="272" t="str">
        <f t="shared" ref="EK208:EN208" si="977">IF(EK194="","",SUM(EK205:EK207,EK200))</f>
      </c>
      <c r="EL208" s="272" t="str">
        <f t="shared" si="977"/>
      </c>
      <c r="EM208" s="272" t="str">
        <f t="shared" si="977"/>
      </c>
      <c r="EN208" s="272" t="str">
        <f t="shared" si="977"/>
      </c>
      <c r="EO208" s="5"/>
      <c r="EP208" s="446"/>
      <c r="EQ208" s="263"/>
      <c r="ER208" s="263"/>
      <c r="ES208" s="263"/>
      <c r="ET208" s="18" t="s">
        <v>385</v>
      </c>
      <c r="EU208" s="82"/>
      <c r="EV208" s="422" t="n">
        <f t="shared" ref="EV208:GA208" si="978">(EV$197&lt;=Timing_Reversion_Month)*(EV204+EV205+EV206-EV207)</f>
        <v>0</v>
      </c>
      <c r="EW208" s="422">
        <f t="shared" si="978"/>
        <v>4362406.6209051721</v>
      </c>
      <c r="EX208" s="422">
        <f t="shared" si="978"/>
        <v>4386710.9967483208</v>
      </c>
      <c r="EY208" s="422">
        <f t="shared" si="978"/>
        <v>4430557.1961260568</v>
      </c>
      <c r="EZ208" s="422">
        <f t="shared" si="978"/>
        <v>4501551.2507535294</v>
      </c>
      <c r="FA208" s="422">
        <f t="shared" si="978"/>
        <v>4614815.6013283571</v>
      </c>
      <c r="FB208" s="422">
        <f t="shared" si="978"/>
        <v>4740834.6996016707</v>
      </c>
      <c r="FC208" s="422">
        <f t="shared" si="978"/>
        <v>4926841.5019608941</v>
      </c>
      <c r="FD208" s="422">
        <f t="shared" si="978"/>
        <v>5186134.4467269741</v>
      </c>
      <c r="FE208" s="422">
        <f t="shared" si="978"/>
        <v>5531871.4957013763</v>
      </c>
      <c r="FF208" s="422">
        <f t="shared" si="978"/>
        <v>5975880.1278255358</v>
      </c>
      <c r="FG208" s="422">
        <f t="shared" si="978"/>
        <v>6527291.8871590225</v>
      </c>
      <c r="FH208" s="422">
        <f t="shared" si="978"/>
        <v>7191151.9597671749</v>
      </c>
      <c r="FI208" s="422">
        <f t="shared" si="978"/>
        <v>7967195.2916149758</v>
      </c>
      <c r="FJ208" s="422">
        <f t="shared" si="978"/>
        <v>8848993.4059750382</v>
      </c>
      <c r="FK208" s="422">
        <f t="shared" si="978"/>
        <v>9823651.4946295507</v>
      </c>
      <c r="FL208" s="422">
        <f t="shared" si="978"/>
        <v>10064688.822580764</v>
      </c>
      <c r="FM208" s="422">
        <f t="shared" si="978"/>
        <v>10094572.311360899</v>
      </c>
      <c r="FN208" s="422">
        <f t="shared" si="978"/>
        <v>9984074.4800400808</v>
      </c>
      <c r="FO208" s="422">
        <f t="shared" si="978"/>
        <v>9885499.827751236</v>
      </c>
      <c r="FP208" s="422">
        <f t="shared" si="978"/>
        <v>9794349.7491909862</v>
      </c>
      <c r="FQ208" s="422">
        <f t="shared" si="978"/>
        <v>9670983.7153445724</v>
      </c>
      <c r="FR208" s="422">
        <f t="shared" si="978"/>
        <v>9554165.4617216978</v>
      </c>
      <c r="FS208" s="422">
        <f t="shared" si="978"/>
        <v>9443349.1754688192</v>
      </c>
      <c r="FT208" s="422">
        <f t="shared" si="978"/>
        <v>9322601.7983681373</v>
      </c>
      <c r="FU208" s="422">
        <f t="shared" si="978"/>
        <v>9206368.7834095228</v>
      </c>
      <c r="FV208" s="422">
        <f t="shared" si="978"/>
        <v>9093909.4984422754</v>
      </c>
      <c r="FW208" s="422">
        <f t="shared" si="978"/>
        <v>8975100.0677553918</v>
      </c>
      <c r="FX208" s="422">
        <f t="shared" si="978"/>
        <v>8890017.9973963257</v>
      </c>
      <c r="FY208" s="422">
        <f t="shared" si="978"/>
        <v>8875263.061243495</v>
      </c>
      <c r="FZ208" s="422">
        <f t="shared" si="978"/>
        <v>8807168.6956437379</v>
      </c>
      <c r="GA208" s="422">
        <f t="shared" si="978"/>
        <v>8718788.3516286351</v>
      </c>
      <c r="GB208" s="422" t="n">
        <f t="shared" ref="GB208:HG208" si="979">(GB$197&lt;=Timing_Reversion_Month)*(GB204+GB205+GB206-GB207)</f>
        <v>8615030.476710897</v>
      </c>
      <c r="GC208" s="422">
        <f t="shared" si="979"/>
        <v>8499968.0267194174</v>
      </c>
      <c r="GD208" s="422">
        <f t="shared" si="979"/>
        <v>8364179.2683460219</v>
      </c>
      <c r="GE208" s="422">
        <f t="shared" si="979"/>
        <v>8222778.7062213654</v>
      </c>
      <c r="GF208" s="422">
        <f t="shared" si="979"/>
        <v>8076946.2895912016</v>
      </c>
      <c r="GG208" s="422">
        <f t="shared" si="979"/>
        <v>7951234.6694345893</v>
      </c>
      <c r="GH208" s="422">
        <f t="shared" si="979"/>
        <v>7825251.135984431</v>
      </c>
      <c r="GI208" s="422">
        <f t="shared" si="979"/>
        <v>7698998.4854561873</v>
      </c>
      <c r="GJ208" s="422">
        <f t="shared" si="979"/>
        <v>7572163.5810866496</v>
      </c>
      <c r="GK208" s="422">
        <f t="shared" si="979"/>
        <v>7445063.0427756421</v>
      </c>
      <c r="GL208" s="422">
        <f t="shared" si="979"/>
        <v>7317699.8198101297</v>
      </c>
      <c r="GM208" s="422">
        <f t="shared" si="979"/>
        <v>7181870.8188078944</v>
      </c>
      <c r="GN208" s="422">
        <f t="shared" si="979"/>
        <v>7045726.0616008304</v>
      </c>
      <c r="GO208" s="422">
        <f t="shared" si="979"/>
        <v>6909268.2464867895</v>
      </c>
      <c r="GP208" s="422">
        <f t="shared" si="979"/>
        <v>6771043.107683206</v>
      </c>
      <c r="GQ208" s="422">
        <f t="shared" si="979"/>
        <v>6632499.9772957005</v>
      </c>
      <c r="GR208" s="422">
        <f t="shared" si="979"/>
        <v>6493641.6502687307</v>
      </c>
      <c r="GS208" s="422">
        <f t="shared" si="979"/>
        <v>6361146.4646647843</v>
      </c>
      <c r="GT208" s="422">
        <f t="shared" si="979"/>
        <v>6228389.9602794703</v>
      </c>
      <c r="GU208" s="422">
        <f t="shared" si="979"/>
        <v>6095375.4558302863</v>
      </c>
      <c r="GV208" s="422">
        <f t="shared" si="979"/>
        <v>5961790.8735947497</v>
      </c>
      <c r="GW208" s="422">
        <f t="shared" si="979"/>
        <v>5827952.8446638966</v>
      </c>
      <c r="GX208" s="422">
        <f t="shared" si="979"/>
        <v>5693864.8624197934</v>
      </c>
      <c r="GY208" s="422">
        <f t="shared" si="979"/>
        <v>5552103.2225292334</v>
      </c>
      <c r="GZ208" s="422">
        <f t="shared" si="979"/>
        <v>5410045.2814085651</v>
      </c>
      <c r="HA208" s="422">
        <f t="shared" si="979"/>
        <v>5267694.3441745909</v>
      </c>
      <c r="HB208" s="422">
        <f t="shared" si="979"/>
        <v>5123545.7640075777</v>
      </c>
      <c r="HC208" s="422">
        <f t="shared" si="979"/>
        <v>4979100.1238476383</v>
      </c>
      <c r="HD208" s="422">
        <f t="shared" si="979"/>
        <v>4834360.8466780828</v>
      </c>
      <c r="HE208" s="422">
        <f t="shared" si="979"/>
        <v>-9.3132257461547852E-10</v>
      </c>
      <c r="HF208" s="422">
        <f t="shared" si="979"/>
        <v>0</v>
      </c>
      <c r="HG208" s="422">
        <f t="shared" si="979"/>
        <v>0</v>
      </c>
      <c r="HH208" s="422" t="n">
        <f t="shared" ref="HH208:IM208" si="980">(HH$197&lt;=Timing_Reversion_Month)*(HH204+HH205+HH206-HH207)</f>
        <v>0</v>
      </c>
      <c r="HI208" s="422">
        <f t="shared" si="980"/>
        <v>0</v>
      </c>
      <c r="HJ208" s="422">
        <f t="shared" si="980"/>
        <v>0</v>
      </c>
      <c r="HK208" s="422">
        <f t="shared" si="980"/>
        <v>0</v>
      </c>
      <c r="HL208" s="422">
        <f t="shared" si="980"/>
        <v>0</v>
      </c>
      <c r="HM208" s="422">
        <f t="shared" si="980"/>
        <v>0</v>
      </c>
      <c r="HN208" s="422">
        <f t="shared" si="980"/>
        <v>0</v>
      </c>
      <c r="HO208" s="422">
        <f t="shared" si="980"/>
        <v>0</v>
      </c>
      <c r="HP208" s="422">
        <f t="shared" si="980"/>
        <v>0</v>
      </c>
      <c r="HQ208" s="422">
        <f t="shared" si="980"/>
        <v>0</v>
      </c>
      <c r="HR208" s="422">
        <f t="shared" si="980"/>
        <v>0</v>
      </c>
      <c r="HS208" s="422">
        <f t="shared" si="980"/>
        <v>0</v>
      </c>
      <c r="HT208" s="422">
        <f t="shared" si="980"/>
        <v>0</v>
      </c>
      <c r="HU208" s="422">
        <f t="shared" si="980"/>
        <v>0</v>
      </c>
      <c r="HV208" s="422">
        <f t="shared" si="980"/>
        <v>0</v>
      </c>
      <c r="HW208" s="422">
        <f t="shared" si="980"/>
        <v>0</v>
      </c>
      <c r="HX208" s="422">
        <f t="shared" si="980"/>
        <v>0</v>
      </c>
      <c r="HY208" s="422">
        <f t="shared" si="980"/>
        <v>0</v>
      </c>
      <c r="HZ208" s="422">
        <f t="shared" si="980"/>
        <v>0</v>
      </c>
      <c r="IA208" s="422">
        <f t="shared" si="980"/>
        <v>0</v>
      </c>
      <c r="IB208" s="422">
        <f t="shared" si="980"/>
        <v>0</v>
      </c>
      <c r="IC208" s="422">
        <f t="shared" si="980"/>
        <v>0</v>
      </c>
      <c r="ID208" s="422">
        <f t="shared" si="980"/>
        <v>0</v>
      </c>
      <c r="IE208" s="422">
        <f t="shared" si="980"/>
        <v>0</v>
      </c>
      <c r="IF208" s="422">
        <f t="shared" si="980"/>
        <v>0</v>
      </c>
      <c r="IG208" s="422">
        <f t="shared" si="980"/>
        <v>0</v>
      </c>
      <c r="IH208" s="422">
        <f t="shared" si="980"/>
        <v>0</v>
      </c>
      <c r="II208" s="422">
        <f t="shared" si="980"/>
        <v>0</v>
      </c>
      <c r="IJ208" s="422">
        <f t="shared" si="980"/>
        <v>0</v>
      </c>
      <c r="IK208" s="422">
        <f t="shared" si="980"/>
        <v>0</v>
      </c>
      <c r="IL208" s="422">
        <f t="shared" si="980"/>
        <v>0</v>
      </c>
      <c r="IM208" s="422">
        <f t="shared" si="980"/>
        <v>0</v>
      </c>
      <c r="IN208" s="422" t="n">
        <f t="shared" ref="IN208:JS208" si="981">(IN$197&lt;=Timing_Reversion_Month)*(IN204+IN205+IN206-IN207)</f>
        <v>0</v>
      </c>
      <c r="IO208" s="422">
        <f t="shared" si="981"/>
        <v>0</v>
      </c>
      <c r="IP208" s="422">
        <f t="shared" si="981"/>
        <v>0</v>
      </c>
      <c r="IQ208" s="422">
        <f t="shared" si="981"/>
        <v>0</v>
      </c>
      <c r="IR208" s="422">
        <f t="shared" si="981"/>
        <v>0</v>
      </c>
      <c r="IS208" s="422">
        <f t="shared" si="981"/>
        <v>0</v>
      </c>
      <c r="IT208" s="422">
        <f t="shared" si="981"/>
        <v>0</v>
      </c>
      <c r="IU208" s="422">
        <f t="shared" si="981"/>
        <v>0</v>
      </c>
      <c r="IV208" s="422">
        <f t="shared" si="981"/>
        <v>0</v>
      </c>
      <c r="IW208" s="422">
        <f t="shared" si="981"/>
        <v>0</v>
      </c>
      <c r="IX208" s="422">
        <f t="shared" si="981"/>
        <v>0</v>
      </c>
      <c r="IY208" s="422">
        <f t="shared" si="981"/>
        <v>0</v>
      </c>
      <c r="IZ208" s="422">
        <f t="shared" si="981"/>
        <v>0</v>
      </c>
      <c r="JA208" s="422">
        <f t="shared" si="981"/>
        <v>0</v>
      </c>
      <c r="JB208" s="422">
        <f t="shared" si="981"/>
        <v>0</v>
      </c>
      <c r="JC208" s="422">
        <f t="shared" si="981"/>
        <v>0</v>
      </c>
      <c r="JD208" s="422">
        <f t="shared" si="981"/>
        <v>0</v>
      </c>
      <c r="JE208" s="422">
        <f t="shared" si="981"/>
        <v>0</v>
      </c>
      <c r="JF208" s="422">
        <f t="shared" si="981"/>
        <v>0</v>
      </c>
      <c r="JG208" s="422">
        <f t="shared" si="981"/>
        <v>0</v>
      </c>
      <c r="JH208" s="422">
        <f t="shared" si="981"/>
        <v>0</v>
      </c>
      <c r="JI208" s="422">
        <f t="shared" si="981"/>
        <v>0</v>
      </c>
      <c r="JJ208" s="422">
        <f t="shared" si="981"/>
        <v>0</v>
      </c>
      <c r="JK208" s="422">
        <f t="shared" si="981"/>
        <v>0</v>
      </c>
      <c r="JL208" s="422">
        <f t="shared" si="981"/>
        <v>0</v>
      </c>
      <c r="JM208" s="422">
        <f t="shared" si="981"/>
        <v>0</v>
      </c>
      <c r="JN208" s="422">
        <f t="shared" si="981"/>
        <v>0</v>
      </c>
      <c r="JO208" s="422">
        <f t="shared" si="981"/>
        <v>0</v>
      </c>
      <c r="JP208" s="422">
        <f t="shared" si="981"/>
        <v>0</v>
      </c>
      <c r="JQ208" s="422">
        <f t="shared" si="981"/>
        <v>0</v>
      </c>
      <c r="JR208" s="422">
        <f t="shared" si="981"/>
        <v>0</v>
      </c>
      <c r="JS208" s="422">
        <f t="shared" si="981"/>
        <v>0</v>
      </c>
      <c r="JT208" s="422" t="n">
        <f t="shared" ref="JT208:JX208" si="982">(JT$197&lt;=Timing_Reversion_Month)*(JT204+JT205+JT206-JT207)</f>
        <v>0</v>
      </c>
      <c r="JU208" s="422">
        <f t="shared" si="982"/>
        <v>0</v>
      </c>
      <c r="JV208" s="422">
        <f t="shared" si="982"/>
        <v>0</v>
      </c>
      <c r="JW208" s="422">
        <f t="shared" si="982"/>
        <v>0</v>
      </c>
      <c r="JX208" s="422">
        <f t="shared" si="982"/>
        <v>0</v>
      </c>
      <c r="JZ208" s="263"/>
      <c r="KA208" s="263"/>
      <c r="KB208" s="263"/>
      <c r="KC208" s="263"/>
      <c r="KD208" s="263"/>
      <c r="KE208" s="263"/>
      <c r="KF208" s="263"/>
      <c r="KG208" s="263"/>
      <c r="KH208" s="263"/>
      <c r="KI208" s="263"/>
      <c r="KJ208" s="263"/>
      <c r="KK208" s="263"/>
      <c r="KL208" s="263"/>
      <c r="KM208" s="263"/>
      <c r="KN208" s="263"/>
      <c r="KO208" s="263"/>
      <c r="KP208" s="263"/>
      <c r="KQ208" s="263"/>
      <c r="KR208" s="263"/>
      <c r="KS208" s="263"/>
      <c r="KT208" s="263"/>
      <c r="KU208" s="263"/>
      <c r="KV208" s="263"/>
      <c r="KW208" s="263"/>
      <c r="KX208" s="263"/>
      <c r="KY208" s="263"/>
      <c r="KZ208" s="263"/>
      <c r="LA208" s="263"/>
      <c r="LB208" s="263"/>
      <c r="LC208" s="263"/>
      <c r="LD208" s="263"/>
      <c r="LE208" s="263"/>
      <c r="LF208" s="263"/>
      <c r="LG208" s="263"/>
      <c r="LH208" s="263"/>
      <c r="LI208" s="263"/>
      <c r="LJ208" s="263"/>
      <c r="LK208" s="263"/>
      <c r="LL208" s="263"/>
      <c r="LM208" s="263"/>
      <c r="LN208" s="263"/>
      <c r="LO208" s="263"/>
      <c r="LP208" s="263"/>
      <c r="LQ208" s="263"/>
      <c r="LR208" s="263"/>
      <c r="LS208" s="263"/>
      <c r="LT208" s="263"/>
      <c r="LU208" s="263"/>
      <c r="LV208" s="263"/>
      <c r="LW208" s="263"/>
      <c r="LX208" s="263"/>
      <c r="LY208" s="263"/>
      <c r="LZ208" s="263"/>
      <c r="MA208" s="263"/>
      <c r="MB208" s="263"/>
      <c r="MC208" s="263"/>
      <c r="MD208" s="263"/>
      <c r="ME208" s="263"/>
      <c r="MF208" s="263"/>
      <c r="MG208" s="263"/>
      <c r="MH208" s="263"/>
      <c r="MI208" s="263"/>
      <c r="MJ208" s="263"/>
      <c r="MK208" s="263"/>
      <c r="ML208" s="263"/>
      <c r="MM208" s="263"/>
      <c r="MN208" s="263"/>
      <c r="MO208" s="263"/>
      <c r="MP208" s="263"/>
      <c r="MQ208" s="263"/>
      <c r="MR208" s="263"/>
      <c r="MS208" s="263"/>
      <c r="MT208" s="263"/>
      <c r="MU208" s="263"/>
      <c r="MV208" s="263"/>
      <c r="MW208" s="263"/>
      <c r="MX208" s="263"/>
      <c r="MY208" s="263"/>
      <c r="MZ208" s="263"/>
      <c r="NA208" s="263"/>
      <c r="NB208" s="263"/>
      <c r="NC208" s="263"/>
      <c r="ND208" s="263"/>
      <c r="NE208" s="263"/>
      <c r="NF208" s="263"/>
      <c r="NG208" s="263"/>
      <c r="NH208" s="263"/>
      <c r="NI208" s="263"/>
      <c r="NJ208" s="263"/>
      <c r="NK208" s="263"/>
      <c r="NL208" s="263"/>
      <c r="NM208" s="263"/>
      <c r="NN208" s="263"/>
      <c r="NO208" s="263"/>
      <c r="NP208" s="263"/>
      <c r="NQ208" s="263"/>
      <c r="NR208" s="263"/>
      <c r="NS208" s="263"/>
      <c r="NT208" s="263"/>
      <c r="NU208" s="263"/>
      <c r="NV208" s="263"/>
      <c r="NW208" s="263"/>
      <c r="NX208" s="263"/>
      <c r="NY208" s="263"/>
      <c r="NZ208" s="263"/>
      <c r="OA208" s="263"/>
      <c r="OB208" s="263"/>
      <c r="OC208" s="263"/>
      <c r="OD208" s="263"/>
      <c r="OE208" s="263"/>
      <c r="OF208" s="263"/>
      <c r="OG208" s="263"/>
      <c r="OH208" s="263"/>
      <c r="OI208" s="263"/>
      <c r="OJ208" s="263"/>
      <c r="OK208" s="263"/>
      <c r="OL208" s="263"/>
      <c r="OM208" s="263"/>
      <c r="ON208" s="263"/>
      <c r="OO208" s="263"/>
      <c r="OP208" s="263"/>
      <c r="OQ208" s="263"/>
      <c r="OR208" s="263"/>
      <c r="OS208" s="263"/>
      <c r="OT208" s="263"/>
      <c r="OU208" s="263"/>
      <c r="OV208" s="263"/>
      <c r="OW208" s="263"/>
      <c r="OX208" s="263"/>
      <c r="OY208" s="263"/>
      <c r="OZ208" s="263"/>
      <c r="PA208" s="263"/>
      <c r="PB208" s="263"/>
      <c r="PC208" s="263"/>
      <c r="PD208" s="263"/>
      <c r="PE208" s="263"/>
      <c r="PF208" s="263"/>
      <c r="PG208" s="263"/>
      <c r="PH208" s="263"/>
    </row>
    <row r="209">
      <c r="B209" s="34"/>
      <c r="C209" s="404"/>
      <c r="D209" s="404"/>
      <c r="E209" s="404"/>
      <c r="F209" s="404"/>
      <c r="G209" s="404"/>
      <c r="H209" s="404"/>
      <c r="I209" s="41"/>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c r="CW209" s="76"/>
      <c r="CX209" s="76"/>
      <c r="CY209" s="76"/>
      <c r="CZ209" s="76"/>
      <c r="DA209" s="76"/>
      <c r="DB209" s="76"/>
      <c r="DC209" s="76"/>
      <c r="DD209" s="76"/>
      <c r="DE209" s="76"/>
      <c r="DF209" s="76"/>
      <c r="DG209" s="76"/>
      <c r="DH209" s="76"/>
      <c r="DI209" s="76"/>
      <c r="DJ209" s="76"/>
      <c r="DK209" s="76"/>
      <c r="DL209" s="76"/>
      <c r="DM209" s="76"/>
      <c r="DN209" s="76"/>
      <c r="DO209" s="76"/>
      <c r="DP209" s="76"/>
      <c r="DQ209" s="76"/>
      <c r="DR209" s="76"/>
      <c r="DS209" s="76"/>
      <c r="DT209" s="76"/>
      <c r="DU209" s="76"/>
      <c r="DV209" s="76"/>
      <c r="DW209" s="76"/>
      <c r="DX209" s="76"/>
      <c r="DY209" s="76"/>
      <c r="DZ209" s="76"/>
      <c r="EA209" s="76"/>
      <c r="EB209" s="76"/>
      <c r="EC209" s="76"/>
      <c r="ED209" s="76"/>
      <c r="EE209" s="76"/>
      <c r="EF209" s="76"/>
      <c r="EG209" s="76"/>
      <c r="EH209" s="76"/>
      <c r="EI209" s="76"/>
      <c r="EJ209" s="76"/>
      <c r="EK209" s="76"/>
      <c r="EL209" s="76"/>
      <c r="EM209" s="76"/>
      <c r="EN209" s="76"/>
      <c r="EP209" s="409"/>
      <c r="EQ209" s="18"/>
      <c r="ER209" s="18"/>
      <c r="ES209" s="18" t="s">
        <v>376</v>
      </c>
      <c r="ET209" s="308" t="n">
        <f>XIRR($EV209:INDEX($EV209:$PH209,1,Timing_Reversion_Month+1),$EV$24:INDEX($EV$24:$PH$24,1,Timing_Reversion_Month+1))</f>
        <v>0.4011914627922289</v>
      </c>
      <c r="EU209" s="18"/>
      <c r="EV209" s="422" t="n">
        <f>-EV206+EV207</f>
        <v>0</v>
      </c>
      <c r="EW209" s="422" t="n">
        <f t="shared" ref="EW209:HH209" si="983">-EW206+EW207</f>
        <v>20697.4189645686</v>
      </c>
      <c r="EX209" s="422">
        <f t="shared" si="983"/>
        <v>7136.8991101698402</v>
      </c>
      <c r="EY209" s="422">
        <f t="shared" si="983"/>
        <v>-12229.754929718263</v>
      </c>
      <c r="EZ209" s="422">
        <f t="shared" si="983"/>
        <v>-39061.596444356001</v>
      </c>
      <c r="FA209" s="422">
        <f t="shared" si="983"/>
        <v>-80820.215286487393</v>
      </c>
      <c r="FB209" s="422">
        <f t="shared" si="983"/>
        <v>-92758.630190187861</v>
      </c>
      <c r="FC209" s="422">
        <f t="shared" si="983"/>
        <v>-151838.07389083391</v>
      </c>
      <c r="FD209" s="422">
        <f t="shared" si="983"/>
        <v>-223783.60513408761</v>
      </c>
      <c r="FE209" s="422">
        <f t="shared" si="983"/>
        <v>-308358.90125588689</v>
      </c>
      <c r="FF209" s="422">
        <f t="shared" si="983"/>
        <v>-404138.64571131836</v>
      </c>
      <c r="FG209" s="422">
        <f t="shared" si="983"/>
        <v>-508341.65915377199</v>
      </c>
      <c r="FH209" s="422">
        <f t="shared" si="983"/>
        <v>-616815.76959860174</v>
      </c>
      <c r="FI209" s="422">
        <f t="shared" si="983"/>
        <v>-724214.3746582889</v>
      </c>
      <c r="FJ209" s="422">
        <f t="shared" si="983"/>
        <v>-824375.9619705918</v>
      </c>
      <c r="FK209" s="422">
        <f t="shared" si="983"/>
        <v>-910880.5321552892</v>
      </c>
      <c r="FL209" s="422">
        <f t="shared" si="983"/>
        <v>-170235.09548436865</v>
      </c>
      <c r="FM209" s="422">
        <f t="shared" si="983"/>
        <v>42655.977640512116</v>
      </c>
      <c r="FN209" s="422">
        <f t="shared" si="983"/>
        <v>183252.67770691717</v>
      </c>
      <c r="FO209" s="422">
        <f t="shared" si="983"/>
        <v>170533.10507888361</v>
      </c>
      <c r="FP209" s="422">
        <f t="shared" si="983"/>
        <v>162398.0719604654</v>
      </c>
      <c r="FQ209" s="422">
        <f t="shared" si="983"/>
        <v>193957.07916015596</v>
      </c>
      <c r="FR209" s="422">
        <f t="shared" si="983"/>
        <v>186520.16004445651</v>
      </c>
      <c r="FS209" s="422">
        <f t="shared" si="983"/>
        <v>179676.24575137324</v>
      </c>
      <c r="FT209" s="422">
        <f t="shared" si="983"/>
        <v>188808.64779545987</v>
      </c>
      <c r="FU209" s="422">
        <f t="shared" si="983"/>
        <v>183424.02026705141</v>
      </c>
      <c r="FV209" s="422">
        <f t="shared" si="983"/>
        <v>178812.56135686921</v>
      </c>
      <c r="FW209" s="422">
        <f t="shared" si="983"/>
        <v>184352.17664984387</v>
      </c>
      <c r="FX209" s="422">
        <f t="shared" si="983"/>
        <v>149768.51834205925</v>
      </c>
      <c r="FY209" s="422">
        <f t="shared" si="983"/>
        <v>78828.170146339718</v>
      </c>
      <c r="FZ209" s="422">
        <f t="shared" si="983"/>
        <v>132061.2559979037</v>
      </c>
      <c r="GA209" s="422">
        <f t="shared" si="983"/>
        <v>151856.45630436513</v>
      </c>
      <c r="GB209" s="422">
        <f t="shared" si="983"/>
        <v>166597.00149289376</v>
      </c>
      <c r="GC209" s="422">
        <f t="shared" si="983"/>
        <v>177153.76001550633</v>
      </c>
      <c r="GD209" s="422">
        <f t="shared" si="983"/>
        <v>197050.77611878637</v>
      </c>
      <c r="GE209" s="422">
        <f t="shared" si="983"/>
        <v>201683.90638575447</v>
      </c>
      <c r="GF209" s="422">
        <f t="shared" si="983"/>
        <v>205096.64132294498</v>
      </c>
      <c r="GG209" s="422">
        <f t="shared" si="983"/>
        <v>183924.7834727673</v>
      </c>
      <c r="GH209" s="422">
        <f t="shared" si="983"/>
        <v>183290.65247524917</v>
      </c>
      <c r="GI209" s="422">
        <f t="shared" si="983"/>
        <v>182651.76549524968</v>
      </c>
      <c r="GJ209" s="422">
        <f t="shared" si="983"/>
        <v>182324.07566466738</v>
      </c>
      <c r="GK209" s="422">
        <f t="shared" si="983"/>
        <v>181675.56944257524</v>
      </c>
      <c r="GL209" s="422">
        <f t="shared" si="983"/>
        <v>181022.19942381745</v>
      </c>
      <c r="GM209" s="422">
        <f t="shared" si="983"/>
        <v>188570.02953404235</v>
      </c>
      <c r="GN209" s="422">
        <f t="shared" si="983"/>
        <v>187906.82221293962</v>
      </c>
      <c r="GO209" s="422">
        <f t="shared" si="983"/>
        <v>187238.64083692865</v>
      </c>
      <c r="GP209" s="422">
        <f t="shared" si="983"/>
        <v>188022.46893393091</v>
      </c>
      <c r="GQ209" s="422">
        <f t="shared" si="983"/>
        <v>187344.22725207737</v>
      </c>
      <c r="GR209" s="422">
        <f t="shared" si="983"/>
        <v>186660.89875760989</v>
      </c>
      <c r="GS209" s="422">
        <f t="shared" si="983"/>
        <v>179296.96047656561</v>
      </c>
      <c r="GT209" s="422">
        <f t="shared" si="983"/>
        <v>178603.3436174533</v>
      </c>
      <c r="GU209" s="422">
        <f t="shared" si="983"/>
        <v>177904.52463189769</v>
      </c>
      <c r="GV209" s="422">
        <f t="shared" si="983"/>
        <v>177515.92387895042</v>
      </c>
      <c r="GW209" s="422">
        <f t="shared" si="983"/>
        <v>176806.58330004348</v>
      </c>
      <c r="GX209" s="422">
        <f t="shared" si="983"/>
        <v>176091.92266679477</v>
      </c>
      <c r="GY209" s="422">
        <f t="shared" si="983"/>
        <v>182799.16487240978</v>
      </c>
      <c r="GZ209" s="422">
        <f t="shared" si="983"/>
        <v>182073.74413000175</v>
      </c>
      <c r="HA209" s="422">
        <f t="shared" si="983"/>
        <v>181342.88273202564</v>
      </c>
      <c r="HB209" s="422">
        <f t="shared" si="983"/>
        <v>182114.55643606465</v>
      </c>
      <c r="HC209" s="422">
        <f t="shared" si="983"/>
        <v>181372.69100616529</v>
      </c>
      <c r="HD209" s="422">
        <f t="shared" si="983"/>
        <v>180625.26158554165</v>
      </c>
      <c r="HE209" s="422">
        <f t="shared" si="983"/>
        <v>4869203.648326965</v>
      </c>
      <c r="HF209" s="422">
        <f t="shared" si="983"/>
        <v>0</v>
      </c>
      <c r="HG209" s="422">
        <f t="shared" si="983"/>
        <v>0</v>
      </c>
      <c r="HH209" s="422">
        <f t="shared" si="983"/>
        <v>0</v>
      </c>
      <c r="HI209" s="422" t="n">
        <f t="shared" ref="HI209:JT209" si="984">-HI206+HI207</f>
        <v>0</v>
      </c>
      <c r="HJ209" s="422">
        <f t="shared" si="984"/>
        <v>0</v>
      </c>
      <c r="HK209" s="422">
        <f t="shared" si="984"/>
        <v>0</v>
      </c>
      <c r="HL209" s="422">
        <f t="shared" si="984"/>
        <v>0</v>
      </c>
      <c r="HM209" s="422">
        <f t="shared" si="984"/>
        <v>0</v>
      </c>
      <c r="HN209" s="422">
        <f t="shared" si="984"/>
        <v>0</v>
      </c>
      <c r="HO209" s="422">
        <f t="shared" si="984"/>
        <v>0</v>
      </c>
      <c r="HP209" s="422">
        <f t="shared" si="984"/>
        <v>0</v>
      </c>
      <c r="HQ209" s="422">
        <f t="shared" si="984"/>
        <v>0</v>
      </c>
      <c r="HR209" s="422">
        <f t="shared" si="984"/>
        <v>0</v>
      </c>
      <c r="HS209" s="422">
        <f t="shared" si="984"/>
        <v>0</v>
      </c>
      <c r="HT209" s="422">
        <f t="shared" si="984"/>
        <v>0</v>
      </c>
      <c r="HU209" s="422">
        <f t="shared" si="984"/>
        <v>0</v>
      </c>
      <c r="HV209" s="422">
        <f t="shared" si="984"/>
        <v>0</v>
      </c>
      <c r="HW209" s="422">
        <f t="shared" si="984"/>
        <v>0</v>
      </c>
      <c r="HX209" s="422">
        <f t="shared" si="984"/>
        <v>0</v>
      </c>
      <c r="HY209" s="422">
        <f t="shared" si="984"/>
        <v>0</v>
      </c>
      <c r="HZ209" s="422">
        <f t="shared" si="984"/>
        <v>0</v>
      </c>
      <c r="IA209" s="422">
        <f t="shared" si="984"/>
        <v>0</v>
      </c>
      <c r="IB209" s="422">
        <f t="shared" si="984"/>
        <v>0</v>
      </c>
      <c r="IC209" s="422">
        <f t="shared" si="984"/>
        <v>0</v>
      </c>
      <c r="ID209" s="422">
        <f t="shared" si="984"/>
        <v>0</v>
      </c>
      <c r="IE209" s="422">
        <f t="shared" si="984"/>
        <v>0</v>
      </c>
      <c r="IF209" s="422">
        <f t="shared" si="984"/>
        <v>0</v>
      </c>
      <c r="IG209" s="422">
        <f t="shared" si="984"/>
        <v>0</v>
      </c>
      <c r="IH209" s="422">
        <f t="shared" si="984"/>
        <v>0</v>
      </c>
      <c r="II209" s="422">
        <f t="shared" si="984"/>
        <v>0</v>
      </c>
      <c r="IJ209" s="422">
        <f t="shared" si="984"/>
        <v>0</v>
      </c>
      <c r="IK209" s="422">
        <f t="shared" si="984"/>
        <v>0</v>
      </c>
      <c r="IL209" s="422">
        <f t="shared" si="984"/>
        <v>0</v>
      </c>
      <c r="IM209" s="422">
        <f t="shared" si="984"/>
        <v>0</v>
      </c>
      <c r="IN209" s="422">
        <f t="shared" si="984"/>
        <v>0</v>
      </c>
      <c r="IO209" s="422">
        <f t="shared" si="984"/>
        <v>0</v>
      </c>
      <c r="IP209" s="422">
        <f t="shared" si="984"/>
        <v>0</v>
      </c>
      <c r="IQ209" s="422">
        <f t="shared" si="984"/>
        <v>0</v>
      </c>
      <c r="IR209" s="422">
        <f t="shared" si="984"/>
        <v>0</v>
      </c>
      <c r="IS209" s="422">
        <f t="shared" si="984"/>
        <v>0</v>
      </c>
      <c r="IT209" s="422">
        <f t="shared" si="984"/>
        <v>0</v>
      </c>
      <c r="IU209" s="422">
        <f t="shared" si="984"/>
        <v>0</v>
      </c>
      <c r="IV209" s="422">
        <f t="shared" si="984"/>
        <v>0</v>
      </c>
      <c r="IW209" s="422">
        <f t="shared" si="984"/>
        <v>0</v>
      </c>
      <c r="IX209" s="422">
        <f t="shared" si="984"/>
        <v>0</v>
      </c>
      <c r="IY209" s="422">
        <f t="shared" si="984"/>
        <v>0</v>
      </c>
      <c r="IZ209" s="422">
        <f t="shared" si="984"/>
        <v>0</v>
      </c>
      <c r="JA209" s="422">
        <f t="shared" si="984"/>
        <v>0</v>
      </c>
      <c r="JB209" s="422">
        <f t="shared" si="984"/>
        <v>0</v>
      </c>
      <c r="JC209" s="422">
        <f t="shared" si="984"/>
        <v>0</v>
      </c>
      <c r="JD209" s="422">
        <f t="shared" si="984"/>
        <v>0</v>
      </c>
      <c r="JE209" s="422">
        <f t="shared" si="984"/>
        <v>0</v>
      </c>
      <c r="JF209" s="422">
        <f t="shared" si="984"/>
        <v>0</v>
      </c>
      <c r="JG209" s="422">
        <f t="shared" si="984"/>
        <v>0</v>
      </c>
      <c r="JH209" s="422">
        <f t="shared" si="984"/>
        <v>0</v>
      </c>
      <c r="JI209" s="422">
        <f t="shared" si="984"/>
        <v>0</v>
      </c>
      <c r="JJ209" s="422">
        <f t="shared" si="984"/>
        <v>0</v>
      </c>
      <c r="JK209" s="422">
        <f t="shared" si="984"/>
        <v>0</v>
      </c>
      <c r="JL209" s="422">
        <f t="shared" si="984"/>
        <v>0</v>
      </c>
      <c r="JM209" s="422">
        <f t="shared" si="984"/>
        <v>0</v>
      </c>
      <c r="JN209" s="422">
        <f t="shared" si="984"/>
        <v>0</v>
      </c>
      <c r="JO209" s="422">
        <f t="shared" si="984"/>
        <v>0</v>
      </c>
      <c r="JP209" s="422">
        <f t="shared" si="984"/>
        <v>0</v>
      </c>
      <c r="JQ209" s="422">
        <f t="shared" si="984"/>
        <v>0</v>
      </c>
      <c r="JR209" s="422">
        <f t="shared" si="984"/>
        <v>0</v>
      </c>
      <c r="JS209" s="422">
        <f t="shared" si="984"/>
        <v>0</v>
      </c>
      <c r="JT209" s="422">
        <f t="shared" si="984"/>
        <v>0</v>
      </c>
      <c r="JU209" s="422" t="n">
        <f t="shared" ref="JU209:JX209" si="985">-JU206+JU207</f>
        <v>0</v>
      </c>
      <c r="JV209" s="422">
        <f t="shared" si="985"/>
        <v>0</v>
      </c>
      <c r="JW209" s="422">
        <f t="shared" si="985"/>
        <v>0</v>
      </c>
      <c r="JX209" s="422">
        <f t="shared" si="985"/>
        <v>0</v>
      </c>
      <c r="JZ209" s="263"/>
      <c r="KA209" s="263"/>
      <c r="KB209" s="263"/>
      <c r="KC209" s="263"/>
      <c r="KD209" s="263"/>
      <c r="KE209" s="263"/>
      <c r="KF209" s="263"/>
      <c r="KG209" s="263"/>
      <c r="KH209" s="263"/>
      <c r="KI209" s="263"/>
      <c r="KJ209" s="263"/>
      <c r="KK209" s="263"/>
      <c r="KL209" s="263"/>
      <c r="KM209" s="263"/>
      <c r="KN209" s="263"/>
      <c r="KO209" s="263"/>
      <c r="KP209" s="263"/>
      <c r="KQ209" s="263"/>
      <c r="KR209" s="263"/>
      <c r="KS209" s="263"/>
      <c r="KT209" s="263"/>
      <c r="KU209" s="263"/>
      <c r="KV209" s="263"/>
      <c r="KW209" s="263"/>
      <c r="KX209" s="263"/>
      <c r="KY209" s="263"/>
      <c r="KZ209" s="263"/>
      <c r="LA209" s="263"/>
      <c r="LB209" s="263"/>
      <c r="LC209" s="263"/>
      <c r="LD209" s="263"/>
      <c r="LE209" s="263"/>
      <c r="LF209" s="263"/>
      <c r="LG209" s="263"/>
      <c r="LH209" s="263"/>
      <c r="LI209" s="263"/>
      <c r="LJ209" s="263"/>
      <c r="LK209" s="263"/>
      <c r="LL209" s="263"/>
      <c r="LM209" s="263"/>
      <c r="LN209" s="263"/>
      <c r="LO209" s="263"/>
      <c r="LP209" s="263"/>
      <c r="LQ209" s="263"/>
      <c r="LR209" s="263"/>
      <c r="LS209" s="263"/>
      <c r="LT209" s="263"/>
      <c r="LU209" s="263"/>
      <c r="LV209" s="263"/>
      <c r="LW209" s="263"/>
      <c r="LX209" s="263"/>
      <c r="LY209" s="263"/>
      <c r="LZ209" s="263"/>
      <c r="MA209" s="263"/>
      <c r="MB209" s="263"/>
      <c r="MC209" s="263"/>
      <c r="MD209" s="263"/>
      <c r="ME209" s="263"/>
      <c r="MF209" s="263"/>
      <c r="MG209" s="263"/>
      <c r="MH209" s="263"/>
      <c r="MI209" s="263"/>
      <c r="MJ209" s="263"/>
      <c r="MK209" s="263"/>
      <c r="ML209" s="263"/>
      <c r="MM209" s="263"/>
      <c r="MN209" s="263"/>
      <c r="MO209" s="263"/>
      <c r="MP209" s="263"/>
      <c r="MQ209" s="263"/>
      <c r="MR209" s="263"/>
      <c r="MS209" s="263"/>
      <c r="MT209" s="263"/>
      <c r="MU209" s="263"/>
      <c r="MV209" s="263"/>
      <c r="MW209" s="263"/>
      <c r="MX209" s="263"/>
      <c r="MY209" s="263"/>
      <c r="MZ209" s="263"/>
      <c r="NA209" s="263"/>
      <c r="NB209" s="263"/>
      <c r="NC209" s="263"/>
      <c r="ND209" s="263"/>
      <c r="NE209" s="263"/>
      <c r="NF209" s="263"/>
      <c r="NG209" s="263"/>
      <c r="NH209" s="263"/>
      <c r="NI209" s="263"/>
      <c r="NJ209" s="263"/>
      <c r="NK209" s="263"/>
      <c r="NL209" s="263"/>
      <c r="NM209" s="263"/>
      <c r="NN209" s="263"/>
      <c r="NO209" s="263"/>
      <c r="NP209" s="263"/>
      <c r="NQ209" s="263"/>
      <c r="NR209" s="263"/>
      <c r="NS209" s="263"/>
      <c r="NT209" s="263"/>
      <c r="NU209" s="263"/>
      <c r="NV209" s="263"/>
      <c r="NW209" s="263"/>
      <c r="NX209" s="263"/>
      <c r="NY209" s="263"/>
      <c r="NZ209" s="263"/>
      <c r="OA209" s="263"/>
      <c r="OB209" s="263"/>
      <c r="OC209" s="263"/>
      <c r="OD209" s="263"/>
      <c r="OE209" s="263"/>
      <c r="OF209" s="263"/>
      <c r="OG209" s="263"/>
      <c r="OH209" s="263"/>
      <c r="OI209" s="263"/>
      <c r="OJ209" s="263"/>
      <c r="OK209" s="263"/>
      <c r="OL209" s="263"/>
      <c r="OM209" s="263"/>
      <c r="ON209" s="263"/>
      <c r="OO209" s="263"/>
      <c r="OP209" s="263"/>
      <c r="OQ209" s="263"/>
      <c r="OR209" s="263"/>
      <c r="OS209" s="263"/>
      <c r="OT209" s="263"/>
      <c r="OU209" s="263"/>
      <c r="OV209" s="263"/>
      <c r="OW209" s="263"/>
      <c r="OX209" s="263"/>
      <c r="OY209" s="263"/>
      <c r="OZ209" s="263"/>
      <c r="PA209" s="263"/>
      <c r="PB209" s="263"/>
      <c r="PC209" s="263"/>
      <c r="PD209" s="263"/>
      <c r="PE209" s="263"/>
      <c r="PF209" s="263"/>
      <c r="PG209" s="263"/>
      <c r="PH209" s="263"/>
    </row>
    <row r="210">
      <c r="B210" s="34"/>
      <c r="C210" s="404"/>
      <c r="D210" s="404"/>
      <c r="E210" s="404"/>
      <c r="F210" s="404"/>
      <c r="G210" s="416" t="s">
        <v>386</v>
      </c>
      <c r="H210" s="416" t="s">
        <v>57</v>
      </c>
      <c r="I210" s="416" t="s">
        <v>387</v>
      </c>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c r="CW210" s="76"/>
      <c r="CX210" s="76"/>
      <c r="CY210" s="76"/>
      <c r="CZ210" s="76"/>
      <c r="DA210" s="76"/>
      <c r="DB210" s="76"/>
      <c r="DC210" s="76"/>
      <c r="DD210" s="76"/>
      <c r="DE210" s="76"/>
      <c r="DF210" s="76"/>
      <c r="DG210" s="76"/>
      <c r="DH210" s="76"/>
      <c r="DI210" s="76"/>
      <c r="DJ210" s="76"/>
      <c r="DK210" s="76"/>
      <c r="DL210" s="76"/>
      <c r="DM210" s="76"/>
      <c r="DN210" s="76"/>
      <c r="DO210" s="76"/>
      <c r="DP210" s="76"/>
      <c r="DQ210" s="76"/>
      <c r="DR210" s="76"/>
      <c r="DS210" s="76"/>
      <c r="DT210" s="76"/>
      <c r="DU210" s="76"/>
      <c r="DV210" s="76"/>
      <c r="DW210" s="76"/>
      <c r="DX210" s="76"/>
      <c r="DY210" s="76"/>
      <c r="DZ210" s="76"/>
      <c r="EA210" s="76"/>
      <c r="EB210" s="76"/>
      <c r="EC210" s="76"/>
      <c r="ED210" s="76"/>
      <c r="EE210" s="76"/>
      <c r="EF210" s="76"/>
      <c r="EG210" s="76"/>
      <c r="EH210" s="76"/>
      <c r="EI210" s="76"/>
      <c r="EJ210" s="76"/>
      <c r="EK210" s="76"/>
      <c r="EL210" s="76"/>
      <c r="EM210" s="76"/>
      <c r="EN210" s="76"/>
      <c r="EP210" s="409"/>
      <c r="EQ210" s="18"/>
      <c r="ER210" s="18"/>
      <c r="ES210" s="394"/>
      <c r="ET210" s="535" t="s">
        <v>388</v>
      </c>
      <c r="EU210" s="535"/>
      <c r="EV210" s="536" t="n">
        <f t="shared" ref="EV210:GA210" si="986">($G$220="Yes")*L46+EV195</f>
        <v>0</v>
      </c>
      <c r="EW210" s="536">
        <f t="shared" si="986"/>
        <v>0</v>
      </c>
      <c r="EX210" s="536">
        <f t="shared" si="986"/>
        <v>0</v>
      </c>
      <c r="EY210" s="536">
        <f t="shared" si="986"/>
        <v>0</v>
      </c>
      <c r="EZ210" s="536">
        <f t="shared" si="986"/>
        <v>0</v>
      </c>
      <c r="FA210" s="536">
        <f t="shared" si="986"/>
        <v>0</v>
      </c>
      <c r="FB210" s="536">
        <f t="shared" si="986"/>
        <v>0</v>
      </c>
      <c r="FC210" s="536">
        <f t="shared" si="986"/>
        <v>0</v>
      </c>
      <c r="FD210" s="536">
        <f t="shared" si="986"/>
        <v>0</v>
      </c>
      <c r="FE210" s="536">
        <f t="shared" si="986"/>
        <v>0</v>
      </c>
      <c r="FF210" s="536">
        <f t="shared" si="986"/>
        <v>0</v>
      </c>
      <c r="FG210" s="536">
        <f t="shared" si="986"/>
        <v>0</v>
      </c>
      <c r="FH210" s="536">
        <f t="shared" si="986"/>
        <v>0</v>
      </c>
      <c r="FI210" s="536">
        <f t="shared" si="986"/>
        <v>0</v>
      </c>
      <c r="FJ210" s="536">
        <f t="shared" si="986"/>
        <v>0</v>
      </c>
      <c r="FK210" s="536">
        <f t="shared" si="986"/>
        <v>0</v>
      </c>
      <c r="FL210" s="536">
        <f t="shared" si="986"/>
        <v>0</v>
      </c>
      <c r="FM210" s="536">
        <f t="shared" si="986"/>
        <v>0</v>
      </c>
      <c r="FN210" s="536">
        <f t="shared" si="986"/>
        <v>0</v>
      </c>
      <c r="FO210" s="536">
        <f t="shared" si="986"/>
        <v>0</v>
      </c>
      <c r="FP210" s="536">
        <f t="shared" si="986"/>
        <v>0</v>
      </c>
      <c r="FQ210" s="536">
        <f t="shared" si="986"/>
        <v>0</v>
      </c>
      <c r="FR210" s="536">
        <f t="shared" si="986"/>
        <v>0</v>
      </c>
      <c r="FS210" s="536">
        <f t="shared" si="986"/>
        <v>0</v>
      </c>
      <c r="FT210" s="536">
        <f t="shared" si="986"/>
        <v>0</v>
      </c>
      <c r="FU210" s="536">
        <f t="shared" si="986"/>
        <v>0</v>
      </c>
      <c r="FV210" s="536">
        <f t="shared" si="986"/>
        <v>0</v>
      </c>
      <c r="FW210" s="536">
        <f t="shared" si="986"/>
        <v>0</v>
      </c>
      <c r="FX210" s="536">
        <f t="shared" si="986"/>
        <v>0</v>
      </c>
      <c r="FY210" s="536">
        <f t="shared" si="986"/>
        <v>0</v>
      </c>
      <c r="FZ210" s="536">
        <f t="shared" si="986"/>
        <v>0</v>
      </c>
      <c r="GA210" s="536">
        <f t="shared" si="986"/>
        <v>0</v>
      </c>
      <c r="GB210" s="536" t="n">
        <f t="shared" ref="GB210:HG210" si="987">($G$220="Yes")*AR46+GB195</f>
        <v>0</v>
      </c>
      <c r="GC210" s="536">
        <f t="shared" si="987"/>
        <v>0</v>
      </c>
      <c r="GD210" s="536">
        <f t="shared" si="987"/>
        <v>0</v>
      </c>
      <c r="GE210" s="536">
        <f t="shared" si="987"/>
        <v>0</v>
      </c>
      <c r="GF210" s="536">
        <f t="shared" si="987"/>
        <v>0</v>
      </c>
      <c r="GG210" s="536">
        <f t="shared" si="987"/>
        <v>0</v>
      </c>
      <c r="GH210" s="536">
        <f t="shared" si="987"/>
        <v>0</v>
      </c>
      <c r="GI210" s="536">
        <f t="shared" si="987"/>
        <v>0</v>
      </c>
      <c r="GJ210" s="536">
        <f t="shared" si="987"/>
        <v>0</v>
      </c>
      <c r="GK210" s="536">
        <f t="shared" si="987"/>
        <v>0</v>
      </c>
      <c r="GL210" s="536">
        <f t="shared" si="987"/>
        <v>0</v>
      </c>
      <c r="GM210" s="536">
        <f t="shared" si="987"/>
        <v>0</v>
      </c>
      <c r="GN210" s="536">
        <f t="shared" si="987"/>
        <v>0</v>
      </c>
      <c r="GO210" s="536">
        <f t="shared" si="987"/>
        <v>0</v>
      </c>
      <c r="GP210" s="536">
        <f t="shared" si="987"/>
        <v>0</v>
      </c>
      <c r="GQ210" s="536">
        <f t="shared" si="987"/>
        <v>0</v>
      </c>
      <c r="GR210" s="536">
        <f t="shared" si="987"/>
        <v>0</v>
      </c>
      <c r="GS210" s="536">
        <f t="shared" si="987"/>
        <v>139586.18376153338</v>
      </c>
      <c r="GT210" s="536">
        <f t="shared" si="987"/>
        <v>139586.18376153338</v>
      </c>
      <c r="GU210" s="536">
        <f t="shared" si="987"/>
        <v>139586.18376153338</v>
      </c>
      <c r="GV210" s="536">
        <f t="shared" si="987"/>
        <v>139586.18376153338</v>
      </c>
      <c r="GW210" s="536">
        <f t="shared" si="987"/>
        <v>139586.18376153338</v>
      </c>
      <c r="GX210" s="536">
        <f t="shared" si="987"/>
        <v>139586.18376153338</v>
      </c>
      <c r="GY210" s="536">
        <f t="shared" si="987"/>
        <v>139586.18376153338</v>
      </c>
      <c r="GZ210" s="536">
        <f t="shared" si="987"/>
        <v>139586.18376153338</v>
      </c>
      <c r="HA210" s="536">
        <f t="shared" si="987"/>
        <v>139586.18376153338</v>
      </c>
      <c r="HB210" s="536">
        <f t="shared" si="987"/>
        <v>139586.18376153338</v>
      </c>
      <c r="HC210" s="536">
        <f t="shared" si="987"/>
        <v>139586.18376153338</v>
      </c>
      <c r="HD210" s="536">
        <f t="shared" si="987"/>
        <v>139586.18376153338</v>
      </c>
      <c r="HE210" s="536">
        <f t="shared" si="987"/>
        <v>139586.18376153338</v>
      </c>
      <c r="HF210" s="536">
        <f t="shared" si="987"/>
        <v>0</v>
      </c>
      <c r="HG210" s="536">
        <f t="shared" si="987"/>
        <v>0</v>
      </c>
      <c r="HH210" s="536" t="n">
        <f t="shared" ref="HH210:IM210" si="988">($G$220="Yes")*BX46+HH195</f>
        <v>0</v>
      </c>
      <c r="HI210" s="536">
        <f t="shared" si="988"/>
        <v>0</v>
      </c>
      <c r="HJ210" s="536">
        <f t="shared" si="988"/>
        <v>0</v>
      </c>
      <c r="HK210" s="536">
        <f t="shared" si="988"/>
        <v>0</v>
      </c>
      <c r="HL210" s="536">
        <f t="shared" si="988"/>
        <v>0</v>
      </c>
      <c r="HM210" s="536">
        <f t="shared" si="988"/>
        <v>0</v>
      </c>
      <c r="HN210" s="536">
        <f t="shared" si="988"/>
        <v>0</v>
      </c>
      <c r="HO210" s="536">
        <f t="shared" si="988"/>
        <v>0</v>
      </c>
      <c r="HP210" s="536">
        <f t="shared" si="988"/>
        <v>0</v>
      </c>
      <c r="HQ210" s="536">
        <f t="shared" si="988"/>
        <v>0</v>
      </c>
      <c r="HR210" s="536">
        <f t="shared" si="988"/>
        <v>0</v>
      </c>
      <c r="HS210" s="536">
        <f t="shared" si="988"/>
        <v>0</v>
      </c>
      <c r="HT210" s="536">
        <f t="shared" si="988"/>
        <v>0</v>
      </c>
      <c r="HU210" s="536">
        <f t="shared" si="988"/>
        <v>0</v>
      </c>
      <c r="HV210" s="536">
        <f t="shared" si="988"/>
        <v>0</v>
      </c>
      <c r="HW210" s="536">
        <f t="shared" si="988"/>
        <v>0</v>
      </c>
      <c r="HX210" s="536">
        <f t="shared" si="988"/>
        <v>0</v>
      </c>
      <c r="HY210" s="536">
        <f t="shared" si="988"/>
        <v>0</v>
      </c>
      <c r="HZ210" s="536">
        <f t="shared" si="988"/>
        <v>0</v>
      </c>
      <c r="IA210" s="536">
        <f t="shared" si="988"/>
        <v>0</v>
      </c>
      <c r="IB210" s="536">
        <f t="shared" si="988"/>
        <v>0</v>
      </c>
      <c r="IC210" s="536">
        <f t="shared" si="988"/>
        <v>0</v>
      </c>
      <c r="ID210" s="536">
        <f t="shared" si="988"/>
        <v>0</v>
      </c>
      <c r="IE210" s="536">
        <f t="shared" si="988"/>
        <v>0</v>
      </c>
      <c r="IF210" s="536">
        <f t="shared" si="988"/>
        <v>0</v>
      </c>
      <c r="IG210" s="536">
        <f t="shared" si="988"/>
        <v>0</v>
      </c>
      <c r="IH210" s="536">
        <f t="shared" si="988"/>
        <v>0</v>
      </c>
      <c r="II210" s="536">
        <f t="shared" si="988"/>
        <v>0</v>
      </c>
      <c r="IJ210" s="536">
        <f t="shared" si="988"/>
        <v>0</v>
      </c>
      <c r="IK210" s="536">
        <f t="shared" si="988"/>
        <v>0</v>
      </c>
      <c r="IL210" s="536">
        <f t="shared" si="988"/>
        <v>0</v>
      </c>
      <c r="IM210" s="536">
        <f t="shared" si="988"/>
        <v>0</v>
      </c>
      <c r="IN210" s="536" t="n">
        <f t="shared" ref="IN210:JS210" si="989">($G$220="Yes")*DD46+IN195</f>
        <v>0</v>
      </c>
      <c r="IO210" s="536">
        <f t="shared" si="989"/>
        <v>0</v>
      </c>
      <c r="IP210" s="536">
        <f t="shared" si="989"/>
        <v>0</v>
      </c>
      <c r="IQ210" s="536">
        <f t="shared" si="989"/>
        <v>0</v>
      </c>
      <c r="IR210" s="536">
        <f t="shared" si="989"/>
        <v>0</v>
      </c>
      <c r="IS210" s="536">
        <f t="shared" si="989"/>
        <v>0</v>
      </c>
      <c r="IT210" s="536">
        <f t="shared" si="989"/>
        <v>0</v>
      </c>
      <c r="IU210" s="536">
        <f t="shared" si="989"/>
        <v>0</v>
      </c>
      <c r="IV210" s="536">
        <f t="shared" si="989"/>
        <v>0</v>
      </c>
      <c r="IW210" s="536">
        <f t="shared" si="989"/>
        <v>0</v>
      </c>
      <c r="IX210" s="536">
        <f t="shared" si="989"/>
        <v>0</v>
      </c>
      <c r="IY210" s="536">
        <f t="shared" si="989"/>
        <v>0</v>
      </c>
      <c r="IZ210" s="536">
        <f t="shared" si="989"/>
        <v>0</v>
      </c>
      <c r="JA210" s="536">
        <f t="shared" si="989"/>
        <v>0</v>
      </c>
      <c r="JB210" s="536">
        <f t="shared" si="989"/>
        <v>0</v>
      </c>
      <c r="JC210" s="536">
        <f t="shared" si="989"/>
        <v>0</v>
      </c>
      <c r="JD210" s="536">
        <f t="shared" si="989"/>
        <v>0</v>
      </c>
      <c r="JE210" s="536">
        <f t="shared" si="989"/>
        <v>0</v>
      </c>
      <c r="JF210" s="536">
        <f t="shared" si="989"/>
        <v>0</v>
      </c>
      <c r="JG210" s="536">
        <f t="shared" si="989"/>
        <v>0</v>
      </c>
      <c r="JH210" s="536">
        <f t="shared" si="989"/>
        <v>0</v>
      </c>
      <c r="JI210" s="536">
        <f t="shared" si="989"/>
        <v>0</v>
      </c>
      <c r="JJ210" s="536">
        <f t="shared" si="989"/>
        <v>0</v>
      </c>
      <c r="JK210" s="536">
        <f t="shared" si="989"/>
        <v>0</v>
      </c>
      <c r="JL210" s="536">
        <f t="shared" si="989"/>
        <v>0</v>
      </c>
      <c r="JM210" s="536">
        <f t="shared" si="989"/>
        <v>0</v>
      </c>
      <c r="JN210" s="536">
        <f t="shared" si="989"/>
        <v>0</v>
      </c>
      <c r="JO210" s="536">
        <f t="shared" si="989"/>
        <v>0</v>
      </c>
      <c r="JP210" s="536">
        <f t="shared" si="989"/>
        <v>0</v>
      </c>
      <c r="JQ210" s="536">
        <f t="shared" si="989"/>
        <v>0</v>
      </c>
      <c r="JR210" s="536">
        <f t="shared" si="989"/>
        <v>0</v>
      </c>
      <c r="JS210" s="536">
        <f t="shared" si="989"/>
        <v>0</v>
      </c>
      <c r="JT210" s="536" t="n">
        <f t="shared" ref="JT210:JX210" si="990">($G$220="Yes")*EJ46+JT195</f>
        <v>0</v>
      </c>
      <c r="JU210" s="536">
        <f t="shared" si="990"/>
        <v>0</v>
      </c>
      <c r="JV210" s="536">
        <f t="shared" si="990"/>
        <v>0</v>
      </c>
      <c r="JW210" s="536">
        <f t="shared" si="990"/>
        <v>0</v>
      </c>
      <c r="JX210" s="536">
        <f t="shared" si="990"/>
        <v>0</v>
      </c>
      <c r="JZ210" s="263"/>
      <c r="KA210" s="263"/>
      <c r="KB210" s="263"/>
      <c r="KC210" s="263"/>
      <c r="KD210" s="263"/>
      <c r="KE210" s="263"/>
      <c r="KF210" s="263"/>
      <c r="KG210" s="263"/>
      <c r="KH210" s="263"/>
      <c r="KI210" s="263"/>
      <c r="KJ210" s="263"/>
      <c r="KK210" s="263"/>
      <c r="KL210" s="263"/>
      <c r="KM210" s="263"/>
      <c r="KN210" s="263"/>
      <c r="KO210" s="263"/>
      <c r="KP210" s="263"/>
      <c r="KQ210" s="263"/>
      <c r="KR210" s="263"/>
      <c r="KS210" s="263"/>
      <c r="KT210" s="263"/>
      <c r="KU210" s="263"/>
      <c r="KV210" s="263"/>
      <c r="KW210" s="263"/>
      <c r="KX210" s="263"/>
      <c r="KY210" s="263"/>
      <c r="KZ210" s="263"/>
      <c r="LA210" s="263"/>
      <c r="LB210" s="263"/>
      <c r="LC210" s="263"/>
      <c r="LD210" s="263"/>
      <c r="LE210" s="263"/>
      <c r="LF210" s="263"/>
      <c r="LG210" s="263"/>
      <c r="LH210" s="263"/>
      <c r="LI210" s="263"/>
      <c r="LJ210" s="263"/>
      <c r="LK210" s="263"/>
      <c r="LL210" s="263"/>
      <c r="LM210" s="263"/>
      <c r="LN210" s="263"/>
      <c r="LO210" s="263"/>
      <c r="LP210" s="263"/>
      <c r="LQ210" s="263"/>
      <c r="LR210" s="263"/>
      <c r="LS210" s="263"/>
      <c r="LT210" s="263"/>
      <c r="LU210" s="263"/>
      <c r="LV210" s="263"/>
      <c r="LW210" s="263"/>
      <c r="LX210" s="263"/>
      <c r="LY210" s="263"/>
      <c r="LZ210" s="263"/>
      <c r="MA210" s="263"/>
      <c r="MB210" s="263"/>
      <c r="MC210" s="263"/>
      <c r="MD210" s="263"/>
      <c r="ME210" s="263"/>
      <c r="MF210" s="263"/>
      <c r="MG210" s="263"/>
      <c r="MH210" s="263"/>
      <c r="MI210" s="263"/>
      <c r="MJ210" s="263"/>
      <c r="MK210" s="263"/>
      <c r="ML210" s="263"/>
      <c r="MM210" s="263"/>
      <c r="MN210" s="263"/>
      <c r="MO210" s="263"/>
      <c r="MP210" s="263"/>
      <c r="MQ210" s="263"/>
      <c r="MR210" s="263"/>
      <c r="MS210" s="263"/>
      <c r="MT210" s="263"/>
      <c r="MU210" s="263"/>
      <c r="MV210" s="263"/>
      <c r="MW210" s="263"/>
      <c r="MX210" s="263"/>
      <c r="MY210" s="263"/>
      <c r="MZ210" s="263"/>
      <c r="NA210" s="263"/>
      <c r="NB210" s="263"/>
      <c r="NC210" s="263"/>
      <c r="ND210" s="263"/>
      <c r="NE210" s="263"/>
      <c r="NF210" s="263"/>
      <c r="NG210" s="263"/>
      <c r="NH210" s="263"/>
      <c r="NI210" s="263"/>
      <c r="NJ210" s="263"/>
      <c r="NK210" s="263"/>
      <c r="NL210" s="263"/>
      <c r="NM210" s="263"/>
      <c r="NN210" s="263"/>
      <c r="NO210" s="263"/>
      <c r="NP210" s="263"/>
      <c r="NQ210" s="263"/>
      <c r="NR210" s="263"/>
      <c r="NS210" s="263"/>
      <c r="NT210" s="263"/>
      <c r="NU210" s="263"/>
      <c r="NV210" s="263"/>
      <c r="NW210" s="263"/>
      <c r="NX210" s="263"/>
      <c r="NY210" s="263"/>
      <c r="NZ210" s="263"/>
      <c r="OA210" s="263"/>
      <c r="OB210" s="263"/>
      <c r="OC210" s="263"/>
      <c r="OD210" s="263"/>
      <c r="OE210" s="263"/>
      <c r="OF210" s="263"/>
      <c r="OG210" s="263"/>
      <c r="OH210" s="263"/>
      <c r="OI210" s="263"/>
      <c r="OJ210" s="263"/>
      <c r="OK210" s="263"/>
      <c r="OL210" s="263"/>
      <c r="OM210" s="263"/>
      <c r="ON210" s="263"/>
      <c r="OO210" s="263"/>
      <c r="OP210" s="263"/>
      <c r="OQ210" s="263"/>
      <c r="OR210" s="263"/>
      <c r="OS210" s="263"/>
      <c r="OT210" s="263"/>
      <c r="OU210" s="263"/>
      <c r="OV210" s="263"/>
      <c r="OW210" s="263"/>
      <c r="OX210" s="263"/>
      <c r="OY210" s="263"/>
      <c r="OZ210" s="263"/>
      <c r="PA210" s="263"/>
      <c r="PB210" s="263"/>
      <c r="PC210" s="263"/>
      <c r="PD210" s="263"/>
      <c r="PE210" s="263"/>
      <c r="PF210" s="263"/>
      <c r="PG210" s="263"/>
      <c r="PH210" s="263"/>
    </row>
    <row r="211" s="24" customFormat="1">
      <c r="A211" s="441"/>
      <c r="B211" s="62" t="s">
        <v>389</v>
      </c>
      <c r="C211" s="458"/>
      <c r="D211" s="458"/>
      <c r="E211" s="458"/>
      <c r="F211" s="458"/>
      <c r="G211" s="537" t="n">
        <f>IFERROR(SUMIF($M211:$BU211,"&gt;0",$M211:$BU211)/-SUMIF($M211:$BU211,"&lt;0",$M211:$BU211),0)</f>
        <v>4.696249605943904</v>
      </c>
      <c r="H211" s="74" t="n">
        <f>IFERROR(XIRR($M211:$BU211,$M$195:$BU$195),0)</f>
        <v>0.5600807876754031</v>
      </c>
      <c r="I211" s="495" t="n">
        <f>SUM($M211:$BU211)</f>
        <v>950695271.1106844</v>
      </c>
      <c r="K211" s="444"/>
      <c r="L211" s="445" t="str">
        <f t="shared" ref="L211:AQ211" si="991">IF(L194="","",-L196+L202+L205)</f>
      </c>
      <c r="M211" s="445">
        <f t="shared" si="991"/>
        <v>100892.8237358164</v>
      </c>
      <c r="N211" s="445">
        <f t="shared" si="991"/>
        <v>-170317.57335215877</v>
      </c>
      <c r="O211" s="445">
        <f t="shared" si="991"/>
        <v>-557650.6541499208</v>
      </c>
      <c r="P211" s="445">
        <f t="shared" si="991"/>
        <v>-1094287.4844426755</v>
      </c>
      <c r="Q211" s="445">
        <f t="shared" si="991"/>
        <v>-1929459.8612853033</v>
      </c>
      <c r="R211" s="445">
        <f t="shared" si="991"/>
        <v>-2167370.6176870433</v>
      </c>
      <c r="S211" s="445">
        <f t="shared" si="991"/>
        <v>-3348953.0601374223</v>
      </c>
      <c r="T211" s="445">
        <f t="shared" si="991"/>
        <v>-4787857.2052032361</v>
      </c>
      <c r="U211" s="445">
        <f t="shared" si="991"/>
        <v>-6479356.5992414653</v>
      </c>
      <c r="V211" s="445">
        <f t="shared" si="991"/>
        <v>-8394944.9109893553</v>
      </c>
      <c r="W211" s="445">
        <f t="shared" si="991"/>
        <v>-10478998.553147484</v>
      </c>
      <c r="X211" s="445">
        <f t="shared" si="991"/>
        <v>-12648474.085652951</v>
      </c>
      <c r="Y211" s="445">
        <f t="shared" si="991"/>
        <v>-14796439.460382633</v>
      </c>
      <c r="Z211" s="445">
        <f t="shared" si="991"/>
        <v>-16799664.429716155</v>
      </c>
      <c r="AA211" s="445">
        <f t="shared" si="991"/>
        <v>-18529749.005670719</v>
      </c>
      <c r="AB211" s="445">
        <f t="shared" si="991"/>
        <v>-19866501.015728973</v>
      </c>
      <c r="AC211" s="445">
        <f t="shared" si="991"/>
        <v>-20859934.02639237</v>
      </c>
      <c r="AD211" s="445">
        <f t="shared" si="991"/>
        <v>-18093120.303566884</v>
      </c>
      <c r="AE211" s="445">
        <f t="shared" si="991"/>
        <v>-17803924.239230622</v>
      </c>
      <c r="AF211" s="445">
        <f t="shared" si="991"/>
        <v>-16958756.090117831</v>
      </c>
      <c r="AG211" s="445">
        <f t="shared" si="991"/>
        <v>-14833241.779848058</v>
      </c>
      <c r="AH211" s="445">
        <f t="shared" si="991"/>
        <v>-13103157.203893431</v>
      </c>
      <c r="AI211" s="445">
        <f t="shared" si="991"/>
        <v>-11099932.234559935</v>
      </c>
      <c r="AJ211" s="445">
        <f t="shared" si="991"/>
        <v>-8646438.1332128868</v>
      </c>
      <c r="AK211" s="445">
        <f t="shared" si="991"/>
        <v>-6476962.6007073643</v>
      </c>
      <c r="AL211" s="445">
        <f t="shared" si="991"/>
        <v>-4392908.9585492657</v>
      </c>
      <c r="AM211" s="445">
        <f t="shared" si="991"/>
        <v>-2289237.8462179201</v>
      </c>
      <c r="AN211" s="445">
        <f t="shared" si="991"/>
        <v>-597738.45217964984</v>
      </c>
      <c r="AO211" s="445">
        <f t="shared" si="991"/>
        <v>837350.70934418729</v>
      </c>
      <c r="AP211" s="445">
        <f t="shared" si="991"/>
        <v>2571824.5896222102</v>
      </c>
      <c r="AQ211" s="445">
        <f t="shared" si="991"/>
        <v>3509881.288002234</v>
      </c>
      <c r="AR211" s="445" t="n">
        <f t="shared" ref="AR211:BW211" si="992">IF(AR194="","",-AR196+AR202+AR205)</f>
        <v>4230714.775208935</v>
      </c>
      <c r="AS211" s="445">
        <f t="shared" si="992"/>
        <v>4767351.6055017142</v>
      </c>
      <c r="AT211" s="445">
        <f t="shared" si="992"/>
        <v>5280223.8909431184</v>
      </c>
      <c r="AU211" s="445">
        <f t="shared" si="992"/>
        <v>5551434.288031132</v>
      </c>
      <c r="AV211" s="445">
        <f t="shared" si="992"/>
        <v>5735748.5591210807</v>
      </c>
      <c r="AW211" s="445">
        <f t="shared" si="992"/>
        <v>5369511.662836967</v>
      </c>
      <c r="AX211" s="445">
        <f t="shared" si="992"/>
        <v>5369511.662836967</v>
      </c>
      <c r="AY211" s="445">
        <f t="shared" si="992"/>
        <v>5369511.662836967</v>
      </c>
      <c r="AZ211" s="445">
        <f t="shared" si="992"/>
        <v>5375831.4388723103</v>
      </c>
      <c r="BA211" s="445">
        <f t="shared" si="992"/>
        <v>5375831.4388723103</v>
      </c>
      <c r="BB211" s="445">
        <f t="shared" si="992"/>
        <v>5375831.4388723103</v>
      </c>
      <c r="BC211" s="445">
        <f t="shared" si="992"/>
        <v>5539953.4469547784</v>
      </c>
      <c r="BD211" s="205">
        <f t="shared" si="992"/>
        <v>5539953.4469547784</v>
      </c>
      <c r="BE211" s="205">
        <f t="shared" si="992"/>
        <v>5539953.4469547784</v>
      </c>
      <c r="BF211" s="205">
        <f t="shared" si="992"/>
        <v>5569093.8636214454</v>
      </c>
      <c r="BG211" s="205">
        <f t="shared" si="992"/>
        <v>5569093.8636214454</v>
      </c>
      <c r="BH211" s="205">
        <f t="shared" si="992"/>
        <v>5569093.8636214454</v>
      </c>
      <c r="BI211" s="205">
        <f t="shared" si="992"/>
        <v>5575170.3509256123</v>
      </c>
      <c r="BJ211" s="205">
        <f t="shared" si="992"/>
        <v>5575170.3509256123</v>
      </c>
      <c r="BK211" s="205">
        <f t="shared" si="992"/>
        <v>5575170.3509256123</v>
      </c>
      <c r="BL211" s="205">
        <f t="shared" si="992"/>
        <v>5581479.5384256123</v>
      </c>
      <c r="BM211" s="205">
        <f t="shared" si="992"/>
        <v>5581479.5384256123</v>
      </c>
      <c r="BN211" s="205">
        <f t="shared" si="992"/>
        <v>5581479.5384256123</v>
      </c>
      <c r="BO211" s="205">
        <f t="shared" si="992"/>
        <v>5730024.794297874</v>
      </c>
      <c r="BP211" s="205">
        <f t="shared" si="992"/>
        <v>5730024.794297874</v>
      </c>
      <c r="BQ211" s="205">
        <f t="shared" si="992"/>
        <v>5730024.794297874</v>
      </c>
      <c r="BR211" s="205">
        <f t="shared" si="992"/>
        <v>5760185.1255478738</v>
      </c>
      <c r="BS211" s="205">
        <f t="shared" si="992"/>
        <v>5760185.1255478738</v>
      </c>
      <c r="BT211" s="205">
        <f t="shared" si="992"/>
        <v>5760185.1255478738</v>
      </c>
      <c r="BU211" s="205">
        <f t="shared" si="992"/>
        <v>1041811474.3019903</v>
      </c>
      <c r="BV211" s="205" t="str">
        <f t="shared" si="992"/>
      </c>
      <c r="BW211" s="205" t="str">
        <f t="shared" si="992"/>
      </c>
      <c r="BX211" s="205" t="str">
        <f t="shared" ref="BX211:DC211" si="993">IF(BX194="","",-BX196+BX202+BX205)</f>
      </c>
      <c r="BY211" s="205" t="str">
        <f t="shared" si="993"/>
      </c>
      <c r="BZ211" s="205" t="str">
        <f t="shared" si="993"/>
      </c>
      <c r="CA211" s="205" t="str">
        <f t="shared" si="993"/>
      </c>
      <c r="CB211" s="205" t="str">
        <f t="shared" si="993"/>
      </c>
      <c r="CC211" s="205" t="str">
        <f t="shared" si="993"/>
      </c>
      <c r="CD211" s="205" t="str">
        <f t="shared" si="993"/>
      </c>
      <c r="CE211" s="205" t="str">
        <f t="shared" si="993"/>
      </c>
      <c r="CF211" s="205" t="str">
        <f t="shared" si="993"/>
      </c>
      <c r="CG211" s="205" t="str">
        <f t="shared" si="993"/>
      </c>
      <c r="CH211" s="205" t="str">
        <f t="shared" si="993"/>
      </c>
      <c r="CI211" s="205" t="str">
        <f t="shared" si="993"/>
      </c>
      <c r="CJ211" s="205" t="str">
        <f t="shared" si="993"/>
      </c>
      <c r="CK211" s="205" t="str">
        <f t="shared" si="993"/>
      </c>
      <c r="CL211" s="205" t="str">
        <f t="shared" si="993"/>
      </c>
      <c r="CM211" s="205" t="str">
        <f t="shared" si="993"/>
      </c>
      <c r="CN211" s="205" t="str">
        <f t="shared" si="993"/>
      </c>
      <c r="CO211" s="205" t="str">
        <f t="shared" si="993"/>
      </c>
      <c r="CP211" s="205" t="str">
        <f t="shared" si="993"/>
      </c>
      <c r="CQ211" s="205" t="str">
        <f t="shared" si="993"/>
      </c>
      <c r="CR211" s="205" t="str">
        <f t="shared" si="993"/>
      </c>
      <c r="CS211" s="205" t="str">
        <f t="shared" si="993"/>
      </c>
      <c r="CT211" s="205" t="str">
        <f t="shared" si="993"/>
      </c>
      <c r="CU211" s="205" t="str">
        <f t="shared" si="993"/>
      </c>
      <c r="CV211" s="205" t="str">
        <f t="shared" si="993"/>
      </c>
      <c r="CW211" s="205" t="str">
        <f t="shared" si="993"/>
      </c>
      <c r="CX211" s="205" t="str">
        <f t="shared" si="993"/>
      </c>
      <c r="CY211" s="205" t="str">
        <f t="shared" si="993"/>
      </c>
      <c r="CZ211" s="205" t="str">
        <f t="shared" si="993"/>
      </c>
      <c r="DA211" s="205" t="str">
        <f t="shared" si="993"/>
      </c>
      <c r="DB211" s="205" t="str">
        <f t="shared" si="993"/>
      </c>
      <c r="DC211" s="205" t="str">
        <f t="shared" si="993"/>
      </c>
      <c r="DD211" s="205" t="str">
        <f t="shared" ref="DD211:EN211" si="994">IF(DD194="","",-DD196+DD202+DD205)</f>
      </c>
      <c r="DE211" s="205" t="str">
        <f t="shared" si="994"/>
      </c>
      <c r="DF211" s="205" t="str">
        <f t="shared" si="994"/>
      </c>
      <c r="DG211" s="205" t="str">
        <f t="shared" si="994"/>
      </c>
      <c r="DH211" s="205" t="str">
        <f t="shared" si="994"/>
      </c>
      <c r="DI211" s="205" t="str">
        <f t="shared" si="994"/>
      </c>
      <c r="DJ211" s="205" t="str">
        <f t="shared" si="994"/>
      </c>
      <c r="DK211" s="205" t="str">
        <f t="shared" si="994"/>
      </c>
      <c r="DL211" s="205" t="str">
        <f t="shared" si="994"/>
      </c>
      <c r="DM211" s="205" t="str">
        <f t="shared" si="994"/>
      </c>
      <c r="DN211" s="205" t="str">
        <f t="shared" si="994"/>
      </c>
      <c r="DO211" s="205" t="str">
        <f t="shared" si="994"/>
      </c>
      <c r="DP211" s="205" t="str">
        <f t="shared" si="994"/>
      </c>
      <c r="DQ211" s="205" t="str">
        <f t="shared" si="994"/>
      </c>
      <c r="DR211" s="205" t="str">
        <f t="shared" si="994"/>
      </c>
      <c r="DS211" s="205" t="str">
        <f t="shared" si="994"/>
      </c>
      <c r="DT211" s="205" t="str">
        <f t="shared" si="994"/>
      </c>
      <c r="DU211" s="205" t="str">
        <f t="shared" si="994"/>
      </c>
      <c r="DV211" s="205" t="str">
        <f t="shared" si="994"/>
      </c>
      <c r="DW211" s="205" t="str">
        <f t="shared" si="994"/>
      </c>
      <c r="DX211" s="205" t="str">
        <f t="shared" si="994"/>
      </c>
      <c r="DY211" s="205" t="str">
        <f t="shared" si="994"/>
      </c>
      <c r="DZ211" s="205" t="str">
        <f t="shared" si="994"/>
      </c>
      <c r="EA211" s="205" t="str">
        <f t="shared" si="994"/>
      </c>
      <c r="EB211" s="205" t="str">
        <f t="shared" si="994"/>
      </c>
      <c r="EC211" s="205" t="str">
        <f t="shared" si="994"/>
      </c>
      <c r="ED211" s="205" t="str">
        <f t="shared" si="994"/>
      </c>
      <c r="EE211" s="205" t="str">
        <f t="shared" si="994"/>
      </c>
      <c r="EF211" s="205" t="str">
        <f t="shared" si="994"/>
      </c>
      <c r="EG211" s="205" t="str">
        <f t="shared" si="994"/>
      </c>
      <c r="EH211" s="205" t="str">
        <f t="shared" si="994"/>
      </c>
      <c r="EI211" s="205" t="str">
        <f t="shared" si="994"/>
      </c>
      <c r="EJ211" s="205" t="str">
        <f t="shared" si="994"/>
      </c>
      <c r="EK211" s="205" t="str">
        <f t="shared" si="994"/>
      </c>
      <c r="EL211" s="205" t="str">
        <f t="shared" si="994"/>
      </c>
      <c r="EM211" s="205" t="str">
        <f t="shared" si="994"/>
      </c>
      <c r="EN211" s="205" t="str">
        <f t="shared" si="994"/>
      </c>
      <c r="EO211" s="444"/>
      <c r="EP211" s="409"/>
      <c r="EQ211" s="18"/>
      <c r="ER211" s="18"/>
      <c r="ES211" s="18"/>
      <c r="ET211" s="18" t="s">
        <v>390</v>
      </c>
      <c r="EU211" s="18"/>
      <c r="EV211" s="422" t="n">
        <f>EV207+EV201</f>
        <v>0</v>
      </c>
      <c r="EW211" s="422" t="n">
        <f t="shared" ref="EW211:HH211" si="995">EW207+EW201</f>
        <v>413948.3792913719</v>
      </c>
      <c r="EX211" s="422">
        <f t="shared" si="995"/>
        <v>142737.98220339679</v>
      </c>
      <c r="EY211" s="422">
        <f t="shared" si="995"/>
        <v>0</v>
      </c>
      <c r="EZ211" s="422">
        <f t="shared" si="995"/>
        <v>0</v>
      </c>
      <c r="FA211" s="422">
        <f t="shared" si="995"/>
        <v>0</v>
      </c>
      <c r="FB211" s="422">
        <f t="shared" si="995"/>
        <v>0</v>
      </c>
      <c r="FC211" s="422">
        <f t="shared" si="995"/>
        <v>0</v>
      </c>
      <c r="FD211" s="422">
        <f t="shared" si="995"/>
        <v>0</v>
      </c>
      <c r="FE211" s="422">
        <f t="shared" si="995"/>
        <v>0</v>
      </c>
      <c r="FF211" s="422">
        <f t="shared" si="995"/>
        <v>0</v>
      </c>
      <c r="FG211" s="422">
        <f t="shared" si="995"/>
        <v>0</v>
      </c>
      <c r="FH211" s="422">
        <f t="shared" si="995"/>
        <v>0</v>
      </c>
      <c r="FI211" s="422">
        <f t="shared" si="995"/>
        <v>0</v>
      </c>
      <c r="FJ211" s="422">
        <f t="shared" si="995"/>
        <v>0</v>
      </c>
      <c r="FK211" s="422">
        <f t="shared" si="995"/>
        <v>0</v>
      </c>
      <c r="FL211" s="422">
        <f t="shared" si="995"/>
        <v>0</v>
      </c>
      <c r="FM211" s="422">
        <f t="shared" si="995"/>
        <v>853119.55281024228</v>
      </c>
      <c r="FN211" s="422">
        <f t="shared" si="995"/>
        <v>3665053.5541383428</v>
      </c>
      <c r="FO211" s="422">
        <f t="shared" si="995"/>
        <v>3410662.1015776717</v>
      </c>
      <c r="FP211" s="422">
        <f t="shared" si="995"/>
        <v>3247961.4392093075</v>
      </c>
      <c r="FQ211" s="422">
        <f t="shared" si="995"/>
        <v>3879141.5832031192</v>
      </c>
      <c r="FR211" s="422">
        <f t="shared" si="995"/>
        <v>3730403.2008891297</v>
      </c>
      <c r="FS211" s="422">
        <f t="shared" si="995"/>
        <v>3593524.9150274647</v>
      </c>
      <c r="FT211" s="422">
        <f t="shared" si="995"/>
        <v>3776172.9559091968</v>
      </c>
      <c r="FU211" s="422">
        <f t="shared" si="995"/>
        <v>3668480.4053410282</v>
      </c>
      <c r="FV211" s="422">
        <f t="shared" si="995"/>
        <v>3576251.2271373835</v>
      </c>
      <c r="FW211" s="422">
        <f t="shared" si="995"/>
        <v>3687043.5329968771</v>
      </c>
      <c r="FX211" s="422">
        <f t="shared" si="995"/>
        <v>2995370.3668411844</v>
      </c>
      <c r="FY211" s="422">
        <f t="shared" si="995"/>
        <v>1576563.4029267943</v>
      </c>
      <c r="FZ211" s="422">
        <f t="shared" si="995"/>
        <v>2641225.1199580738</v>
      </c>
      <c r="GA211" s="422">
        <f t="shared" si="995"/>
        <v>3037129.1260873023</v>
      </c>
      <c r="GB211" s="422">
        <f t="shared" si="995"/>
        <v>3331940.0298578748</v>
      </c>
      <c r="GC211" s="422">
        <f t="shared" si="995"/>
        <v>3543075.2003101264</v>
      </c>
      <c r="GD211" s="422">
        <f t="shared" si="995"/>
        <v>3941015.5223757271</v>
      </c>
      <c r="GE211" s="422">
        <f t="shared" si="995"/>
        <v>4033678.1277150894</v>
      </c>
      <c r="GF211" s="422">
        <f t="shared" si="995"/>
        <v>4101932.8264588988</v>
      </c>
      <c r="GG211" s="422">
        <f t="shared" si="995"/>
        <v>3678495.6694553453</v>
      </c>
      <c r="GH211" s="422">
        <f t="shared" si="995"/>
        <v>3665813.0495049828</v>
      </c>
      <c r="GI211" s="422">
        <f t="shared" si="995"/>
        <v>3653035.309904993</v>
      </c>
      <c r="GJ211" s="422">
        <f t="shared" si="995"/>
        <v>3646481.5132933473</v>
      </c>
      <c r="GK211" s="422">
        <f t="shared" si="995"/>
        <v>3633511.3888515048</v>
      </c>
      <c r="GL211" s="422">
        <f t="shared" si="995"/>
        <v>3620443.988476349</v>
      </c>
      <c r="GM211" s="422">
        <f t="shared" si="995"/>
        <v>3771400.5906808469</v>
      </c>
      <c r="GN211" s="422">
        <f t="shared" si="995"/>
        <v>3758136.4442587923</v>
      </c>
      <c r="GO211" s="422">
        <f t="shared" si="995"/>
        <v>3744772.8167385724</v>
      </c>
      <c r="GP211" s="422">
        <f t="shared" si="995"/>
        <v>3760449.378678618</v>
      </c>
      <c r="GQ211" s="422">
        <f t="shared" si="995"/>
        <v>3746884.5450415472</v>
      </c>
      <c r="GR211" s="422">
        <f t="shared" si="995"/>
        <v>3733217.9751521973</v>
      </c>
      <c r="GS211" s="422">
        <f t="shared" si="995"/>
        <v>3585939.2095313119</v>
      </c>
      <c r="GT211" s="422">
        <f t="shared" si="995"/>
        <v>3572066.8723490657</v>
      </c>
      <c r="GU211" s="422">
        <f t="shared" si="995"/>
        <v>3558090.4926379537</v>
      </c>
      <c r="GV211" s="422">
        <f t="shared" si="995"/>
        <v>3550318.4775790079</v>
      </c>
      <c r="GW211" s="422">
        <f t="shared" si="995"/>
        <v>3536131.6660008687</v>
      </c>
      <c r="GX211" s="422">
        <f t="shared" si="995"/>
        <v>3521838.4533358947</v>
      </c>
      <c r="GY211" s="422">
        <f t="shared" si="995"/>
        <v>3655983.2974481955</v>
      </c>
      <c r="GZ211" s="422">
        <f t="shared" si="995"/>
        <v>3641474.8826000346</v>
      </c>
      <c r="HA211" s="422">
        <f t="shared" si="995"/>
        <v>3626857.6546405125</v>
      </c>
      <c r="HB211" s="422">
        <f t="shared" si="995"/>
        <v>3642291.1287212931</v>
      </c>
      <c r="HC211" s="422">
        <f t="shared" si="995"/>
        <v>3627453.8201233055</v>
      </c>
      <c r="HD211" s="422">
        <f t="shared" si="995"/>
        <v>3612505.2317108321</v>
      </c>
      <c r="HE211" s="422">
        <f t="shared" si="995"/>
        <v>97384072.966539294</v>
      </c>
      <c r="HF211" s="422">
        <f t="shared" si="995"/>
        <v>0</v>
      </c>
      <c r="HG211" s="422">
        <f t="shared" si="995"/>
        <v>0</v>
      </c>
      <c r="HH211" s="422">
        <f t="shared" si="995"/>
        <v>0</v>
      </c>
      <c r="HI211" s="422" t="n">
        <f t="shared" ref="HI211:JT211" si="996">HI207+HI201</f>
        <v>0</v>
      </c>
      <c r="HJ211" s="422">
        <f t="shared" si="996"/>
        <v>0</v>
      </c>
      <c r="HK211" s="422">
        <f t="shared" si="996"/>
        <v>0</v>
      </c>
      <c r="HL211" s="422">
        <f t="shared" si="996"/>
        <v>0</v>
      </c>
      <c r="HM211" s="422">
        <f t="shared" si="996"/>
        <v>0</v>
      </c>
      <c r="HN211" s="422">
        <f t="shared" si="996"/>
        <v>0</v>
      </c>
      <c r="HO211" s="422">
        <f t="shared" si="996"/>
        <v>0</v>
      </c>
      <c r="HP211" s="422">
        <f t="shared" si="996"/>
        <v>0</v>
      </c>
      <c r="HQ211" s="422">
        <f t="shared" si="996"/>
        <v>0</v>
      </c>
      <c r="HR211" s="422">
        <f t="shared" si="996"/>
        <v>0</v>
      </c>
      <c r="HS211" s="422">
        <f t="shared" si="996"/>
        <v>0</v>
      </c>
      <c r="HT211" s="422">
        <f t="shared" si="996"/>
        <v>0</v>
      </c>
      <c r="HU211" s="422">
        <f t="shared" si="996"/>
        <v>0</v>
      </c>
      <c r="HV211" s="422">
        <f t="shared" si="996"/>
        <v>0</v>
      </c>
      <c r="HW211" s="422">
        <f t="shared" si="996"/>
        <v>0</v>
      </c>
      <c r="HX211" s="422">
        <f t="shared" si="996"/>
        <v>0</v>
      </c>
      <c r="HY211" s="422">
        <f t="shared" si="996"/>
        <v>0</v>
      </c>
      <c r="HZ211" s="422">
        <f t="shared" si="996"/>
        <v>0</v>
      </c>
      <c r="IA211" s="422">
        <f t="shared" si="996"/>
        <v>0</v>
      </c>
      <c r="IB211" s="422">
        <f t="shared" si="996"/>
        <v>0</v>
      </c>
      <c r="IC211" s="422">
        <f t="shared" si="996"/>
        <v>0</v>
      </c>
      <c r="ID211" s="422">
        <f t="shared" si="996"/>
        <v>0</v>
      </c>
      <c r="IE211" s="422">
        <f t="shared" si="996"/>
        <v>0</v>
      </c>
      <c r="IF211" s="422">
        <f t="shared" si="996"/>
        <v>0</v>
      </c>
      <c r="IG211" s="422">
        <f t="shared" si="996"/>
        <v>0</v>
      </c>
      <c r="IH211" s="422">
        <f t="shared" si="996"/>
        <v>0</v>
      </c>
      <c r="II211" s="422">
        <f t="shared" si="996"/>
        <v>0</v>
      </c>
      <c r="IJ211" s="422">
        <f t="shared" si="996"/>
        <v>0</v>
      </c>
      <c r="IK211" s="422">
        <f t="shared" si="996"/>
        <v>0</v>
      </c>
      <c r="IL211" s="422">
        <f t="shared" si="996"/>
        <v>0</v>
      </c>
      <c r="IM211" s="422">
        <f t="shared" si="996"/>
        <v>0</v>
      </c>
      <c r="IN211" s="422">
        <f t="shared" si="996"/>
        <v>0</v>
      </c>
      <c r="IO211" s="422">
        <f t="shared" si="996"/>
        <v>0</v>
      </c>
      <c r="IP211" s="422">
        <f t="shared" si="996"/>
        <v>0</v>
      </c>
      <c r="IQ211" s="422">
        <f t="shared" si="996"/>
        <v>0</v>
      </c>
      <c r="IR211" s="422">
        <f t="shared" si="996"/>
        <v>0</v>
      </c>
      <c r="IS211" s="422">
        <f t="shared" si="996"/>
        <v>0</v>
      </c>
      <c r="IT211" s="422">
        <f t="shared" si="996"/>
        <v>0</v>
      </c>
      <c r="IU211" s="422">
        <f t="shared" si="996"/>
        <v>0</v>
      </c>
      <c r="IV211" s="422">
        <f t="shared" si="996"/>
        <v>0</v>
      </c>
      <c r="IW211" s="422">
        <f t="shared" si="996"/>
        <v>0</v>
      </c>
      <c r="IX211" s="422">
        <f t="shared" si="996"/>
        <v>0</v>
      </c>
      <c r="IY211" s="422">
        <f t="shared" si="996"/>
        <v>0</v>
      </c>
      <c r="IZ211" s="422">
        <f t="shared" si="996"/>
        <v>0</v>
      </c>
      <c r="JA211" s="422">
        <f t="shared" si="996"/>
        <v>0</v>
      </c>
      <c r="JB211" s="422">
        <f t="shared" si="996"/>
        <v>0</v>
      </c>
      <c r="JC211" s="422">
        <f t="shared" si="996"/>
        <v>0</v>
      </c>
      <c r="JD211" s="422">
        <f t="shared" si="996"/>
        <v>0</v>
      </c>
      <c r="JE211" s="422">
        <f t="shared" si="996"/>
        <v>0</v>
      </c>
      <c r="JF211" s="422">
        <f t="shared" si="996"/>
        <v>0</v>
      </c>
      <c r="JG211" s="422">
        <f t="shared" si="996"/>
        <v>0</v>
      </c>
      <c r="JH211" s="422">
        <f t="shared" si="996"/>
        <v>0</v>
      </c>
      <c r="JI211" s="422">
        <f t="shared" si="996"/>
        <v>0</v>
      </c>
      <c r="JJ211" s="422">
        <f t="shared" si="996"/>
        <v>0</v>
      </c>
      <c r="JK211" s="422">
        <f t="shared" si="996"/>
        <v>0</v>
      </c>
      <c r="JL211" s="422">
        <f t="shared" si="996"/>
        <v>0</v>
      </c>
      <c r="JM211" s="422">
        <f t="shared" si="996"/>
        <v>0</v>
      </c>
      <c r="JN211" s="422">
        <f t="shared" si="996"/>
        <v>0</v>
      </c>
      <c r="JO211" s="422">
        <f t="shared" si="996"/>
        <v>0</v>
      </c>
      <c r="JP211" s="422">
        <f t="shared" si="996"/>
        <v>0</v>
      </c>
      <c r="JQ211" s="422">
        <f t="shared" si="996"/>
        <v>0</v>
      </c>
      <c r="JR211" s="422">
        <f t="shared" si="996"/>
        <v>0</v>
      </c>
      <c r="JS211" s="422">
        <f t="shared" si="996"/>
        <v>0</v>
      </c>
      <c r="JT211" s="422">
        <f t="shared" si="996"/>
        <v>0</v>
      </c>
      <c r="JU211" s="422" t="n">
        <f t="shared" ref="JU211:JX211" si="997">JU207+JU201</f>
        <v>0</v>
      </c>
      <c r="JV211" s="422">
        <f t="shared" si="997"/>
        <v>0</v>
      </c>
      <c r="JW211" s="422">
        <f t="shared" si="997"/>
        <v>0</v>
      </c>
      <c r="JX211" s="422">
        <f t="shared" si="997"/>
        <v>0</v>
      </c>
      <c r="JZ211" s="446"/>
      <c r="KA211" s="446"/>
      <c r="KB211" s="446"/>
      <c r="KC211" s="446"/>
      <c r="KD211" s="446"/>
      <c r="KE211" s="446"/>
      <c r="KF211" s="446"/>
      <c r="KG211" s="446"/>
      <c r="KH211" s="446"/>
      <c r="KI211" s="446"/>
      <c r="KJ211" s="446"/>
      <c r="KK211" s="446"/>
      <c r="KL211" s="446"/>
      <c r="KM211" s="446"/>
      <c r="KN211" s="446"/>
      <c r="KO211" s="446"/>
      <c r="KP211" s="446"/>
      <c r="KQ211" s="446"/>
      <c r="KR211" s="446"/>
      <c r="KS211" s="446"/>
      <c r="KT211" s="446"/>
      <c r="KU211" s="446"/>
      <c r="KV211" s="446"/>
      <c r="KW211" s="446"/>
      <c r="KX211" s="446"/>
      <c r="KY211" s="446"/>
      <c r="KZ211" s="446"/>
      <c r="LA211" s="446"/>
      <c r="LB211" s="446"/>
      <c r="LC211" s="446"/>
      <c r="LD211" s="446"/>
      <c r="LE211" s="446"/>
      <c r="LF211" s="446"/>
      <c r="LG211" s="446"/>
      <c r="LH211" s="446"/>
      <c r="LI211" s="446"/>
      <c r="LJ211" s="446"/>
      <c r="LK211" s="446"/>
      <c r="LL211" s="446"/>
      <c r="LM211" s="446"/>
      <c r="LN211" s="446"/>
      <c r="LO211" s="446"/>
      <c r="LP211" s="446"/>
      <c r="LQ211" s="446"/>
      <c r="LR211" s="446"/>
      <c r="LS211" s="446"/>
      <c r="LT211" s="446"/>
      <c r="LU211" s="446"/>
      <c r="LV211" s="446"/>
      <c r="LW211" s="446"/>
      <c r="LX211" s="446"/>
      <c r="LY211" s="446"/>
      <c r="LZ211" s="446"/>
      <c r="MA211" s="446"/>
      <c r="MB211" s="446"/>
      <c r="MC211" s="446"/>
      <c r="MD211" s="446"/>
      <c r="ME211" s="446"/>
      <c r="MF211" s="446"/>
      <c r="MG211" s="446"/>
      <c r="MH211" s="446"/>
      <c r="MI211" s="446"/>
      <c r="MJ211" s="446"/>
      <c r="MK211" s="446"/>
      <c r="ML211" s="446"/>
      <c r="MM211" s="446"/>
      <c r="MN211" s="446"/>
      <c r="MO211" s="446"/>
      <c r="MP211" s="446"/>
      <c r="MQ211" s="446"/>
      <c r="MR211" s="446"/>
      <c r="MS211" s="446"/>
      <c r="MT211" s="446"/>
      <c r="MU211" s="446"/>
      <c r="MV211" s="446"/>
      <c r="MW211" s="446"/>
      <c r="MX211" s="446"/>
      <c r="MY211" s="446"/>
      <c r="MZ211" s="446"/>
      <c r="NA211" s="446"/>
      <c r="NB211" s="446"/>
      <c r="NC211" s="446"/>
      <c r="ND211" s="446"/>
      <c r="NE211" s="446"/>
      <c r="NF211" s="446"/>
      <c r="NG211" s="446"/>
      <c r="NH211" s="446"/>
      <c r="NI211" s="446"/>
      <c r="NJ211" s="446"/>
      <c r="NK211" s="446"/>
      <c r="NL211" s="446"/>
      <c r="NM211" s="446"/>
      <c r="NN211" s="446"/>
      <c r="NO211" s="446"/>
      <c r="NP211" s="446"/>
      <c r="NQ211" s="446"/>
      <c r="NR211" s="446"/>
      <c r="NS211" s="446"/>
      <c r="NT211" s="446"/>
      <c r="NU211" s="446"/>
      <c r="NV211" s="446"/>
      <c r="NW211" s="446"/>
      <c r="NX211" s="446"/>
      <c r="NY211" s="446"/>
      <c r="NZ211" s="446"/>
      <c r="OA211" s="446"/>
      <c r="OB211" s="446"/>
      <c r="OC211" s="446"/>
      <c r="OD211" s="446"/>
      <c r="OE211" s="446"/>
      <c r="OF211" s="446"/>
      <c r="OG211" s="446"/>
      <c r="OH211" s="446"/>
      <c r="OI211" s="446"/>
      <c r="OJ211" s="446"/>
      <c r="OK211" s="446"/>
      <c r="OL211" s="446"/>
      <c r="OM211" s="446"/>
      <c r="ON211" s="446"/>
      <c r="OO211" s="446"/>
      <c r="OP211" s="446"/>
      <c r="OQ211" s="446"/>
      <c r="OR211" s="446"/>
      <c r="OS211" s="446"/>
      <c r="OT211" s="446"/>
      <c r="OU211" s="446"/>
      <c r="OV211" s="446"/>
      <c r="OW211" s="446"/>
      <c r="OX211" s="446"/>
      <c r="OY211" s="446"/>
      <c r="OZ211" s="446"/>
      <c r="PA211" s="446"/>
      <c r="PB211" s="446"/>
      <c r="PC211" s="446"/>
      <c r="PD211" s="446"/>
      <c r="PE211" s="446"/>
      <c r="PF211" s="446"/>
      <c r="PG211" s="446"/>
      <c r="PH211" s="446"/>
    </row>
    <row r="212" s="24" customFormat="1">
      <c r="A212" s="441"/>
      <c r="B212" s="62" t="s">
        <v>391</v>
      </c>
      <c r="C212" s="458"/>
      <c r="D212" s="458"/>
      <c r="E212" s="458"/>
      <c r="F212" s="458"/>
      <c r="G212" s="537" t="n">
        <f>IFERROR(SUMIF($M212:$BU212,"&gt;0",$M212:$BU212)/-SUMIF($M212:$BU212,"&lt;0",$M212:$BU212),0)</f>
        <v>9.688789923849196</v>
      </c>
      <c r="H212" s="74" t="n">
        <f>IFERROR(XIRR($M212:$BU212,$M$195:$BU$195),0)</f>
        <v>0.9214507461435774</v>
      </c>
      <c r="I212" s="495" t="n">
        <f>SUM($M212:$BU212)</f>
        <v>880670169.6405612</v>
      </c>
      <c r="K212" s="444"/>
      <c r="L212" s="445" t="str">
        <f t="shared" ref="L212:AQ212" si="998">IF(L194="","",-L53-L196-L197+L199+L200+L202-L203+L205+L206+L207)</f>
      </c>
      <c r="M212" s="445">
        <f t="shared" si="998"/>
        <v>413948.37929137197</v>
      </c>
      <c r="N212" s="445">
        <f t="shared" si="998"/>
        <v>142737.98220339679</v>
      </c>
      <c r="O212" s="445">
        <f t="shared" si="998"/>
        <v>-244595.09859436523</v>
      </c>
      <c r="P212" s="445">
        <f t="shared" si="998"/>
        <v>-781231.92888711998</v>
      </c>
      <c r="Q212" s="445">
        <f t="shared" si="998"/>
        <v>-1616404.3057297477</v>
      </c>
      <c r="R212" s="445">
        <f t="shared" si="998"/>
        <v>-1855172.6038037571</v>
      </c>
      <c r="S212" s="445">
        <f t="shared" si="998"/>
        <v>-3036761.4778166781</v>
      </c>
      <c r="T212" s="445">
        <f t="shared" si="998"/>
        <v>-4475672.1026817523</v>
      </c>
      <c r="U212" s="445">
        <f t="shared" si="998"/>
        <v>-6167178.0251177372</v>
      </c>
      <c r="V212" s="445">
        <f t="shared" si="998"/>
        <v>-8082772.9142263671</v>
      </c>
      <c r="W212" s="445">
        <f t="shared" si="998"/>
        <v>-10166833.183075439</v>
      </c>
      <c r="X212" s="445">
        <f t="shared" si="998"/>
        <v>-12336315.391972035</v>
      </c>
      <c r="Y212" s="445">
        <f t="shared" si="998"/>
        <v>-14484287.493165776</v>
      </c>
      <c r="Z212" s="445">
        <f t="shared" si="998"/>
        <v>-16487519.239411835</v>
      </c>
      <c r="AA212" s="445">
        <f t="shared" si="998"/>
        <v>-18217610.643105783</v>
      </c>
      <c r="AB212" s="445">
        <f t="shared" si="998"/>
        <v>-3404701.9096873729</v>
      </c>
      <c r="AC212" s="445">
        <f t="shared" si="998"/>
        <v>853119.55281024228</v>
      </c>
      <c r="AD212" s="445">
        <f t="shared" si="998"/>
        <v>3665053.5541383428</v>
      </c>
      <c r="AE212" s="445">
        <f t="shared" si="998"/>
        <v>3410662.1015776722</v>
      </c>
      <c r="AF212" s="445">
        <f t="shared" si="998"/>
        <v>3247961.4392093075</v>
      </c>
      <c r="AG212" s="445">
        <f t="shared" si="998"/>
        <v>3879141.5832031192</v>
      </c>
      <c r="AH212" s="445">
        <f t="shared" si="998"/>
        <v>3730403.2008891301</v>
      </c>
      <c r="AI212" s="445">
        <f t="shared" si="998"/>
        <v>3593524.9150274647</v>
      </c>
      <c r="AJ212" s="445">
        <f t="shared" si="998"/>
        <v>3776172.9559091972</v>
      </c>
      <c r="AK212" s="445">
        <f t="shared" si="998"/>
        <v>3668480.4053410282</v>
      </c>
      <c r="AL212" s="445">
        <f t="shared" si="998"/>
        <v>3576251.227137384</v>
      </c>
      <c r="AM212" s="445">
        <f t="shared" si="998"/>
        <v>3687043.5329968771</v>
      </c>
      <c r="AN212" s="445">
        <f t="shared" si="998"/>
        <v>2995370.3668411849</v>
      </c>
      <c r="AO212" s="445">
        <f t="shared" si="998"/>
        <v>1576563.4029267943</v>
      </c>
      <c r="AP212" s="445">
        <f t="shared" si="998"/>
        <v>2641225.1199580738</v>
      </c>
      <c r="AQ212" s="445">
        <f t="shared" si="998"/>
        <v>3037129.1260873023</v>
      </c>
      <c r="AR212" s="445" t="n">
        <f t="shared" ref="AR212:BW212" si="999">IF(AR194="","",-AR53-AR196-AR197+AR199+AR200+AR202-AR203+AR205+AR206+AR207)</f>
        <v>2928280.71192563</v>
      </c>
      <c r="AS212" s="445">
        <f t="shared" si="999"/>
        <v>3543075.2003101264</v>
      </c>
      <c r="AT212" s="445">
        <f t="shared" si="999"/>
        <v>3941015.5223757271</v>
      </c>
      <c r="AU212" s="445">
        <f t="shared" si="999"/>
        <v>4033678.1277150894</v>
      </c>
      <c r="AV212" s="445">
        <f t="shared" si="999"/>
        <v>4101932.8264588993</v>
      </c>
      <c r="AW212" s="445">
        <f t="shared" si="999"/>
        <v>3678495.6694553457</v>
      </c>
      <c r="AX212" s="445">
        <f t="shared" si="999"/>
        <v>3665813.0495049832</v>
      </c>
      <c r="AY212" s="445">
        <f t="shared" si="999"/>
        <v>3653035.3099049935</v>
      </c>
      <c r="AZ212" s="445">
        <f t="shared" si="999"/>
        <v>3646481.5132933473</v>
      </c>
      <c r="BA212" s="445">
        <f t="shared" si="999"/>
        <v>3633511.3888515048</v>
      </c>
      <c r="BB212" s="445">
        <f t="shared" si="999"/>
        <v>3620443.988476349</v>
      </c>
      <c r="BC212" s="445">
        <f t="shared" si="999"/>
        <v>3771400.5906808469</v>
      </c>
      <c r="BD212" s="205">
        <f t="shared" si="999"/>
        <v>3758136.4442587923</v>
      </c>
      <c r="BE212" s="205">
        <f t="shared" si="999"/>
        <v>3744772.8167385729</v>
      </c>
      <c r="BF212" s="205">
        <f t="shared" si="999"/>
        <v>3760449.378678618</v>
      </c>
      <c r="BG212" s="205">
        <f t="shared" si="999"/>
        <v>3746884.5450415472</v>
      </c>
      <c r="BH212" s="205">
        <f t="shared" si="999"/>
        <v>3733217.9751521973</v>
      </c>
      <c r="BI212" s="205">
        <f t="shared" si="999"/>
        <v>3725525.3932928452</v>
      </c>
      <c r="BJ212" s="205">
        <f t="shared" si="999"/>
        <v>3711653.0561105991</v>
      </c>
      <c r="BK212" s="205">
        <f t="shared" si="999"/>
        <v>3697676.6763994871</v>
      </c>
      <c r="BL212" s="205">
        <f t="shared" si="999"/>
        <v>3689904.6613405412</v>
      </c>
      <c r="BM212" s="205">
        <f t="shared" si="999"/>
        <v>3675717.8497624025</v>
      </c>
      <c r="BN212" s="205">
        <f t="shared" si="999"/>
        <v>3661424.6370974286</v>
      </c>
      <c r="BO212" s="205">
        <f t="shared" si="999"/>
        <v>3795569.4812097289</v>
      </c>
      <c r="BP212" s="205">
        <f t="shared" si="999"/>
        <v>3781061.0663615679</v>
      </c>
      <c r="BQ212" s="205">
        <f t="shared" si="999"/>
        <v>3766443.8384020459</v>
      </c>
      <c r="BR212" s="205">
        <f t="shared" si="999"/>
        <v>3781877.3124828264</v>
      </c>
      <c r="BS212" s="205">
        <f t="shared" si="999"/>
        <v>3767040.0038848389</v>
      </c>
      <c r="BT212" s="205">
        <f t="shared" si="999"/>
        <v>3752091.4154723659</v>
      </c>
      <c r="BU212" s="205">
        <f t="shared" si="999"/>
        <v>826365826.66164982</v>
      </c>
      <c r="BV212" s="205" t="str">
        <f t="shared" si="999"/>
      </c>
      <c r="BW212" s="205" t="str">
        <f t="shared" si="999"/>
      </c>
      <c r="BX212" s="205" t="str">
        <f t="shared" ref="BX212:DC212" si="1000">IF(BX194="","",-BX53-BX196-BX197+BX199+BX200+BX202-BX203+BX205+BX206+BX207)</f>
      </c>
      <c r="BY212" s="205" t="str">
        <f t="shared" si="1000"/>
      </c>
      <c r="BZ212" s="205" t="str">
        <f t="shared" si="1000"/>
      </c>
      <c r="CA212" s="205" t="str">
        <f t="shared" si="1000"/>
      </c>
      <c r="CB212" s="205" t="str">
        <f t="shared" si="1000"/>
      </c>
      <c r="CC212" s="205" t="str">
        <f t="shared" si="1000"/>
      </c>
      <c r="CD212" s="205" t="str">
        <f t="shared" si="1000"/>
      </c>
      <c r="CE212" s="205" t="str">
        <f t="shared" si="1000"/>
      </c>
      <c r="CF212" s="205" t="str">
        <f t="shared" si="1000"/>
      </c>
      <c r="CG212" s="205" t="str">
        <f t="shared" si="1000"/>
      </c>
      <c r="CH212" s="205" t="str">
        <f t="shared" si="1000"/>
      </c>
      <c r="CI212" s="205" t="str">
        <f t="shared" si="1000"/>
      </c>
      <c r="CJ212" s="205" t="str">
        <f t="shared" si="1000"/>
      </c>
      <c r="CK212" s="205" t="str">
        <f t="shared" si="1000"/>
      </c>
      <c r="CL212" s="205" t="str">
        <f t="shared" si="1000"/>
      </c>
      <c r="CM212" s="205" t="str">
        <f t="shared" si="1000"/>
      </c>
      <c r="CN212" s="205" t="str">
        <f t="shared" si="1000"/>
      </c>
      <c r="CO212" s="205" t="str">
        <f t="shared" si="1000"/>
      </c>
      <c r="CP212" s="205" t="str">
        <f t="shared" si="1000"/>
      </c>
      <c r="CQ212" s="205" t="str">
        <f t="shared" si="1000"/>
      </c>
      <c r="CR212" s="205" t="str">
        <f t="shared" si="1000"/>
      </c>
      <c r="CS212" s="205" t="str">
        <f t="shared" si="1000"/>
      </c>
      <c r="CT212" s="205" t="str">
        <f t="shared" si="1000"/>
      </c>
      <c r="CU212" s="205" t="str">
        <f t="shared" si="1000"/>
      </c>
      <c r="CV212" s="205" t="str">
        <f t="shared" si="1000"/>
      </c>
      <c r="CW212" s="205" t="str">
        <f t="shared" si="1000"/>
      </c>
      <c r="CX212" s="205" t="str">
        <f t="shared" si="1000"/>
      </c>
      <c r="CY212" s="205" t="str">
        <f t="shared" si="1000"/>
      </c>
      <c r="CZ212" s="205" t="str">
        <f t="shared" si="1000"/>
      </c>
      <c r="DA212" s="205" t="str">
        <f t="shared" si="1000"/>
      </c>
      <c r="DB212" s="205" t="str">
        <f t="shared" si="1000"/>
      </c>
      <c r="DC212" s="205" t="str">
        <f t="shared" si="1000"/>
      </c>
      <c r="DD212" s="205" t="str">
        <f t="shared" ref="DD212:EN212" si="1001">IF(DD194="","",-DD53-DD196-DD197+DD199+DD200+DD202-DD203+DD205+DD206+DD207)</f>
      </c>
      <c r="DE212" s="205" t="str">
        <f t="shared" si="1001"/>
      </c>
      <c r="DF212" s="205" t="str">
        <f t="shared" si="1001"/>
      </c>
      <c r="DG212" s="205" t="str">
        <f t="shared" si="1001"/>
      </c>
      <c r="DH212" s="205" t="str">
        <f t="shared" si="1001"/>
      </c>
      <c r="DI212" s="205" t="str">
        <f t="shared" si="1001"/>
      </c>
      <c r="DJ212" s="205" t="str">
        <f t="shared" si="1001"/>
      </c>
      <c r="DK212" s="205" t="str">
        <f t="shared" si="1001"/>
      </c>
      <c r="DL212" s="205" t="str">
        <f t="shared" si="1001"/>
      </c>
      <c r="DM212" s="205" t="str">
        <f t="shared" si="1001"/>
      </c>
      <c r="DN212" s="205" t="str">
        <f t="shared" si="1001"/>
      </c>
      <c r="DO212" s="205" t="str">
        <f t="shared" si="1001"/>
      </c>
      <c r="DP212" s="205" t="str">
        <f t="shared" si="1001"/>
      </c>
      <c r="DQ212" s="205" t="str">
        <f t="shared" si="1001"/>
      </c>
      <c r="DR212" s="205" t="str">
        <f t="shared" si="1001"/>
      </c>
      <c r="DS212" s="205" t="str">
        <f t="shared" si="1001"/>
      </c>
      <c r="DT212" s="205" t="str">
        <f t="shared" si="1001"/>
      </c>
      <c r="DU212" s="205" t="str">
        <f t="shared" si="1001"/>
      </c>
      <c r="DV212" s="205" t="str">
        <f t="shared" si="1001"/>
      </c>
      <c r="DW212" s="205" t="str">
        <f t="shared" si="1001"/>
      </c>
      <c r="DX212" s="205" t="str">
        <f t="shared" si="1001"/>
      </c>
      <c r="DY212" s="205" t="str">
        <f t="shared" si="1001"/>
      </c>
      <c r="DZ212" s="205" t="str">
        <f t="shared" si="1001"/>
      </c>
      <c r="EA212" s="205" t="str">
        <f t="shared" si="1001"/>
      </c>
      <c r="EB212" s="205" t="str">
        <f t="shared" si="1001"/>
      </c>
      <c r="EC212" s="205" t="str">
        <f t="shared" si="1001"/>
      </c>
      <c r="ED212" s="205" t="str">
        <f t="shared" si="1001"/>
      </c>
      <c r="EE212" s="205" t="str">
        <f t="shared" si="1001"/>
      </c>
      <c r="EF212" s="205" t="str">
        <f t="shared" si="1001"/>
      </c>
      <c r="EG212" s="205" t="str">
        <f t="shared" si="1001"/>
      </c>
      <c r="EH212" s="205" t="str">
        <f t="shared" si="1001"/>
      </c>
      <c r="EI212" s="205" t="str">
        <f t="shared" si="1001"/>
      </c>
      <c r="EJ212" s="205" t="str">
        <f t="shared" si="1001"/>
      </c>
      <c r="EK212" s="205" t="str">
        <f t="shared" si="1001"/>
      </c>
      <c r="EL212" s="205" t="str">
        <f t="shared" si="1001"/>
      </c>
      <c r="EM212" s="205" t="str">
        <f t="shared" si="1001"/>
      </c>
      <c r="EN212" s="205" t="str">
        <f t="shared" si="1001"/>
      </c>
      <c r="EO212" s="444"/>
      <c r="EP212" s="538"/>
      <c r="EQ212" s="539"/>
      <c r="ER212" s="539"/>
      <c r="ES212" s="539"/>
      <c r="ET212" s="539" t="s">
        <v>392</v>
      </c>
      <c r="EU212" s="539"/>
      <c r="EV212" s="540" t="n">
        <f>MAX(EV196-EV211,0)</f>
        <v>0</v>
      </c>
      <c r="EW212" s="540" t="n">
        <f t="shared" ref="EW212:GA212" si="1002">MAX(EW196-EW211,0)</f>
        <v>5.820766091346741e-11</v>
      </c>
      <c r="EX212" s="540">
        <f t="shared" si="1002"/>
        <v>0</v>
      </c>
      <c r="EY212" s="540">
        <f t="shared" si="1002"/>
        <v>0</v>
      </c>
      <c r="EZ212" s="540">
        <f t="shared" si="1002"/>
        <v>0</v>
      </c>
      <c r="FA212" s="540">
        <f t="shared" si="1002"/>
        <v>0</v>
      </c>
      <c r="FB212" s="540">
        <f t="shared" si="1002"/>
        <v>0</v>
      </c>
      <c r="FC212" s="540">
        <f t="shared" si="1002"/>
        <v>0</v>
      </c>
      <c r="FD212" s="540">
        <f t="shared" si="1002"/>
        <v>0</v>
      </c>
      <c r="FE212" s="540">
        <f t="shared" si="1002"/>
        <v>0</v>
      </c>
      <c r="FF212" s="540">
        <f t="shared" si="1002"/>
        <v>0</v>
      </c>
      <c r="FG212" s="540">
        <f t="shared" si="1002"/>
        <v>0</v>
      </c>
      <c r="FH212" s="540">
        <f t="shared" si="1002"/>
        <v>0</v>
      </c>
      <c r="FI212" s="540">
        <f t="shared" si="1002"/>
        <v>0</v>
      </c>
      <c r="FJ212" s="540">
        <f t="shared" si="1002"/>
        <v>0</v>
      </c>
      <c r="FK212" s="540">
        <f t="shared" si="1002"/>
        <v>0</v>
      </c>
      <c r="FL212" s="540">
        <f t="shared" si="1002"/>
        <v>0</v>
      </c>
      <c r="FM212" s="540">
        <f t="shared" si="1002"/>
        <v>0</v>
      </c>
      <c r="FN212" s="540">
        <f t="shared" si="1002"/>
        <v>0</v>
      </c>
      <c r="FO212" s="540">
        <f t="shared" si="1002"/>
        <v>4.6566128730773926E-10</v>
      </c>
      <c r="FP212" s="540">
        <f t="shared" si="1002"/>
        <v>0</v>
      </c>
      <c r="FQ212" s="540">
        <f t="shared" si="1002"/>
        <v>0</v>
      </c>
      <c r="FR212" s="540">
        <f t="shared" si="1002"/>
        <v>4.6566128730773926E-10</v>
      </c>
      <c r="FS212" s="540">
        <f t="shared" si="1002"/>
        <v>0</v>
      </c>
      <c r="FT212" s="540">
        <f t="shared" si="1002"/>
        <v>4.6566128730773926E-10</v>
      </c>
      <c r="FU212" s="540">
        <f t="shared" si="1002"/>
        <v>0</v>
      </c>
      <c r="FV212" s="540">
        <f t="shared" si="1002"/>
        <v>4.6566128730773926E-10</v>
      </c>
      <c r="FW212" s="540">
        <f t="shared" si="1002"/>
        <v>0</v>
      </c>
      <c r="FX212" s="540">
        <f t="shared" si="1002"/>
        <v>4.6566128730773926E-10</v>
      </c>
      <c r="FY212" s="540">
        <f t="shared" si="1002"/>
        <v>0</v>
      </c>
      <c r="FZ212" s="540">
        <f t="shared" si="1002"/>
        <v>0</v>
      </c>
      <c r="GA212" s="540">
        <f t="shared" si="1002"/>
        <v>0</v>
      </c>
      <c r="GB212" s="540" t="n">
        <f t="shared" ref="GB212:HG212" si="1003">MAX(GB196-GB211,0)</f>
        <v>0</v>
      </c>
      <c r="GC212" s="540">
        <f t="shared" si="1003"/>
        <v>0</v>
      </c>
      <c r="GD212" s="540">
        <f t="shared" si="1003"/>
        <v>0</v>
      </c>
      <c r="GE212" s="540">
        <f t="shared" si="1003"/>
        <v>0</v>
      </c>
      <c r="GF212" s="540">
        <f t="shared" si="1003"/>
        <v>4.6566128730773926E-10</v>
      </c>
      <c r="GG212" s="540">
        <f t="shared" si="1003"/>
        <v>4.6566128730773926E-10</v>
      </c>
      <c r="GH212" s="540">
        <f t="shared" si="1003"/>
        <v>4.6566128730773926E-10</v>
      </c>
      <c r="GI212" s="540">
        <f t="shared" si="1003"/>
        <v>4.6566128730773926E-10</v>
      </c>
      <c r="GJ212" s="540">
        <f t="shared" si="1003"/>
        <v>0</v>
      </c>
      <c r="GK212" s="540">
        <f t="shared" si="1003"/>
        <v>0</v>
      </c>
      <c r="GL212" s="540">
        <f t="shared" si="1003"/>
        <v>0</v>
      </c>
      <c r="GM212" s="540">
        <f t="shared" si="1003"/>
        <v>0</v>
      </c>
      <c r="GN212" s="540">
        <f t="shared" si="1003"/>
        <v>0</v>
      </c>
      <c r="GO212" s="540">
        <f t="shared" si="1003"/>
        <v>4.6566128730773926E-10</v>
      </c>
      <c r="GP212" s="540">
        <f t="shared" si="1003"/>
        <v>0</v>
      </c>
      <c r="GQ212" s="540">
        <f t="shared" si="1003"/>
        <v>0</v>
      </c>
      <c r="GR212" s="540">
        <f t="shared" si="1003"/>
        <v>0</v>
      </c>
      <c r="GS212" s="540">
        <f t="shared" si="1003"/>
        <v>0</v>
      </c>
      <c r="GT212" s="540">
        <f t="shared" si="1003"/>
        <v>0</v>
      </c>
      <c r="GU212" s="540">
        <f t="shared" si="1003"/>
        <v>0</v>
      </c>
      <c r="GV212" s="540">
        <f t="shared" si="1003"/>
        <v>0</v>
      </c>
      <c r="GW212" s="540">
        <f t="shared" si="1003"/>
        <v>4.6566128730773926E-10</v>
      </c>
      <c r="GX212" s="540">
        <f t="shared" si="1003"/>
        <v>4.6566128730773926E-10</v>
      </c>
      <c r="GY212" s="540">
        <f t="shared" si="1003"/>
        <v>0</v>
      </c>
      <c r="GZ212" s="540">
        <f t="shared" si="1003"/>
        <v>0</v>
      </c>
      <c r="HA212" s="540">
        <f t="shared" si="1003"/>
        <v>0</v>
      </c>
      <c r="HB212" s="540">
        <f t="shared" si="1003"/>
        <v>0</v>
      </c>
      <c r="HC212" s="540">
        <f t="shared" si="1003"/>
        <v>0</v>
      </c>
      <c r="HD212" s="540">
        <f t="shared" si="1003"/>
        <v>4.6566128730773926E-10</v>
      </c>
      <c r="HE212" s="540">
        <f t="shared" si="1003"/>
        <v>728842167.51134908</v>
      </c>
      <c r="HF212" s="540">
        <f t="shared" si="1003"/>
        <v>0</v>
      </c>
      <c r="HG212" s="540">
        <f t="shared" si="1003"/>
        <v>0</v>
      </c>
      <c r="HH212" s="540" t="n">
        <f t="shared" ref="HH212:IM212" si="1004">MAX(HH196-HH211,0)</f>
        <v>0</v>
      </c>
      <c r="HI212" s="540">
        <f t="shared" si="1004"/>
        <v>0</v>
      </c>
      <c r="HJ212" s="540">
        <f t="shared" si="1004"/>
        <v>0</v>
      </c>
      <c r="HK212" s="540">
        <f t="shared" si="1004"/>
        <v>0</v>
      </c>
      <c r="HL212" s="540">
        <f t="shared" si="1004"/>
        <v>0</v>
      </c>
      <c r="HM212" s="540">
        <f t="shared" si="1004"/>
        <v>0</v>
      </c>
      <c r="HN212" s="540">
        <f t="shared" si="1004"/>
        <v>0</v>
      </c>
      <c r="HO212" s="540">
        <f t="shared" si="1004"/>
        <v>0</v>
      </c>
      <c r="HP212" s="540">
        <f t="shared" si="1004"/>
        <v>0</v>
      </c>
      <c r="HQ212" s="540">
        <f t="shared" si="1004"/>
        <v>0</v>
      </c>
      <c r="HR212" s="540">
        <f t="shared" si="1004"/>
        <v>0</v>
      </c>
      <c r="HS212" s="540">
        <f t="shared" si="1004"/>
        <v>0</v>
      </c>
      <c r="HT212" s="540">
        <f t="shared" si="1004"/>
        <v>0</v>
      </c>
      <c r="HU212" s="540">
        <f t="shared" si="1004"/>
        <v>0</v>
      </c>
      <c r="HV212" s="540">
        <f t="shared" si="1004"/>
        <v>0</v>
      </c>
      <c r="HW212" s="540">
        <f t="shared" si="1004"/>
        <v>0</v>
      </c>
      <c r="HX212" s="540">
        <f t="shared" si="1004"/>
        <v>0</v>
      </c>
      <c r="HY212" s="540">
        <f t="shared" si="1004"/>
        <v>0</v>
      </c>
      <c r="HZ212" s="540">
        <f t="shared" si="1004"/>
        <v>0</v>
      </c>
      <c r="IA212" s="540">
        <f t="shared" si="1004"/>
        <v>0</v>
      </c>
      <c r="IB212" s="540">
        <f t="shared" si="1004"/>
        <v>0</v>
      </c>
      <c r="IC212" s="540">
        <f t="shared" si="1004"/>
        <v>0</v>
      </c>
      <c r="ID212" s="540">
        <f t="shared" si="1004"/>
        <v>0</v>
      </c>
      <c r="IE212" s="540">
        <f t="shared" si="1004"/>
        <v>0</v>
      </c>
      <c r="IF212" s="540">
        <f t="shared" si="1004"/>
        <v>0</v>
      </c>
      <c r="IG212" s="540">
        <f t="shared" si="1004"/>
        <v>0</v>
      </c>
      <c r="IH212" s="540">
        <f t="shared" si="1004"/>
        <v>0</v>
      </c>
      <c r="II212" s="540">
        <f t="shared" si="1004"/>
        <v>0</v>
      </c>
      <c r="IJ212" s="540">
        <f t="shared" si="1004"/>
        <v>0</v>
      </c>
      <c r="IK212" s="540">
        <f t="shared" si="1004"/>
        <v>0</v>
      </c>
      <c r="IL212" s="540">
        <f t="shared" si="1004"/>
        <v>0</v>
      </c>
      <c r="IM212" s="540">
        <f t="shared" si="1004"/>
        <v>0</v>
      </c>
      <c r="IN212" s="540" t="n">
        <f t="shared" ref="IN212:JS212" si="1005">MAX(IN196-IN211,0)</f>
        <v>0</v>
      </c>
      <c r="IO212" s="540">
        <f t="shared" si="1005"/>
        <v>0</v>
      </c>
      <c r="IP212" s="540">
        <f t="shared" si="1005"/>
        <v>0</v>
      </c>
      <c r="IQ212" s="540">
        <f t="shared" si="1005"/>
        <v>0</v>
      </c>
      <c r="IR212" s="540">
        <f t="shared" si="1005"/>
        <v>0</v>
      </c>
      <c r="IS212" s="540">
        <f t="shared" si="1005"/>
        <v>0</v>
      </c>
      <c r="IT212" s="540">
        <f t="shared" si="1005"/>
        <v>0</v>
      </c>
      <c r="IU212" s="540">
        <f t="shared" si="1005"/>
        <v>0</v>
      </c>
      <c r="IV212" s="540">
        <f t="shared" si="1005"/>
        <v>0</v>
      </c>
      <c r="IW212" s="540">
        <f t="shared" si="1005"/>
        <v>0</v>
      </c>
      <c r="IX212" s="540">
        <f t="shared" si="1005"/>
        <v>0</v>
      </c>
      <c r="IY212" s="540">
        <f t="shared" si="1005"/>
        <v>0</v>
      </c>
      <c r="IZ212" s="540">
        <f t="shared" si="1005"/>
        <v>0</v>
      </c>
      <c r="JA212" s="540">
        <f t="shared" si="1005"/>
        <v>0</v>
      </c>
      <c r="JB212" s="540">
        <f t="shared" si="1005"/>
        <v>0</v>
      </c>
      <c r="JC212" s="540">
        <f t="shared" si="1005"/>
        <v>0</v>
      </c>
      <c r="JD212" s="540">
        <f t="shared" si="1005"/>
        <v>0</v>
      </c>
      <c r="JE212" s="540">
        <f t="shared" si="1005"/>
        <v>0</v>
      </c>
      <c r="JF212" s="540">
        <f t="shared" si="1005"/>
        <v>0</v>
      </c>
      <c r="JG212" s="540">
        <f t="shared" si="1005"/>
        <v>0</v>
      </c>
      <c r="JH212" s="540">
        <f t="shared" si="1005"/>
        <v>0</v>
      </c>
      <c r="JI212" s="540">
        <f t="shared" si="1005"/>
        <v>0</v>
      </c>
      <c r="JJ212" s="540">
        <f t="shared" si="1005"/>
        <v>0</v>
      </c>
      <c r="JK212" s="540">
        <f t="shared" si="1005"/>
        <v>0</v>
      </c>
      <c r="JL212" s="540">
        <f t="shared" si="1005"/>
        <v>0</v>
      </c>
      <c r="JM212" s="540">
        <f t="shared" si="1005"/>
        <v>0</v>
      </c>
      <c r="JN212" s="540">
        <f t="shared" si="1005"/>
        <v>0</v>
      </c>
      <c r="JO212" s="540">
        <f t="shared" si="1005"/>
        <v>0</v>
      </c>
      <c r="JP212" s="540">
        <f t="shared" si="1005"/>
        <v>0</v>
      </c>
      <c r="JQ212" s="540">
        <f t="shared" si="1005"/>
        <v>0</v>
      </c>
      <c r="JR212" s="540">
        <f t="shared" si="1005"/>
        <v>0</v>
      </c>
      <c r="JS212" s="540">
        <f t="shared" si="1005"/>
        <v>0</v>
      </c>
      <c r="JT212" s="540" t="n">
        <f t="shared" ref="JT212:JX212" si="1006">MAX(JT196-JT211,0)</f>
        <v>0</v>
      </c>
      <c r="JU212" s="540">
        <f t="shared" si="1006"/>
        <v>0</v>
      </c>
      <c r="JV212" s="540">
        <f t="shared" si="1006"/>
        <v>0</v>
      </c>
      <c r="JW212" s="540">
        <f t="shared" si="1006"/>
        <v>0</v>
      </c>
      <c r="JX212" s="540">
        <f t="shared" si="1006"/>
        <v>0</v>
      </c>
      <c r="JZ212" s="446"/>
      <c r="KA212" s="446"/>
      <c r="KB212" s="446"/>
      <c r="KC212" s="446"/>
      <c r="KD212" s="446"/>
      <c r="KE212" s="446"/>
      <c r="KF212" s="446"/>
      <c r="KG212" s="446"/>
      <c r="KH212" s="446"/>
      <c r="KI212" s="446"/>
      <c r="KJ212" s="446"/>
      <c r="KK212" s="446"/>
      <c r="KL212" s="446"/>
      <c r="KM212" s="446"/>
      <c r="KN212" s="446"/>
      <c r="KO212" s="446"/>
      <c r="KP212" s="446"/>
      <c r="KQ212" s="446"/>
      <c r="KR212" s="446"/>
      <c r="KS212" s="446"/>
      <c r="KT212" s="446"/>
      <c r="KU212" s="446"/>
      <c r="KV212" s="446"/>
      <c r="KW212" s="446"/>
      <c r="KX212" s="446"/>
      <c r="KY212" s="446"/>
      <c r="KZ212" s="446"/>
      <c r="LA212" s="446"/>
      <c r="LB212" s="446"/>
      <c r="LC212" s="446"/>
      <c r="LD212" s="446"/>
      <c r="LE212" s="446"/>
      <c r="LF212" s="446"/>
      <c r="LG212" s="446"/>
      <c r="LH212" s="446"/>
      <c r="LI212" s="446"/>
      <c r="LJ212" s="446"/>
      <c r="LK212" s="446"/>
      <c r="LL212" s="446"/>
      <c r="LM212" s="446"/>
      <c r="LN212" s="446"/>
      <c r="LO212" s="446"/>
      <c r="LP212" s="446"/>
      <c r="LQ212" s="446"/>
      <c r="LR212" s="446"/>
      <c r="LS212" s="446"/>
      <c r="LT212" s="446"/>
      <c r="LU212" s="446"/>
      <c r="LV212" s="446"/>
      <c r="LW212" s="446"/>
      <c r="LX212" s="446"/>
      <c r="LY212" s="446"/>
      <c r="LZ212" s="446"/>
      <c r="MA212" s="446"/>
      <c r="MB212" s="446"/>
      <c r="MC212" s="446"/>
      <c r="MD212" s="446"/>
      <c r="ME212" s="446"/>
      <c r="MF212" s="446"/>
      <c r="MG212" s="446"/>
      <c r="MH212" s="446"/>
      <c r="MI212" s="446"/>
      <c r="MJ212" s="446"/>
      <c r="MK212" s="446"/>
      <c r="ML212" s="446"/>
      <c r="MM212" s="446"/>
      <c r="MN212" s="446"/>
      <c r="MO212" s="446"/>
      <c r="MP212" s="446"/>
      <c r="MQ212" s="446"/>
      <c r="MR212" s="446"/>
      <c r="MS212" s="446"/>
      <c r="MT212" s="446"/>
      <c r="MU212" s="446"/>
      <c r="MV212" s="446"/>
      <c r="MW212" s="446"/>
      <c r="MX212" s="446"/>
      <c r="MY212" s="446"/>
      <c r="MZ212" s="446"/>
      <c r="NA212" s="446"/>
      <c r="NB212" s="446"/>
      <c r="NC212" s="446"/>
      <c r="ND212" s="446"/>
      <c r="NE212" s="446"/>
      <c r="NF212" s="446"/>
      <c r="NG212" s="446"/>
      <c r="NH212" s="446"/>
      <c r="NI212" s="446"/>
      <c r="NJ212" s="446"/>
      <c r="NK212" s="446"/>
      <c r="NL212" s="446"/>
      <c r="NM212" s="446"/>
      <c r="NN212" s="446"/>
      <c r="NO212" s="446"/>
      <c r="NP212" s="446"/>
      <c r="NQ212" s="446"/>
      <c r="NR212" s="446"/>
      <c r="NS212" s="446"/>
      <c r="NT212" s="446"/>
      <c r="NU212" s="446"/>
      <c r="NV212" s="446"/>
      <c r="NW212" s="446"/>
      <c r="NX212" s="446"/>
      <c r="NY212" s="446"/>
      <c r="NZ212" s="446"/>
      <c r="OA212" s="446"/>
      <c r="OB212" s="446"/>
      <c r="OC212" s="446"/>
      <c r="OD212" s="446"/>
      <c r="OE212" s="446"/>
      <c r="OF212" s="446"/>
      <c r="OG212" s="446"/>
      <c r="OH212" s="446"/>
      <c r="OI212" s="446"/>
      <c r="OJ212" s="446"/>
      <c r="OK212" s="446"/>
      <c r="OL212" s="446"/>
      <c r="OM212" s="446"/>
      <c r="ON212" s="446"/>
      <c r="OO212" s="446"/>
      <c r="OP212" s="446"/>
      <c r="OQ212" s="446"/>
      <c r="OR212" s="446"/>
      <c r="OS212" s="446"/>
      <c r="OT212" s="446"/>
      <c r="OU212" s="446"/>
      <c r="OV212" s="446"/>
      <c r="OW212" s="446"/>
      <c r="OX212" s="446"/>
      <c r="OY212" s="446"/>
      <c r="OZ212" s="446"/>
      <c r="PA212" s="446"/>
      <c r="PB212" s="446"/>
      <c r="PC212" s="446"/>
      <c r="PD212" s="446"/>
      <c r="PE212" s="446"/>
      <c r="PF212" s="446"/>
      <c r="PG212" s="446"/>
      <c r="PH212" s="446"/>
    </row>
    <row r="213" s="24" customFormat="1">
      <c r="A213" s="441"/>
      <c r="B213" s="62"/>
      <c r="C213" s="458"/>
      <c r="D213" s="458"/>
      <c r="E213" s="458"/>
      <c r="F213" s="458"/>
      <c r="G213" s="73"/>
      <c r="H213" s="74"/>
      <c r="I213" s="72"/>
      <c r="K213" s="444"/>
      <c r="L213" s="205"/>
      <c r="M213" s="205"/>
      <c r="N213" s="205"/>
      <c r="O213" s="205"/>
      <c r="P213" s="205"/>
      <c r="Q213" s="205"/>
      <c r="R213" s="205"/>
      <c r="S213" s="205"/>
      <c r="T213" s="205"/>
      <c r="U213" s="205"/>
      <c r="V213" s="205"/>
      <c r="W213" s="205"/>
      <c r="X213" s="205"/>
      <c r="Y213" s="205"/>
      <c r="Z213" s="205"/>
      <c r="AA213" s="205"/>
      <c r="AB213" s="205"/>
      <c r="AC213" s="205"/>
      <c r="AD213" s="205"/>
      <c r="AE213" s="205"/>
      <c r="AF213" s="205"/>
      <c r="AG213" s="205"/>
      <c r="AH213" s="205"/>
      <c r="AI213" s="205"/>
      <c r="AJ213" s="205"/>
      <c r="AK213" s="205"/>
      <c r="AL213" s="205"/>
      <c r="AM213" s="205"/>
      <c r="AN213" s="205"/>
      <c r="AO213" s="205"/>
      <c r="AP213" s="205"/>
      <c r="AQ213" s="205"/>
      <c r="AR213" s="205"/>
      <c r="AS213" s="205"/>
      <c r="AT213" s="205"/>
      <c r="AU213" s="205"/>
      <c r="AV213" s="205"/>
      <c r="AW213" s="205"/>
      <c r="AX213" s="205"/>
      <c r="AY213" s="205"/>
      <c r="AZ213" s="205"/>
      <c r="BA213" s="205"/>
      <c r="BB213" s="205"/>
      <c r="BC213" s="205"/>
      <c r="BD213" s="205"/>
      <c r="BE213" s="205"/>
      <c r="BF213" s="205"/>
      <c r="BG213" s="205"/>
      <c r="BH213" s="205"/>
      <c r="BI213" s="205"/>
      <c r="BJ213" s="205"/>
      <c r="BK213" s="205"/>
      <c r="BL213" s="205"/>
      <c r="BM213" s="205"/>
      <c r="BN213" s="205"/>
      <c r="BO213" s="205"/>
      <c r="BP213" s="205"/>
      <c r="BQ213" s="205"/>
      <c r="BR213" s="205"/>
      <c r="BS213" s="205"/>
      <c r="BT213" s="205"/>
      <c r="BU213" s="205"/>
      <c r="BV213" s="205"/>
      <c r="BW213" s="205"/>
      <c r="BX213" s="205"/>
      <c r="BY213" s="205"/>
      <c r="BZ213" s="205"/>
      <c r="CA213" s="205"/>
      <c r="CB213" s="205"/>
      <c r="CC213" s="205"/>
      <c r="CD213" s="205"/>
      <c r="CE213" s="205"/>
      <c r="CF213" s="205"/>
      <c r="CG213" s="205"/>
      <c r="CH213" s="205"/>
      <c r="CI213" s="205"/>
      <c r="CJ213" s="205"/>
      <c r="CK213" s="205"/>
      <c r="CL213" s="205"/>
      <c r="CM213" s="205"/>
      <c r="CN213" s="205"/>
      <c r="CO213" s="205"/>
      <c r="CP213" s="205"/>
      <c r="CQ213" s="205"/>
      <c r="CR213" s="205"/>
      <c r="CS213" s="205"/>
      <c r="CT213" s="205"/>
      <c r="CU213" s="205"/>
      <c r="CV213" s="205"/>
      <c r="CW213" s="205"/>
      <c r="CX213" s="205"/>
      <c r="CY213" s="205"/>
      <c r="CZ213" s="205"/>
      <c r="DA213" s="205"/>
      <c r="DB213" s="205"/>
      <c r="DC213" s="205"/>
      <c r="DD213" s="205"/>
      <c r="DE213" s="205"/>
      <c r="DF213" s="205"/>
      <c r="DG213" s="205"/>
      <c r="DH213" s="205"/>
      <c r="DI213" s="205"/>
      <c r="DJ213" s="205"/>
      <c r="DK213" s="205"/>
      <c r="DL213" s="205"/>
      <c r="DM213" s="205"/>
      <c r="DN213" s="205"/>
      <c r="DO213" s="205"/>
      <c r="DP213" s="205"/>
      <c r="DQ213" s="205"/>
      <c r="DR213" s="205"/>
      <c r="DS213" s="205"/>
      <c r="DT213" s="205"/>
      <c r="DU213" s="205"/>
      <c r="DV213" s="205"/>
      <c r="DW213" s="205"/>
      <c r="DX213" s="205"/>
      <c r="DY213" s="205"/>
      <c r="DZ213" s="205"/>
      <c r="EA213" s="205"/>
      <c r="EB213" s="205"/>
      <c r="EC213" s="205"/>
      <c r="ED213" s="205"/>
      <c r="EE213" s="205"/>
      <c r="EF213" s="205"/>
      <c r="EG213" s="205"/>
      <c r="EH213" s="205"/>
      <c r="EI213" s="205"/>
      <c r="EJ213" s="205"/>
      <c r="EK213" s="205"/>
      <c r="EL213" s="205"/>
      <c r="EM213" s="205"/>
      <c r="EN213" s="205"/>
      <c r="EO213" s="444"/>
      <c r="EP213" s="409"/>
      <c r="EQ213" s="18"/>
      <c r="ER213" s="18"/>
      <c r="ES213" s="18"/>
      <c r="ET213" s="18"/>
      <c r="EU213" s="18"/>
      <c r="EV213" s="82"/>
      <c r="EW213" s="82"/>
      <c r="EX213" s="82"/>
      <c r="EY213" s="82"/>
      <c r="EZ213" s="82"/>
      <c r="FA213" s="82"/>
      <c r="FB213" s="82"/>
      <c r="FC213" s="82"/>
      <c r="FD213" s="82"/>
      <c r="FE213" s="82"/>
      <c r="FF213" s="82"/>
      <c r="FG213" s="82"/>
      <c r="FH213" s="82"/>
      <c r="FI213" s="82"/>
      <c r="FJ213" s="82"/>
      <c r="FK213" s="82"/>
      <c r="FL213" s="82"/>
      <c r="FM213" s="82"/>
      <c r="FN213" s="82"/>
      <c r="FO213" s="82"/>
      <c r="FP213" s="82"/>
      <c r="FQ213" s="82"/>
      <c r="FR213" s="82"/>
      <c r="FS213" s="82"/>
      <c r="FT213" s="82"/>
      <c r="FU213" s="82"/>
      <c r="FV213" s="82"/>
      <c r="FW213" s="82"/>
      <c r="FX213" s="82"/>
      <c r="FY213" s="82"/>
      <c r="FZ213" s="82"/>
      <c r="GA213" s="82"/>
      <c r="GB213" s="82"/>
      <c r="GC213" s="82"/>
      <c r="GD213" s="82"/>
      <c r="GE213" s="82"/>
      <c r="GF213" s="82"/>
      <c r="GG213" s="82"/>
      <c r="GH213" s="82"/>
      <c r="GI213" s="82"/>
      <c r="GJ213" s="82"/>
      <c r="GK213" s="82"/>
      <c r="GL213" s="82"/>
      <c r="GM213" s="82"/>
      <c r="GN213" s="82"/>
      <c r="GO213" s="82"/>
      <c r="GP213" s="82"/>
      <c r="GQ213" s="82"/>
      <c r="GR213" s="82"/>
      <c r="GS213" s="82"/>
      <c r="GT213" s="82"/>
      <c r="GU213" s="82"/>
      <c r="GV213" s="82"/>
      <c r="GW213" s="82"/>
      <c r="GX213" s="82"/>
      <c r="GY213" s="82"/>
      <c r="GZ213" s="82"/>
      <c r="HA213" s="82"/>
      <c r="HB213" s="82"/>
      <c r="HC213" s="82"/>
      <c r="HD213" s="82"/>
      <c r="HE213" s="82"/>
      <c r="HF213" s="82"/>
      <c r="HG213" s="82"/>
      <c r="HH213" s="82"/>
      <c r="HI213" s="82"/>
      <c r="HJ213" s="82"/>
      <c r="HK213" s="82"/>
      <c r="HL213" s="82"/>
      <c r="HM213" s="82"/>
      <c r="HN213" s="82"/>
      <c r="HO213" s="82"/>
      <c r="HP213" s="82"/>
      <c r="HQ213" s="82"/>
      <c r="HR213" s="82"/>
      <c r="HS213" s="82"/>
      <c r="HT213" s="82"/>
      <c r="HU213" s="82"/>
      <c r="HV213" s="82"/>
      <c r="HW213" s="82"/>
      <c r="HX213" s="82"/>
      <c r="HY213" s="82"/>
      <c r="HZ213" s="82"/>
      <c r="IA213" s="82"/>
      <c r="IB213" s="82"/>
      <c r="IC213" s="82"/>
      <c r="ID213" s="82"/>
      <c r="IE213" s="82"/>
      <c r="IF213" s="82"/>
      <c r="IG213" s="82"/>
      <c r="IH213" s="82"/>
      <c r="II213" s="82"/>
      <c r="IJ213" s="82"/>
      <c r="IK213" s="82"/>
      <c r="IL213" s="82"/>
      <c r="IM213" s="82"/>
      <c r="IN213" s="82"/>
      <c r="IO213" s="82"/>
      <c r="IP213" s="82"/>
      <c r="IQ213" s="82"/>
      <c r="IR213" s="82"/>
      <c r="IS213" s="82"/>
      <c r="IT213" s="82"/>
      <c r="IU213" s="82"/>
      <c r="IV213" s="82"/>
      <c r="IW213" s="82"/>
      <c r="IX213" s="82"/>
      <c r="IY213" s="82"/>
      <c r="IZ213" s="82"/>
      <c r="JA213" s="82"/>
      <c r="JB213" s="82"/>
      <c r="JC213" s="82"/>
      <c r="JD213" s="82"/>
      <c r="JE213" s="82"/>
      <c r="JF213" s="82"/>
      <c r="JG213" s="82"/>
      <c r="JH213" s="82"/>
      <c r="JI213" s="82"/>
      <c r="JJ213" s="82"/>
      <c r="JK213" s="82"/>
      <c r="JL213" s="82"/>
      <c r="JM213" s="82"/>
      <c r="JN213" s="82"/>
      <c r="JO213" s="82"/>
      <c r="JP213" s="82"/>
      <c r="JQ213" s="82"/>
      <c r="JR213" s="82"/>
      <c r="JS213" s="82"/>
      <c r="JT213" s="82"/>
      <c r="JU213" s="82"/>
      <c r="JV213" s="82"/>
      <c r="JW213" s="82"/>
      <c r="JX213" s="82"/>
      <c r="JZ213" s="446"/>
      <c r="KA213" s="446"/>
      <c r="KB213" s="446"/>
      <c r="KC213" s="446"/>
      <c r="KD213" s="446"/>
      <c r="KE213" s="446"/>
      <c r="KF213" s="446"/>
      <c r="KG213" s="446"/>
      <c r="KH213" s="446"/>
      <c r="KI213" s="446"/>
      <c r="KJ213" s="446"/>
      <c r="KK213" s="446"/>
      <c r="KL213" s="446"/>
      <c r="KM213" s="446"/>
      <c r="KN213" s="446"/>
      <c r="KO213" s="446"/>
      <c r="KP213" s="446"/>
      <c r="KQ213" s="446"/>
      <c r="KR213" s="446"/>
      <c r="KS213" s="446"/>
      <c r="KT213" s="446"/>
      <c r="KU213" s="446"/>
      <c r="KV213" s="446"/>
      <c r="KW213" s="446"/>
      <c r="KX213" s="446"/>
      <c r="KY213" s="446"/>
      <c r="KZ213" s="446"/>
      <c r="LA213" s="446"/>
      <c r="LB213" s="446"/>
      <c r="LC213" s="446"/>
      <c r="LD213" s="446"/>
      <c r="LE213" s="446"/>
      <c r="LF213" s="446"/>
      <c r="LG213" s="446"/>
      <c r="LH213" s="446"/>
      <c r="LI213" s="446"/>
      <c r="LJ213" s="446"/>
      <c r="LK213" s="446"/>
      <c r="LL213" s="446"/>
      <c r="LM213" s="446"/>
      <c r="LN213" s="446"/>
      <c r="LO213" s="446"/>
      <c r="LP213" s="446"/>
      <c r="LQ213" s="446"/>
      <c r="LR213" s="446"/>
      <c r="LS213" s="446"/>
      <c r="LT213" s="446"/>
      <c r="LU213" s="446"/>
      <c r="LV213" s="446"/>
      <c r="LW213" s="446"/>
      <c r="LX213" s="446"/>
      <c r="LY213" s="446"/>
      <c r="LZ213" s="446"/>
      <c r="MA213" s="446"/>
      <c r="MB213" s="446"/>
      <c r="MC213" s="446"/>
      <c r="MD213" s="446"/>
      <c r="ME213" s="446"/>
      <c r="MF213" s="446"/>
      <c r="MG213" s="446"/>
      <c r="MH213" s="446"/>
      <c r="MI213" s="446"/>
      <c r="MJ213" s="446"/>
      <c r="MK213" s="446"/>
      <c r="ML213" s="446"/>
      <c r="MM213" s="446"/>
      <c r="MN213" s="446"/>
      <c r="MO213" s="446"/>
      <c r="MP213" s="446"/>
      <c r="MQ213" s="446"/>
      <c r="MR213" s="446"/>
      <c r="MS213" s="446"/>
      <c r="MT213" s="446"/>
      <c r="MU213" s="446"/>
      <c r="MV213" s="446"/>
      <c r="MW213" s="446"/>
      <c r="MX213" s="446"/>
      <c r="MY213" s="446"/>
      <c r="MZ213" s="446"/>
      <c r="NA213" s="446"/>
      <c r="NB213" s="446"/>
      <c r="NC213" s="446"/>
      <c r="ND213" s="446"/>
      <c r="NE213" s="446"/>
      <c r="NF213" s="446"/>
      <c r="NG213" s="446"/>
      <c r="NH213" s="446"/>
      <c r="NI213" s="446"/>
      <c r="NJ213" s="446"/>
      <c r="NK213" s="446"/>
      <c r="NL213" s="446"/>
      <c r="NM213" s="446"/>
      <c r="NN213" s="446"/>
      <c r="NO213" s="446"/>
      <c r="NP213" s="446"/>
      <c r="NQ213" s="446"/>
      <c r="NR213" s="446"/>
      <c r="NS213" s="446"/>
      <c r="NT213" s="446"/>
      <c r="NU213" s="446"/>
      <c r="NV213" s="446"/>
      <c r="NW213" s="446"/>
      <c r="NX213" s="446"/>
      <c r="NY213" s="446"/>
      <c r="NZ213" s="446"/>
      <c r="OA213" s="446"/>
      <c r="OB213" s="446"/>
      <c r="OC213" s="446"/>
      <c r="OD213" s="446"/>
      <c r="OE213" s="446"/>
      <c r="OF213" s="446"/>
      <c r="OG213" s="446"/>
      <c r="OH213" s="446"/>
      <c r="OI213" s="446"/>
      <c r="OJ213" s="446"/>
      <c r="OK213" s="446"/>
      <c r="OL213" s="446"/>
      <c r="OM213" s="446"/>
      <c r="ON213" s="446"/>
      <c r="OO213" s="446"/>
      <c r="OP213" s="446"/>
      <c r="OQ213" s="446"/>
      <c r="OR213" s="446"/>
      <c r="OS213" s="446"/>
      <c r="OT213" s="446"/>
      <c r="OU213" s="446"/>
      <c r="OV213" s="446"/>
      <c r="OW213" s="446"/>
      <c r="OX213" s="446"/>
      <c r="OY213" s="446"/>
      <c r="OZ213" s="446"/>
      <c r="PA213" s="446"/>
      <c r="PB213" s="446"/>
      <c r="PC213" s="446"/>
      <c r="PD213" s="446"/>
      <c r="PE213" s="446"/>
      <c r="PF213" s="446"/>
      <c r="PG213" s="446"/>
      <c r="PH213" s="446"/>
    </row>
    <row r="214" s="24" customFormat="1">
      <c r="A214" s="441"/>
      <c r="B214" s="62"/>
      <c r="C214" s="458"/>
      <c r="D214" s="458"/>
      <c r="E214" s="458"/>
      <c r="F214" s="458"/>
      <c r="G214" s="45"/>
      <c r="H214" s="45" t="str">
        <f>H188</f>
        <v>STABILIZED (UNTRENDED)</v>
      </c>
      <c r="I214" s="45" t="str">
        <f>I188</f>
        <v>SALE</v>
      </c>
      <c r="K214" s="444"/>
      <c r="L214" s="205"/>
      <c r="M214" s="205"/>
      <c r="N214" s="205"/>
      <c r="O214" s="205"/>
      <c r="P214" s="205"/>
      <c r="Q214" s="205"/>
      <c r="R214" s="205"/>
      <c r="S214" s="205"/>
      <c r="T214" s="205"/>
      <c r="U214" s="205"/>
      <c r="V214" s="205"/>
      <c r="W214" s="205"/>
      <c r="X214" s="205"/>
      <c r="Y214" s="205"/>
      <c r="Z214" s="205"/>
      <c r="AA214" s="205"/>
      <c r="AB214" s="205"/>
      <c r="AC214" s="205"/>
      <c r="AD214" s="205"/>
      <c r="AE214" s="205"/>
      <c r="AF214" s="205"/>
      <c r="AG214" s="205"/>
      <c r="AH214" s="205"/>
      <c r="AI214" s="205"/>
      <c r="AJ214" s="205"/>
      <c r="AK214" s="205"/>
      <c r="AL214" s="205"/>
      <c r="AM214" s="205"/>
      <c r="AN214" s="205"/>
      <c r="AO214" s="205"/>
      <c r="AP214" s="205"/>
      <c r="AQ214" s="205"/>
      <c r="AR214" s="205"/>
      <c r="AS214" s="205"/>
      <c r="AT214" s="205"/>
      <c r="AU214" s="205"/>
      <c r="AV214" s="205"/>
      <c r="AW214" s="205"/>
      <c r="AX214" s="205"/>
      <c r="AY214" s="205"/>
      <c r="AZ214" s="205"/>
      <c r="BA214" s="205"/>
      <c r="BB214" s="205"/>
      <c r="BC214" s="205"/>
      <c r="BD214" s="205"/>
      <c r="BE214" s="205"/>
      <c r="BF214" s="205"/>
      <c r="BG214" s="205"/>
      <c r="BH214" s="205"/>
      <c r="BI214" s="205"/>
      <c r="BJ214" s="205"/>
      <c r="BK214" s="205"/>
      <c r="BL214" s="205"/>
      <c r="BM214" s="205"/>
      <c r="BN214" s="205"/>
      <c r="BO214" s="205"/>
      <c r="BP214" s="205"/>
      <c r="BQ214" s="205"/>
      <c r="BR214" s="205"/>
      <c r="BS214" s="205"/>
      <c r="BT214" s="205"/>
      <c r="BU214" s="205"/>
      <c r="BV214" s="205"/>
      <c r="BW214" s="205"/>
      <c r="BX214" s="205"/>
      <c r="BY214" s="205"/>
      <c r="BZ214" s="205"/>
      <c r="CA214" s="205"/>
      <c r="CB214" s="205"/>
      <c r="CC214" s="205"/>
      <c r="CD214" s="205"/>
      <c r="CE214" s="205"/>
      <c r="CF214" s="205"/>
      <c r="CG214" s="205"/>
      <c r="CH214" s="205"/>
      <c r="CI214" s="205"/>
      <c r="CJ214" s="205"/>
      <c r="CK214" s="205"/>
      <c r="CL214" s="205"/>
      <c r="CM214" s="205"/>
      <c r="CN214" s="205"/>
      <c r="CO214" s="205"/>
      <c r="CP214" s="205"/>
      <c r="CQ214" s="205"/>
      <c r="CR214" s="205"/>
      <c r="CS214" s="205"/>
      <c r="CT214" s="205"/>
      <c r="CU214" s="205"/>
      <c r="CV214" s="205"/>
      <c r="CW214" s="205"/>
      <c r="CX214" s="205"/>
      <c r="CY214" s="205"/>
      <c r="CZ214" s="205"/>
      <c r="DA214" s="205"/>
      <c r="DB214" s="205"/>
      <c r="DC214" s="205"/>
      <c r="DD214" s="205"/>
      <c r="DE214" s="205"/>
      <c r="DF214" s="205"/>
      <c r="DG214" s="205"/>
      <c r="DH214" s="205"/>
      <c r="DI214" s="205"/>
      <c r="DJ214" s="205"/>
      <c r="DK214" s="205"/>
      <c r="DL214" s="205"/>
      <c r="DM214" s="205"/>
      <c r="DN214" s="205"/>
      <c r="DO214" s="205"/>
      <c r="DP214" s="205"/>
      <c r="DQ214" s="205"/>
      <c r="DR214" s="205"/>
      <c r="DS214" s="205"/>
      <c r="DT214" s="205"/>
      <c r="DU214" s="205"/>
      <c r="DV214" s="205"/>
      <c r="DW214" s="205"/>
      <c r="DX214" s="205"/>
      <c r="DY214" s="205"/>
      <c r="DZ214" s="205"/>
      <c r="EA214" s="205"/>
      <c r="EB214" s="205"/>
      <c r="EC214" s="205"/>
      <c r="ED214" s="205"/>
      <c r="EE214" s="205"/>
      <c r="EF214" s="205"/>
      <c r="EG214" s="205"/>
      <c r="EH214" s="205"/>
      <c r="EI214" s="205"/>
      <c r="EJ214" s="205"/>
      <c r="EK214" s="205"/>
      <c r="EL214" s="205"/>
      <c r="EM214" s="205"/>
      <c r="EN214" s="205"/>
      <c r="EO214" s="444"/>
      <c r="EP214" s="409" t="s">
        <v>393</v>
      </c>
      <c r="EQ214" s="18"/>
      <c r="ER214" s="18"/>
      <c r="ES214" s="18"/>
      <c r="ET214" s="18" t="s">
        <v>366</v>
      </c>
      <c r="EU214" s="18"/>
      <c r="EV214" s="422" t="n">
        <f t="shared" ref="EV214:GA214" si="1007">(EV$197&lt;=Timing_Reversion_Month)*EU218</f>
        <v>0</v>
      </c>
      <c r="EW214" s="422">
        <f t="shared" si="1007"/>
        <v>82683053.259915501</v>
      </c>
      <c r="EX214" s="422">
        <f t="shared" si="1007"/>
        <v>83074364.671171129</v>
      </c>
      <c r="EY214" s="422">
        <f t="shared" si="1007"/>
        <v>83727039.032614693</v>
      </c>
      <c r="EZ214" s="422">
        <f t="shared" si="1007"/>
        <v>84753872.912685573</v>
      </c>
      <c r="FA214" s="422">
        <f t="shared" si="1007"/>
        <v>86300255.195600778</v>
      </c>
      <c r="FB214" s="422">
        <f t="shared" si="1007"/>
        <v>88654724.537796766</v>
      </c>
      <c r="FC214" s="422">
        <f t="shared" si="1007"/>
        <v>91258364.835221991</v>
      </c>
      <c r="FD214" s="422">
        <f t="shared" si="1007"/>
        <v>95009219.966617897</v>
      </c>
      <c r="FE214" s="422">
        <f t="shared" si="1007"/>
        <v>100162631.27930506</v>
      </c>
      <c r="FF214" s="422">
        <f t="shared" si="1007"/>
        <v>106971872.87115923</v>
      </c>
      <c r="FG214" s="422">
        <f t="shared" si="1007"/>
        <v>115665541.09117325</v>
      </c>
      <c r="FH214" s="422">
        <f t="shared" si="1007"/>
        <v>126421558.98417556</v>
      </c>
      <c r="FI214" s="422">
        <f t="shared" si="1007"/>
        <v>139340646.60221702</v>
      </c>
      <c r="FJ214" s="422">
        <f t="shared" si="1007"/>
        <v>154422894.26370385</v>
      </c>
      <c r="FK214" s="422">
        <f t="shared" si="1007"/>
        <v>171551324.40917239</v>
      </c>
      <c r="FL214" s="422">
        <f t="shared" si="1007"/>
        <v>190485869.515095</v>
      </c>
      <c r="FM214" s="422">
        <f t="shared" si="1007"/>
        <v>195527817.30209073</v>
      </c>
      <c r="FN214" s="422">
        <f t="shared" si="1007"/>
        <v>196572676.69825152</v>
      </c>
      <c r="FO214" s="422">
        <f t="shared" si="1007"/>
        <v>194956113.24760652</v>
      </c>
      <c r="FP214" s="422">
        <f t="shared" si="1007"/>
        <v>193565882.44104537</v>
      </c>
      <c r="FQ214" s="422">
        <f t="shared" si="1007"/>
        <v>192317025.65147945</v>
      </c>
      <c r="FR214" s="422">
        <f t="shared" si="1007"/>
        <v>190456697.58163828</v>
      </c>
      <c r="FS214" s="422">
        <f t="shared" si="1007"/>
        <v>188720018.70715028</v>
      </c>
      <c r="FT214" s="422">
        <f t="shared" si="1007"/>
        <v>187096895.21799698</v>
      </c>
      <c r="FU214" s="422">
        <f t="shared" si="1007"/>
        <v>185284854.60731021</v>
      </c>
      <c r="FV214" s="422">
        <f t="shared" si="1007"/>
        <v>183557927.8415193</v>
      </c>
      <c r="FW214" s="422">
        <f t="shared" si="1007"/>
        <v>181902232.34452811</v>
      </c>
      <c r="FX214" s="422">
        <f t="shared" si="1007"/>
        <v>180125573.60523674</v>
      </c>
      <c r="FY214" s="422">
        <f t="shared" si="1007"/>
        <v>178989146.02690071</v>
      </c>
      <c r="FZ214" s="422">
        <f t="shared" si="1007"/>
        <v>179189801.73830736</v>
      </c>
      <c r="GA214" s="422">
        <f t="shared" si="1007"/>
        <v>178380932.79903096</v>
      </c>
      <c r="GB214" s="422" t="n">
        <f t="shared" ref="GB214:HG214" si="1008">(GB$197&lt;=Timing_Reversion_Month)*GA218</f>
        <v>177188279.8640558</v>
      </c>
      <c r="GC214" s="422">
        <f t="shared" si="1008"/>
        <v>175704239.7337558</v>
      </c>
      <c r="GD214" s="422">
        <f t="shared" si="1008"/>
        <v>174005539.44202313</v>
      </c>
      <c r="GE214" s="422">
        <f t="shared" si="1008"/>
        <v>171912677.22900197</v>
      </c>
      <c r="GF214" s="422">
        <f t="shared" si="1008"/>
        <v>169711926.80472845</v>
      </c>
      <c r="GG214" s="422">
        <f t="shared" si="1008"/>
        <v>167425451.95157167</v>
      </c>
      <c r="GH214" s="422">
        <f t="shared" si="1008"/>
        <v>165519546.51113653</v>
      </c>
      <c r="GI214" s="422">
        <f t="shared" si="1008"/>
        <v>163607604.81757706</v>
      </c>
      <c r="GJ214" s="422">
        <f t="shared" si="1008"/>
        <v>161689659.95780438</v>
      </c>
      <c r="GK214" s="422">
        <f t="shared" si="1008"/>
        <v>159759742.22317845</v>
      </c>
      <c r="GL214" s="422">
        <f t="shared" si="1008"/>
        <v>157823833.51700762</v>
      </c>
      <c r="GM214" s="422">
        <f t="shared" si="1008"/>
        <v>155881969.40434006</v>
      </c>
      <c r="GN214" s="422">
        <f t="shared" si="1008"/>
        <v>153778270.57310605</v>
      </c>
      <c r="GO214" s="422">
        <f t="shared" si="1008"/>
        <v>151667211.11836669</v>
      </c>
      <c r="GP214" s="422">
        <f t="shared" si="1008"/>
        <v>149548815.70373291</v>
      </c>
      <c r="GQ214" s="422">
        <f t="shared" si="1008"/>
        <v>147395426.53981307</v>
      </c>
      <c r="GR214" s="422">
        <f t="shared" si="1008"/>
        <v>145234490.90396443</v>
      </c>
      <c r="GS214" s="422">
        <f t="shared" si="1008"/>
        <v>143066033.83871713</v>
      </c>
      <c r="GT214" s="422">
        <f t="shared" si="1008"/>
        <v>141016915.56073001</v>
      </c>
      <c r="GU214" s="422">
        <f t="shared" si="1008"/>
        <v>138961532.34402776</v>
      </c>
      <c r="GV214" s="422">
        <f t="shared" si="1008"/>
        <v>136899923.58230656</v>
      </c>
      <c r="GW214" s="422">
        <f t="shared" si="1008"/>
        <v>134826136.05623925</v>
      </c>
      <c r="GX214" s="422">
        <f t="shared" si="1008"/>
        <v>132746148.260746</v>
      </c>
      <c r="GY214" s="422">
        <f t="shared" si="1008"/>
        <v>130660002.44378659</v>
      </c>
      <c r="GZ214" s="422">
        <f t="shared" si="1008"/>
        <v>128426624.01923202</v>
      </c>
      <c r="HA214" s="422">
        <f t="shared" si="1008"/>
        <v>126185836.52336802</v>
      </c>
      <c r="HB214" s="422">
        <f t="shared" si="1008"/>
        <v>123937673.02550691</v>
      </c>
      <c r="HC214" s="422">
        <f t="shared" si="1008"/>
        <v>121653515.36935477</v>
      </c>
      <c r="HD214" s="422">
        <f t="shared" si="1008"/>
        <v>119361779.25734155</v>
      </c>
      <c r="HE214" s="422">
        <f t="shared" si="1008"/>
        <v>117062498.49489258</v>
      </c>
      <c r="HF214" s="422">
        <f t="shared" si="1008"/>
        <v>0</v>
      </c>
      <c r="HG214" s="422">
        <f t="shared" si="1008"/>
        <v>0</v>
      </c>
      <c r="HH214" s="422" t="n">
        <f t="shared" ref="HH214:IM214" si="1009">(HH$197&lt;=Timing_Reversion_Month)*HG218</f>
        <v>0</v>
      </c>
      <c r="HI214" s="422">
        <f t="shared" si="1009"/>
        <v>0</v>
      </c>
      <c r="HJ214" s="422">
        <f t="shared" si="1009"/>
        <v>0</v>
      </c>
      <c r="HK214" s="422">
        <f t="shared" si="1009"/>
        <v>0</v>
      </c>
      <c r="HL214" s="422">
        <f t="shared" si="1009"/>
        <v>0</v>
      </c>
      <c r="HM214" s="422">
        <f t="shared" si="1009"/>
        <v>0</v>
      </c>
      <c r="HN214" s="422">
        <f t="shared" si="1009"/>
        <v>0</v>
      </c>
      <c r="HO214" s="422">
        <f t="shared" si="1009"/>
        <v>0</v>
      </c>
      <c r="HP214" s="422">
        <f t="shared" si="1009"/>
        <v>0</v>
      </c>
      <c r="HQ214" s="422">
        <f t="shared" si="1009"/>
        <v>0</v>
      </c>
      <c r="HR214" s="422">
        <f t="shared" si="1009"/>
        <v>0</v>
      </c>
      <c r="HS214" s="422">
        <f t="shared" si="1009"/>
        <v>0</v>
      </c>
      <c r="HT214" s="422">
        <f t="shared" si="1009"/>
        <v>0</v>
      </c>
      <c r="HU214" s="422">
        <f t="shared" si="1009"/>
        <v>0</v>
      </c>
      <c r="HV214" s="422">
        <f t="shared" si="1009"/>
        <v>0</v>
      </c>
      <c r="HW214" s="422">
        <f t="shared" si="1009"/>
        <v>0</v>
      </c>
      <c r="HX214" s="422">
        <f t="shared" si="1009"/>
        <v>0</v>
      </c>
      <c r="HY214" s="422">
        <f t="shared" si="1009"/>
        <v>0</v>
      </c>
      <c r="HZ214" s="422">
        <f t="shared" si="1009"/>
        <v>0</v>
      </c>
      <c r="IA214" s="422">
        <f t="shared" si="1009"/>
        <v>0</v>
      </c>
      <c r="IB214" s="422">
        <f t="shared" si="1009"/>
        <v>0</v>
      </c>
      <c r="IC214" s="422">
        <f t="shared" si="1009"/>
        <v>0</v>
      </c>
      <c r="ID214" s="422">
        <f t="shared" si="1009"/>
        <v>0</v>
      </c>
      <c r="IE214" s="422">
        <f t="shared" si="1009"/>
        <v>0</v>
      </c>
      <c r="IF214" s="422">
        <f t="shared" si="1009"/>
        <v>0</v>
      </c>
      <c r="IG214" s="422">
        <f t="shared" si="1009"/>
        <v>0</v>
      </c>
      <c r="IH214" s="422">
        <f t="shared" si="1009"/>
        <v>0</v>
      </c>
      <c r="II214" s="422">
        <f t="shared" si="1009"/>
        <v>0</v>
      </c>
      <c r="IJ214" s="422">
        <f t="shared" si="1009"/>
        <v>0</v>
      </c>
      <c r="IK214" s="422">
        <f t="shared" si="1009"/>
        <v>0</v>
      </c>
      <c r="IL214" s="422">
        <f t="shared" si="1009"/>
        <v>0</v>
      </c>
      <c r="IM214" s="422">
        <f t="shared" si="1009"/>
        <v>0</v>
      </c>
      <c r="IN214" s="422" t="n">
        <f t="shared" ref="IN214:JX214" si="1010">(IN$197&lt;=Timing_Reversion_Month)*IM218</f>
        <v>0</v>
      </c>
      <c r="IO214" s="422">
        <f t="shared" si="1010"/>
        <v>0</v>
      </c>
      <c r="IP214" s="422">
        <f t="shared" si="1010"/>
        <v>0</v>
      </c>
      <c r="IQ214" s="422">
        <f t="shared" si="1010"/>
        <v>0</v>
      </c>
      <c r="IR214" s="422">
        <f t="shared" si="1010"/>
        <v>0</v>
      </c>
      <c r="IS214" s="422">
        <f t="shared" si="1010"/>
        <v>0</v>
      </c>
      <c r="IT214" s="422">
        <f t="shared" si="1010"/>
        <v>0</v>
      </c>
      <c r="IU214" s="422">
        <f t="shared" si="1010"/>
        <v>0</v>
      </c>
      <c r="IV214" s="422">
        <f t="shared" si="1010"/>
        <v>0</v>
      </c>
      <c r="IW214" s="422">
        <f t="shared" si="1010"/>
        <v>0</v>
      </c>
      <c r="IX214" s="422">
        <f t="shared" si="1010"/>
        <v>0</v>
      </c>
      <c r="IY214" s="422">
        <f t="shared" si="1010"/>
        <v>0</v>
      </c>
      <c r="IZ214" s="422">
        <f t="shared" si="1010"/>
        <v>0</v>
      </c>
      <c r="JA214" s="422">
        <f t="shared" si="1010"/>
        <v>0</v>
      </c>
      <c r="JB214" s="422">
        <f t="shared" si="1010"/>
        <v>0</v>
      </c>
      <c r="JC214" s="422">
        <f t="shared" si="1010"/>
        <v>0</v>
      </c>
      <c r="JD214" s="422">
        <f t="shared" si="1010"/>
        <v>0</v>
      </c>
      <c r="JE214" s="422">
        <f t="shared" si="1010"/>
        <v>0</v>
      </c>
      <c r="JF214" s="422">
        <f t="shared" si="1010"/>
        <v>0</v>
      </c>
      <c r="JG214" s="422">
        <f t="shared" si="1010"/>
        <v>0</v>
      </c>
      <c r="JH214" s="422">
        <f t="shared" si="1010"/>
        <v>0</v>
      </c>
      <c r="JI214" s="422">
        <f t="shared" si="1010"/>
        <v>0</v>
      </c>
      <c r="JJ214" s="422">
        <f t="shared" si="1010"/>
        <v>0</v>
      </c>
      <c r="JK214" s="422">
        <f t="shared" si="1010"/>
        <v>0</v>
      </c>
      <c r="JL214" s="422">
        <f t="shared" si="1010"/>
        <v>0</v>
      </c>
      <c r="JM214" s="422">
        <f t="shared" si="1010"/>
        <v>0</v>
      </c>
      <c r="JN214" s="422">
        <f t="shared" si="1010"/>
        <v>0</v>
      </c>
      <c r="JO214" s="422">
        <f t="shared" si="1010"/>
        <v>0</v>
      </c>
      <c r="JP214" s="422">
        <f t="shared" si="1010"/>
        <v>0</v>
      </c>
      <c r="JQ214" s="422">
        <f t="shared" si="1010"/>
        <v>0</v>
      </c>
      <c r="JR214" s="422">
        <f t="shared" si="1010"/>
        <v>0</v>
      </c>
      <c r="JS214" s="422">
        <f t="shared" si="1010"/>
        <v>0</v>
      </c>
      <c r="JT214" s="422">
        <f t="shared" si="1010"/>
        <v>0</v>
      </c>
      <c r="JU214" s="422">
        <f t="shared" si="1010"/>
        <v>0</v>
      </c>
      <c r="JV214" s="422">
        <f t="shared" si="1010"/>
        <v>0</v>
      </c>
      <c r="JW214" s="422">
        <f t="shared" si="1010"/>
        <v>0</v>
      </c>
      <c r="JX214" s="422">
        <f t="shared" si="1010"/>
        <v>0</v>
      </c>
      <c r="JZ214" s="446"/>
      <c r="KA214" s="446"/>
      <c r="KB214" s="446"/>
      <c r="KC214" s="446"/>
      <c r="KD214" s="446"/>
      <c r="KE214" s="446"/>
      <c r="KF214" s="446"/>
      <c r="KG214" s="446"/>
      <c r="KH214" s="446"/>
      <c r="KI214" s="446"/>
      <c r="KJ214" s="446"/>
      <c r="KK214" s="446"/>
      <c r="KL214" s="446"/>
      <c r="KM214" s="446"/>
      <c r="KN214" s="446"/>
      <c r="KO214" s="446"/>
      <c r="KP214" s="446"/>
      <c r="KQ214" s="446"/>
      <c r="KR214" s="446"/>
      <c r="KS214" s="446"/>
      <c r="KT214" s="446"/>
      <c r="KU214" s="446"/>
      <c r="KV214" s="446"/>
      <c r="KW214" s="446"/>
      <c r="KX214" s="446"/>
      <c r="KY214" s="446"/>
      <c r="KZ214" s="446"/>
      <c r="LA214" s="446"/>
      <c r="LB214" s="446"/>
      <c r="LC214" s="446"/>
      <c r="LD214" s="446"/>
      <c r="LE214" s="446"/>
      <c r="LF214" s="446"/>
      <c r="LG214" s="446"/>
      <c r="LH214" s="446"/>
      <c r="LI214" s="446"/>
      <c r="LJ214" s="446"/>
      <c r="LK214" s="446"/>
      <c r="LL214" s="446"/>
      <c r="LM214" s="446"/>
      <c r="LN214" s="446"/>
      <c r="LO214" s="446"/>
      <c r="LP214" s="446"/>
      <c r="LQ214" s="446"/>
      <c r="LR214" s="446"/>
      <c r="LS214" s="446"/>
      <c r="LT214" s="446"/>
      <c r="LU214" s="446"/>
      <c r="LV214" s="446"/>
      <c r="LW214" s="446"/>
      <c r="LX214" s="446"/>
      <c r="LY214" s="446"/>
      <c r="LZ214" s="446"/>
      <c r="MA214" s="446"/>
      <c r="MB214" s="446"/>
      <c r="MC214" s="446"/>
      <c r="MD214" s="446"/>
      <c r="ME214" s="446"/>
      <c r="MF214" s="446"/>
      <c r="MG214" s="446"/>
      <c r="MH214" s="446"/>
      <c r="MI214" s="446"/>
      <c r="MJ214" s="446"/>
      <c r="MK214" s="446"/>
      <c r="ML214" s="446"/>
      <c r="MM214" s="446"/>
      <c r="MN214" s="446"/>
      <c r="MO214" s="446"/>
      <c r="MP214" s="446"/>
      <c r="MQ214" s="446"/>
      <c r="MR214" s="446"/>
      <c r="MS214" s="446"/>
      <c r="MT214" s="446"/>
      <c r="MU214" s="446"/>
      <c r="MV214" s="446"/>
      <c r="MW214" s="446"/>
      <c r="MX214" s="446"/>
      <c r="MY214" s="446"/>
      <c r="MZ214" s="446"/>
      <c r="NA214" s="446"/>
      <c r="NB214" s="446"/>
      <c r="NC214" s="446"/>
      <c r="ND214" s="446"/>
      <c r="NE214" s="446"/>
      <c r="NF214" s="446"/>
      <c r="NG214" s="446"/>
      <c r="NH214" s="446"/>
      <c r="NI214" s="446"/>
      <c r="NJ214" s="446"/>
      <c r="NK214" s="446"/>
      <c r="NL214" s="446"/>
      <c r="NM214" s="446"/>
      <c r="NN214" s="446"/>
      <c r="NO214" s="446"/>
      <c r="NP214" s="446"/>
      <c r="NQ214" s="446"/>
      <c r="NR214" s="446"/>
      <c r="NS214" s="446"/>
      <c r="NT214" s="446"/>
      <c r="NU214" s="446"/>
      <c r="NV214" s="446"/>
      <c r="NW214" s="446"/>
      <c r="NX214" s="446"/>
      <c r="NY214" s="446"/>
      <c r="NZ214" s="446"/>
      <c r="OA214" s="446"/>
      <c r="OB214" s="446"/>
      <c r="OC214" s="446"/>
      <c r="OD214" s="446"/>
      <c r="OE214" s="446"/>
      <c r="OF214" s="446"/>
      <c r="OG214" s="446"/>
      <c r="OH214" s="446"/>
      <c r="OI214" s="446"/>
      <c r="OJ214" s="446"/>
      <c r="OK214" s="446"/>
      <c r="OL214" s="446"/>
      <c r="OM214" s="446"/>
      <c r="ON214" s="446"/>
      <c r="OO214" s="446"/>
      <c r="OP214" s="446"/>
      <c r="OQ214" s="446"/>
      <c r="OR214" s="446"/>
      <c r="OS214" s="446"/>
      <c r="OT214" s="446"/>
      <c r="OU214" s="446"/>
      <c r="OV214" s="446"/>
      <c r="OW214" s="446"/>
      <c r="OX214" s="446"/>
      <c r="OY214" s="446"/>
      <c r="OZ214" s="446"/>
      <c r="PA214" s="446"/>
      <c r="PB214" s="446"/>
      <c r="PC214" s="446"/>
      <c r="PD214" s="446"/>
      <c r="PE214" s="446"/>
      <c r="PF214" s="446"/>
      <c r="PG214" s="446"/>
      <c r="PH214" s="446"/>
    </row>
    <row r="215" s="24" customFormat="1">
      <c r="A215" s="441"/>
      <c r="B215" s="62" t="s">
        <v>394</v>
      </c>
      <c r="C215" s="458"/>
      <c r="D215" s="458"/>
      <c r="E215" s="458"/>
      <c r="F215" s="458"/>
      <c r="G215" s="74"/>
      <c r="H215" s="74" t="n">
        <f>H179/Project_Cost_Total</f>
        <v>0.10875460717802571</v>
      </c>
      <c r="I215" s="74" t="n">
        <f>I179/Project_Cost_Total</f>
        <v>0.17040903474765307</v>
      </c>
      <c r="K215" s="444"/>
      <c r="L215" s="205"/>
      <c r="M215" s="205"/>
      <c r="N215" s="205"/>
      <c r="O215" s="205"/>
      <c r="P215" s="205"/>
      <c r="Q215" s="205"/>
      <c r="R215" s="205"/>
      <c r="S215" s="205"/>
      <c r="T215" s="205"/>
      <c r="U215" s="205"/>
      <c r="V215" s="205"/>
      <c r="W215" s="205"/>
      <c r="X215" s="205"/>
      <c r="Y215" s="205"/>
      <c r="Z215" s="205"/>
      <c r="AA215" s="205"/>
      <c r="AB215" s="205"/>
      <c r="AC215" s="205"/>
      <c r="AD215" s="205"/>
      <c r="AE215" s="205"/>
      <c r="AF215" s="205"/>
      <c r="AG215" s="205"/>
      <c r="AH215" s="205"/>
      <c r="AI215" s="205"/>
      <c r="AJ215" s="205"/>
      <c r="AK215" s="205"/>
      <c r="AL215" s="205"/>
      <c r="AM215" s="205"/>
      <c r="AN215" s="205"/>
      <c r="AO215" s="205"/>
      <c r="AP215" s="205"/>
      <c r="AQ215" s="205"/>
      <c r="AR215" s="205"/>
      <c r="AS215" s="205"/>
      <c r="AT215" s="205"/>
      <c r="AU215" s="205"/>
      <c r="AV215" s="205"/>
      <c r="AW215" s="205"/>
      <c r="AX215" s="205"/>
      <c r="AY215" s="205"/>
      <c r="AZ215" s="205"/>
      <c r="BA215" s="205"/>
      <c r="BB215" s="205"/>
      <c r="BC215" s="205"/>
      <c r="BD215" s="205"/>
      <c r="BE215" s="205"/>
      <c r="BF215" s="205"/>
      <c r="BG215" s="205"/>
      <c r="BH215" s="205"/>
      <c r="BI215" s="205"/>
      <c r="BJ215" s="205"/>
      <c r="BK215" s="205"/>
      <c r="BL215" s="205"/>
      <c r="BM215" s="205"/>
      <c r="BN215" s="205"/>
      <c r="BO215" s="205"/>
      <c r="BP215" s="205"/>
      <c r="BQ215" s="205"/>
      <c r="BR215" s="205"/>
      <c r="BS215" s="205"/>
      <c r="BT215" s="205"/>
      <c r="BU215" s="205"/>
      <c r="BV215" s="205"/>
      <c r="BW215" s="205"/>
      <c r="BX215" s="205"/>
      <c r="BY215" s="205"/>
      <c r="BZ215" s="205"/>
      <c r="CA215" s="205"/>
      <c r="CB215" s="205"/>
      <c r="CC215" s="205"/>
      <c r="CD215" s="205"/>
      <c r="CE215" s="205"/>
      <c r="CF215" s="205"/>
      <c r="CG215" s="205"/>
      <c r="CH215" s="205"/>
      <c r="CI215" s="205"/>
      <c r="CJ215" s="205"/>
      <c r="CK215" s="205"/>
      <c r="CL215" s="205"/>
      <c r="CM215" s="205"/>
      <c r="CN215" s="205"/>
      <c r="CO215" s="205"/>
      <c r="CP215" s="205"/>
      <c r="CQ215" s="205"/>
      <c r="CR215" s="205"/>
      <c r="CS215" s="205"/>
      <c r="CT215" s="205"/>
      <c r="CU215" s="205"/>
      <c r="CV215" s="205"/>
      <c r="CW215" s="205"/>
      <c r="CX215" s="205"/>
      <c r="CY215" s="205"/>
      <c r="CZ215" s="205"/>
      <c r="DA215" s="205"/>
      <c r="DB215" s="205"/>
      <c r="DC215" s="205"/>
      <c r="DD215" s="205"/>
      <c r="DE215" s="205"/>
      <c r="DF215" s="205"/>
      <c r="DG215" s="205"/>
      <c r="DH215" s="205"/>
      <c r="DI215" s="205"/>
      <c r="DJ215" s="205"/>
      <c r="DK215" s="205"/>
      <c r="DL215" s="205"/>
      <c r="DM215" s="205"/>
      <c r="DN215" s="205"/>
      <c r="DO215" s="205"/>
      <c r="DP215" s="205"/>
      <c r="DQ215" s="205"/>
      <c r="DR215" s="205"/>
      <c r="DS215" s="205"/>
      <c r="DT215" s="205"/>
      <c r="DU215" s="205"/>
      <c r="DV215" s="205"/>
      <c r="DW215" s="205"/>
      <c r="DX215" s="205"/>
      <c r="DY215" s="205"/>
      <c r="DZ215" s="205"/>
      <c r="EA215" s="205"/>
      <c r="EB215" s="205"/>
      <c r="EC215" s="205"/>
      <c r="ED215" s="205"/>
      <c r="EE215" s="205"/>
      <c r="EF215" s="205"/>
      <c r="EG215" s="205"/>
      <c r="EH215" s="205"/>
      <c r="EI215" s="205"/>
      <c r="EJ215" s="205"/>
      <c r="EK215" s="205"/>
      <c r="EL215" s="205"/>
      <c r="EM215" s="205"/>
      <c r="EN215" s="205"/>
      <c r="EO215" s="444"/>
      <c r="EP215" s="409"/>
      <c r="EQ215" s="18"/>
      <c r="ER215" s="18"/>
      <c r="ES215" s="18"/>
      <c r="ET215" s="18" t="s">
        <v>369</v>
      </c>
      <c r="EU215" s="18"/>
      <c r="EV215" s="422" t="n">
        <f>(EV$197&lt;=Timing_Reversion_Month)*(EV214*((1+$EP216)^(1/12)-1))</f>
        <v>0</v>
      </c>
      <c r="EW215" s="422" t="n">
        <f t="shared" ref="EW215:GA215" si="1011">(EW$197&lt;=Timing_Reversion_Month)*(EW214*((1+$EP216)^(1/12)-1))</f>
        <v>784562.3715824399</v>
      </c>
      <c r="EX215" s="422">
        <f t="shared" si="1011"/>
        <v>788275.44453678397</v>
      </c>
      <c r="EY215" s="422">
        <f t="shared" si="1011"/>
        <v>794468.53640623321</v>
      </c>
      <c r="EZ215" s="422">
        <f t="shared" si="1011"/>
        <v>804211.95047244022</v>
      </c>
      <c r="FA215" s="422">
        <f t="shared" si="1011"/>
        <v>818885.25175273046</v>
      </c>
      <c r="FB215" s="422">
        <f t="shared" si="1011"/>
        <v>841226.32381165214</v>
      </c>
      <c r="FC215" s="422">
        <f t="shared" si="1011"/>
        <v>865931.72747005627</v>
      </c>
      <c r="FD215" s="422">
        <f t="shared" si="1011"/>
        <v>901522.8151394903</v>
      </c>
      <c r="FE215" s="422">
        <f t="shared" si="1011"/>
        <v>950422.46799231658</v>
      </c>
      <c r="FF215" s="422">
        <f t="shared" si="1011"/>
        <v>1015033.9514989714</v>
      </c>
      <c r="FG215" s="422">
        <f t="shared" si="1011"/>
        <v>1097526.3690806497</v>
      </c>
      <c r="FH215" s="422">
        <f t="shared" si="1011"/>
        <v>1199587.9956680189</v>
      </c>
      <c r="FI215" s="422">
        <f t="shared" si="1011"/>
        <v>1322174.5429793498</v>
      </c>
      <c r="FJ215" s="422">
        <f t="shared" si="1011"/>
        <v>1465286.8680272978</v>
      </c>
      <c r="FK215" s="422">
        <f t="shared" si="1011"/>
        <v>1627814.9949721189</v>
      </c>
      <c r="FL215" s="422">
        <f t="shared" si="1011"/>
        <v>1807480.9727927414</v>
      </c>
      <c r="FM215" s="422">
        <f t="shared" si="1011"/>
        <v>1855322.9713305233</v>
      </c>
      <c r="FN215" s="422">
        <f t="shared" si="1011"/>
        <v>1865237.4257864463</v>
      </c>
      <c r="FO215" s="422">
        <f t="shared" si="1011"/>
        <v>1849898.1899376609</v>
      </c>
      <c r="FP215" s="422">
        <f t="shared" si="1011"/>
        <v>1836706.5776829238</v>
      </c>
      <c r="FQ215" s="422">
        <f t="shared" si="1011"/>
        <v>1824856.4342017847</v>
      </c>
      <c r="FR215" s="422">
        <f t="shared" si="1011"/>
        <v>1807204.166356669</v>
      </c>
      <c r="FS215" s="422">
        <f t="shared" si="1011"/>
        <v>1790725.1801227878</v>
      </c>
      <c r="FT215" s="422">
        <f t="shared" si="1011"/>
        <v>1775323.6974269543</v>
      </c>
      <c r="FU215" s="422">
        <f t="shared" si="1011"/>
        <v>1758129.619283092</v>
      </c>
      <c r="FV215" s="422">
        <f t="shared" si="1011"/>
        <v>1741743.1687893129</v>
      </c>
      <c r="FW215" s="422">
        <f t="shared" si="1011"/>
        <v>1726032.617055642</v>
      </c>
      <c r="FX215" s="422">
        <f t="shared" si="1011"/>
        <v>1709174.2701630888</v>
      </c>
      <c r="FY215" s="422">
        <f t="shared" si="1011"/>
        <v>1698390.9441871084</v>
      </c>
      <c r="FZ215" s="422">
        <f t="shared" si="1011"/>
        <v>1700294.9246837876</v>
      </c>
      <c r="GA215" s="422">
        <f t="shared" si="1011"/>
        <v>1692619.7348077781</v>
      </c>
      <c r="GB215" s="422" t="n">
        <f t="shared" ref="GB215:HG215" si="1012">(GB$197&lt;=Timing_Reversion_Month)*(GB214*((1+$EP216)^(1/12)-1))</f>
        <v>1681302.898064976</v>
      </c>
      <c r="GC215" s="422">
        <f t="shared" si="1012"/>
        <v>1667221.1485619477</v>
      </c>
      <c r="GD215" s="422">
        <f t="shared" si="1012"/>
        <v>1651102.5332357807</v>
      </c>
      <c r="GE215" s="422">
        <f t="shared" si="1012"/>
        <v>1631243.7970558095</v>
      </c>
      <c r="GF215" s="422">
        <f t="shared" si="1012"/>
        <v>1610361.3319791823</v>
      </c>
      <c r="GG215" s="422">
        <f t="shared" si="1012"/>
        <v>1588665.4455474466</v>
      </c>
      <c r="GH215" s="422">
        <f t="shared" si="1012"/>
        <v>1570580.7034702622</v>
      </c>
      <c r="GI215" s="422">
        <f t="shared" si="1012"/>
        <v>1552438.6846370804</v>
      </c>
      <c r="GJ215" s="422">
        <f t="shared" si="1012"/>
        <v>1534239.7030027495</v>
      </c>
      <c r="GK215" s="422">
        <f t="shared" si="1012"/>
        <v>1515927.1132381044</v>
      </c>
      <c r="GL215" s="422">
        <f t="shared" si="1012"/>
        <v>1497557.6763849927</v>
      </c>
      <c r="GM215" s="422">
        <f t="shared" si="1012"/>
        <v>1479131.7299127926</v>
      </c>
      <c r="GN215" s="422">
        <f t="shared" si="1012"/>
        <v>1459170.1673064886</v>
      </c>
      <c r="GO215" s="422">
        <f t="shared" si="1012"/>
        <v>1439138.761267873</v>
      </c>
      <c r="GP215" s="422">
        <f t="shared" si="1012"/>
        <v>1419037.7458248429</v>
      </c>
      <c r="GQ215" s="422">
        <f t="shared" si="1012"/>
        <v>1398604.6819408326</v>
      </c>
      <c r="GR215" s="422">
        <f t="shared" si="1012"/>
        <v>1378100.0111473033</v>
      </c>
      <c r="GS215" s="422">
        <f t="shared" si="1012"/>
        <v>1357523.9710676381</v>
      </c>
      <c r="GT215" s="422">
        <f t="shared" si="1012"/>
        <v>1338080.3120293489</v>
      </c>
      <c r="GU215" s="422">
        <f t="shared" si="1012"/>
        <v>1318577.2062848441</v>
      </c>
      <c r="GV215" s="422">
        <f t="shared" si="1012"/>
        <v>1299015.0276327494</v>
      </c>
      <c r="GW215" s="422">
        <f t="shared" si="1012"/>
        <v>1279337.2872075755</v>
      </c>
      <c r="GX215" s="422">
        <f t="shared" si="1012"/>
        <v>1259600.7137096801</v>
      </c>
      <c r="GY215" s="422">
        <f t="shared" si="1012"/>
        <v>1239805.7080212056</v>
      </c>
      <c r="GZ215" s="422">
        <f t="shared" si="1012"/>
        <v>1218613.6426060421</v>
      </c>
      <c r="HA215" s="422">
        <f t="shared" si="1012"/>
        <v>1197351.2740473857</v>
      </c>
      <c r="HB215" s="422">
        <f t="shared" si="1012"/>
        <v>1176018.9161330936</v>
      </c>
      <c r="HC215" s="422">
        <f t="shared" si="1012"/>
        <v>1154345.0171039235</v>
      </c>
      <c r="HD215" s="422">
        <f t="shared" si="1012"/>
        <v>1132599.2076763236</v>
      </c>
      <c r="HE215" s="422">
        <f t="shared" si="1012"/>
        <v>1110781.8086229751</v>
      </c>
      <c r="HF215" s="422">
        <f t="shared" si="1012"/>
        <v>0</v>
      </c>
      <c r="HG215" s="422">
        <f t="shared" si="1012"/>
        <v>0</v>
      </c>
      <c r="HH215" s="422" t="n">
        <f t="shared" ref="HH215:IM215" si="1013">(HH$197&lt;=Timing_Reversion_Month)*(HH214*((1+$EP216)^(1/12)-1))</f>
        <v>0</v>
      </c>
      <c r="HI215" s="422">
        <f t="shared" si="1013"/>
        <v>0</v>
      </c>
      <c r="HJ215" s="422">
        <f t="shared" si="1013"/>
        <v>0</v>
      </c>
      <c r="HK215" s="422">
        <f t="shared" si="1013"/>
        <v>0</v>
      </c>
      <c r="HL215" s="422">
        <f t="shared" si="1013"/>
        <v>0</v>
      </c>
      <c r="HM215" s="422">
        <f t="shared" si="1013"/>
        <v>0</v>
      </c>
      <c r="HN215" s="422">
        <f t="shared" si="1013"/>
        <v>0</v>
      </c>
      <c r="HO215" s="422">
        <f t="shared" si="1013"/>
        <v>0</v>
      </c>
      <c r="HP215" s="422">
        <f t="shared" si="1013"/>
        <v>0</v>
      </c>
      <c r="HQ215" s="422">
        <f t="shared" si="1013"/>
        <v>0</v>
      </c>
      <c r="HR215" s="422">
        <f t="shared" si="1013"/>
        <v>0</v>
      </c>
      <c r="HS215" s="422">
        <f t="shared" si="1013"/>
        <v>0</v>
      </c>
      <c r="HT215" s="422">
        <f t="shared" si="1013"/>
        <v>0</v>
      </c>
      <c r="HU215" s="422">
        <f t="shared" si="1013"/>
        <v>0</v>
      </c>
      <c r="HV215" s="422">
        <f t="shared" si="1013"/>
        <v>0</v>
      </c>
      <c r="HW215" s="422">
        <f t="shared" si="1013"/>
        <v>0</v>
      </c>
      <c r="HX215" s="422">
        <f t="shared" si="1013"/>
        <v>0</v>
      </c>
      <c r="HY215" s="422">
        <f t="shared" si="1013"/>
        <v>0</v>
      </c>
      <c r="HZ215" s="422">
        <f t="shared" si="1013"/>
        <v>0</v>
      </c>
      <c r="IA215" s="422">
        <f t="shared" si="1013"/>
        <v>0</v>
      </c>
      <c r="IB215" s="422">
        <f t="shared" si="1013"/>
        <v>0</v>
      </c>
      <c r="IC215" s="422">
        <f t="shared" si="1013"/>
        <v>0</v>
      </c>
      <c r="ID215" s="422">
        <f t="shared" si="1013"/>
        <v>0</v>
      </c>
      <c r="IE215" s="422">
        <f t="shared" si="1013"/>
        <v>0</v>
      </c>
      <c r="IF215" s="422">
        <f t="shared" si="1013"/>
        <v>0</v>
      </c>
      <c r="IG215" s="422">
        <f t="shared" si="1013"/>
        <v>0</v>
      </c>
      <c r="IH215" s="422">
        <f t="shared" si="1013"/>
        <v>0</v>
      </c>
      <c r="II215" s="422">
        <f t="shared" si="1013"/>
        <v>0</v>
      </c>
      <c r="IJ215" s="422">
        <f t="shared" si="1013"/>
        <v>0</v>
      </c>
      <c r="IK215" s="422">
        <f t="shared" si="1013"/>
        <v>0</v>
      </c>
      <c r="IL215" s="422">
        <f t="shared" si="1013"/>
        <v>0</v>
      </c>
      <c r="IM215" s="422">
        <f t="shared" si="1013"/>
        <v>0</v>
      </c>
      <c r="IN215" s="422" t="n">
        <f t="shared" ref="IN215:JS215" si="1014">(IN$197&lt;=Timing_Reversion_Month)*(IN214*((1+$EP216)^(1/12)-1))</f>
        <v>0</v>
      </c>
      <c r="IO215" s="422">
        <f t="shared" si="1014"/>
        <v>0</v>
      </c>
      <c r="IP215" s="422">
        <f t="shared" si="1014"/>
        <v>0</v>
      </c>
      <c r="IQ215" s="422">
        <f t="shared" si="1014"/>
        <v>0</v>
      </c>
      <c r="IR215" s="422">
        <f t="shared" si="1014"/>
        <v>0</v>
      </c>
      <c r="IS215" s="422">
        <f t="shared" si="1014"/>
        <v>0</v>
      </c>
      <c r="IT215" s="422">
        <f t="shared" si="1014"/>
        <v>0</v>
      </c>
      <c r="IU215" s="422">
        <f t="shared" si="1014"/>
        <v>0</v>
      </c>
      <c r="IV215" s="422">
        <f t="shared" si="1014"/>
        <v>0</v>
      </c>
      <c r="IW215" s="422">
        <f t="shared" si="1014"/>
        <v>0</v>
      </c>
      <c r="IX215" s="422">
        <f t="shared" si="1014"/>
        <v>0</v>
      </c>
      <c r="IY215" s="422">
        <f t="shared" si="1014"/>
        <v>0</v>
      </c>
      <c r="IZ215" s="422">
        <f t="shared" si="1014"/>
        <v>0</v>
      </c>
      <c r="JA215" s="422">
        <f t="shared" si="1014"/>
        <v>0</v>
      </c>
      <c r="JB215" s="422">
        <f t="shared" si="1014"/>
        <v>0</v>
      </c>
      <c r="JC215" s="422">
        <f t="shared" si="1014"/>
        <v>0</v>
      </c>
      <c r="JD215" s="422">
        <f t="shared" si="1014"/>
        <v>0</v>
      </c>
      <c r="JE215" s="422">
        <f t="shared" si="1014"/>
        <v>0</v>
      </c>
      <c r="JF215" s="422">
        <f t="shared" si="1014"/>
        <v>0</v>
      </c>
      <c r="JG215" s="422">
        <f t="shared" si="1014"/>
        <v>0</v>
      </c>
      <c r="JH215" s="422">
        <f t="shared" si="1014"/>
        <v>0</v>
      </c>
      <c r="JI215" s="422">
        <f t="shared" si="1014"/>
        <v>0</v>
      </c>
      <c r="JJ215" s="422">
        <f t="shared" si="1014"/>
        <v>0</v>
      </c>
      <c r="JK215" s="422">
        <f t="shared" si="1014"/>
        <v>0</v>
      </c>
      <c r="JL215" s="422">
        <f t="shared" si="1014"/>
        <v>0</v>
      </c>
      <c r="JM215" s="422">
        <f t="shared" si="1014"/>
        <v>0</v>
      </c>
      <c r="JN215" s="422">
        <f t="shared" si="1014"/>
        <v>0</v>
      </c>
      <c r="JO215" s="422">
        <f t="shared" si="1014"/>
        <v>0</v>
      </c>
      <c r="JP215" s="422">
        <f t="shared" si="1014"/>
        <v>0</v>
      </c>
      <c r="JQ215" s="422">
        <f t="shared" si="1014"/>
        <v>0</v>
      </c>
      <c r="JR215" s="422">
        <f t="shared" si="1014"/>
        <v>0</v>
      </c>
      <c r="JS215" s="422">
        <f t="shared" si="1014"/>
        <v>0</v>
      </c>
      <c r="JT215" s="422" t="n">
        <f t="shared" ref="JT215:JX215" si="1015">(JT$197&lt;=Timing_Reversion_Month)*(JT214*((1+$EP216)^(1/12)-1))</f>
        <v>0</v>
      </c>
      <c r="JU215" s="422">
        <f t="shared" si="1015"/>
        <v>0</v>
      </c>
      <c r="JV215" s="422">
        <f t="shared" si="1015"/>
        <v>0</v>
      </c>
      <c r="JW215" s="422">
        <f t="shared" si="1015"/>
        <v>0</v>
      </c>
      <c r="JX215" s="422">
        <f t="shared" si="1015"/>
        <v>0</v>
      </c>
      <c r="JZ215" s="446"/>
      <c r="KA215" s="446"/>
      <c r="KB215" s="446"/>
      <c r="KC215" s="446"/>
      <c r="KD215" s="446"/>
      <c r="KE215" s="446"/>
      <c r="KF215" s="446"/>
      <c r="KG215" s="446"/>
      <c r="KH215" s="446"/>
      <c r="KI215" s="446"/>
      <c r="KJ215" s="446"/>
      <c r="KK215" s="446"/>
      <c r="KL215" s="446"/>
      <c r="KM215" s="446"/>
      <c r="KN215" s="446"/>
      <c r="KO215" s="446"/>
      <c r="KP215" s="446"/>
      <c r="KQ215" s="446"/>
      <c r="KR215" s="446"/>
      <c r="KS215" s="446"/>
      <c r="KT215" s="446"/>
      <c r="KU215" s="446"/>
      <c r="KV215" s="446"/>
      <c r="KW215" s="446"/>
      <c r="KX215" s="446"/>
      <c r="KY215" s="446"/>
      <c r="KZ215" s="446"/>
      <c r="LA215" s="446"/>
      <c r="LB215" s="446"/>
      <c r="LC215" s="446"/>
      <c r="LD215" s="446"/>
      <c r="LE215" s="446"/>
      <c r="LF215" s="446"/>
      <c r="LG215" s="446"/>
      <c r="LH215" s="446"/>
      <c r="LI215" s="446"/>
      <c r="LJ215" s="446"/>
      <c r="LK215" s="446"/>
      <c r="LL215" s="446"/>
      <c r="LM215" s="446"/>
      <c r="LN215" s="446"/>
      <c r="LO215" s="446"/>
      <c r="LP215" s="446"/>
      <c r="LQ215" s="446"/>
      <c r="LR215" s="446"/>
      <c r="LS215" s="446"/>
      <c r="LT215" s="446"/>
      <c r="LU215" s="446"/>
      <c r="LV215" s="446"/>
      <c r="LW215" s="446"/>
      <c r="LX215" s="446"/>
      <c r="LY215" s="446"/>
      <c r="LZ215" s="446"/>
      <c r="MA215" s="446"/>
      <c r="MB215" s="446"/>
      <c r="MC215" s="446"/>
      <c r="MD215" s="446"/>
      <c r="ME215" s="446"/>
      <c r="MF215" s="446"/>
      <c r="MG215" s="446"/>
      <c r="MH215" s="446"/>
      <c r="MI215" s="446"/>
      <c r="MJ215" s="446"/>
      <c r="MK215" s="446"/>
      <c r="ML215" s="446"/>
      <c r="MM215" s="446"/>
      <c r="MN215" s="446"/>
      <c r="MO215" s="446"/>
      <c r="MP215" s="446"/>
      <c r="MQ215" s="446"/>
      <c r="MR215" s="446"/>
      <c r="MS215" s="446"/>
      <c r="MT215" s="446"/>
      <c r="MU215" s="446"/>
      <c r="MV215" s="446"/>
      <c r="MW215" s="446"/>
      <c r="MX215" s="446"/>
      <c r="MY215" s="446"/>
      <c r="MZ215" s="446"/>
      <c r="NA215" s="446"/>
      <c r="NB215" s="446"/>
      <c r="NC215" s="446"/>
      <c r="ND215" s="446"/>
      <c r="NE215" s="446"/>
      <c r="NF215" s="446"/>
      <c r="NG215" s="446"/>
      <c r="NH215" s="446"/>
      <c r="NI215" s="446"/>
      <c r="NJ215" s="446"/>
      <c r="NK215" s="446"/>
      <c r="NL215" s="446"/>
      <c r="NM215" s="446"/>
      <c r="NN215" s="446"/>
      <c r="NO215" s="446"/>
      <c r="NP215" s="446"/>
      <c r="NQ215" s="446"/>
      <c r="NR215" s="446"/>
      <c r="NS215" s="446"/>
      <c r="NT215" s="446"/>
      <c r="NU215" s="446"/>
      <c r="NV215" s="446"/>
      <c r="NW215" s="446"/>
      <c r="NX215" s="446"/>
      <c r="NY215" s="446"/>
      <c r="NZ215" s="446"/>
      <c r="OA215" s="446"/>
      <c r="OB215" s="446"/>
      <c r="OC215" s="446"/>
      <c r="OD215" s="446"/>
      <c r="OE215" s="446"/>
      <c r="OF215" s="446"/>
      <c r="OG215" s="446"/>
      <c r="OH215" s="446"/>
      <c r="OI215" s="446"/>
      <c r="OJ215" s="446"/>
      <c r="OK215" s="446"/>
      <c r="OL215" s="446"/>
      <c r="OM215" s="446"/>
      <c r="ON215" s="446"/>
      <c r="OO215" s="446"/>
      <c r="OP215" s="446"/>
      <c r="OQ215" s="446"/>
      <c r="OR215" s="446"/>
      <c r="OS215" s="446"/>
      <c r="OT215" s="446"/>
      <c r="OU215" s="446"/>
      <c r="OV215" s="446"/>
      <c r="OW215" s="446"/>
      <c r="OX215" s="446"/>
      <c r="OY215" s="446"/>
      <c r="OZ215" s="446"/>
      <c r="PA215" s="446"/>
      <c r="PB215" s="446"/>
      <c r="PC215" s="446"/>
      <c r="PD215" s="446"/>
      <c r="PE215" s="446"/>
      <c r="PF215" s="446"/>
      <c r="PG215" s="446"/>
      <c r="PH215" s="446"/>
    </row>
    <row r="216" s="24" customFormat="1">
      <c r="A216" s="441"/>
      <c r="B216" s="62" t="s">
        <v>395</v>
      </c>
      <c r="C216" s="458"/>
      <c r="D216" s="458"/>
      <c r="E216" s="458"/>
      <c r="F216" s="458"/>
      <c r="G216" s="74"/>
      <c r="H216" s="74" t="n">
        <f>H189</f>
        <v>0.06700819672131147</v>
      </c>
      <c r="I216" s="74" t="n">
        <f>I189</f>
        <v>0.0675</v>
      </c>
      <c r="K216" s="444"/>
      <c r="L216" s="205"/>
      <c r="M216" s="205"/>
      <c r="N216" s="205"/>
      <c r="O216" s="205"/>
      <c r="P216" s="205"/>
      <c r="Q216" s="205"/>
      <c r="R216" s="205"/>
      <c r="S216" s="205"/>
      <c r="T216" s="205"/>
      <c r="U216" s="205"/>
      <c r="V216" s="205"/>
      <c r="W216" s="205"/>
      <c r="X216" s="205"/>
      <c r="Y216" s="205"/>
      <c r="Z216" s="205"/>
      <c r="AA216" s="205"/>
      <c r="AB216" s="205"/>
      <c r="AC216" s="205"/>
      <c r="AD216" s="205"/>
      <c r="AE216" s="205"/>
      <c r="AF216" s="205"/>
      <c r="AG216" s="205"/>
      <c r="AH216" s="205"/>
      <c r="AI216" s="205"/>
      <c r="AJ216" s="205"/>
      <c r="AK216" s="205"/>
      <c r="AL216" s="205"/>
      <c r="AM216" s="205"/>
      <c r="AN216" s="205"/>
      <c r="AO216" s="205"/>
      <c r="AP216" s="205"/>
      <c r="AQ216" s="205"/>
      <c r="AR216" s="205"/>
      <c r="AS216" s="205"/>
      <c r="AT216" s="205"/>
      <c r="AU216" s="205"/>
      <c r="AV216" s="205"/>
      <c r="AW216" s="205"/>
      <c r="AX216" s="205"/>
      <c r="AY216" s="205"/>
      <c r="AZ216" s="205"/>
      <c r="BA216" s="205"/>
      <c r="BB216" s="205"/>
      <c r="BC216" s="205"/>
      <c r="BD216" s="205"/>
      <c r="BE216" s="205"/>
      <c r="BF216" s="205"/>
      <c r="BG216" s="205"/>
      <c r="BH216" s="205"/>
      <c r="BI216" s="205"/>
      <c r="BJ216" s="205"/>
      <c r="BK216" s="205"/>
      <c r="BL216" s="205"/>
      <c r="BM216" s="205"/>
      <c r="BN216" s="205"/>
      <c r="BO216" s="205"/>
      <c r="BP216" s="205"/>
      <c r="BQ216" s="205"/>
      <c r="BR216" s="205"/>
      <c r="BS216" s="205"/>
      <c r="BT216" s="205"/>
      <c r="BU216" s="205"/>
      <c r="BV216" s="205"/>
      <c r="BW216" s="205"/>
      <c r="BX216" s="205"/>
      <c r="BY216" s="205"/>
      <c r="BZ216" s="205"/>
      <c r="CA216" s="205"/>
      <c r="CB216" s="205"/>
      <c r="CC216" s="205"/>
      <c r="CD216" s="205"/>
      <c r="CE216" s="205"/>
      <c r="CF216" s="205"/>
      <c r="CG216" s="205"/>
      <c r="CH216" s="205"/>
      <c r="CI216" s="205"/>
      <c r="CJ216" s="205"/>
      <c r="CK216" s="205"/>
      <c r="CL216" s="205"/>
      <c r="CM216" s="205"/>
      <c r="CN216" s="205"/>
      <c r="CO216" s="205"/>
      <c r="CP216" s="205"/>
      <c r="CQ216" s="205"/>
      <c r="CR216" s="205"/>
      <c r="CS216" s="205"/>
      <c r="CT216" s="205"/>
      <c r="CU216" s="205"/>
      <c r="CV216" s="205"/>
      <c r="CW216" s="205"/>
      <c r="CX216" s="205"/>
      <c r="CY216" s="205"/>
      <c r="CZ216" s="205"/>
      <c r="DA216" s="205"/>
      <c r="DB216" s="205"/>
      <c r="DC216" s="205"/>
      <c r="DD216" s="205"/>
      <c r="DE216" s="205"/>
      <c r="DF216" s="205"/>
      <c r="DG216" s="205"/>
      <c r="DH216" s="205"/>
      <c r="DI216" s="205"/>
      <c r="DJ216" s="205"/>
      <c r="DK216" s="205"/>
      <c r="DL216" s="205"/>
      <c r="DM216" s="205"/>
      <c r="DN216" s="205"/>
      <c r="DO216" s="205"/>
      <c r="DP216" s="205"/>
      <c r="DQ216" s="205"/>
      <c r="DR216" s="205"/>
      <c r="DS216" s="205"/>
      <c r="DT216" s="205"/>
      <c r="DU216" s="205"/>
      <c r="DV216" s="205"/>
      <c r="DW216" s="205"/>
      <c r="DX216" s="205"/>
      <c r="DY216" s="205"/>
      <c r="DZ216" s="205"/>
      <c r="EA216" s="205"/>
      <c r="EB216" s="205"/>
      <c r="EC216" s="205"/>
      <c r="ED216" s="205"/>
      <c r="EE216" s="205"/>
      <c r="EF216" s="205"/>
      <c r="EG216" s="205"/>
      <c r="EH216" s="205"/>
      <c r="EI216" s="205"/>
      <c r="EJ216" s="205"/>
      <c r="EK216" s="205"/>
      <c r="EL216" s="205"/>
      <c r="EM216" s="205"/>
      <c r="EN216" s="205"/>
      <c r="EO216" s="444"/>
      <c r="EP216" s="223" t="n">
        <f>F234</f>
        <v>0.12</v>
      </c>
      <c r="EQ216" s="18" t="s">
        <v>371</v>
      </c>
      <c r="ER216" s="18"/>
      <c r="ES216" s="18"/>
      <c r="ET216" s="18" t="s">
        <v>396</v>
      </c>
      <c r="EU216" s="18"/>
      <c r="EV216" s="422" t="n">
        <f>EV201</f>
        <v>0</v>
      </c>
      <c r="EW216" s="422" t="n">
        <f t="shared" ref="EW216:GA216" si="1016">EW201</f>
        <v>393250.9603268033</v>
      </c>
      <c r="EX216" s="422">
        <f t="shared" si="1016"/>
        <v>135601.08309322695</v>
      </c>
      <c r="EY216" s="422">
        <f t="shared" si="1016"/>
        <v>0</v>
      </c>
      <c r="EZ216" s="422">
        <f t="shared" si="1016"/>
        <v>0</v>
      </c>
      <c r="FA216" s="422">
        <f t="shared" si="1016"/>
        <v>0</v>
      </c>
      <c r="FB216" s="422">
        <f t="shared" si="1016"/>
        <v>0</v>
      </c>
      <c r="FC216" s="422">
        <f t="shared" si="1016"/>
        <v>0</v>
      </c>
      <c r="FD216" s="422">
        <f t="shared" si="1016"/>
        <v>0</v>
      </c>
      <c r="FE216" s="422">
        <f t="shared" si="1016"/>
        <v>0</v>
      </c>
      <c r="FF216" s="422">
        <f t="shared" si="1016"/>
        <v>0</v>
      </c>
      <c r="FG216" s="422">
        <f t="shared" si="1016"/>
        <v>0</v>
      </c>
      <c r="FH216" s="422">
        <f t="shared" si="1016"/>
        <v>0</v>
      </c>
      <c r="FI216" s="422">
        <f t="shared" si="1016"/>
        <v>0</v>
      </c>
      <c r="FJ216" s="422">
        <f t="shared" si="1016"/>
        <v>0</v>
      </c>
      <c r="FK216" s="422">
        <f t="shared" si="1016"/>
        <v>0</v>
      </c>
      <c r="FL216" s="422">
        <f t="shared" si="1016"/>
        <v>0</v>
      </c>
      <c r="FM216" s="422">
        <f t="shared" si="1016"/>
        <v>810463.57516973012</v>
      </c>
      <c r="FN216" s="422">
        <f t="shared" si="1016"/>
        <v>3481800.8764314256</v>
      </c>
      <c r="FO216" s="422">
        <f t="shared" si="1016"/>
        <v>3240128.9964987882</v>
      </c>
      <c r="FP216" s="422">
        <f t="shared" si="1016"/>
        <v>3085563.367248842</v>
      </c>
      <c r="FQ216" s="422">
        <f t="shared" si="1016"/>
        <v>3685184.504042963</v>
      </c>
      <c r="FR216" s="422">
        <f t="shared" si="1016"/>
        <v>3543883.0408446733</v>
      </c>
      <c r="FS216" s="422">
        <f t="shared" si="1016"/>
        <v>3413848.6692760913</v>
      </c>
      <c r="FT216" s="422">
        <f t="shared" si="1016"/>
        <v>3587364.308113737</v>
      </c>
      <c r="FU216" s="422">
        <f t="shared" si="1016"/>
        <v>3485056.3850739766</v>
      </c>
      <c r="FV216" s="422">
        <f t="shared" si="1016"/>
        <v>3397438.6657805145</v>
      </c>
      <c r="FW216" s="422">
        <f t="shared" si="1016"/>
        <v>3502691.3563470333</v>
      </c>
      <c r="FX216" s="422">
        <f t="shared" si="1016"/>
        <v>2845601.8484991253</v>
      </c>
      <c r="FY216" s="422">
        <f t="shared" si="1016"/>
        <v>1497735.2327804544</v>
      </c>
      <c r="FZ216" s="422">
        <f t="shared" si="1016"/>
        <v>2509163.8639601702</v>
      </c>
      <c r="GA216" s="422">
        <f t="shared" si="1016"/>
        <v>2885272.669782937</v>
      </c>
      <c r="GB216" s="422" t="n">
        <f t="shared" ref="GB216:HG216" si="1017">GB201</f>
        <v>3165343.028364981</v>
      </c>
      <c r="GC216" s="422">
        <f t="shared" si="1017"/>
        <v>3365921.4402946201</v>
      </c>
      <c r="GD216" s="422">
        <f t="shared" si="1017"/>
        <v>3743964.7462569405</v>
      </c>
      <c r="GE216" s="422">
        <f t="shared" si="1017"/>
        <v>3831994.2213293347</v>
      </c>
      <c r="GF216" s="422">
        <f t="shared" si="1017"/>
        <v>3896836.1851359541</v>
      </c>
      <c r="GG216" s="422">
        <f t="shared" si="1017"/>
        <v>3494570.8859825782</v>
      </c>
      <c r="GH216" s="422">
        <f t="shared" si="1017"/>
        <v>3482522.3970297338</v>
      </c>
      <c r="GI216" s="422">
        <f t="shared" si="1017"/>
        <v>3470383.5444097435</v>
      </c>
      <c r="GJ216" s="422">
        <f t="shared" si="1017"/>
        <v>3464157.4376286799</v>
      </c>
      <c r="GK216" s="422">
        <f t="shared" si="1017"/>
        <v>3451835.8194089294</v>
      </c>
      <c r="GL216" s="422">
        <f t="shared" si="1017"/>
        <v>3439421.7890525316</v>
      </c>
      <c r="GM216" s="422">
        <f t="shared" si="1017"/>
        <v>3582830.5611468046</v>
      </c>
      <c r="GN216" s="422">
        <f t="shared" si="1017"/>
        <v>3570229.6220458527</v>
      </c>
      <c r="GO216" s="422">
        <f t="shared" si="1017"/>
        <v>3557534.1759016439</v>
      </c>
      <c r="GP216" s="422">
        <f t="shared" si="1017"/>
        <v>3572426.9097446869</v>
      </c>
      <c r="GQ216" s="422">
        <f t="shared" si="1017"/>
        <v>3559540.3177894698</v>
      </c>
      <c r="GR216" s="422">
        <f t="shared" si="1017"/>
        <v>3546557.0763945873</v>
      </c>
      <c r="GS216" s="422">
        <f t="shared" si="1017"/>
        <v>3406642.2490547462</v>
      </c>
      <c r="GT216" s="422">
        <f t="shared" si="1017"/>
        <v>3393463.5287316125</v>
      </c>
      <c r="GU216" s="422">
        <f t="shared" si="1017"/>
        <v>3380185.9680060558</v>
      </c>
      <c r="GV216" s="422">
        <f t="shared" si="1017"/>
        <v>3372802.5537000573</v>
      </c>
      <c r="GW216" s="422">
        <f t="shared" si="1017"/>
        <v>3359325.0827008253</v>
      </c>
      <c r="GX216" s="422">
        <f t="shared" si="1017"/>
        <v>3345746.5306691001</v>
      </c>
      <c r="GY216" s="422">
        <f t="shared" si="1017"/>
        <v>3473184.1325757857</v>
      </c>
      <c r="GZ216" s="422">
        <f t="shared" si="1017"/>
        <v>3459401.1384700327</v>
      </c>
      <c r="HA216" s="422">
        <f t="shared" si="1017"/>
        <v>3445514.7719084867</v>
      </c>
      <c r="HB216" s="422">
        <f t="shared" si="1017"/>
        <v>3460176.5722852284</v>
      </c>
      <c r="HC216" s="422">
        <f t="shared" si="1017"/>
        <v>3446081.1291171401</v>
      </c>
      <c r="HD216" s="422">
        <f t="shared" si="1017"/>
        <v>3431879.9701252906</v>
      </c>
      <c r="HE216" s="422">
        <f t="shared" si="1017"/>
        <v>92514869.31821233</v>
      </c>
      <c r="HF216" s="422">
        <f t="shared" si="1017"/>
        <v>0</v>
      </c>
      <c r="HG216" s="422">
        <f t="shared" si="1017"/>
        <v>0</v>
      </c>
      <c r="HH216" s="422" t="n">
        <f t="shared" ref="HH216:IM216" si="1018">HH201</f>
        <v>0</v>
      </c>
      <c r="HI216" s="422">
        <f t="shared" si="1018"/>
        <v>0</v>
      </c>
      <c r="HJ216" s="422">
        <f t="shared" si="1018"/>
        <v>0</v>
      </c>
      <c r="HK216" s="422">
        <f t="shared" si="1018"/>
        <v>0</v>
      </c>
      <c r="HL216" s="422">
        <f t="shared" si="1018"/>
        <v>0</v>
      </c>
      <c r="HM216" s="422">
        <f t="shared" si="1018"/>
        <v>0</v>
      </c>
      <c r="HN216" s="422">
        <f t="shared" si="1018"/>
        <v>0</v>
      </c>
      <c r="HO216" s="422">
        <f t="shared" si="1018"/>
        <v>0</v>
      </c>
      <c r="HP216" s="422">
        <f t="shared" si="1018"/>
        <v>0</v>
      </c>
      <c r="HQ216" s="422">
        <f t="shared" si="1018"/>
        <v>0</v>
      </c>
      <c r="HR216" s="422">
        <f t="shared" si="1018"/>
        <v>0</v>
      </c>
      <c r="HS216" s="422">
        <f t="shared" si="1018"/>
        <v>0</v>
      </c>
      <c r="HT216" s="422">
        <f t="shared" si="1018"/>
        <v>0</v>
      </c>
      <c r="HU216" s="422">
        <f t="shared" si="1018"/>
        <v>0</v>
      </c>
      <c r="HV216" s="422">
        <f t="shared" si="1018"/>
        <v>0</v>
      </c>
      <c r="HW216" s="422">
        <f t="shared" si="1018"/>
        <v>0</v>
      </c>
      <c r="HX216" s="422">
        <f t="shared" si="1018"/>
        <v>0</v>
      </c>
      <c r="HY216" s="422">
        <f t="shared" si="1018"/>
        <v>0</v>
      </c>
      <c r="HZ216" s="422">
        <f t="shared" si="1018"/>
        <v>0</v>
      </c>
      <c r="IA216" s="422">
        <f t="shared" si="1018"/>
        <v>0</v>
      </c>
      <c r="IB216" s="422">
        <f t="shared" si="1018"/>
        <v>0</v>
      </c>
      <c r="IC216" s="422">
        <f t="shared" si="1018"/>
        <v>0</v>
      </c>
      <c r="ID216" s="422">
        <f t="shared" si="1018"/>
        <v>0</v>
      </c>
      <c r="IE216" s="422">
        <f t="shared" si="1018"/>
        <v>0</v>
      </c>
      <c r="IF216" s="422">
        <f t="shared" si="1018"/>
        <v>0</v>
      </c>
      <c r="IG216" s="422">
        <f t="shared" si="1018"/>
        <v>0</v>
      </c>
      <c r="IH216" s="422">
        <f t="shared" si="1018"/>
        <v>0</v>
      </c>
      <c r="II216" s="422">
        <f t="shared" si="1018"/>
        <v>0</v>
      </c>
      <c r="IJ216" s="422">
        <f t="shared" si="1018"/>
        <v>0</v>
      </c>
      <c r="IK216" s="422">
        <f t="shared" si="1018"/>
        <v>0</v>
      </c>
      <c r="IL216" s="422">
        <f t="shared" si="1018"/>
        <v>0</v>
      </c>
      <c r="IM216" s="422">
        <f t="shared" si="1018"/>
        <v>0</v>
      </c>
      <c r="IN216" s="422" t="n">
        <f t="shared" ref="IN216:JX216" si="1019">IN201</f>
        <v>0</v>
      </c>
      <c r="IO216" s="422">
        <f t="shared" si="1019"/>
        <v>0</v>
      </c>
      <c r="IP216" s="422">
        <f t="shared" si="1019"/>
        <v>0</v>
      </c>
      <c r="IQ216" s="422">
        <f t="shared" si="1019"/>
        <v>0</v>
      </c>
      <c r="IR216" s="422">
        <f t="shared" si="1019"/>
        <v>0</v>
      </c>
      <c r="IS216" s="422">
        <f t="shared" si="1019"/>
        <v>0</v>
      </c>
      <c r="IT216" s="422">
        <f t="shared" si="1019"/>
        <v>0</v>
      </c>
      <c r="IU216" s="422">
        <f t="shared" si="1019"/>
        <v>0</v>
      </c>
      <c r="IV216" s="422">
        <f t="shared" si="1019"/>
        <v>0</v>
      </c>
      <c r="IW216" s="422">
        <f t="shared" si="1019"/>
        <v>0</v>
      </c>
      <c r="IX216" s="422">
        <f t="shared" si="1019"/>
        <v>0</v>
      </c>
      <c r="IY216" s="422">
        <f t="shared" si="1019"/>
        <v>0</v>
      </c>
      <c r="IZ216" s="422">
        <f t="shared" si="1019"/>
        <v>0</v>
      </c>
      <c r="JA216" s="422">
        <f t="shared" si="1019"/>
        <v>0</v>
      </c>
      <c r="JB216" s="422">
        <f t="shared" si="1019"/>
        <v>0</v>
      </c>
      <c r="JC216" s="422">
        <f t="shared" si="1019"/>
        <v>0</v>
      </c>
      <c r="JD216" s="422">
        <f t="shared" si="1019"/>
        <v>0</v>
      </c>
      <c r="JE216" s="422">
        <f t="shared" si="1019"/>
        <v>0</v>
      </c>
      <c r="JF216" s="422">
        <f t="shared" si="1019"/>
        <v>0</v>
      </c>
      <c r="JG216" s="422">
        <f t="shared" si="1019"/>
        <v>0</v>
      </c>
      <c r="JH216" s="422">
        <f t="shared" si="1019"/>
        <v>0</v>
      </c>
      <c r="JI216" s="422">
        <f t="shared" si="1019"/>
        <v>0</v>
      </c>
      <c r="JJ216" s="422">
        <f t="shared" si="1019"/>
        <v>0</v>
      </c>
      <c r="JK216" s="422">
        <f t="shared" si="1019"/>
        <v>0</v>
      </c>
      <c r="JL216" s="422">
        <f t="shared" si="1019"/>
        <v>0</v>
      </c>
      <c r="JM216" s="422">
        <f t="shared" si="1019"/>
        <v>0</v>
      </c>
      <c r="JN216" s="422">
        <f t="shared" si="1019"/>
        <v>0</v>
      </c>
      <c r="JO216" s="422">
        <f t="shared" si="1019"/>
        <v>0</v>
      </c>
      <c r="JP216" s="422">
        <f t="shared" si="1019"/>
        <v>0</v>
      </c>
      <c r="JQ216" s="422">
        <f t="shared" si="1019"/>
        <v>0</v>
      </c>
      <c r="JR216" s="422">
        <f t="shared" si="1019"/>
        <v>0</v>
      </c>
      <c r="JS216" s="422">
        <f t="shared" si="1019"/>
        <v>0</v>
      </c>
      <c r="JT216" s="422">
        <f t="shared" si="1019"/>
        <v>0</v>
      </c>
      <c r="JU216" s="422">
        <f t="shared" si="1019"/>
        <v>0</v>
      </c>
      <c r="JV216" s="422">
        <f t="shared" si="1019"/>
        <v>0</v>
      </c>
      <c r="JW216" s="422">
        <f t="shared" si="1019"/>
        <v>0</v>
      </c>
      <c r="JX216" s="422">
        <f t="shared" si="1019"/>
        <v>0</v>
      </c>
      <c r="JZ216" s="446"/>
      <c r="KA216" s="446"/>
      <c r="KB216" s="446"/>
      <c r="KC216" s="446"/>
      <c r="KD216" s="446"/>
      <c r="KE216" s="446"/>
      <c r="KF216" s="446"/>
      <c r="KG216" s="446"/>
      <c r="KH216" s="446"/>
      <c r="KI216" s="446"/>
      <c r="KJ216" s="446"/>
      <c r="KK216" s="446"/>
      <c r="KL216" s="446"/>
      <c r="KM216" s="446"/>
      <c r="KN216" s="446"/>
      <c r="KO216" s="446"/>
      <c r="KP216" s="446"/>
      <c r="KQ216" s="446"/>
      <c r="KR216" s="446"/>
      <c r="KS216" s="446"/>
      <c r="KT216" s="446"/>
      <c r="KU216" s="446"/>
      <c r="KV216" s="446"/>
      <c r="KW216" s="446"/>
      <c r="KX216" s="446"/>
      <c r="KY216" s="446"/>
      <c r="KZ216" s="446"/>
      <c r="LA216" s="446"/>
      <c r="LB216" s="446"/>
      <c r="LC216" s="446"/>
      <c r="LD216" s="446"/>
      <c r="LE216" s="446"/>
      <c r="LF216" s="446"/>
      <c r="LG216" s="446"/>
      <c r="LH216" s="446"/>
      <c r="LI216" s="446"/>
      <c r="LJ216" s="446"/>
      <c r="LK216" s="446"/>
      <c r="LL216" s="446"/>
      <c r="LM216" s="446"/>
      <c r="LN216" s="446"/>
      <c r="LO216" s="446"/>
      <c r="LP216" s="446"/>
      <c r="LQ216" s="446"/>
      <c r="LR216" s="446"/>
      <c r="LS216" s="446"/>
      <c r="LT216" s="446"/>
      <c r="LU216" s="446"/>
      <c r="LV216" s="446"/>
      <c r="LW216" s="446"/>
      <c r="LX216" s="446"/>
      <c r="LY216" s="446"/>
      <c r="LZ216" s="446"/>
      <c r="MA216" s="446"/>
      <c r="MB216" s="446"/>
      <c r="MC216" s="446"/>
      <c r="MD216" s="446"/>
      <c r="ME216" s="446"/>
      <c r="MF216" s="446"/>
      <c r="MG216" s="446"/>
      <c r="MH216" s="446"/>
      <c r="MI216" s="446"/>
      <c r="MJ216" s="446"/>
      <c r="MK216" s="446"/>
      <c r="ML216" s="446"/>
      <c r="MM216" s="446"/>
      <c r="MN216" s="446"/>
      <c r="MO216" s="446"/>
      <c r="MP216" s="446"/>
      <c r="MQ216" s="446"/>
      <c r="MR216" s="446"/>
      <c r="MS216" s="446"/>
      <c r="MT216" s="446"/>
      <c r="MU216" s="446"/>
      <c r="MV216" s="446"/>
      <c r="MW216" s="446"/>
      <c r="MX216" s="446"/>
      <c r="MY216" s="446"/>
      <c r="MZ216" s="446"/>
      <c r="NA216" s="446"/>
      <c r="NB216" s="446"/>
      <c r="NC216" s="446"/>
      <c r="ND216" s="446"/>
      <c r="NE216" s="446"/>
      <c r="NF216" s="446"/>
      <c r="NG216" s="446"/>
      <c r="NH216" s="446"/>
      <c r="NI216" s="446"/>
      <c r="NJ216" s="446"/>
      <c r="NK216" s="446"/>
      <c r="NL216" s="446"/>
      <c r="NM216" s="446"/>
      <c r="NN216" s="446"/>
      <c r="NO216" s="446"/>
      <c r="NP216" s="446"/>
      <c r="NQ216" s="446"/>
      <c r="NR216" s="446"/>
      <c r="NS216" s="446"/>
      <c r="NT216" s="446"/>
      <c r="NU216" s="446"/>
      <c r="NV216" s="446"/>
      <c r="NW216" s="446"/>
      <c r="NX216" s="446"/>
      <c r="NY216" s="446"/>
      <c r="NZ216" s="446"/>
      <c r="OA216" s="446"/>
      <c r="OB216" s="446"/>
      <c r="OC216" s="446"/>
      <c r="OD216" s="446"/>
      <c r="OE216" s="446"/>
      <c r="OF216" s="446"/>
      <c r="OG216" s="446"/>
      <c r="OH216" s="446"/>
      <c r="OI216" s="446"/>
      <c r="OJ216" s="446"/>
      <c r="OK216" s="446"/>
      <c r="OL216" s="446"/>
      <c r="OM216" s="446"/>
      <c r="ON216" s="446"/>
      <c r="OO216" s="446"/>
      <c r="OP216" s="446"/>
      <c r="OQ216" s="446"/>
      <c r="OR216" s="446"/>
      <c r="OS216" s="446"/>
      <c r="OT216" s="446"/>
      <c r="OU216" s="446"/>
      <c r="OV216" s="446"/>
      <c r="OW216" s="446"/>
      <c r="OX216" s="446"/>
      <c r="OY216" s="446"/>
      <c r="OZ216" s="446"/>
      <c r="PA216" s="446"/>
      <c r="PB216" s="446"/>
      <c r="PC216" s="446"/>
      <c r="PD216" s="446"/>
      <c r="PE216" s="446"/>
      <c r="PF216" s="446"/>
      <c r="PG216" s="446"/>
      <c r="PH216" s="446"/>
    </row>
    <row r="217" s="24" customFormat="1">
      <c r="A217" s="441"/>
      <c r="B217" s="62" t="s">
        <v>397</v>
      </c>
      <c r="C217" s="458"/>
      <c r="D217" s="458"/>
      <c r="E217" s="458"/>
      <c r="F217" s="458"/>
      <c r="G217" s="75"/>
      <c r="H217" s="75" t="n">
        <f>(H215-H216)*10000</f>
        <v>417.46410456714233</v>
      </c>
      <c r="I217" s="75" t="n">
        <f>(I215-I216)*10000</f>
        <v>1029.0903474765305</v>
      </c>
      <c r="K217" s="444"/>
      <c r="L217" s="205"/>
      <c r="M217" s="205"/>
      <c r="N217" s="205"/>
      <c r="O217" s="205"/>
      <c r="P217" s="205"/>
      <c r="Q217" s="205"/>
      <c r="R217" s="205"/>
      <c r="S217" s="205"/>
      <c r="T217" s="205"/>
      <c r="U217" s="205"/>
      <c r="V217" s="205"/>
      <c r="W217" s="205"/>
      <c r="X217" s="205"/>
      <c r="Y217" s="205"/>
      <c r="Z217" s="205"/>
      <c r="AA217" s="205"/>
      <c r="AB217" s="205"/>
      <c r="AC217" s="205"/>
      <c r="AD217" s="205"/>
      <c r="AE217" s="205"/>
      <c r="AF217" s="205"/>
      <c r="AG217" s="205"/>
      <c r="AH217" s="205"/>
      <c r="AI217" s="205"/>
      <c r="AJ217" s="205"/>
      <c r="AK217" s="205"/>
      <c r="AL217" s="205"/>
      <c r="AM217" s="205"/>
      <c r="AN217" s="205"/>
      <c r="AO217" s="205"/>
      <c r="AP217" s="205"/>
      <c r="AQ217" s="205"/>
      <c r="AR217" s="205"/>
      <c r="AS217" s="205"/>
      <c r="AT217" s="205"/>
      <c r="AU217" s="205"/>
      <c r="AV217" s="205"/>
      <c r="AW217" s="205"/>
      <c r="AX217" s="205"/>
      <c r="AY217" s="205"/>
      <c r="AZ217" s="205"/>
      <c r="BA217" s="205"/>
      <c r="BB217" s="205"/>
      <c r="BC217" s="205"/>
      <c r="BD217" s="205"/>
      <c r="BE217" s="205"/>
      <c r="BF217" s="205"/>
      <c r="BG217" s="205"/>
      <c r="BH217" s="205"/>
      <c r="BI217" s="205"/>
      <c r="BJ217" s="205"/>
      <c r="BK217" s="205"/>
      <c r="BL217" s="205"/>
      <c r="BM217" s="205"/>
      <c r="BN217" s="205"/>
      <c r="BO217" s="205"/>
      <c r="BP217" s="205"/>
      <c r="BQ217" s="205"/>
      <c r="BR217" s="205"/>
      <c r="BS217" s="205"/>
      <c r="BT217" s="205"/>
      <c r="BU217" s="205"/>
      <c r="BV217" s="205"/>
      <c r="BW217" s="205"/>
      <c r="BX217" s="205"/>
      <c r="BY217" s="205"/>
      <c r="BZ217" s="205"/>
      <c r="CA217" s="205"/>
      <c r="CB217" s="205"/>
      <c r="CC217" s="205"/>
      <c r="CD217" s="205"/>
      <c r="CE217" s="205"/>
      <c r="CF217" s="205"/>
      <c r="CG217" s="205"/>
      <c r="CH217" s="205"/>
      <c r="CI217" s="205"/>
      <c r="CJ217" s="205"/>
      <c r="CK217" s="205"/>
      <c r="CL217" s="205"/>
      <c r="CM217" s="205"/>
      <c r="CN217" s="205"/>
      <c r="CO217" s="205"/>
      <c r="CP217" s="205"/>
      <c r="CQ217" s="205"/>
      <c r="CR217" s="205"/>
      <c r="CS217" s="205"/>
      <c r="CT217" s="205"/>
      <c r="CU217" s="205"/>
      <c r="CV217" s="205"/>
      <c r="CW217" s="205"/>
      <c r="CX217" s="205"/>
      <c r="CY217" s="205"/>
      <c r="CZ217" s="205"/>
      <c r="DA217" s="205"/>
      <c r="DB217" s="205"/>
      <c r="DC217" s="205"/>
      <c r="DD217" s="205"/>
      <c r="DE217" s="205"/>
      <c r="DF217" s="205"/>
      <c r="DG217" s="205"/>
      <c r="DH217" s="205"/>
      <c r="DI217" s="205"/>
      <c r="DJ217" s="205"/>
      <c r="DK217" s="205"/>
      <c r="DL217" s="205"/>
      <c r="DM217" s="205"/>
      <c r="DN217" s="205"/>
      <c r="DO217" s="205"/>
      <c r="DP217" s="205"/>
      <c r="DQ217" s="205"/>
      <c r="DR217" s="205"/>
      <c r="DS217" s="205"/>
      <c r="DT217" s="205"/>
      <c r="DU217" s="205"/>
      <c r="DV217" s="205"/>
      <c r="DW217" s="205"/>
      <c r="DX217" s="205"/>
      <c r="DY217" s="205"/>
      <c r="DZ217" s="205"/>
      <c r="EA217" s="205"/>
      <c r="EB217" s="205"/>
      <c r="EC217" s="205"/>
      <c r="ED217" s="205"/>
      <c r="EE217" s="205"/>
      <c r="EF217" s="205"/>
      <c r="EG217" s="205"/>
      <c r="EH217" s="205"/>
      <c r="EI217" s="205"/>
      <c r="EJ217" s="205"/>
      <c r="EK217" s="205"/>
      <c r="EL217" s="205"/>
      <c r="EM217" s="205"/>
      <c r="EN217" s="205"/>
      <c r="EO217" s="444"/>
      <c r="EP217" s="409"/>
      <c r="EQ217" s="18"/>
      <c r="ER217" s="18"/>
      <c r="ES217" s="18"/>
      <c r="ET217" s="18" t="s">
        <v>398</v>
      </c>
      <c r="EU217" s="18"/>
      <c r="EV217" s="422" t="n">
        <f>(EV$197&lt;=Timing_Reversion_Month)*(MIN(EV214+EV215-EV216,MAX(EV212,0)*$I$234))</f>
        <v>0</v>
      </c>
      <c r="EW217" s="422" t="n">
        <f t="shared" ref="EW217:GA217" si="1020">(EW$197&lt;=Timing_Reversion_Month)*(MIN(EW214+EW215-EW216,MAX(EW212,0)*$I$234))</f>
        <v>4.700268618762493e-11</v>
      </c>
      <c r="EX217" s="422">
        <f t="shared" si="1020"/>
        <v>0</v>
      </c>
      <c r="EY217" s="422">
        <f t="shared" si="1020"/>
        <v>0</v>
      </c>
      <c r="EZ217" s="422">
        <f t="shared" si="1020"/>
        <v>0</v>
      </c>
      <c r="FA217" s="422">
        <f t="shared" si="1020"/>
        <v>0</v>
      </c>
      <c r="FB217" s="422">
        <f t="shared" si="1020"/>
        <v>0</v>
      </c>
      <c r="FC217" s="422">
        <f t="shared" si="1020"/>
        <v>0</v>
      </c>
      <c r="FD217" s="422">
        <f t="shared" si="1020"/>
        <v>0</v>
      </c>
      <c r="FE217" s="422">
        <f t="shared" si="1020"/>
        <v>0</v>
      </c>
      <c r="FF217" s="422">
        <f t="shared" si="1020"/>
        <v>0</v>
      </c>
      <c r="FG217" s="422">
        <f t="shared" si="1020"/>
        <v>0</v>
      </c>
      <c r="FH217" s="422">
        <f t="shared" si="1020"/>
        <v>0</v>
      </c>
      <c r="FI217" s="422">
        <f t="shared" si="1020"/>
        <v>0</v>
      </c>
      <c r="FJ217" s="422">
        <f t="shared" si="1020"/>
        <v>0</v>
      </c>
      <c r="FK217" s="422">
        <f t="shared" si="1020"/>
        <v>0</v>
      </c>
      <c r="FL217" s="422">
        <f t="shared" si="1020"/>
        <v>0</v>
      </c>
      <c r="FM217" s="422">
        <f t="shared" si="1020"/>
        <v>0</v>
      </c>
      <c r="FN217" s="422">
        <f t="shared" si="1020"/>
        <v>0</v>
      </c>
      <c r="FO217" s="422">
        <f t="shared" si="1020"/>
        <v>3.7602148950099945E-10</v>
      </c>
      <c r="FP217" s="422">
        <f t="shared" si="1020"/>
        <v>0</v>
      </c>
      <c r="FQ217" s="422">
        <f t="shared" si="1020"/>
        <v>0</v>
      </c>
      <c r="FR217" s="422">
        <f t="shared" si="1020"/>
        <v>3.7602148950099945E-10</v>
      </c>
      <c r="FS217" s="422">
        <f t="shared" si="1020"/>
        <v>0</v>
      </c>
      <c r="FT217" s="422">
        <f t="shared" si="1020"/>
        <v>3.7602148950099945E-10</v>
      </c>
      <c r="FU217" s="422">
        <f t="shared" si="1020"/>
        <v>0</v>
      </c>
      <c r="FV217" s="422">
        <f t="shared" si="1020"/>
        <v>3.7602148950099945E-10</v>
      </c>
      <c r="FW217" s="422">
        <f t="shared" si="1020"/>
        <v>0</v>
      </c>
      <c r="FX217" s="422">
        <f t="shared" si="1020"/>
        <v>3.7602148950099945E-10</v>
      </c>
      <c r="FY217" s="422">
        <f t="shared" si="1020"/>
        <v>0</v>
      </c>
      <c r="FZ217" s="422">
        <f t="shared" si="1020"/>
        <v>0</v>
      </c>
      <c r="GA217" s="422">
        <f t="shared" si="1020"/>
        <v>0</v>
      </c>
      <c r="GB217" s="422" t="n">
        <f t="shared" ref="GB217:HG217" si="1021">(GB$197&lt;=Timing_Reversion_Month)*(MIN(GB214+GB215-GB216,MAX(GB212,0)*$I$234))</f>
        <v>0</v>
      </c>
      <c r="GC217" s="422">
        <f t="shared" si="1021"/>
        <v>0</v>
      </c>
      <c r="GD217" s="422">
        <f t="shared" si="1021"/>
        <v>0</v>
      </c>
      <c r="GE217" s="422">
        <f t="shared" si="1021"/>
        <v>0</v>
      </c>
      <c r="GF217" s="422">
        <f t="shared" si="1021"/>
        <v>3.7602148950099945E-10</v>
      </c>
      <c r="GG217" s="422">
        <f t="shared" si="1021"/>
        <v>3.7602148950099945E-10</v>
      </c>
      <c r="GH217" s="422">
        <f t="shared" si="1021"/>
        <v>3.7602148950099945E-10</v>
      </c>
      <c r="GI217" s="422">
        <f t="shared" si="1021"/>
        <v>3.7602148950099945E-10</v>
      </c>
      <c r="GJ217" s="422">
        <f t="shared" si="1021"/>
        <v>0</v>
      </c>
      <c r="GK217" s="422">
        <f t="shared" si="1021"/>
        <v>0</v>
      </c>
      <c r="GL217" s="422">
        <f t="shared" si="1021"/>
        <v>0</v>
      </c>
      <c r="GM217" s="422">
        <f t="shared" si="1021"/>
        <v>0</v>
      </c>
      <c r="GN217" s="422">
        <f t="shared" si="1021"/>
        <v>0</v>
      </c>
      <c r="GO217" s="422">
        <f t="shared" si="1021"/>
        <v>3.7602148950099945E-10</v>
      </c>
      <c r="GP217" s="422">
        <f t="shared" si="1021"/>
        <v>0</v>
      </c>
      <c r="GQ217" s="422">
        <f t="shared" si="1021"/>
        <v>0</v>
      </c>
      <c r="GR217" s="422">
        <f t="shared" si="1021"/>
        <v>0</v>
      </c>
      <c r="GS217" s="422">
        <f t="shared" si="1021"/>
        <v>0</v>
      </c>
      <c r="GT217" s="422">
        <f t="shared" si="1021"/>
        <v>0</v>
      </c>
      <c r="GU217" s="422">
        <f t="shared" si="1021"/>
        <v>0</v>
      </c>
      <c r="GV217" s="422">
        <f t="shared" si="1021"/>
        <v>0</v>
      </c>
      <c r="GW217" s="422">
        <f t="shared" si="1021"/>
        <v>3.7602148950099945E-10</v>
      </c>
      <c r="GX217" s="422">
        <f t="shared" si="1021"/>
        <v>3.7602148950099945E-10</v>
      </c>
      <c r="GY217" s="422">
        <f t="shared" si="1021"/>
        <v>0</v>
      </c>
      <c r="GZ217" s="422">
        <f t="shared" si="1021"/>
        <v>0</v>
      </c>
      <c r="HA217" s="422">
        <f t="shared" si="1021"/>
        <v>0</v>
      </c>
      <c r="HB217" s="422">
        <f t="shared" si="1021"/>
        <v>0</v>
      </c>
      <c r="HC217" s="422">
        <f t="shared" si="1021"/>
        <v>0</v>
      </c>
      <c r="HD217" s="422">
        <f t="shared" si="1021"/>
        <v>3.7602148950099945E-10</v>
      </c>
      <c r="HE217" s="422">
        <f t="shared" si="1021"/>
        <v>25658410.985303223</v>
      </c>
      <c r="HF217" s="422">
        <f t="shared" si="1021"/>
        <v>0</v>
      </c>
      <c r="HG217" s="422">
        <f t="shared" si="1021"/>
        <v>0</v>
      </c>
      <c r="HH217" s="422" t="n">
        <f t="shared" ref="HH217:IM217" si="1022">(HH$197&lt;=Timing_Reversion_Month)*(MIN(HH214+HH215-HH216,MAX(HH212,0)*$I$234))</f>
        <v>0</v>
      </c>
      <c r="HI217" s="422">
        <f t="shared" si="1022"/>
        <v>0</v>
      </c>
      <c r="HJ217" s="422">
        <f t="shared" si="1022"/>
        <v>0</v>
      </c>
      <c r="HK217" s="422">
        <f t="shared" si="1022"/>
        <v>0</v>
      </c>
      <c r="HL217" s="422">
        <f t="shared" si="1022"/>
        <v>0</v>
      </c>
      <c r="HM217" s="422">
        <f t="shared" si="1022"/>
        <v>0</v>
      </c>
      <c r="HN217" s="422">
        <f t="shared" si="1022"/>
        <v>0</v>
      </c>
      <c r="HO217" s="422">
        <f t="shared" si="1022"/>
        <v>0</v>
      </c>
      <c r="HP217" s="422">
        <f t="shared" si="1022"/>
        <v>0</v>
      </c>
      <c r="HQ217" s="422">
        <f t="shared" si="1022"/>
        <v>0</v>
      </c>
      <c r="HR217" s="422">
        <f t="shared" si="1022"/>
        <v>0</v>
      </c>
      <c r="HS217" s="422">
        <f t="shared" si="1022"/>
        <v>0</v>
      </c>
      <c r="HT217" s="422">
        <f t="shared" si="1022"/>
        <v>0</v>
      </c>
      <c r="HU217" s="422">
        <f t="shared" si="1022"/>
        <v>0</v>
      </c>
      <c r="HV217" s="422">
        <f t="shared" si="1022"/>
        <v>0</v>
      </c>
      <c r="HW217" s="422">
        <f t="shared" si="1022"/>
        <v>0</v>
      </c>
      <c r="HX217" s="422">
        <f t="shared" si="1022"/>
        <v>0</v>
      </c>
      <c r="HY217" s="422">
        <f t="shared" si="1022"/>
        <v>0</v>
      </c>
      <c r="HZ217" s="422">
        <f t="shared" si="1022"/>
        <v>0</v>
      </c>
      <c r="IA217" s="422">
        <f t="shared" si="1022"/>
        <v>0</v>
      </c>
      <c r="IB217" s="422">
        <f t="shared" si="1022"/>
        <v>0</v>
      </c>
      <c r="IC217" s="422">
        <f t="shared" si="1022"/>
        <v>0</v>
      </c>
      <c r="ID217" s="422">
        <f t="shared" si="1022"/>
        <v>0</v>
      </c>
      <c r="IE217" s="422">
        <f t="shared" si="1022"/>
        <v>0</v>
      </c>
      <c r="IF217" s="422">
        <f t="shared" si="1022"/>
        <v>0</v>
      </c>
      <c r="IG217" s="422">
        <f t="shared" si="1022"/>
        <v>0</v>
      </c>
      <c r="IH217" s="422">
        <f t="shared" si="1022"/>
        <v>0</v>
      </c>
      <c r="II217" s="422">
        <f t="shared" si="1022"/>
        <v>0</v>
      </c>
      <c r="IJ217" s="422">
        <f t="shared" si="1022"/>
        <v>0</v>
      </c>
      <c r="IK217" s="422">
        <f t="shared" si="1022"/>
        <v>0</v>
      </c>
      <c r="IL217" s="422">
        <f t="shared" si="1022"/>
        <v>0</v>
      </c>
      <c r="IM217" s="422">
        <f t="shared" si="1022"/>
        <v>0</v>
      </c>
      <c r="IN217" s="422" t="n">
        <f t="shared" ref="IN217:JS217" si="1023">(IN$197&lt;=Timing_Reversion_Month)*(MIN(IN214+IN215-IN216,MAX(IN212,0)*$I$234))</f>
        <v>0</v>
      </c>
      <c r="IO217" s="422">
        <f t="shared" si="1023"/>
        <v>0</v>
      </c>
      <c r="IP217" s="422">
        <f t="shared" si="1023"/>
        <v>0</v>
      </c>
      <c r="IQ217" s="422">
        <f t="shared" si="1023"/>
        <v>0</v>
      </c>
      <c r="IR217" s="422">
        <f t="shared" si="1023"/>
        <v>0</v>
      </c>
      <c r="IS217" s="422">
        <f t="shared" si="1023"/>
        <v>0</v>
      </c>
      <c r="IT217" s="422">
        <f t="shared" si="1023"/>
        <v>0</v>
      </c>
      <c r="IU217" s="422">
        <f t="shared" si="1023"/>
        <v>0</v>
      </c>
      <c r="IV217" s="422">
        <f t="shared" si="1023"/>
        <v>0</v>
      </c>
      <c r="IW217" s="422">
        <f t="shared" si="1023"/>
        <v>0</v>
      </c>
      <c r="IX217" s="422">
        <f t="shared" si="1023"/>
        <v>0</v>
      </c>
      <c r="IY217" s="422">
        <f t="shared" si="1023"/>
        <v>0</v>
      </c>
      <c r="IZ217" s="422">
        <f t="shared" si="1023"/>
        <v>0</v>
      </c>
      <c r="JA217" s="422">
        <f t="shared" si="1023"/>
        <v>0</v>
      </c>
      <c r="JB217" s="422">
        <f t="shared" si="1023"/>
        <v>0</v>
      </c>
      <c r="JC217" s="422">
        <f t="shared" si="1023"/>
        <v>0</v>
      </c>
      <c r="JD217" s="422">
        <f t="shared" si="1023"/>
        <v>0</v>
      </c>
      <c r="JE217" s="422">
        <f t="shared" si="1023"/>
        <v>0</v>
      </c>
      <c r="JF217" s="422">
        <f t="shared" si="1023"/>
        <v>0</v>
      </c>
      <c r="JG217" s="422">
        <f t="shared" si="1023"/>
        <v>0</v>
      </c>
      <c r="JH217" s="422">
        <f t="shared" si="1023"/>
        <v>0</v>
      </c>
      <c r="JI217" s="422">
        <f t="shared" si="1023"/>
        <v>0</v>
      </c>
      <c r="JJ217" s="422">
        <f t="shared" si="1023"/>
        <v>0</v>
      </c>
      <c r="JK217" s="422">
        <f t="shared" si="1023"/>
        <v>0</v>
      </c>
      <c r="JL217" s="422">
        <f t="shared" si="1023"/>
        <v>0</v>
      </c>
      <c r="JM217" s="422">
        <f t="shared" si="1023"/>
        <v>0</v>
      </c>
      <c r="JN217" s="422">
        <f t="shared" si="1023"/>
        <v>0</v>
      </c>
      <c r="JO217" s="422">
        <f t="shared" si="1023"/>
        <v>0</v>
      </c>
      <c r="JP217" s="422">
        <f t="shared" si="1023"/>
        <v>0</v>
      </c>
      <c r="JQ217" s="422">
        <f t="shared" si="1023"/>
        <v>0</v>
      </c>
      <c r="JR217" s="422">
        <f t="shared" si="1023"/>
        <v>0</v>
      </c>
      <c r="JS217" s="422">
        <f t="shared" si="1023"/>
        <v>0</v>
      </c>
      <c r="JT217" s="422" t="n">
        <f t="shared" ref="JT217:JX217" si="1024">(JT$197&lt;=Timing_Reversion_Month)*(MIN(JT214+JT215-JT216,MAX(JT212,0)*$I$234))</f>
        <v>0</v>
      </c>
      <c r="JU217" s="422">
        <f t="shared" si="1024"/>
        <v>0</v>
      </c>
      <c r="JV217" s="422">
        <f t="shared" si="1024"/>
        <v>0</v>
      </c>
      <c r="JW217" s="422">
        <f t="shared" si="1024"/>
        <v>0</v>
      </c>
      <c r="JX217" s="422">
        <f t="shared" si="1024"/>
        <v>0</v>
      </c>
      <c r="JZ217" s="446"/>
      <c r="KA217" s="446"/>
      <c r="KB217" s="446"/>
      <c r="KC217" s="446"/>
      <c r="KD217" s="446"/>
      <c r="KE217" s="446"/>
      <c r="KF217" s="446"/>
      <c r="KG217" s="446"/>
      <c r="KH217" s="446"/>
      <c r="KI217" s="446"/>
      <c r="KJ217" s="446"/>
      <c r="KK217" s="446"/>
      <c r="KL217" s="446"/>
      <c r="KM217" s="446"/>
      <c r="KN217" s="446"/>
      <c r="KO217" s="446"/>
      <c r="KP217" s="446"/>
      <c r="KQ217" s="446"/>
      <c r="KR217" s="446"/>
      <c r="KS217" s="446"/>
      <c r="KT217" s="446"/>
      <c r="KU217" s="446"/>
      <c r="KV217" s="446"/>
      <c r="KW217" s="446"/>
      <c r="KX217" s="446"/>
      <c r="KY217" s="446"/>
      <c r="KZ217" s="446"/>
      <c r="LA217" s="446"/>
      <c r="LB217" s="446"/>
      <c r="LC217" s="446"/>
      <c r="LD217" s="446"/>
      <c r="LE217" s="446"/>
      <c r="LF217" s="446"/>
      <c r="LG217" s="446"/>
      <c r="LH217" s="446"/>
      <c r="LI217" s="446"/>
      <c r="LJ217" s="446"/>
      <c r="LK217" s="446"/>
      <c r="LL217" s="446"/>
      <c r="LM217" s="446"/>
      <c r="LN217" s="446"/>
      <c r="LO217" s="446"/>
      <c r="LP217" s="446"/>
      <c r="LQ217" s="446"/>
      <c r="LR217" s="446"/>
      <c r="LS217" s="446"/>
      <c r="LT217" s="446"/>
      <c r="LU217" s="446"/>
      <c r="LV217" s="446"/>
      <c r="LW217" s="446"/>
      <c r="LX217" s="446"/>
      <c r="LY217" s="446"/>
      <c r="LZ217" s="446"/>
      <c r="MA217" s="446"/>
      <c r="MB217" s="446"/>
      <c r="MC217" s="446"/>
      <c r="MD217" s="446"/>
      <c r="ME217" s="446"/>
      <c r="MF217" s="446"/>
      <c r="MG217" s="446"/>
      <c r="MH217" s="446"/>
      <c r="MI217" s="446"/>
      <c r="MJ217" s="446"/>
      <c r="MK217" s="446"/>
      <c r="ML217" s="446"/>
      <c r="MM217" s="446"/>
      <c r="MN217" s="446"/>
      <c r="MO217" s="446"/>
      <c r="MP217" s="446"/>
      <c r="MQ217" s="446"/>
      <c r="MR217" s="446"/>
      <c r="MS217" s="446"/>
      <c r="MT217" s="446"/>
      <c r="MU217" s="446"/>
      <c r="MV217" s="446"/>
      <c r="MW217" s="446"/>
      <c r="MX217" s="446"/>
      <c r="MY217" s="446"/>
      <c r="MZ217" s="446"/>
      <c r="NA217" s="446"/>
      <c r="NB217" s="446"/>
      <c r="NC217" s="446"/>
      <c r="ND217" s="446"/>
      <c r="NE217" s="446"/>
      <c r="NF217" s="446"/>
      <c r="NG217" s="446"/>
      <c r="NH217" s="446"/>
      <c r="NI217" s="446"/>
      <c r="NJ217" s="446"/>
      <c r="NK217" s="446"/>
      <c r="NL217" s="446"/>
      <c r="NM217" s="446"/>
      <c r="NN217" s="446"/>
      <c r="NO217" s="446"/>
      <c r="NP217" s="446"/>
      <c r="NQ217" s="446"/>
      <c r="NR217" s="446"/>
      <c r="NS217" s="446"/>
      <c r="NT217" s="446"/>
      <c r="NU217" s="446"/>
      <c r="NV217" s="446"/>
      <c r="NW217" s="446"/>
      <c r="NX217" s="446"/>
      <c r="NY217" s="446"/>
      <c r="NZ217" s="446"/>
      <c r="OA217" s="446"/>
      <c r="OB217" s="446"/>
      <c r="OC217" s="446"/>
      <c r="OD217" s="446"/>
      <c r="OE217" s="446"/>
      <c r="OF217" s="446"/>
      <c r="OG217" s="446"/>
      <c r="OH217" s="446"/>
      <c r="OI217" s="446"/>
      <c r="OJ217" s="446"/>
      <c r="OK217" s="446"/>
      <c r="OL217" s="446"/>
      <c r="OM217" s="446"/>
      <c r="ON217" s="446"/>
      <c r="OO217" s="446"/>
      <c r="OP217" s="446"/>
      <c r="OQ217" s="446"/>
      <c r="OR217" s="446"/>
      <c r="OS217" s="446"/>
      <c r="OT217" s="446"/>
      <c r="OU217" s="446"/>
      <c r="OV217" s="446"/>
      <c r="OW217" s="446"/>
      <c r="OX217" s="446"/>
      <c r="OY217" s="446"/>
      <c r="OZ217" s="446"/>
      <c r="PA217" s="446"/>
      <c r="PB217" s="446"/>
      <c r="PC217" s="446"/>
      <c r="PD217" s="446"/>
      <c r="PE217" s="446"/>
      <c r="PF217" s="446"/>
      <c r="PG217" s="446"/>
      <c r="PH217" s="446"/>
    </row>
    <row r="218">
      <c r="B218" s="503" t="s">
        <v>399</v>
      </c>
      <c r="C218" s="532"/>
      <c r="D218" s="532"/>
      <c r="E218" s="532"/>
      <c r="F218" s="532"/>
      <c r="G218" s="532"/>
      <c r="H218" s="532"/>
      <c r="I218" s="532"/>
      <c r="EP218" s="409"/>
      <c r="EQ218" s="18"/>
      <c r="ER218" s="18"/>
      <c r="ES218" s="18"/>
      <c r="ET218" s="18" t="s">
        <v>374</v>
      </c>
      <c r="EU218" s="18"/>
      <c r="EV218" s="422" t="n">
        <f>(EV$197&lt;=Timing_Reversion_Month)*(EV214+EV215+EV200-EV216-EV217)</f>
        <v>82683053.2599155</v>
      </c>
      <c r="EW218" s="422" t="n">
        <f t="shared" ref="EW218:GA218" si="1025">(EW$197&lt;=Timing_Reversion_Month)*(EW214+EW215+EW200-EW216-EW217)</f>
        <v>83074364.67117113</v>
      </c>
      <c r="EX218" s="422">
        <f t="shared" si="1025"/>
        <v>83727039.032614693</v>
      </c>
      <c r="EY218" s="422">
        <f t="shared" si="1025"/>
        <v>84753872.912685573</v>
      </c>
      <c r="EZ218" s="422">
        <f t="shared" si="1025"/>
        <v>86300255.195600778</v>
      </c>
      <c r="FA218" s="422">
        <f t="shared" si="1025"/>
        <v>88654724.537796766</v>
      </c>
      <c r="FB218" s="422">
        <f t="shared" si="1025"/>
        <v>91258364.835221991</v>
      </c>
      <c r="FC218" s="422">
        <f t="shared" si="1025"/>
        <v>95009219.966617897</v>
      </c>
      <c r="FD218" s="422">
        <f t="shared" si="1025"/>
        <v>100162631.27930506</v>
      </c>
      <c r="FE218" s="422">
        <f t="shared" si="1025"/>
        <v>106971872.87115923</v>
      </c>
      <c r="FF218" s="422">
        <f t="shared" si="1025"/>
        <v>115665541.09117325</v>
      </c>
      <c r="FG218" s="422">
        <f t="shared" si="1025"/>
        <v>126421558.98417556</v>
      </c>
      <c r="FH218" s="422">
        <f t="shared" si="1025"/>
        <v>139340646.60221702</v>
      </c>
      <c r="FI218" s="422">
        <f t="shared" si="1025"/>
        <v>154422894.26370385</v>
      </c>
      <c r="FJ218" s="422">
        <f t="shared" si="1025"/>
        <v>171551324.40917239</v>
      </c>
      <c r="FK218" s="422">
        <f t="shared" si="1025"/>
        <v>190485869.515095</v>
      </c>
      <c r="FL218" s="422">
        <f t="shared" si="1025"/>
        <v>195527817.30209073</v>
      </c>
      <c r="FM218" s="422">
        <f t="shared" si="1025"/>
        <v>196572676.69825152</v>
      </c>
      <c r="FN218" s="422">
        <f t="shared" si="1025"/>
        <v>194956113.24760652</v>
      </c>
      <c r="FO218" s="422">
        <f t="shared" si="1025"/>
        <v>193565882.44104537</v>
      </c>
      <c r="FP218" s="422">
        <f t="shared" si="1025"/>
        <v>192317025.65147945</v>
      </c>
      <c r="FQ218" s="422">
        <f t="shared" si="1025"/>
        <v>190456697.58163828</v>
      </c>
      <c r="FR218" s="422">
        <f t="shared" si="1025"/>
        <v>188720018.70715028</v>
      </c>
      <c r="FS218" s="422">
        <f t="shared" si="1025"/>
        <v>187096895.21799698</v>
      </c>
      <c r="FT218" s="422">
        <f t="shared" si="1025"/>
        <v>185284854.60731021</v>
      </c>
      <c r="FU218" s="422">
        <f t="shared" si="1025"/>
        <v>183557927.8415193</v>
      </c>
      <c r="FV218" s="422">
        <f t="shared" si="1025"/>
        <v>181902232.34452811</v>
      </c>
      <c r="FW218" s="422">
        <f t="shared" si="1025"/>
        <v>180125573.60523674</v>
      </c>
      <c r="FX218" s="422">
        <f t="shared" si="1025"/>
        <v>178989146.02690071</v>
      </c>
      <c r="FY218" s="422">
        <f t="shared" si="1025"/>
        <v>179189801.73830736</v>
      </c>
      <c r="FZ218" s="422">
        <f t="shared" si="1025"/>
        <v>178380932.79903096</v>
      </c>
      <c r="GA218" s="422">
        <f t="shared" si="1025"/>
        <v>177188279.86405581</v>
      </c>
      <c r="GB218" s="422" t="n">
        <f t="shared" ref="GB218:HG218" si="1026">(GB$197&lt;=Timing_Reversion_Month)*(GB214+GB215+GB200-GB216-GB217)</f>
        <v>175704239.7337558</v>
      </c>
      <c r="GC218" s="422">
        <f t="shared" si="1026"/>
        <v>174005539.44202313</v>
      </c>
      <c r="GD218" s="422">
        <f t="shared" si="1026"/>
        <v>171912677.22900197</v>
      </c>
      <c r="GE218" s="422">
        <f t="shared" si="1026"/>
        <v>169711926.80472845</v>
      </c>
      <c r="GF218" s="422">
        <f t="shared" si="1026"/>
        <v>167425451.95157167</v>
      </c>
      <c r="GG218" s="422">
        <f t="shared" si="1026"/>
        <v>165519546.51113653</v>
      </c>
      <c r="GH218" s="422">
        <f t="shared" si="1026"/>
        <v>163607604.81757706</v>
      </c>
      <c r="GI218" s="422">
        <f t="shared" si="1026"/>
        <v>161689659.95780438</v>
      </c>
      <c r="GJ218" s="422">
        <f t="shared" si="1026"/>
        <v>159759742.22317845</v>
      </c>
      <c r="GK218" s="422">
        <f t="shared" si="1026"/>
        <v>157823833.51700762</v>
      </c>
      <c r="GL218" s="422">
        <f t="shared" si="1026"/>
        <v>155881969.40434006</v>
      </c>
      <c r="GM218" s="422">
        <f t="shared" si="1026"/>
        <v>153778270.57310605</v>
      </c>
      <c r="GN218" s="422">
        <f t="shared" si="1026"/>
        <v>151667211.11836669</v>
      </c>
      <c r="GO218" s="422">
        <f t="shared" si="1026"/>
        <v>149548815.70373291</v>
      </c>
      <c r="GP218" s="422">
        <f t="shared" si="1026"/>
        <v>147395426.53981307</v>
      </c>
      <c r="GQ218" s="422">
        <f t="shared" si="1026"/>
        <v>145234490.90396443</v>
      </c>
      <c r="GR218" s="422">
        <f t="shared" si="1026"/>
        <v>143066033.83871713</v>
      </c>
      <c r="GS218" s="422">
        <f t="shared" si="1026"/>
        <v>141016915.56073001</v>
      </c>
      <c r="GT218" s="422">
        <f t="shared" si="1026"/>
        <v>138961532.34402776</v>
      </c>
      <c r="GU218" s="422">
        <f t="shared" si="1026"/>
        <v>136899923.58230656</v>
      </c>
      <c r="GV218" s="422">
        <f t="shared" si="1026"/>
        <v>134826136.05623925</v>
      </c>
      <c r="GW218" s="422">
        <f t="shared" si="1026"/>
        <v>132746148.260746</v>
      </c>
      <c r="GX218" s="422">
        <f t="shared" si="1026"/>
        <v>130660002.44378659</v>
      </c>
      <c r="GY218" s="422">
        <f t="shared" si="1026"/>
        <v>128426624.01923202</v>
      </c>
      <c r="GZ218" s="422">
        <f t="shared" si="1026"/>
        <v>126185836.52336802</v>
      </c>
      <c r="HA218" s="422">
        <f t="shared" si="1026"/>
        <v>123937673.02550691</v>
      </c>
      <c r="HB218" s="422">
        <f t="shared" si="1026"/>
        <v>121653515.36935477</v>
      </c>
      <c r="HC218" s="422">
        <f t="shared" si="1026"/>
        <v>119361779.25734155</v>
      </c>
      <c r="HD218" s="422">
        <f t="shared" si="1026"/>
        <v>117062498.49489258</v>
      </c>
      <c r="HE218" s="422">
        <f t="shared" si="1026"/>
        <v>0</v>
      </c>
      <c r="HF218" s="422">
        <f t="shared" si="1026"/>
        <v>0</v>
      </c>
      <c r="HG218" s="422">
        <f t="shared" si="1026"/>
        <v>0</v>
      </c>
      <c r="HH218" s="422" t="n">
        <f t="shared" ref="HH218:IM218" si="1027">(HH$197&lt;=Timing_Reversion_Month)*(HH214+HH215+HH200-HH216-HH217)</f>
        <v>0</v>
      </c>
      <c r="HI218" s="422">
        <f t="shared" si="1027"/>
        <v>0</v>
      </c>
      <c r="HJ218" s="422">
        <f t="shared" si="1027"/>
        <v>0</v>
      </c>
      <c r="HK218" s="422">
        <f t="shared" si="1027"/>
        <v>0</v>
      </c>
      <c r="HL218" s="422">
        <f t="shared" si="1027"/>
        <v>0</v>
      </c>
      <c r="HM218" s="422">
        <f t="shared" si="1027"/>
        <v>0</v>
      </c>
      <c r="HN218" s="422">
        <f t="shared" si="1027"/>
        <v>0</v>
      </c>
      <c r="HO218" s="422">
        <f t="shared" si="1027"/>
        <v>0</v>
      </c>
      <c r="HP218" s="422">
        <f t="shared" si="1027"/>
        <v>0</v>
      </c>
      <c r="HQ218" s="422">
        <f t="shared" si="1027"/>
        <v>0</v>
      </c>
      <c r="HR218" s="422">
        <f t="shared" si="1027"/>
        <v>0</v>
      </c>
      <c r="HS218" s="422">
        <f t="shared" si="1027"/>
        <v>0</v>
      </c>
      <c r="HT218" s="422">
        <f t="shared" si="1027"/>
        <v>0</v>
      </c>
      <c r="HU218" s="422">
        <f t="shared" si="1027"/>
        <v>0</v>
      </c>
      <c r="HV218" s="422">
        <f t="shared" si="1027"/>
        <v>0</v>
      </c>
      <c r="HW218" s="422">
        <f t="shared" si="1027"/>
        <v>0</v>
      </c>
      <c r="HX218" s="422">
        <f t="shared" si="1027"/>
        <v>0</v>
      </c>
      <c r="HY218" s="422">
        <f t="shared" si="1027"/>
        <v>0</v>
      </c>
      <c r="HZ218" s="422">
        <f t="shared" si="1027"/>
        <v>0</v>
      </c>
      <c r="IA218" s="422">
        <f t="shared" si="1027"/>
        <v>0</v>
      </c>
      <c r="IB218" s="422">
        <f t="shared" si="1027"/>
        <v>0</v>
      </c>
      <c r="IC218" s="422">
        <f t="shared" si="1027"/>
        <v>0</v>
      </c>
      <c r="ID218" s="422">
        <f t="shared" si="1027"/>
        <v>0</v>
      </c>
      <c r="IE218" s="422">
        <f t="shared" si="1027"/>
        <v>0</v>
      </c>
      <c r="IF218" s="422">
        <f t="shared" si="1027"/>
        <v>0</v>
      </c>
      <c r="IG218" s="422">
        <f t="shared" si="1027"/>
        <v>0</v>
      </c>
      <c r="IH218" s="422">
        <f t="shared" si="1027"/>
        <v>0</v>
      </c>
      <c r="II218" s="422">
        <f t="shared" si="1027"/>
        <v>0</v>
      </c>
      <c r="IJ218" s="422">
        <f t="shared" si="1027"/>
        <v>0</v>
      </c>
      <c r="IK218" s="422">
        <f t="shared" si="1027"/>
        <v>0</v>
      </c>
      <c r="IL218" s="422">
        <f t="shared" si="1027"/>
        <v>0</v>
      </c>
      <c r="IM218" s="422">
        <f t="shared" si="1027"/>
        <v>0</v>
      </c>
      <c r="IN218" s="422" t="n">
        <f t="shared" ref="IN218:JS218" si="1028">(IN$197&lt;=Timing_Reversion_Month)*(IN214+IN215+IN200-IN216-IN217)</f>
        <v>0</v>
      </c>
      <c r="IO218" s="422">
        <f t="shared" si="1028"/>
        <v>0</v>
      </c>
      <c r="IP218" s="422">
        <f t="shared" si="1028"/>
        <v>0</v>
      </c>
      <c r="IQ218" s="422">
        <f t="shared" si="1028"/>
        <v>0</v>
      </c>
      <c r="IR218" s="422">
        <f t="shared" si="1028"/>
        <v>0</v>
      </c>
      <c r="IS218" s="422">
        <f t="shared" si="1028"/>
        <v>0</v>
      </c>
      <c r="IT218" s="422">
        <f t="shared" si="1028"/>
        <v>0</v>
      </c>
      <c r="IU218" s="422">
        <f t="shared" si="1028"/>
        <v>0</v>
      </c>
      <c r="IV218" s="422">
        <f t="shared" si="1028"/>
        <v>0</v>
      </c>
      <c r="IW218" s="422">
        <f t="shared" si="1028"/>
        <v>0</v>
      </c>
      <c r="IX218" s="422">
        <f t="shared" si="1028"/>
        <v>0</v>
      </c>
      <c r="IY218" s="422">
        <f t="shared" si="1028"/>
        <v>0</v>
      </c>
      <c r="IZ218" s="422">
        <f t="shared" si="1028"/>
        <v>0</v>
      </c>
      <c r="JA218" s="422">
        <f t="shared" si="1028"/>
        <v>0</v>
      </c>
      <c r="JB218" s="422">
        <f t="shared" si="1028"/>
        <v>0</v>
      </c>
      <c r="JC218" s="422">
        <f t="shared" si="1028"/>
        <v>0</v>
      </c>
      <c r="JD218" s="422">
        <f t="shared" si="1028"/>
        <v>0</v>
      </c>
      <c r="JE218" s="422">
        <f t="shared" si="1028"/>
        <v>0</v>
      </c>
      <c r="JF218" s="422">
        <f t="shared" si="1028"/>
        <v>0</v>
      </c>
      <c r="JG218" s="422">
        <f t="shared" si="1028"/>
        <v>0</v>
      </c>
      <c r="JH218" s="422">
        <f t="shared" si="1028"/>
        <v>0</v>
      </c>
      <c r="JI218" s="422">
        <f t="shared" si="1028"/>
        <v>0</v>
      </c>
      <c r="JJ218" s="422">
        <f t="shared" si="1028"/>
        <v>0</v>
      </c>
      <c r="JK218" s="422">
        <f t="shared" si="1028"/>
        <v>0</v>
      </c>
      <c r="JL218" s="422">
        <f t="shared" si="1028"/>
        <v>0</v>
      </c>
      <c r="JM218" s="422">
        <f t="shared" si="1028"/>
        <v>0</v>
      </c>
      <c r="JN218" s="422">
        <f t="shared" si="1028"/>
        <v>0</v>
      </c>
      <c r="JO218" s="422">
        <f t="shared" si="1028"/>
        <v>0</v>
      </c>
      <c r="JP218" s="422">
        <f t="shared" si="1028"/>
        <v>0</v>
      </c>
      <c r="JQ218" s="422">
        <f t="shared" si="1028"/>
        <v>0</v>
      </c>
      <c r="JR218" s="422">
        <f t="shared" si="1028"/>
        <v>0</v>
      </c>
      <c r="JS218" s="422">
        <f t="shared" si="1028"/>
        <v>0</v>
      </c>
      <c r="JT218" s="422" t="n">
        <f t="shared" ref="JT218:JX218" si="1029">(JT$197&lt;=Timing_Reversion_Month)*(JT214+JT215+JT200-JT216-JT217)</f>
        <v>0</v>
      </c>
      <c r="JU218" s="422">
        <f t="shared" si="1029"/>
        <v>0</v>
      </c>
      <c r="JV218" s="422">
        <f t="shared" si="1029"/>
        <v>0</v>
      </c>
      <c r="JW218" s="422">
        <f t="shared" si="1029"/>
        <v>0</v>
      </c>
      <c r="JX218" s="422">
        <f t="shared" si="1029"/>
        <v>0</v>
      </c>
      <c r="JZ218" s="263"/>
      <c r="KA218" s="263"/>
      <c r="KB218" s="263"/>
      <c r="KC218" s="263"/>
      <c r="KD218" s="263"/>
      <c r="KE218" s="263"/>
      <c r="KF218" s="263"/>
      <c r="KG218" s="263"/>
      <c r="KH218" s="263"/>
      <c r="KI218" s="263"/>
      <c r="KJ218" s="263"/>
      <c r="KK218" s="263"/>
      <c r="KL218" s="263"/>
      <c r="KM218" s="263"/>
      <c r="KN218" s="263"/>
      <c r="KO218" s="263"/>
      <c r="KP218" s="263"/>
      <c r="KQ218" s="263"/>
      <c r="KR218" s="263"/>
      <c r="KS218" s="263"/>
      <c r="KT218" s="263"/>
      <c r="KU218" s="263"/>
      <c r="KV218" s="263"/>
      <c r="KW218" s="263"/>
      <c r="KX218" s="263"/>
      <c r="KY218" s="263"/>
      <c r="KZ218" s="263"/>
      <c r="LA218" s="263"/>
      <c r="LB218" s="263"/>
      <c r="LC218" s="263"/>
      <c r="LD218" s="263"/>
      <c r="LE218" s="263"/>
      <c r="LF218" s="263"/>
      <c r="LG218" s="263"/>
      <c r="LH218" s="263"/>
      <c r="LI218" s="263"/>
      <c r="LJ218" s="263"/>
      <c r="LK218" s="263"/>
      <c r="LL218" s="263"/>
      <c r="LM218" s="263"/>
      <c r="LN218" s="263"/>
      <c r="LO218" s="263"/>
      <c r="LP218" s="263"/>
      <c r="LQ218" s="263"/>
      <c r="LR218" s="263"/>
      <c r="LS218" s="263"/>
      <c r="LT218" s="263"/>
      <c r="LU218" s="263"/>
      <c r="LV218" s="263"/>
      <c r="LW218" s="263"/>
      <c r="LX218" s="263"/>
      <c r="LY218" s="263"/>
      <c r="LZ218" s="263"/>
      <c r="MA218" s="263"/>
      <c r="MB218" s="263"/>
      <c r="MC218" s="263"/>
      <c r="MD218" s="263"/>
      <c r="ME218" s="263"/>
      <c r="MF218" s="263"/>
      <c r="MG218" s="263"/>
      <c r="MH218" s="263"/>
      <c r="MI218" s="263"/>
      <c r="MJ218" s="263"/>
      <c r="MK218" s="263"/>
      <c r="ML218" s="263"/>
      <c r="MM218" s="263"/>
      <c r="MN218" s="263"/>
      <c r="MO218" s="263"/>
      <c r="MP218" s="263"/>
      <c r="MQ218" s="263"/>
      <c r="MR218" s="263"/>
      <c r="MS218" s="263"/>
      <c r="MT218" s="263"/>
      <c r="MU218" s="263"/>
      <c r="MV218" s="263"/>
      <c r="MW218" s="263"/>
      <c r="MX218" s="263"/>
      <c r="MY218" s="263"/>
      <c r="MZ218" s="263"/>
      <c r="NA218" s="263"/>
      <c r="NB218" s="263"/>
      <c r="NC218" s="263"/>
      <c r="ND218" s="263"/>
      <c r="NE218" s="263"/>
      <c r="NF218" s="263"/>
      <c r="NG218" s="263"/>
      <c r="NH218" s="263"/>
      <c r="NI218" s="263"/>
      <c r="NJ218" s="263"/>
      <c r="NK218" s="263"/>
      <c r="NL218" s="263"/>
      <c r="NM218" s="263"/>
      <c r="NN218" s="263"/>
      <c r="NO218" s="263"/>
      <c r="NP218" s="263"/>
      <c r="NQ218" s="263"/>
      <c r="NR218" s="263"/>
      <c r="NS218" s="263"/>
      <c r="NT218" s="263"/>
      <c r="NU218" s="263"/>
      <c r="NV218" s="263"/>
      <c r="NW218" s="263"/>
      <c r="NX218" s="263"/>
      <c r="NY218" s="263"/>
      <c r="NZ218" s="263"/>
      <c r="OA218" s="263"/>
      <c r="OB218" s="263"/>
      <c r="OC218" s="263"/>
      <c r="OD218" s="263"/>
      <c r="OE218" s="263"/>
      <c r="OF218" s="263"/>
      <c r="OG218" s="263"/>
      <c r="OH218" s="263"/>
      <c r="OI218" s="263"/>
      <c r="OJ218" s="263"/>
      <c r="OK218" s="263"/>
      <c r="OL218" s="263"/>
      <c r="OM218" s="263"/>
      <c r="ON218" s="263"/>
      <c r="OO218" s="263"/>
      <c r="OP218" s="263"/>
      <c r="OQ218" s="263"/>
      <c r="OR218" s="263"/>
      <c r="OS218" s="263"/>
      <c r="OT218" s="263"/>
      <c r="OU218" s="263"/>
      <c r="OV218" s="263"/>
      <c r="OW218" s="263"/>
      <c r="OX218" s="263"/>
      <c r="OY218" s="263"/>
      <c r="OZ218" s="263"/>
      <c r="PA218" s="263"/>
      <c r="PB218" s="263"/>
      <c r="PC218" s="263"/>
      <c r="PD218" s="263"/>
      <c r="PE218" s="263"/>
      <c r="PF218" s="263"/>
      <c r="PG218" s="263"/>
      <c r="PH218" s="263"/>
    </row>
    <row r="219">
      <c r="B219" s="34"/>
      <c r="C219" s="404"/>
      <c r="D219" s="404"/>
      <c r="E219" s="404"/>
      <c r="F219" s="404"/>
      <c r="G219" s="404"/>
      <c r="H219" s="404"/>
      <c r="I219" s="404"/>
      <c r="L219" s="197"/>
      <c r="M219" s="197"/>
      <c r="N219" s="197"/>
      <c r="O219" s="197"/>
      <c r="P219" s="197"/>
      <c r="Q219" s="197"/>
      <c r="R219" s="197"/>
      <c r="S219" s="197"/>
      <c r="T219" s="197"/>
      <c r="U219" s="197"/>
      <c r="V219" s="197"/>
      <c r="W219" s="197"/>
      <c r="X219" s="197"/>
      <c r="Y219" s="197"/>
      <c r="Z219" s="197"/>
      <c r="AA219" s="197"/>
      <c r="AB219" s="197"/>
      <c r="AC219" s="197"/>
      <c r="AD219" s="197"/>
      <c r="AE219" s="197"/>
      <c r="AF219" s="197"/>
      <c r="AG219" s="197"/>
      <c r="AH219" s="197"/>
      <c r="AI219" s="197"/>
      <c r="AJ219" s="197"/>
      <c r="AK219" s="197"/>
      <c r="AL219" s="197"/>
      <c r="AM219" s="197"/>
      <c r="AN219" s="197"/>
      <c r="AO219" s="197"/>
      <c r="AP219" s="197"/>
      <c r="AQ219" s="197"/>
      <c r="AR219" s="197"/>
      <c r="AS219" s="197"/>
      <c r="AT219" s="197"/>
      <c r="AU219" s="197"/>
      <c r="AV219" s="197"/>
      <c r="AW219" s="197"/>
      <c r="AX219" s="197"/>
      <c r="AY219" s="197"/>
      <c r="AZ219" s="197"/>
      <c r="BA219" s="197"/>
      <c r="BB219" s="197"/>
      <c r="BC219" s="197"/>
      <c r="BD219" s="197"/>
      <c r="BE219" s="197"/>
      <c r="BF219" s="197"/>
      <c r="BG219" s="197"/>
      <c r="BH219" s="197"/>
      <c r="BI219" s="197"/>
      <c r="BJ219" s="197"/>
      <c r="BK219" s="197"/>
      <c r="BL219" s="197"/>
      <c r="BM219" s="197"/>
      <c r="BN219" s="197"/>
      <c r="BO219" s="197"/>
      <c r="BP219" s="197"/>
      <c r="BQ219" s="197"/>
      <c r="BR219" s="197"/>
      <c r="BS219" s="197"/>
      <c r="BT219" s="197"/>
      <c r="BU219" s="197"/>
      <c r="BV219" s="197"/>
      <c r="BW219" s="197"/>
      <c r="BX219" s="197"/>
      <c r="BY219" s="197"/>
      <c r="BZ219" s="197"/>
      <c r="CA219" s="197"/>
      <c r="CB219" s="197"/>
      <c r="CC219" s="197"/>
      <c r="CD219" s="197"/>
      <c r="CE219" s="197"/>
      <c r="CF219" s="197"/>
      <c r="CG219" s="197"/>
      <c r="CH219" s="197"/>
      <c r="CI219" s="197"/>
      <c r="CJ219" s="197"/>
      <c r="CK219" s="197"/>
      <c r="CL219" s="197"/>
      <c r="CM219" s="197"/>
      <c r="CN219" s="197"/>
      <c r="CO219" s="197"/>
      <c r="CP219" s="197"/>
      <c r="CQ219" s="197"/>
      <c r="CR219" s="197"/>
      <c r="CS219" s="197"/>
      <c r="CT219" s="197"/>
      <c r="CU219" s="197"/>
      <c r="CV219" s="197"/>
      <c r="CW219" s="197"/>
      <c r="CX219" s="197"/>
      <c r="CY219" s="197"/>
      <c r="CZ219" s="197"/>
      <c r="DA219" s="197"/>
      <c r="DB219" s="197"/>
      <c r="DC219" s="197"/>
      <c r="DD219" s="197"/>
      <c r="DE219" s="197"/>
      <c r="DF219" s="197"/>
      <c r="DG219" s="197"/>
      <c r="DH219" s="197"/>
      <c r="DI219" s="197"/>
      <c r="DJ219" s="197"/>
      <c r="DK219" s="197"/>
      <c r="DL219" s="197"/>
      <c r="DM219" s="197"/>
      <c r="DN219" s="197"/>
      <c r="DO219" s="197"/>
      <c r="DP219" s="197"/>
      <c r="DQ219" s="197"/>
      <c r="DR219" s="197"/>
      <c r="DS219" s="197"/>
      <c r="DT219" s="197"/>
      <c r="DU219" s="197"/>
      <c r="DV219" s="197"/>
      <c r="DW219" s="197"/>
      <c r="DX219" s="197"/>
      <c r="DY219" s="197"/>
      <c r="DZ219" s="197"/>
      <c r="EA219" s="197"/>
      <c r="EB219" s="197"/>
      <c r="EC219" s="197"/>
      <c r="ED219" s="197"/>
      <c r="EE219" s="197"/>
      <c r="EF219" s="197"/>
      <c r="EG219" s="197"/>
      <c r="EH219" s="197"/>
      <c r="EI219" s="197"/>
      <c r="EJ219" s="197"/>
      <c r="EK219" s="197"/>
      <c r="EL219" s="197"/>
      <c r="EM219" s="197"/>
      <c r="EN219" s="197"/>
      <c r="EP219" s="409"/>
      <c r="EQ219" s="18"/>
      <c r="ER219" s="18"/>
      <c r="ES219" s="18" t="s">
        <v>376</v>
      </c>
      <c r="ET219" s="308" t="n">
        <f>XIRR($EV219:INDEX($EV219:$PH219,1,Timing_Reversion_Month+1),$EV$24:INDEX($EV$24:$PH$24,1,Timing_Reversion_Month+1))</f>
        <v>0.11986783653210388</v>
      </c>
      <c r="EU219" s="18"/>
      <c r="EV219" s="422" t="n">
        <f>+-EV200+EV216+EV217</f>
        <v>-82683053.2599155</v>
      </c>
      <c r="EW219" s="422" t="n">
        <f t="shared" ref="EW219:GA219" si="1030">+-EW200+EW216+EW217</f>
        <v>393250.9603268034</v>
      </c>
      <c r="EX219" s="422">
        <f t="shared" si="1030"/>
        <v>135601.08309322695</v>
      </c>
      <c r="EY219" s="422">
        <f t="shared" si="1030"/>
        <v>-232365.34366464696</v>
      </c>
      <c r="EZ219" s="422">
        <f t="shared" si="1030"/>
        <v>-742170.33244276396</v>
      </c>
      <c r="FA219" s="422">
        <f t="shared" si="1030"/>
        <v>-1535584.0904432603</v>
      </c>
      <c r="FB219" s="422">
        <f t="shared" si="1030"/>
        <v>-1762413.9736135693</v>
      </c>
      <c r="FC219" s="422">
        <f t="shared" si="1030"/>
        <v>-2884923.403925844</v>
      </c>
      <c r="FD219" s="422">
        <f t="shared" si="1030"/>
        <v>-4251888.4975476647</v>
      </c>
      <c r="FE219" s="422">
        <f t="shared" si="1030"/>
        <v>-5858819.1238618502</v>
      </c>
      <c r="FF219" s="422">
        <f t="shared" si="1030"/>
        <v>-7678634.2685150485</v>
      </c>
      <c r="FG219" s="422">
        <f t="shared" si="1030"/>
        <v>-9658491.5239216667</v>
      </c>
      <c r="FH219" s="422">
        <f t="shared" si="1030"/>
        <v>-11719499.622373434</v>
      </c>
      <c r="FI219" s="422">
        <f t="shared" si="1030"/>
        <v>-13760073.118507486</v>
      </c>
      <c r="FJ219" s="422">
        <f t="shared" si="1030"/>
        <v>-15663143.277441243</v>
      </c>
      <c r="FK219" s="422">
        <f t="shared" si="1030"/>
        <v>-17306730.110950492</v>
      </c>
      <c r="FL219" s="422">
        <f t="shared" si="1030"/>
        <v>-3234466.8142030039</v>
      </c>
      <c r="FM219" s="422">
        <f t="shared" si="1030"/>
        <v>810463.57516973012</v>
      </c>
      <c r="FN219" s="422">
        <f t="shared" si="1030"/>
        <v>3481800.8764314256</v>
      </c>
      <c r="FO219" s="422">
        <f t="shared" si="1030"/>
        <v>3240128.9964987887</v>
      </c>
      <c r="FP219" s="422">
        <f t="shared" si="1030"/>
        <v>3085563.367248842</v>
      </c>
      <c r="FQ219" s="422">
        <f t="shared" si="1030"/>
        <v>3685184.504042963</v>
      </c>
      <c r="FR219" s="422">
        <f t="shared" si="1030"/>
        <v>3543883.0408446738</v>
      </c>
      <c r="FS219" s="422">
        <f t="shared" si="1030"/>
        <v>3413848.6692760913</v>
      </c>
      <c r="FT219" s="422">
        <f t="shared" si="1030"/>
        <v>3587364.3081137375</v>
      </c>
      <c r="FU219" s="422">
        <f t="shared" si="1030"/>
        <v>3485056.3850739766</v>
      </c>
      <c r="FV219" s="422">
        <f t="shared" si="1030"/>
        <v>3397438.6657805149</v>
      </c>
      <c r="FW219" s="422">
        <f t="shared" si="1030"/>
        <v>3502691.3563470333</v>
      </c>
      <c r="FX219" s="422">
        <f t="shared" si="1030"/>
        <v>2845601.8484991258</v>
      </c>
      <c r="FY219" s="422">
        <f t="shared" si="1030"/>
        <v>1497735.2327804544</v>
      </c>
      <c r="FZ219" s="422">
        <f t="shared" si="1030"/>
        <v>2509163.8639601702</v>
      </c>
      <c r="GA219" s="422">
        <f t="shared" si="1030"/>
        <v>2885272.669782937</v>
      </c>
      <c r="GB219" s="422" t="n">
        <f t="shared" ref="GB219:HG219" si="1031">+-GB200+GB216+GB217</f>
        <v>3165343.028364981</v>
      </c>
      <c r="GC219" s="422">
        <f t="shared" si="1031"/>
        <v>3365921.4402946201</v>
      </c>
      <c r="GD219" s="422">
        <f t="shared" si="1031"/>
        <v>3743964.7462569405</v>
      </c>
      <c r="GE219" s="422">
        <f t="shared" si="1031"/>
        <v>3831994.2213293347</v>
      </c>
      <c r="GF219" s="422">
        <f t="shared" si="1031"/>
        <v>3896836.1851359545</v>
      </c>
      <c r="GG219" s="422">
        <f t="shared" si="1031"/>
        <v>3494570.8859825786</v>
      </c>
      <c r="GH219" s="422">
        <f t="shared" si="1031"/>
        <v>3482522.3970297342</v>
      </c>
      <c r="GI219" s="422">
        <f t="shared" si="1031"/>
        <v>3470383.544409744</v>
      </c>
      <c r="GJ219" s="422">
        <f t="shared" si="1031"/>
        <v>3464157.4376286799</v>
      </c>
      <c r="GK219" s="422">
        <f t="shared" si="1031"/>
        <v>3451835.8194089294</v>
      </c>
      <c r="GL219" s="422">
        <f t="shared" si="1031"/>
        <v>3439421.7890525316</v>
      </c>
      <c r="GM219" s="422">
        <f t="shared" si="1031"/>
        <v>3582830.5611468046</v>
      </c>
      <c r="GN219" s="422">
        <f t="shared" si="1031"/>
        <v>3570229.6220458527</v>
      </c>
      <c r="GO219" s="422">
        <f t="shared" si="1031"/>
        <v>3557534.1759016444</v>
      </c>
      <c r="GP219" s="422">
        <f t="shared" si="1031"/>
        <v>3572426.9097446869</v>
      </c>
      <c r="GQ219" s="422">
        <f t="shared" si="1031"/>
        <v>3559540.3177894698</v>
      </c>
      <c r="GR219" s="422">
        <f t="shared" si="1031"/>
        <v>3546557.0763945873</v>
      </c>
      <c r="GS219" s="422">
        <f t="shared" si="1031"/>
        <v>3406642.2490547462</v>
      </c>
      <c r="GT219" s="422">
        <f t="shared" si="1031"/>
        <v>3393463.5287316125</v>
      </c>
      <c r="GU219" s="422">
        <f t="shared" si="1031"/>
        <v>3380185.9680060558</v>
      </c>
      <c r="GV219" s="422">
        <f t="shared" si="1031"/>
        <v>3372802.5537000573</v>
      </c>
      <c r="GW219" s="422">
        <f t="shared" si="1031"/>
        <v>3359325.0827008258</v>
      </c>
      <c r="GX219" s="422">
        <f t="shared" si="1031"/>
        <v>3345746.5306691006</v>
      </c>
      <c r="GY219" s="422">
        <f t="shared" si="1031"/>
        <v>3473184.1325757857</v>
      </c>
      <c r="GZ219" s="422">
        <f t="shared" si="1031"/>
        <v>3459401.1384700327</v>
      </c>
      <c r="HA219" s="422">
        <f t="shared" si="1031"/>
        <v>3445514.7719084867</v>
      </c>
      <c r="HB219" s="422">
        <f t="shared" si="1031"/>
        <v>3460176.5722852284</v>
      </c>
      <c r="HC219" s="422">
        <f t="shared" si="1031"/>
        <v>3446081.1291171401</v>
      </c>
      <c r="HD219" s="422">
        <f t="shared" si="1031"/>
        <v>3431879.970125291</v>
      </c>
      <c r="HE219" s="422">
        <f t="shared" si="1031"/>
        <v>118173280.30351555</v>
      </c>
      <c r="HF219" s="422">
        <f t="shared" si="1031"/>
        <v>0</v>
      </c>
      <c r="HG219" s="422">
        <f t="shared" si="1031"/>
        <v>0</v>
      </c>
      <c r="HH219" s="422" t="n">
        <f t="shared" ref="HH219:IM219" si="1032">+-HH200+HH216+HH217</f>
        <v>0</v>
      </c>
      <c r="HI219" s="422">
        <f t="shared" si="1032"/>
        <v>0</v>
      </c>
      <c r="HJ219" s="422">
        <f t="shared" si="1032"/>
        <v>0</v>
      </c>
      <c r="HK219" s="422">
        <f t="shared" si="1032"/>
        <v>0</v>
      </c>
      <c r="HL219" s="422">
        <f t="shared" si="1032"/>
        <v>0</v>
      </c>
      <c r="HM219" s="422">
        <f t="shared" si="1032"/>
        <v>0</v>
      </c>
      <c r="HN219" s="422">
        <f t="shared" si="1032"/>
        <v>0</v>
      </c>
      <c r="HO219" s="422">
        <f t="shared" si="1032"/>
        <v>0</v>
      </c>
      <c r="HP219" s="422">
        <f t="shared" si="1032"/>
        <v>0</v>
      </c>
      <c r="HQ219" s="422">
        <f t="shared" si="1032"/>
        <v>0</v>
      </c>
      <c r="HR219" s="422">
        <f t="shared" si="1032"/>
        <v>0</v>
      </c>
      <c r="HS219" s="422">
        <f t="shared" si="1032"/>
        <v>0</v>
      </c>
      <c r="HT219" s="422">
        <f t="shared" si="1032"/>
        <v>0</v>
      </c>
      <c r="HU219" s="422">
        <f t="shared" si="1032"/>
        <v>0</v>
      </c>
      <c r="HV219" s="422">
        <f t="shared" si="1032"/>
        <v>0</v>
      </c>
      <c r="HW219" s="422">
        <f t="shared" si="1032"/>
        <v>0</v>
      </c>
      <c r="HX219" s="422">
        <f t="shared" si="1032"/>
        <v>0</v>
      </c>
      <c r="HY219" s="422">
        <f t="shared" si="1032"/>
        <v>0</v>
      </c>
      <c r="HZ219" s="422">
        <f t="shared" si="1032"/>
        <v>0</v>
      </c>
      <c r="IA219" s="422">
        <f t="shared" si="1032"/>
        <v>0</v>
      </c>
      <c r="IB219" s="422">
        <f t="shared" si="1032"/>
        <v>0</v>
      </c>
      <c r="IC219" s="422">
        <f t="shared" si="1032"/>
        <v>0</v>
      </c>
      <c r="ID219" s="422">
        <f t="shared" si="1032"/>
        <v>0</v>
      </c>
      <c r="IE219" s="422">
        <f t="shared" si="1032"/>
        <v>0</v>
      </c>
      <c r="IF219" s="422">
        <f t="shared" si="1032"/>
        <v>0</v>
      </c>
      <c r="IG219" s="422">
        <f t="shared" si="1032"/>
        <v>0</v>
      </c>
      <c r="IH219" s="422">
        <f t="shared" si="1032"/>
        <v>0</v>
      </c>
      <c r="II219" s="422">
        <f t="shared" si="1032"/>
        <v>0</v>
      </c>
      <c r="IJ219" s="422">
        <f t="shared" si="1032"/>
        <v>0</v>
      </c>
      <c r="IK219" s="422">
        <f t="shared" si="1032"/>
        <v>0</v>
      </c>
      <c r="IL219" s="422">
        <f t="shared" si="1032"/>
        <v>0</v>
      </c>
      <c r="IM219" s="422">
        <f t="shared" si="1032"/>
        <v>0</v>
      </c>
      <c r="IN219" s="422" t="n">
        <f t="shared" ref="IN219:JX219" si="1033">+-IN200+IN216+IN217</f>
        <v>0</v>
      </c>
      <c r="IO219" s="422">
        <f t="shared" si="1033"/>
        <v>0</v>
      </c>
      <c r="IP219" s="422">
        <f t="shared" si="1033"/>
        <v>0</v>
      </c>
      <c r="IQ219" s="422">
        <f t="shared" si="1033"/>
        <v>0</v>
      </c>
      <c r="IR219" s="422">
        <f t="shared" si="1033"/>
        <v>0</v>
      </c>
      <c r="IS219" s="422">
        <f t="shared" si="1033"/>
        <v>0</v>
      </c>
      <c r="IT219" s="422">
        <f t="shared" si="1033"/>
        <v>0</v>
      </c>
      <c r="IU219" s="422">
        <f t="shared" si="1033"/>
        <v>0</v>
      </c>
      <c r="IV219" s="422">
        <f t="shared" si="1033"/>
        <v>0</v>
      </c>
      <c r="IW219" s="422">
        <f t="shared" si="1033"/>
        <v>0</v>
      </c>
      <c r="IX219" s="422">
        <f t="shared" si="1033"/>
        <v>0</v>
      </c>
      <c r="IY219" s="422">
        <f t="shared" si="1033"/>
        <v>0</v>
      </c>
      <c r="IZ219" s="422">
        <f t="shared" si="1033"/>
        <v>0</v>
      </c>
      <c r="JA219" s="422">
        <f t="shared" si="1033"/>
        <v>0</v>
      </c>
      <c r="JB219" s="422">
        <f t="shared" si="1033"/>
        <v>0</v>
      </c>
      <c r="JC219" s="422">
        <f t="shared" si="1033"/>
        <v>0</v>
      </c>
      <c r="JD219" s="422">
        <f t="shared" si="1033"/>
        <v>0</v>
      </c>
      <c r="JE219" s="422">
        <f t="shared" si="1033"/>
        <v>0</v>
      </c>
      <c r="JF219" s="422">
        <f t="shared" si="1033"/>
        <v>0</v>
      </c>
      <c r="JG219" s="422">
        <f t="shared" si="1033"/>
        <v>0</v>
      </c>
      <c r="JH219" s="422">
        <f t="shared" si="1033"/>
        <v>0</v>
      </c>
      <c r="JI219" s="422">
        <f t="shared" si="1033"/>
        <v>0</v>
      </c>
      <c r="JJ219" s="422">
        <f t="shared" si="1033"/>
        <v>0</v>
      </c>
      <c r="JK219" s="422">
        <f t="shared" si="1033"/>
        <v>0</v>
      </c>
      <c r="JL219" s="422">
        <f t="shared" si="1033"/>
        <v>0</v>
      </c>
      <c r="JM219" s="422">
        <f t="shared" si="1033"/>
        <v>0</v>
      </c>
      <c r="JN219" s="422">
        <f t="shared" si="1033"/>
        <v>0</v>
      </c>
      <c r="JO219" s="422">
        <f t="shared" si="1033"/>
        <v>0</v>
      </c>
      <c r="JP219" s="422">
        <f t="shared" si="1033"/>
        <v>0</v>
      </c>
      <c r="JQ219" s="422">
        <f t="shared" si="1033"/>
        <v>0</v>
      </c>
      <c r="JR219" s="422">
        <f t="shared" si="1033"/>
        <v>0</v>
      </c>
      <c r="JS219" s="422">
        <f t="shared" si="1033"/>
        <v>0</v>
      </c>
      <c r="JT219" s="422">
        <f t="shared" si="1033"/>
        <v>0</v>
      </c>
      <c r="JU219" s="422">
        <f t="shared" si="1033"/>
        <v>0</v>
      </c>
      <c r="JV219" s="422">
        <f t="shared" si="1033"/>
        <v>0</v>
      </c>
      <c r="JW219" s="422">
        <f t="shared" si="1033"/>
        <v>0</v>
      </c>
      <c r="JX219" s="422">
        <f t="shared" si="1033"/>
        <v>0</v>
      </c>
      <c r="JZ219" s="263"/>
      <c r="KA219" s="263"/>
      <c r="KB219" s="263"/>
      <c r="KC219" s="263"/>
      <c r="KD219" s="263"/>
      <c r="KE219" s="263"/>
      <c r="KF219" s="263"/>
      <c r="KG219" s="263"/>
      <c r="KH219" s="263"/>
      <c r="KI219" s="263"/>
      <c r="KJ219" s="263"/>
      <c r="KK219" s="263"/>
      <c r="KL219" s="263"/>
      <c r="KM219" s="263"/>
      <c r="KN219" s="263"/>
      <c r="KO219" s="263"/>
      <c r="KP219" s="263"/>
      <c r="KQ219" s="263"/>
      <c r="KR219" s="263"/>
      <c r="KS219" s="263"/>
      <c r="KT219" s="263"/>
      <c r="KU219" s="263"/>
      <c r="KV219" s="263"/>
      <c r="KW219" s="263"/>
      <c r="KX219" s="263"/>
      <c r="KY219" s="263"/>
      <c r="KZ219" s="263"/>
      <c r="LA219" s="263"/>
      <c r="LB219" s="263"/>
      <c r="LC219" s="263"/>
      <c r="LD219" s="263"/>
      <c r="LE219" s="263"/>
      <c r="LF219" s="263"/>
      <c r="LG219" s="263"/>
      <c r="LH219" s="263"/>
      <c r="LI219" s="263"/>
      <c r="LJ219" s="263"/>
      <c r="LK219" s="263"/>
      <c r="LL219" s="263"/>
      <c r="LM219" s="263"/>
      <c r="LN219" s="263"/>
      <c r="LO219" s="263"/>
      <c r="LP219" s="263"/>
      <c r="LQ219" s="263"/>
      <c r="LR219" s="263"/>
      <c r="LS219" s="263"/>
      <c r="LT219" s="263"/>
      <c r="LU219" s="263"/>
      <c r="LV219" s="263"/>
      <c r="LW219" s="263"/>
      <c r="LX219" s="263"/>
      <c r="LY219" s="263"/>
      <c r="LZ219" s="263"/>
      <c r="MA219" s="263"/>
      <c r="MB219" s="263"/>
      <c r="MC219" s="263"/>
      <c r="MD219" s="263"/>
      <c r="ME219" s="263"/>
      <c r="MF219" s="263"/>
      <c r="MG219" s="263"/>
      <c r="MH219" s="263"/>
      <c r="MI219" s="263"/>
      <c r="MJ219" s="263"/>
      <c r="MK219" s="263"/>
      <c r="ML219" s="263"/>
      <c r="MM219" s="263"/>
      <c r="MN219" s="263"/>
      <c r="MO219" s="263"/>
      <c r="MP219" s="263"/>
      <c r="MQ219" s="263"/>
      <c r="MR219" s="263"/>
      <c r="MS219" s="263"/>
      <c r="MT219" s="263"/>
      <c r="MU219" s="263"/>
      <c r="MV219" s="263"/>
      <c r="MW219" s="263"/>
      <c r="MX219" s="263"/>
      <c r="MY219" s="263"/>
      <c r="MZ219" s="263"/>
      <c r="NA219" s="263"/>
      <c r="NB219" s="263"/>
      <c r="NC219" s="263"/>
      <c r="ND219" s="263"/>
      <c r="NE219" s="263"/>
      <c r="NF219" s="263"/>
      <c r="NG219" s="263"/>
      <c r="NH219" s="263"/>
      <c r="NI219" s="263"/>
      <c r="NJ219" s="263"/>
      <c r="NK219" s="263"/>
      <c r="NL219" s="263"/>
      <c r="NM219" s="263"/>
      <c r="NN219" s="263"/>
      <c r="NO219" s="263"/>
      <c r="NP219" s="263"/>
      <c r="NQ219" s="263"/>
      <c r="NR219" s="263"/>
      <c r="NS219" s="263"/>
      <c r="NT219" s="263"/>
      <c r="NU219" s="263"/>
      <c r="NV219" s="263"/>
      <c r="NW219" s="263"/>
      <c r="NX219" s="263"/>
      <c r="NY219" s="263"/>
      <c r="NZ219" s="263"/>
      <c r="OA219" s="263"/>
      <c r="OB219" s="263"/>
      <c r="OC219" s="263"/>
      <c r="OD219" s="263"/>
      <c r="OE219" s="263"/>
      <c r="OF219" s="263"/>
      <c r="OG219" s="263"/>
      <c r="OH219" s="263"/>
      <c r="OI219" s="263"/>
      <c r="OJ219" s="263"/>
      <c r="OK219" s="263"/>
      <c r="OL219" s="263"/>
      <c r="OM219" s="263"/>
      <c r="ON219" s="263"/>
      <c r="OO219" s="263"/>
      <c r="OP219" s="263"/>
      <c r="OQ219" s="263"/>
      <c r="OR219" s="263"/>
      <c r="OS219" s="263"/>
      <c r="OT219" s="263"/>
      <c r="OU219" s="263"/>
      <c r="OV219" s="263"/>
      <c r="OW219" s="263"/>
      <c r="OX219" s="263"/>
      <c r="OY219" s="263"/>
      <c r="OZ219" s="263"/>
      <c r="PA219" s="263"/>
      <c r="PB219" s="263"/>
      <c r="PC219" s="263"/>
      <c r="PD219" s="263"/>
      <c r="PE219" s="263"/>
      <c r="PF219" s="263"/>
      <c r="PG219" s="263"/>
      <c r="PH219" s="263"/>
    </row>
    <row r="220">
      <c r="A220" s="452">
        <v>0</v>
      </c>
      <c r="B220" s="456" t="s">
        <v>400</v>
      </c>
      <c r="C220" s="457" t="s">
        <v>401</v>
      </c>
      <c r="D220" s="404"/>
      <c r="E220" s="404"/>
      <c r="F220" s="404" t="s">
        <v>402</v>
      </c>
      <c r="G220" s="473" t="s">
        <v>318</v>
      </c>
      <c r="H220" s="404" t="str">
        <f>IF(G220="No","","Dev. Fee Amount")</f>
      </c>
      <c r="I220" s="92" t="str">
        <f>IF(G220="No","",I46)</f>
      </c>
      <c r="L220" s="197"/>
      <c r="M220" s="197"/>
      <c r="N220" s="197"/>
      <c r="O220" s="197"/>
      <c r="P220" s="197"/>
      <c r="Q220" s="197"/>
      <c r="R220" s="197"/>
      <c r="S220" s="197"/>
      <c r="T220" s="197"/>
      <c r="U220" s="197"/>
      <c r="V220" s="197"/>
      <c r="W220" s="197"/>
      <c r="X220" s="197"/>
      <c r="Y220" s="197"/>
      <c r="Z220" s="197"/>
      <c r="AA220" s="197"/>
      <c r="AB220" s="197"/>
      <c r="AC220" s="197"/>
      <c r="AD220" s="197"/>
      <c r="AE220" s="197"/>
      <c r="AF220" s="197"/>
      <c r="AG220" s="197"/>
      <c r="AH220" s="197"/>
      <c r="AI220" s="197"/>
      <c r="AJ220" s="197"/>
      <c r="AK220" s="197"/>
      <c r="AL220" s="197"/>
      <c r="AM220" s="197"/>
      <c r="AN220" s="197"/>
      <c r="AO220" s="197"/>
      <c r="AP220" s="197"/>
      <c r="AQ220" s="197"/>
      <c r="AR220" s="197"/>
      <c r="AS220" s="197"/>
      <c r="AT220" s="197"/>
      <c r="AU220" s="197"/>
      <c r="AV220" s="197"/>
      <c r="AW220" s="197"/>
      <c r="AX220" s="197"/>
      <c r="AY220" s="197"/>
      <c r="AZ220" s="197"/>
      <c r="BA220" s="197"/>
      <c r="BB220" s="197"/>
      <c r="BC220" s="197"/>
      <c r="BD220" s="197"/>
      <c r="BE220" s="197"/>
      <c r="BF220" s="197"/>
      <c r="BG220" s="197"/>
      <c r="BH220" s="197"/>
      <c r="BI220" s="197"/>
      <c r="BJ220" s="197"/>
      <c r="BK220" s="197"/>
      <c r="BL220" s="197"/>
      <c r="BM220" s="197"/>
      <c r="BN220" s="197"/>
      <c r="BO220" s="197"/>
      <c r="BP220" s="197"/>
      <c r="BQ220" s="197"/>
      <c r="BR220" s="197"/>
      <c r="BS220" s="197"/>
      <c r="BT220" s="197"/>
      <c r="BU220" s="197"/>
      <c r="BV220" s="197"/>
      <c r="BW220" s="197"/>
      <c r="BX220" s="197"/>
      <c r="BY220" s="197"/>
      <c r="BZ220" s="197"/>
      <c r="CA220" s="197"/>
      <c r="CB220" s="197"/>
      <c r="CC220" s="197"/>
      <c r="CD220" s="197"/>
      <c r="CE220" s="197"/>
      <c r="CF220" s="197"/>
      <c r="CG220" s="197"/>
      <c r="CH220" s="197"/>
      <c r="CI220" s="197"/>
      <c r="CJ220" s="197"/>
      <c r="CK220" s="197"/>
      <c r="CL220" s="197"/>
      <c r="CM220" s="197"/>
      <c r="CN220" s="197"/>
      <c r="CO220" s="197"/>
      <c r="CP220" s="197"/>
      <c r="CQ220" s="197"/>
      <c r="CR220" s="197"/>
      <c r="CS220" s="197"/>
      <c r="CT220" s="197"/>
      <c r="CU220" s="197"/>
      <c r="CV220" s="197"/>
      <c r="CW220" s="197"/>
      <c r="CX220" s="197"/>
      <c r="CY220" s="197"/>
      <c r="CZ220" s="197"/>
      <c r="DA220" s="197"/>
      <c r="DB220" s="197"/>
      <c r="DC220" s="197"/>
      <c r="DD220" s="197"/>
      <c r="DE220" s="197"/>
      <c r="DF220" s="197"/>
      <c r="DG220" s="197"/>
      <c r="DH220" s="197"/>
      <c r="DI220" s="197"/>
      <c r="DJ220" s="197"/>
      <c r="DK220" s="197"/>
      <c r="DL220" s="197"/>
      <c r="DM220" s="197"/>
      <c r="DN220" s="197"/>
      <c r="DO220" s="197"/>
      <c r="DP220" s="197"/>
      <c r="DQ220" s="197"/>
      <c r="DR220" s="197"/>
      <c r="DS220" s="197"/>
      <c r="DT220" s="197"/>
      <c r="DU220" s="197"/>
      <c r="DV220" s="197"/>
      <c r="DW220" s="197"/>
      <c r="DX220" s="197"/>
      <c r="DY220" s="197"/>
      <c r="DZ220" s="197"/>
      <c r="EA220" s="197"/>
      <c r="EB220" s="197"/>
      <c r="EC220" s="197"/>
      <c r="ED220" s="197"/>
      <c r="EE220" s="197"/>
      <c r="EF220" s="197"/>
      <c r="EG220" s="197"/>
      <c r="EH220" s="197"/>
      <c r="EI220" s="197"/>
      <c r="EJ220" s="197"/>
      <c r="EK220" s="197"/>
      <c r="EL220" s="197"/>
      <c r="EM220" s="197"/>
      <c r="EN220" s="197"/>
      <c r="EP220" s="409"/>
      <c r="EQ220" s="18"/>
      <c r="ER220" s="18"/>
      <c r="ES220" s="18"/>
      <c r="ET220" s="18" t="s">
        <v>403</v>
      </c>
      <c r="EU220" s="18"/>
      <c r="EV220" s="422" t="n">
        <f t="shared" ref="EV220:GA220" si="1034">(EV$197&lt;=Timing_Reversion_Month)*IFERROR((EV217/$I$234*$H$234),0)</f>
        <v>0</v>
      </c>
      <c r="EW220" s="422">
        <f t="shared" si="1034"/>
        <v>1.1204974725842476E-11</v>
      </c>
      <c r="EX220" s="422">
        <f t="shared" si="1034"/>
        <v>0</v>
      </c>
      <c r="EY220" s="422">
        <f t="shared" si="1034"/>
        <v>0</v>
      </c>
      <c r="EZ220" s="422">
        <f t="shared" si="1034"/>
        <v>0</v>
      </c>
      <c r="FA220" s="422">
        <f t="shared" si="1034"/>
        <v>0</v>
      </c>
      <c r="FB220" s="422">
        <f t="shared" si="1034"/>
        <v>0</v>
      </c>
      <c r="FC220" s="422">
        <f t="shared" si="1034"/>
        <v>0</v>
      </c>
      <c r="FD220" s="422">
        <f t="shared" si="1034"/>
        <v>0</v>
      </c>
      <c r="FE220" s="422">
        <f t="shared" si="1034"/>
        <v>0</v>
      </c>
      <c r="FF220" s="422">
        <f t="shared" si="1034"/>
        <v>0</v>
      </c>
      <c r="FG220" s="422">
        <f t="shared" si="1034"/>
        <v>0</v>
      </c>
      <c r="FH220" s="422">
        <f t="shared" si="1034"/>
        <v>0</v>
      </c>
      <c r="FI220" s="422">
        <f t="shared" si="1034"/>
        <v>0</v>
      </c>
      <c r="FJ220" s="422">
        <f t="shared" si="1034"/>
        <v>0</v>
      </c>
      <c r="FK220" s="422">
        <f t="shared" si="1034"/>
        <v>0</v>
      </c>
      <c r="FL220" s="422">
        <f t="shared" si="1034"/>
        <v>0</v>
      </c>
      <c r="FM220" s="422">
        <f t="shared" si="1034"/>
        <v>0</v>
      </c>
      <c r="FN220" s="422">
        <f t="shared" si="1034"/>
        <v>0</v>
      </c>
      <c r="FO220" s="422">
        <f t="shared" si="1034"/>
        <v>8.9639797806739809E-11</v>
      </c>
      <c r="FP220" s="422">
        <f t="shared" si="1034"/>
        <v>0</v>
      </c>
      <c r="FQ220" s="422">
        <f t="shared" si="1034"/>
        <v>0</v>
      </c>
      <c r="FR220" s="422">
        <f t="shared" si="1034"/>
        <v>8.9639797806739809E-11</v>
      </c>
      <c r="FS220" s="422">
        <f t="shared" si="1034"/>
        <v>0</v>
      </c>
      <c r="FT220" s="422">
        <f t="shared" si="1034"/>
        <v>8.9639797806739809E-11</v>
      </c>
      <c r="FU220" s="422">
        <f t="shared" si="1034"/>
        <v>0</v>
      </c>
      <c r="FV220" s="422">
        <f t="shared" si="1034"/>
        <v>8.9639797806739809E-11</v>
      </c>
      <c r="FW220" s="422">
        <f t="shared" si="1034"/>
        <v>0</v>
      </c>
      <c r="FX220" s="422">
        <f t="shared" si="1034"/>
        <v>8.9639797806739809E-11</v>
      </c>
      <c r="FY220" s="422">
        <f t="shared" si="1034"/>
        <v>0</v>
      </c>
      <c r="FZ220" s="422">
        <f t="shared" si="1034"/>
        <v>0</v>
      </c>
      <c r="GA220" s="422">
        <f t="shared" si="1034"/>
        <v>0</v>
      </c>
      <c r="GB220" s="422" t="n">
        <f t="shared" ref="GB220:HG220" si="1035">(GB$197&lt;=Timing_Reversion_Month)*IFERROR((GB217/$I$234*$H$234),0)</f>
        <v>0</v>
      </c>
      <c r="GC220" s="422">
        <f t="shared" si="1035"/>
        <v>0</v>
      </c>
      <c r="GD220" s="422">
        <f t="shared" si="1035"/>
        <v>0</v>
      </c>
      <c r="GE220" s="422">
        <f t="shared" si="1035"/>
        <v>0</v>
      </c>
      <c r="GF220" s="422">
        <f t="shared" si="1035"/>
        <v>8.9639797806739809E-11</v>
      </c>
      <c r="GG220" s="422">
        <f t="shared" si="1035"/>
        <v>8.9639797806739809E-11</v>
      </c>
      <c r="GH220" s="422">
        <f t="shared" si="1035"/>
        <v>8.9639797806739809E-11</v>
      </c>
      <c r="GI220" s="422">
        <f t="shared" si="1035"/>
        <v>8.9639797806739809E-11</v>
      </c>
      <c r="GJ220" s="422">
        <f t="shared" si="1035"/>
        <v>0</v>
      </c>
      <c r="GK220" s="422">
        <f t="shared" si="1035"/>
        <v>0</v>
      </c>
      <c r="GL220" s="422">
        <f t="shared" si="1035"/>
        <v>0</v>
      </c>
      <c r="GM220" s="422">
        <f t="shared" si="1035"/>
        <v>0</v>
      </c>
      <c r="GN220" s="422">
        <f t="shared" si="1035"/>
        <v>0</v>
      </c>
      <c r="GO220" s="422">
        <f t="shared" si="1035"/>
        <v>8.9639797806739809E-11</v>
      </c>
      <c r="GP220" s="422">
        <f t="shared" si="1035"/>
        <v>0</v>
      </c>
      <c r="GQ220" s="422">
        <f t="shared" si="1035"/>
        <v>0</v>
      </c>
      <c r="GR220" s="422">
        <f t="shared" si="1035"/>
        <v>0</v>
      </c>
      <c r="GS220" s="422">
        <f t="shared" si="1035"/>
        <v>0</v>
      </c>
      <c r="GT220" s="422">
        <f t="shared" si="1035"/>
        <v>0</v>
      </c>
      <c r="GU220" s="422">
        <f t="shared" si="1035"/>
        <v>0</v>
      </c>
      <c r="GV220" s="422">
        <f t="shared" si="1035"/>
        <v>0</v>
      </c>
      <c r="GW220" s="422">
        <f t="shared" si="1035"/>
        <v>8.9639797806739809E-11</v>
      </c>
      <c r="GX220" s="422">
        <f t="shared" si="1035"/>
        <v>8.9639797806739809E-11</v>
      </c>
      <c r="GY220" s="422">
        <f t="shared" si="1035"/>
        <v>0</v>
      </c>
      <c r="GZ220" s="422">
        <f t="shared" si="1035"/>
        <v>0</v>
      </c>
      <c r="HA220" s="422">
        <f t="shared" si="1035"/>
        <v>0</v>
      </c>
      <c r="HB220" s="422">
        <f t="shared" si="1035"/>
        <v>0</v>
      </c>
      <c r="HC220" s="422">
        <f t="shared" si="1035"/>
        <v>0</v>
      </c>
      <c r="HD220" s="422">
        <f t="shared" si="1035"/>
        <v>8.9639797806739809E-11</v>
      </c>
      <c r="HE220" s="422">
        <f t="shared" si="1035"/>
        <v>6116710.9779205834</v>
      </c>
      <c r="HF220" s="422">
        <f t="shared" si="1035"/>
        <v>0</v>
      </c>
      <c r="HG220" s="422">
        <f t="shared" si="1035"/>
        <v>0</v>
      </c>
      <c r="HH220" s="422" t="n">
        <f t="shared" ref="HH220:IM220" si="1036">(HH$197&lt;=Timing_Reversion_Month)*IFERROR((HH217/$I$234*$H$234),0)</f>
        <v>0</v>
      </c>
      <c r="HI220" s="422">
        <f t="shared" si="1036"/>
        <v>0</v>
      </c>
      <c r="HJ220" s="422">
        <f t="shared" si="1036"/>
        <v>0</v>
      </c>
      <c r="HK220" s="422">
        <f t="shared" si="1036"/>
        <v>0</v>
      </c>
      <c r="HL220" s="422">
        <f t="shared" si="1036"/>
        <v>0</v>
      </c>
      <c r="HM220" s="422">
        <f t="shared" si="1036"/>
        <v>0</v>
      </c>
      <c r="HN220" s="422">
        <f t="shared" si="1036"/>
        <v>0</v>
      </c>
      <c r="HO220" s="422">
        <f t="shared" si="1036"/>
        <v>0</v>
      </c>
      <c r="HP220" s="422">
        <f t="shared" si="1036"/>
        <v>0</v>
      </c>
      <c r="HQ220" s="422">
        <f t="shared" si="1036"/>
        <v>0</v>
      </c>
      <c r="HR220" s="422">
        <f t="shared" si="1036"/>
        <v>0</v>
      </c>
      <c r="HS220" s="422">
        <f t="shared" si="1036"/>
        <v>0</v>
      </c>
      <c r="HT220" s="422">
        <f t="shared" si="1036"/>
        <v>0</v>
      </c>
      <c r="HU220" s="422">
        <f t="shared" si="1036"/>
        <v>0</v>
      </c>
      <c r="HV220" s="422">
        <f t="shared" si="1036"/>
        <v>0</v>
      </c>
      <c r="HW220" s="422">
        <f t="shared" si="1036"/>
        <v>0</v>
      </c>
      <c r="HX220" s="422">
        <f t="shared" si="1036"/>
        <v>0</v>
      </c>
      <c r="HY220" s="422">
        <f t="shared" si="1036"/>
        <v>0</v>
      </c>
      <c r="HZ220" s="422">
        <f t="shared" si="1036"/>
        <v>0</v>
      </c>
      <c r="IA220" s="422">
        <f t="shared" si="1036"/>
        <v>0</v>
      </c>
      <c r="IB220" s="422">
        <f t="shared" si="1036"/>
        <v>0</v>
      </c>
      <c r="IC220" s="422">
        <f t="shared" si="1036"/>
        <v>0</v>
      </c>
      <c r="ID220" s="422">
        <f t="shared" si="1036"/>
        <v>0</v>
      </c>
      <c r="IE220" s="422">
        <f t="shared" si="1036"/>
        <v>0</v>
      </c>
      <c r="IF220" s="422">
        <f t="shared" si="1036"/>
        <v>0</v>
      </c>
      <c r="IG220" s="422">
        <f t="shared" si="1036"/>
        <v>0</v>
      </c>
      <c r="IH220" s="422">
        <f t="shared" si="1036"/>
        <v>0</v>
      </c>
      <c r="II220" s="422">
        <f t="shared" si="1036"/>
        <v>0</v>
      </c>
      <c r="IJ220" s="422">
        <f t="shared" si="1036"/>
        <v>0</v>
      </c>
      <c r="IK220" s="422">
        <f t="shared" si="1036"/>
        <v>0</v>
      </c>
      <c r="IL220" s="422">
        <f t="shared" si="1036"/>
        <v>0</v>
      </c>
      <c r="IM220" s="422">
        <f t="shared" si="1036"/>
        <v>0</v>
      </c>
      <c r="IN220" s="422" t="n">
        <f t="shared" ref="IN220:JX220" si="1037">(IN$197&lt;=Timing_Reversion_Month)*IFERROR((IN217/$I$234*$H$234),0)</f>
        <v>0</v>
      </c>
      <c r="IO220" s="422">
        <f t="shared" si="1037"/>
        <v>0</v>
      </c>
      <c r="IP220" s="422">
        <f t="shared" si="1037"/>
        <v>0</v>
      </c>
      <c r="IQ220" s="422">
        <f t="shared" si="1037"/>
        <v>0</v>
      </c>
      <c r="IR220" s="422">
        <f t="shared" si="1037"/>
        <v>0</v>
      </c>
      <c r="IS220" s="422">
        <f t="shared" si="1037"/>
        <v>0</v>
      </c>
      <c r="IT220" s="422">
        <f t="shared" si="1037"/>
        <v>0</v>
      </c>
      <c r="IU220" s="422">
        <f t="shared" si="1037"/>
        <v>0</v>
      </c>
      <c r="IV220" s="422">
        <f t="shared" si="1037"/>
        <v>0</v>
      </c>
      <c r="IW220" s="422">
        <f t="shared" si="1037"/>
        <v>0</v>
      </c>
      <c r="IX220" s="422">
        <f t="shared" si="1037"/>
        <v>0</v>
      </c>
      <c r="IY220" s="422">
        <f t="shared" si="1037"/>
        <v>0</v>
      </c>
      <c r="IZ220" s="422">
        <f t="shared" si="1037"/>
        <v>0</v>
      </c>
      <c r="JA220" s="422">
        <f t="shared" si="1037"/>
        <v>0</v>
      </c>
      <c r="JB220" s="422">
        <f t="shared" si="1037"/>
        <v>0</v>
      </c>
      <c r="JC220" s="422">
        <f t="shared" si="1037"/>
        <v>0</v>
      </c>
      <c r="JD220" s="422">
        <f t="shared" si="1037"/>
        <v>0</v>
      </c>
      <c r="JE220" s="422">
        <f t="shared" si="1037"/>
        <v>0</v>
      </c>
      <c r="JF220" s="422">
        <f t="shared" si="1037"/>
        <v>0</v>
      </c>
      <c r="JG220" s="422">
        <f t="shared" si="1037"/>
        <v>0</v>
      </c>
      <c r="JH220" s="422">
        <f t="shared" si="1037"/>
        <v>0</v>
      </c>
      <c r="JI220" s="422">
        <f t="shared" si="1037"/>
        <v>0</v>
      </c>
      <c r="JJ220" s="422">
        <f t="shared" si="1037"/>
        <v>0</v>
      </c>
      <c r="JK220" s="422">
        <f t="shared" si="1037"/>
        <v>0</v>
      </c>
      <c r="JL220" s="422">
        <f t="shared" si="1037"/>
        <v>0</v>
      </c>
      <c r="JM220" s="422">
        <f t="shared" si="1037"/>
        <v>0</v>
      </c>
      <c r="JN220" s="422">
        <f t="shared" si="1037"/>
        <v>0</v>
      </c>
      <c r="JO220" s="422">
        <f t="shared" si="1037"/>
        <v>0</v>
      </c>
      <c r="JP220" s="422">
        <f t="shared" si="1037"/>
        <v>0</v>
      </c>
      <c r="JQ220" s="422">
        <f t="shared" si="1037"/>
        <v>0</v>
      </c>
      <c r="JR220" s="422">
        <f t="shared" si="1037"/>
        <v>0</v>
      </c>
      <c r="JS220" s="422">
        <f t="shared" si="1037"/>
        <v>0</v>
      </c>
      <c r="JT220" s="422">
        <f t="shared" si="1037"/>
        <v>0</v>
      </c>
      <c r="JU220" s="422">
        <f t="shared" si="1037"/>
        <v>0</v>
      </c>
      <c r="JV220" s="422">
        <f t="shared" si="1037"/>
        <v>0</v>
      </c>
      <c r="JW220" s="422">
        <f t="shared" si="1037"/>
        <v>0</v>
      </c>
      <c r="JX220" s="422">
        <f t="shared" si="1037"/>
        <v>0</v>
      </c>
      <c r="JZ220" s="263"/>
      <c r="KA220" s="263"/>
      <c r="KB220" s="263"/>
      <c r="KC220" s="263"/>
      <c r="KD220" s="263"/>
      <c r="KE220" s="263"/>
      <c r="KF220" s="263"/>
      <c r="KG220" s="263"/>
      <c r="KH220" s="263"/>
      <c r="KI220" s="263"/>
      <c r="KJ220" s="263"/>
      <c r="KK220" s="263"/>
      <c r="KL220" s="263"/>
      <c r="KM220" s="263"/>
      <c r="KN220" s="263"/>
      <c r="KO220" s="263"/>
      <c r="KP220" s="263"/>
      <c r="KQ220" s="263"/>
      <c r="KR220" s="263"/>
      <c r="KS220" s="263"/>
      <c r="KT220" s="263"/>
      <c r="KU220" s="263"/>
      <c r="KV220" s="263"/>
      <c r="KW220" s="263"/>
      <c r="KX220" s="263"/>
      <c r="KY220" s="263"/>
      <c r="KZ220" s="263"/>
      <c r="LA220" s="263"/>
      <c r="LB220" s="263"/>
      <c r="LC220" s="263"/>
      <c r="LD220" s="263"/>
      <c r="LE220" s="263"/>
      <c r="LF220" s="263"/>
      <c r="LG220" s="263"/>
      <c r="LH220" s="263"/>
      <c r="LI220" s="263"/>
      <c r="LJ220" s="263"/>
      <c r="LK220" s="263"/>
      <c r="LL220" s="263"/>
      <c r="LM220" s="263"/>
      <c r="LN220" s="263"/>
      <c r="LO220" s="263"/>
      <c r="LP220" s="263"/>
      <c r="LQ220" s="263"/>
      <c r="LR220" s="263"/>
      <c r="LS220" s="263"/>
      <c r="LT220" s="263"/>
      <c r="LU220" s="263"/>
      <c r="LV220" s="263"/>
      <c r="LW220" s="263"/>
      <c r="LX220" s="263"/>
      <c r="LY220" s="263"/>
      <c r="LZ220" s="263"/>
      <c r="MA220" s="263"/>
      <c r="MB220" s="263"/>
      <c r="MC220" s="263"/>
      <c r="MD220" s="263"/>
      <c r="ME220" s="263"/>
      <c r="MF220" s="263"/>
      <c r="MG220" s="263"/>
      <c r="MH220" s="263"/>
      <c r="MI220" s="263"/>
      <c r="MJ220" s="263"/>
      <c r="MK220" s="263"/>
      <c r="ML220" s="263"/>
      <c r="MM220" s="263"/>
      <c r="MN220" s="263"/>
      <c r="MO220" s="263"/>
      <c r="MP220" s="263"/>
      <c r="MQ220" s="263"/>
      <c r="MR220" s="263"/>
      <c r="MS220" s="263"/>
      <c r="MT220" s="263"/>
      <c r="MU220" s="263"/>
      <c r="MV220" s="263"/>
      <c r="MW220" s="263"/>
      <c r="MX220" s="263"/>
      <c r="MY220" s="263"/>
      <c r="MZ220" s="263"/>
      <c r="NA220" s="263"/>
      <c r="NB220" s="263"/>
      <c r="NC220" s="263"/>
      <c r="ND220" s="263"/>
      <c r="NE220" s="263"/>
      <c r="NF220" s="263"/>
      <c r="NG220" s="263"/>
      <c r="NH220" s="263"/>
      <c r="NI220" s="263"/>
      <c r="NJ220" s="263"/>
      <c r="NK220" s="263"/>
      <c r="NL220" s="263"/>
      <c r="NM220" s="263"/>
      <c r="NN220" s="263"/>
      <c r="NO220" s="263"/>
      <c r="NP220" s="263"/>
      <c r="NQ220" s="263"/>
      <c r="NR220" s="263"/>
      <c r="NS220" s="263"/>
      <c r="NT220" s="263"/>
      <c r="NU220" s="263"/>
      <c r="NV220" s="263"/>
      <c r="NW220" s="263"/>
      <c r="NX220" s="263"/>
      <c r="NY220" s="263"/>
      <c r="NZ220" s="263"/>
      <c r="OA220" s="263"/>
      <c r="OB220" s="263"/>
      <c r="OC220" s="263"/>
      <c r="OD220" s="263"/>
      <c r="OE220" s="263"/>
      <c r="OF220" s="263"/>
      <c r="OG220" s="263"/>
      <c r="OH220" s="263"/>
      <c r="OI220" s="263"/>
      <c r="OJ220" s="263"/>
      <c r="OK220" s="263"/>
      <c r="OL220" s="263"/>
      <c r="OM220" s="263"/>
      <c r="ON220" s="263"/>
      <c r="OO220" s="263"/>
      <c r="OP220" s="263"/>
      <c r="OQ220" s="263"/>
      <c r="OR220" s="263"/>
      <c r="OS220" s="263"/>
      <c r="OT220" s="263"/>
      <c r="OU220" s="263"/>
      <c r="OV220" s="263"/>
      <c r="OW220" s="263"/>
      <c r="OX220" s="263"/>
      <c r="OY220" s="263"/>
      <c r="OZ220" s="263"/>
      <c r="PA220" s="263"/>
      <c r="PB220" s="263"/>
      <c r="PC220" s="263"/>
      <c r="PD220" s="263"/>
      <c r="PE220" s="263"/>
      <c r="PF220" s="263"/>
      <c r="PG220" s="263"/>
      <c r="PH220" s="263"/>
    </row>
    <row r="221">
      <c r="B221" s="404"/>
      <c r="C221" s="458" t="s">
        <v>404</v>
      </c>
      <c r="D221" s="541" t="s">
        <v>405</v>
      </c>
      <c r="E221" s="281" t="n">
        <f>IF(D221="% of Project Cost",I221*Project_Cost_Total/12,I221*Equity_Total/12)</f>
        <v>139586.18376153338</v>
      </c>
      <c r="F221" s="404" t="s">
        <v>406</v>
      </c>
      <c r="G221" s="194" t="n">
        <f>Stabilization_1st_Month</f>
        <v>49</v>
      </c>
      <c r="H221" s="404" t="s">
        <v>407</v>
      </c>
      <c r="I221" s="282">
        <v>4.0000000000000001E-3</v>
      </c>
      <c r="L221" s="197"/>
      <c r="M221" s="197"/>
      <c r="N221" s="197"/>
      <c r="O221" s="197"/>
      <c r="P221" s="197"/>
      <c r="Q221" s="197"/>
      <c r="R221" s="197"/>
      <c r="S221" s="197"/>
      <c r="T221" s="197"/>
      <c r="U221" s="197"/>
      <c r="V221" s="197"/>
      <c r="W221" s="197"/>
      <c r="X221" s="197"/>
      <c r="Y221" s="197"/>
      <c r="Z221" s="197"/>
      <c r="AA221" s="197"/>
      <c r="AB221" s="197"/>
      <c r="AC221" s="197"/>
      <c r="AD221" s="197"/>
      <c r="AE221" s="197"/>
      <c r="AF221" s="197"/>
      <c r="AG221" s="197"/>
      <c r="AH221" s="197"/>
      <c r="AI221" s="197"/>
      <c r="AJ221" s="197"/>
      <c r="AK221" s="197"/>
      <c r="AL221" s="197"/>
      <c r="AM221" s="197"/>
      <c r="AN221" s="197"/>
      <c r="AO221" s="197"/>
      <c r="AP221" s="197"/>
      <c r="AQ221" s="197"/>
      <c r="AR221" s="197"/>
      <c r="AS221" s="197"/>
      <c r="AT221" s="197"/>
      <c r="AU221" s="197"/>
      <c r="AV221" s="197"/>
      <c r="AW221" s="197"/>
      <c r="AX221" s="197"/>
      <c r="AY221" s="197"/>
      <c r="AZ221" s="197"/>
      <c r="BA221" s="197"/>
      <c r="BB221" s="197"/>
      <c r="BC221" s="197"/>
      <c r="BD221" s="197"/>
      <c r="BE221" s="197"/>
      <c r="BF221" s="197"/>
      <c r="BG221" s="197"/>
      <c r="BH221" s="197"/>
      <c r="BI221" s="197"/>
      <c r="BJ221" s="197"/>
      <c r="BK221" s="197"/>
      <c r="BL221" s="197"/>
      <c r="BM221" s="197"/>
      <c r="BN221" s="197"/>
      <c r="BO221" s="197"/>
      <c r="BP221" s="197"/>
      <c r="BQ221" s="197"/>
      <c r="BR221" s="197"/>
      <c r="BS221" s="197"/>
      <c r="BT221" s="197"/>
      <c r="BU221" s="197"/>
      <c r="BV221" s="197"/>
      <c r="BW221" s="197"/>
      <c r="BX221" s="197"/>
      <c r="BY221" s="197"/>
      <c r="BZ221" s="197"/>
      <c r="CA221" s="197"/>
      <c r="CB221" s="197"/>
      <c r="CC221" s="197"/>
      <c r="CD221" s="197"/>
      <c r="CE221" s="197"/>
      <c r="CF221" s="197"/>
      <c r="CG221" s="197"/>
      <c r="CH221" s="197"/>
      <c r="CI221" s="197"/>
      <c r="CJ221" s="197"/>
      <c r="CK221" s="197"/>
      <c r="CL221" s="197"/>
      <c r="CM221" s="197"/>
      <c r="CN221" s="197"/>
      <c r="CO221" s="197"/>
      <c r="CP221" s="197"/>
      <c r="CQ221" s="197"/>
      <c r="CR221" s="197"/>
      <c r="CS221" s="197"/>
      <c r="CT221" s="197"/>
      <c r="CU221" s="197"/>
      <c r="CV221" s="197"/>
      <c r="CW221" s="197"/>
      <c r="CX221" s="197"/>
      <c r="CY221" s="197"/>
      <c r="CZ221" s="197"/>
      <c r="DA221" s="197"/>
      <c r="DB221" s="197"/>
      <c r="DC221" s="197"/>
      <c r="DD221" s="197"/>
      <c r="DE221" s="197"/>
      <c r="DF221" s="197"/>
      <c r="DG221" s="197"/>
      <c r="DH221" s="197"/>
      <c r="DI221" s="197"/>
      <c r="DJ221" s="197"/>
      <c r="DK221" s="197"/>
      <c r="DL221" s="197"/>
      <c r="DM221" s="197"/>
      <c r="DN221" s="197"/>
      <c r="DO221" s="197"/>
      <c r="DP221" s="197"/>
      <c r="DQ221" s="197"/>
      <c r="DR221" s="197"/>
      <c r="DS221" s="197"/>
      <c r="DT221" s="197"/>
      <c r="DU221" s="197"/>
      <c r="DV221" s="197"/>
      <c r="DW221" s="197"/>
      <c r="DX221" s="197"/>
      <c r="DY221" s="197"/>
      <c r="DZ221" s="197"/>
      <c r="EA221" s="197"/>
      <c r="EB221" s="197"/>
      <c r="EC221" s="197"/>
      <c r="ED221" s="197"/>
      <c r="EE221" s="197"/>
      <c r="EF221" s="197"/>
      <c r="EG221" s="197"/>
      <c r="EH221" s="197"/>
      <c r="EI221" s="197"/>
      <c r="EJ221" s="197"/>
      <c r="EK221" s="197"/>
      <c r="EL221" s="197"/>
      <c r="EM221" s="197"/>
      <c r="EN221" s="197"/>
      <c r="EP221" s="409"/>
      <c r="EQ221" s="18"/>
      <c r="ER221" s="18"/>
      <c r="ES221" s="18"/>
      <c r="ET221" s="18"/>
      <c r="EU221" s="18"/>
      <c r="EV221" s="82"/>
      <c r="EW221" s="82"/>
      <c r="EX221" s="82"/>
      <c r="EY221" s="82"/>
      <c r="EZ221" s="82"/>
      <c r="FA221" s="82"/>
      <c r="FB221" s="82"/>
      <c r="FC221" s="82"/>
      <c r="FD221" s="82"/>
      <c r="FE221" s="82"/>
      <c r="FF221" s="82"/>
      <c r="FG221" s="82"/>
      <c r="FH221" s="82"/>
      <c r="FI221" s="82"/>
      <c r="FJ221" s="82"/>
      <c r="FK221" s="82"/>
      <c r="FL221" s="82"/>
      <c r="FM221" s="82"/>
      <c r="FN221" s="82"/>
      <c r="FO221" s="82"/>
      <c r="FP221" s="82"/>
      <c r="FQ221" s="82"/>
      <c r="FR221" s="82"/>
      <c r="FS221" s="82"/>
      <c r="FT221" s="82"/>
      <c r="FU221" s="82"/>
      <c r="FV221" s="82"/>
      <c r="FW221" s="82"/>
      <c r="FX221" s="82"/>
      <c r="FY221" s="82"/>
      <c r="FZ221" s="82"/>
      <c r="GA221" s="82"/>
      <c r="GB221" s="82"/>
      <c r="GC221" s="82"/>
      <c r="GD221" s="82"/>
      <c r="GE221" s="82"/>
      <c r="GF221" s="82"/>
      <c r="GG221" s="82"/>
      <c r="GH221" s="82"/>
      <c r="GI221" s="82"/>
      <c r="GJ221" s="82"/>
      <c r="GK221" s="82"/>
      <c r="GL221" s="82"/>
      <c r="GM221" s="82"/>
      <c r="GN221" s="82"/>
      <c r="GO221" s="82"/>
      <c r="GP221" s="82"/>
      <c r="GQ221" s="82"/>
      <c r="GR221" s="82"/>
      <c r="GS221" s="82"/>
      <c r="GT221" s="82"/>
      <c r="GU221" s="82"/>
      <c r="GV221" s="82"/>
      <c r="GW221" s="82"/>
      <c r="GX221" s="82"/>
      <c r="GY221" s="82"/>
      <c r="GZ221" s="82"/>
      <c r="HA221" s="82"/>
      <c r="HB221" s="82"/>
      <c r="HC221" s="82"/>
      <c r="HD221" s="82"/>
      <c r="HE221" s="82"/>
      <c r="HF221" s="82"/>
      <c r="HG221" s="82"/>
      <c r="HH221" s="82"/>
      <c r="HI221" s="82"/>
      <c r="HJ221" s="82"/>
      <c r="HK221" s="82"/>
      <c r="HL221" s="82"/>
      <c r="HM221" s="82"/>
      <c r="HN221" s="82"/>
      <c r="HO221" s="82"/>
      <c r="HP221" s="82"/>
      <c r="HQ221" s="82"/>
      <c r="HR221" s="82"/>
      <c r="HS221" s="82"/>
      <c r="HT221" s="82"/>
      <c r="HU221" s="82"/>
      <c r="HV221" s="82"/>
      <c r="HW221" s="82"/>
      <c r="HX221" s="82"/>
      <c r="HY221" s="82"/>
      <c r="HZ221" s="82"/>
      <c r="IA221" s="82"/>
      <c r="IB221" s="82"/>
      <c r="IC221" s="82"/>
      <c r="ID221" s="82"/>
      <c r="IE221" s="82"/>
      <c r="IF221" s="82"/>
      <c r="IG221" s="82"/>
      <c r="IH221" s="82"/>
      <c r="II221" s="82"/>
      <c r="IJ221" s="82"/>
      <c r="IK221" s="82"/>
      <c r="IL221" s="82"/>
      <c r="IM221" s="82"/>
      <c r="IN221" s="82"/>
      <c r="IO221" s="82"/>
      <c r="IP221" s="82"/>
      <c r="IQ221" s="82"/>
      <c r="IR221" s="82"/>
      <c r="IS221" s="82"/>
      <c r="IT221" s="82"/>
      <c r="IU221" s="82"/>
      <c r="IV221" s="82"/>
      <c r="IW221" s="82"/>
      <c r="IX221" s="82"/>
      <c r="IY221" s="82"/>
      <c r="IZ221" s="82"/>
      <c r="JA221" s="82"/>
      <c r="JB221" s="82"/>
      <c r="JC221" s="82"/>
      <c r="JD221" s="82"/>
      <c r="JE221" s="82"/>
      <c r="JF221" s="82"/>
      <c r="JG221" s="82"/>
      <c r="JH221" s="82"/>
      <c r="JI221" s="82"/>
      <c r="JJ221" s="82"/>
      <c r="JK221" s="82"/>
      <c r="JL221" s="82"/>
      <c r="JM221" s="82"/>
      <c r="JN221" s="82"/>
      <c r="JO221" s="82"/>
      <c r="JP221" s="82"/>
      <c r="JQ221" s="82"/>
      <c r="JR221" s="82"/>
      <c r="JS221" s="82"/>
      <c r="JT221" s="82"/>
      <c r="JU221" s="82"/>
      <c r="JV221" s="82"/>
      <c r="JW221" s="82"/>
      <c r="JX221" s="82"/>
      <c r="JZ221" s="263"/>
      <c r="KA221" s="263"/>
      <c r="KB221" s="263"/>
      <c r="KC221" s="263"/>
      <c r="KD221" s="263"/>
      <c r="KE221" s="263"/>
      <c r="KF221" s="263"/>
      <c r="KG221" s="263"/>
      <c r="KH221" s="263"/>
      <c r="KI221" s="263"/>
      <c r="KJ221" s="263"/>
      <c r="KK221" s="263"/>
      <c r="KL221" s="263"/>
      <c r="KM221" s="263"/>
      <c r="KN221" s="263"/>
      <c r="KO221" s="263"/>
      <c r="KP221" s="263"/>
      <c r="KQ221" s="263"/>
      <c r="KR221" s="263"/>
      <c r="KS221" s="263"/>
      <c r="KT221" s="263"/>
      <c r="KU221" s="263"/>
      <c r="KV221" s="263"/>
      <c r="KW221" s="263"/>
      <c r="KX221" s="263"/>
      <c r="KY221" s="263"/>
      <c r="KZ221" s="263"/>
      <c r="LA221" s="263"/>
      <c r="LB221" s="263"/>
      <c r="LC221" s="263"/>
      <c r="LD221" s="263"/>
      <c r="LE221" s="263"/>
      <c r="LF221" s="263"/>
      <c r="LG221" s="263"/>
      <c r="LH221" s="263"/>
      <c r="LI221" s="263"/>
      <c r="LJ221" s="263"/>
      <c r="LK221" s="263"/>
      <c r="LL221" s="263"/>
      <c r="LM221" s="263"/>
      <c r="LN221" s="263"/>
      <c r="LO221" s="263"/>
      <c r="LP221" s="263"/>
      <c r="LQ221" s="263"/>
      <c r="LR221" s="263"/>
      <c r="LS221" s="263"/>
      <c r="LT221" s="263"/>
      <c r="LU221" s="263"/>
      <c r="LV221" s="263"/>
      <c r="LW221" s="263"/>
      <c r="LX221" s="263"/>
      <c r="LY221" s="263"/>
      <c r="LZ221" s="263"/>
      <c r="MA221" s="263"/>
      <c r="MB221" s="263"/>
      <c r="MC221" s="263"/>
      <c r="MD221" s="263"/>
      <c r="ME221" s="263"/>
      <c r="MF221" s="263"/>
      <c r="MG221" s="263"/>
      <c r="MH221" s="263"/>
      <c r="MI221" s="263"/>
      <c r="MJ221" s="263"/>
      <c r="MK221" s="263"/>
      <c r="ML221" s="263"/>
      <c r="MM221" s="263"/>
      <c r="MN221" s="263"/>
      <c r="MO221" s="263"/>
      <c r="MP221" s="263"/>
      <c r="MQ221" s="263"/>
      <c r="MR221" s="263"/>
      <c r="MS221" s="263"/>
      <c r="MT221" s="263"/>
      <c r="MU221" s="263"/>
      <c r="MV221" s="263"/>
      <c r="MW221" s="263"/>
      <c r="MX221" s="263"/>
      <c r="MY221" s="263"/>
      <c r="MZ221" s="263"/>
      <c r="NA221" s="263"/>
      <c r="NB221" s="263"/>
      <c r="NC221" s="263"/>
      <c r="ND221" s="263"/>
      <c r="NE221" s="263"/>
      <c r="NF221" s="263"/>
      <c r="NG221" s="263"/>
      <c r="NH221" s="263"/>
      <c r="NI221" s="263"/>
      <c r="NJ221" s="263"/>
      <c r="NK221" s="263"/>
      <c r="NL221" s="263"/>
      <c r="NM221" s="263"/>
      <c r="NN221" s="263"/>
      <c r="NO221" s="263"/>
      <c r="NP221" s="263"/>
      <c r="NQ221" s="263"/>
      <c r="NR221" s="263"/>
      <c r="NS221" s="263"/>
      <c r="NT221" s="263"/>
      <c r="NU221" s="263"/>
      <c r="NV221" s="263"/>
      <c r="NW221" s="263"/>
      <c r="NX221" s="263"/>
      <c r="NY221" s="263"/>
      <c r="NZ221" s="263"/>
      <c r="OA221" s="263"/>
      <c r="OB221" s="263"/>
      <c r="OC221" s="263"/>
      <c r="OD221" s="263"/>
      <c r="OE221" s="263"/>
      <c r="OF221" s="263"/>
      <c r="OG221" s="263"/>
      <c r="OH221" s="263"/>
      <c r="OI221" s="263"/>
      <c r="OJ221" s="263"/>
      <c r="OK221" s="263"/>
      <c r="OL221" s="263"/>
      <c r="OM221" s="263"/>
      <c r="ON221" s="263"/>
      <c r="OO221" s="263"/>
      <c r="OP221" s="263"/>
      <c r="OQ221" s="263"/>
      <c r="OR221" s="263"/>
      <c r="OS221" s="263"/>
      <c r="OT221" s="263"/>
      <c r="OU221" s="263"/>
      <c r="OV221" s="263"/>
      <c r="OW221" s="263"/>
      <c r="OX221" s="263"/>
      <c r="OY221" s="263"/>
      <c r="OZ221" s="263"/>
      <c r="PA221" s="263"/>
      <c r="PB221" s="263"/>
      <c r="PC221" s="263"/>
      <c r="PD221" s="263"/>
      <c r="PE221" s="263"/>
      <c r="PF221" s="263"/>
      <c r="PG221" s="263"/>
      <c r="PH221" s="263"/>
    </row>
    <row r="222">
      <c r="B222" s="453" t="s">
        <v>408</v>
      </c>
      <c r="C222" s="404"/>
      <c r="D222" s="416" t="s">
        <v>409</v>
      </c>
      <c r="E222" s="416" t="s">
        <v>410</v>
      </c>
      <c r="F222" s="416"/>
      <c r="G222" s="416" t="s">
        <v>55</v>
      </c>
      <c r="H222" s="416" t="s">
        <v>56</v>
      </c>
      <c r="I222" s="416" t="s">
        <v>57</v>
      </c>
      <c r="L222" s="197"/>
      <c r="M222" s="197"/>
      <c r="N222" s="197"/>
      <c r="O222" s="197"/>
      <c r="P222" s="197"/>
      <c r="Q222" s="197"/>
      <c r="R222" s="197"/>
      <c r="S222" s="197"/>
      <c r="T222" s="197"/>
      <c r="U222" s="197"/>
      <c r="V222" s="197"/>
      <c r="W222" s="197"/>
      <c r="X222" s="197"/>
      <c r="Y222" s="197"/>
      <c r="Z222" s="197"/>
      <c r="AA222" s="197"/>
      <c r="AB222" s="197"/>
      <c r="AC222" s="197"/>
      <c r="AD222" s="197"/>
      <c r="AE222" s="197"/>
      <c r="AF222" s="197"/>
      <c r="AG222" s="197"/>
      <c r="AH222" s="197"/>
      <c r="AI222" s="197"/>
      <c r="AJ222" s="197"/>
      <c r="AK222" s="197"/>
      <c r="AL222" s="197"/>
      <c r="AM222" s="197"/>
      <c r="AN222" s="197"/>
      <c r="AO222" s="197"/>
      <c r="AP222" s="197"/>
      <c r="AQ222" s="197"/>
      <c r="AR222" s="197"/>
      <c r="AS222" s="197"/>
      <c r="AT222" s="197"/>
      <c r="AU222" s="197"/>
      <c r="AV222" s="197"/>
      <c r="AW222" s="197"/>
      <c r="AX222" s="197"/>
      <c r="AY222" s="197"/>
      <c r="AZ222" s="197"/>
      <c r="BA222" s="197"/>
      <c r="BB222" s="197"/>
      <c r="BC222" s="197"/>
      <c r="BD222" s="197"/>
      <c r="BE222" s="197"/>
      <c r="BF222" s="197"/>
      <c r="BG222" s="197"/>
      <c r="BH222" s="197"/>
      <c r="BI222" s="197"/>
      <c r="BJ222" s="197"/>
      <c r="BK222" s="197"/>
      <c r="BL222" s="197"/>
      <c r="BM222" s="197"/>
      <c r="BN222" s="197"/>
      <c r="BO222" s="197"/>
      <c r="BP222" s="197"/>
      <c r="BQ222" s="197"/>
      <c r="BR222" s="197"/>
      <c r="BS222" s="197"/>
      <c r="BT222" s="197"/>
      <c r="BU222" s="197"/>
      <c r="BV222" s="197"/>
      <c r="BW222" s="197"/>
      <c r="BX222" s="197"/>
      <c r="BY222" s="197"/>
      <c r="BZ222" s="197"/>
      <c r="CA222" s="197"/>
      <c r="CB222" s="197"/>
      <c r="CC222" s="197"/>
      <c r="CD222" s="197"/>
      <c r="CE222" s="197"/>
      <c r="CF222" s="197"/>
      <c r="CG222" s="197"/>
      <c r="CH222" s="197"/>
      <c r="CI222" s="197"/>
      <c r="CJ222" s="197"/>
      <c r="CK222" s="197"/>
      <c r="CL222" s="197"/>
      <c r="CM222" s="197"/>
      <c r="CN222" s="197"/>
      <c r="CO222" s="197"/>
      <c r="CP222" s="197"/>
      <c r="CQ222" s="197"/>
      <c r="CR222" s="197"/>
      <c r="CS222" s="197"/>
      <c r="CT222" s="197"/>
      <c r="CU222" s="197"/>
      <c r="CV222" s="197"/>
      <c r="CW222" s="197"/>
      <c r="CX222" s="197"/>
      <c r="CY222" s="197"/>
      <c r="CZ222" s="197"/>
      <c r="DA222" s="197"/>
      <c r="DB222" s="197"/>
      <c r="DC222" s="197"/>
      <c r="DD222" s="197"/>
      <c r="DE222" s="197"/>
      <c r="DF222" s="197"/>
      <c r="DG222" s="197"/>
      <c r="DH222" s="197"/>
      <c r="DI222" s="197"/>
      <c r="DJ222" s="197"/>
      <c r="DK222" s="197"/>
      <c r="DL222" s="197"/>
      <c r="DM222" s="197"/>
      <c r="DN222" s="197"/>
      <c r="DO222" s="197"/>
      <c r="DP222" s="197"/>
      <c r="DQ222" s="197"/>
      <c r="DR222" s="197"/>
      <c r="DS222" s="197"/>
      <c r="DT222" s="197"/>
      <c r="DU222" s="197"/>
      <c r="DV222" s="197"/>
      <c r="DW222" s="197"/>
      <c r="DX222" s="197"/>
      <c r="DY222" s="197"/>
      <c r="DZ222" s="197"/>
      <c r="EA222" s="197"/>
      <c r="EB222" s="197"/>
      <c r="EC222" s="197"/>
      <c r="ED222" s="197"/>
      <c r="EE222" s="197"/>
      <c r="EF222" s="197"/>
      <c r="EG222" s="197"/>
      <c r="EH222" s="197"/>
      <c r="EI222" s="197"/>
      <c r="EJ222" s="197"/>
      <c r="EK222" s="197"/>
      <c r="EL222" s="197"/>
      <c r="EM222" s="197"/>
      <c r="EN222" s="197"/>
      <c r="EP222" s="409"/>
      <c r="EQ222" s="18"/>
      <c r="ER222" s="18"/>
      <c r="ES222" s="18"/>
      <c r="ET222" s="18" t="s">
        <v>411</v>
      </c>
      <c r="EU222" s="18"/>
      <c r="EV222" s="422" t="n">
        <f>+EV220+EV217</f>
        <v>0</v>
      </c>
      <c r="EW222" s="422" t="n">
        <f t="shared" ref="EW222:HH222" si="1038">+EW220+EW217</f>
        <v>5.820766091346741e-11</v>
      </c>
      <c r="EX222" s="422">
        <f t="shared" si="1038"/>
        <v>0</v>
      </c>
      <c r="EY222" s="422">
        <f t="shared" si="1038"/>
        <v>0</v>
      </c>
      <c r="EZ222" s="422">
        <f t="shared" si="1038"/>
        <v>0</v>
      </c>
      <c r="FA222" s="422">
        <f t="shared" si="1038"/>
        <v>0</v>
      </c>
      <c r="FB222" s="422">
        <f t="shared" si="1038"/>
        <v>0</v>
      </c>
      <c r="FC222" s="422">
        <f t="shared" si="1038"/>
        <v>0</v>
      </c>
      <c r="FD222" s="422">
        <f t="shared" si="1038"/>
        <v>0</v>
      </c>
      <c r="FE222" s="422">
        <f t="shared" si="1038"/>
        <v>0</v>
      </c>
      <c r="FF222" s="422">
        <f t="shared" si="1038"/>
        <v>0</v>
      </c>
      <c r="FG222" s="422">
        <f t="shared" si="1038"/>
        <v>0</v>
      </c>
      <c r="FH222" s="422">
        <f t="shared" si="1038"/>
        <v>0</v>
      </c>
      <c r="FI222" s="422">
        <f t="shared" si="1038"/>
        <v>0</v>
      </c>
      <c r="FJ222" s="422">
        <f t="shared" si="1038"/>
        <v>0</v>
      </c>
      <c r="FK222" s="422">
        <f t="shared" si="1038"/>
        <v>0</v>
      </c>
      <c r="FL222" s="422">
        <f t="shared" si="1038"/>
        <v>0</v>
      </c>
      <c r="FM222" s="422">
        <f t="shared" si="1038"/>
        <v>0</v>
      </c>
      <c r="FN222" s="422">
        <f t="shared" si="1038"/>
        <v>0</v>
      </c>
      <c r="FO222" s="422">
        <f t="shared" si="1038"/>
        <v>4.6566128730773926E-10</v>
      </c>
      <c r="FP222" s="422">
        <f t="shared" si="1038"/>
        <v>0</v>
      </c>
      <c r="FQ222" s="422">
        <f t="shared" si="1038"/>
        <v>0</v>
      </c>
      <c r="FR222" s="422">
        <f t="shared" si="1038"/>
        <v>4.6566128730773926E-10</v>
      </c>
      <c r="FS222" s="422">
        <f t="shared" si="1038"/>
        <v>0</v>
      </c>
      <c r="FT222" s="422">
        <f t="shared" si="1038"/>
        <v>4.6566128730773926E-10</v>
      </c>
      <c r="FU222" s="422">
        <f t="shared" si="1038"/>
        <v>0</v>
      </c>
      <c r="FV222" s="422">
        <f t="shared" si="1038"/>
        <v>4.6566128730773926E-10</v>
      </c>
      <c r="FW222" s="422">
        <f t="shared" si="1038"/>
        <v>0</v>
      </c>
      <c r="FX222" s="422">
        <f t="shared" si="1038"/>
        <v>4.6566128730773926E-10</v>
      </c>
      <c r="FY222" s="422">
        <f t="shared" si="1038"/>
        <v>0</v>
      </c>
      <c r="FZ222" s="422">
        <f t="shared" si="1038"/>
        <v>0</v>
      </c>
      <c r="GA222" s="422">
        <f t="shared" si="1038"/>
        <v>0</v>
      </c>
      <c r="GB222" s="422">
        <f t="shared" si="1038"/>
        <v>0</v>
      </c>
      <c r="GC222" s="422">
        <f t="shared" si="1038"/>
        <v>0</v>
      </c>
      <c r="GD222" s="422">
        <f t="shared" si="1038"/>
        <v>0</v>
      </c>
      <c r="GE222" s="422">
        <f t="shared" si="1038"/>
        <v>0</v>
      </c>
      <c r="GF222" s="422">
        <f t="shared" si="1038"/>
        <v>4.6566128730773926E-10</v>
      </c>
      <c r="GG222" s="422">
        <f t="shared" si="1038"/>
        <v>4.6566128730773926E-10</v>
      </c>
      <c r="GH222" s="422">
        <f t="shared" si="1038"/>
        <v>4.6566128730773926E-10</v>
      </c>
      <c r="GI222" s="422">
        <f t="shared" si="1038"/>
        <v>4.6566128730773926E-10</v>
      </c>
      <c r="GJ222" s="422">
        <f t="shared" si="1038"/>
        <v>0</v>
      </c>
      <c r="GK222" s="422">
        <f t="shared" si="1038"/>
        <v>0</v>
      </c>
      <c r="GL222" s="422">
        <f t="shared" si="1038"/>
        <v>0</v>
      </c>
      <c r="GM222" s="422">
        <f t="shared" si="1038"/>
        <v>0</v>
      </c>
      <c r="GN222" s="422">
        <f t="shared" si="1038"/>
        <v>0</v>
      </c>
      <c r="GO222" s="422">
        <f t="shared" si="1038"/>
        <v>4.6566128730773926E-10</v>
      </c>
      <c r="GP222" s="422">
        <f t="shared" si="1038"/>
        <v>0</v>
      </c>
      <c r="GQ222" s="422">
        <f t="shared" si="1038"/>
        <v>0</v>
      </c>
      <c r="GR222" s="422">
        <f t="shared" si="1038"/>
        <v>0</v>
      </c>
      <c r="GS222" s="422">
        <f t="shared" si="1038"/>
        <v>0</v>
      </c>
      <c r="GT222" s="422">
        <f t="shared" si="1038"/>
        <v>0</v>
      </c>
      <c r="GU222" s="422">
        <f t="shared" si="1038"/>
        <v>0</v>
      </c>
      <c r="GV222" s="422">
        <f t="shared" si="1038"/>
        <v>0</v>
      </c>
      <c r="GW222" s="422">
        <f t="shared" si="1038"/>
        <v>4.6566128730773926E-10</v>
      </c>
      <c r="GX222" s="422">
        <f t="shared" si="1038"/>
        <v>4.6566128730773926E-10</v>
      </c>
      <c r="GY222" s="422">
        <f t="shared" si="1038"/>
        <v>0</v>
      </c>
      <c r="GZ222" s="422">
        <f t="shared" si="1038"/>
        <v>0</v>
      </c>
      <c r="HA222" s="422">
        <f t="shared" si="1038"/>
        <v>0</v>
      </c>
      <c r="HB222" s="422">
        <f t="shared" si="1038"/>
        <v>0</v>
      </c>
      <c r="HC222" s="422">
        <f t="shared" si="1038"/>
        <v>0</v>
      </c>
      <c r="HD222" s="422">
        <f t="shared" si="1038"/>
        <v>4.6566128730773926E-10</v>
      </c>
      <c r="HE222" s="422">
        <f t="shared" si="1038"/>
        <v>31775121.963223808</v>
      </c>
      <c r="HF222" s="422">
        <f t="shared" si="1038"/>
        <v>0</v>
      </c>
      <c r="HG222" s="422">
        <f t="shared" si="1038"/>
        <v>0</v>
      </c>
      <c r="HH222" s="422">
        <f t="shared" si="1038"/>
        <v>0</v>
      </c>
      <c r="HI222" s="422" t="n">
        <f t="shared" ref="HI222:JT222" si="1039">+HI220+HI217</f>
        <v>0</v>
      </c>
      <c r="HJ222" s="422">
        <f t="shared" si="1039"/>
        <v>0</v>
      </c>
      <c r="HK222" s="422">
        <f t="shared" si="1039"/>
        <v>0</v>
      </c>
      <c r="HL222" s="422">
        <f t="shared" si="1039"/>
        <v>0</v>
      </c>
      <c r="HM222" s="422">
        <f t="shared" si="1039"/>
        <v>0</v>
      </c>
      <c r="HN222" s="422">
        <f t="shared" si="1039"/>
        <v>0</v>
      </c>
      <c r="HO222" s="422">
        <f t="shared" si="1039"/>
        <v>0</v>
      </c>
      <c r="HP222" s="422">
        <f t="shared" si="1039"/>
        <v>0</v>
      </c>
      <c r="HQ222" s="422">
        <f t="shared" si="1039"/>
        <v>0</v>
      </c>
      <c r="HR222" s="422">
        <f t="shared" si="1039"/>
        <v>0</v>
      </c>
      <c r="HS222" s="422">
        <f t="shared" si="1039"/>
        <v>0</v>
      </c>
      <c r="HT222" s="422">
        <f t="shared" si="1039"/>
        <v>0</v>
      </c>
      <c r="HU222" s="422">
        <f t="shared" si="1039"/>
        <v>0</v>
      </c>
      <c r="HV222" s="422">
        <f t="shared" si="1039"/>
        <v>0</v>
      </c>
      <c r="HW222" s="422">
        <f t="shared" si="1039"/>
        <v>0</v>
      </c>
      <c r="HX222" s="422">
        <f t="shared" si="1039"/>
        <v>0</v>
      </c>
      <c r="HY222" s="422">
        <f t="shared" si="1039"/>
        <v>0</v>
      </c>
      <c r="HZ222" s="422">
        <f t="shared" si="1039"/>
        <v>0</v>
      </c>
      <c r="IA222" s="422">
        <f t="shared" si="1039"/>
        <v>0</v>
      </c>
      <c r="IB222" s="422">
        <f t="shared" si="1039"/>
        <v>0</v>
      </c>
      <c r="IC222" s="422">
        <f t="shared" si="1039"/>
        <v>0</v>
      </c>
      <c r="ID222" s="422">
        <f t="shared" si="1039"/>
        <v>0</v>
      </c>
      <c r="IE222" s="422">
        <f t="shared" si="1039"/>
        <v>0</v>
      </c>
      <c r="IF222" s="422">
        <f t="shared" si="1039"/>
        <v>0</v>
      </c>
      <c r="IG222" s="422">
        <f t="shared" si="1039"/>
        <v>0</v>
      </c>
      <c r="IH222" s="422">
        <f t="shared" si="1039"/>
        <v>0</v>
      </c>
      <c r="II222" s="422">
        <f t="shared" si="1039"/>
        <v>0</v>
      </c>
      <c r="IJ222" s="422">
        <f t="shared" si="1039"/>
        <v>0</v>
      </c>
      <c r="IK222" s="422">
        <f t="shared" si="1039"/>
        <v>0</v>
      </c>
      <c r="IL222" s="422">
        <f t="shared" si="1039"/>
        <v>0</v>
      </c>
      <c r="IM222" s="422">
        <f t="shared" si="1039"/>
        <v>0</v>
      </c>
      <c r="IN222" s="422">
        <f t="shared" si="1039"/>
        <v>0</v>
      </c>
      <c r="IO222" s="422">
        <f t="shared" si="1039"/>
        <v>0</v>
      </c>
      <c r="IP222" s="422">
        <f t="shared" si="1039"/>
        <v>0</v>
      </c>
      <c r="IQ222" s="422">
        <f t="shared" si="1039"/>
        <v>0</v>
      </c>
      <c r="IR222" s="422">
        <f t="shared" si="1039"/>
        <v>0</v>
      </c>
      <c r="IS222" s="422">
        <f t="shared" si="1039"/>
        <v>0</v>
      </c>
      <c r="IT222" s="422">
        <f t="shared" si="1039"/>
        <v>0</v>
      </c>
      <c r="IU222" s="422">
        <f t="shared" si="1039"/>
        <v>0</v>
      </c>
      <c r="IV222" s="422">
        <f t="shared" si="1039"/>
        <v>0</v>
      </c>
      <c r="IW222" s="422">
        <f t="shared" si="1039"/>
        <v>0</v>
      </c>
      <c r="IX222" s="422">
        <f t="shared" si="1039"/>
        <v>0</v>
      </c>
      <c r="IY222" s="422">
        <f t="shared" si="1039"/>
        <v>0</v>
      </c>
      <c r="IZ222" s="422">
        <f t="shared" si="1039"/>
        <v>0</v>
      </c>
      <c r="JA222" s="422">
        <f t="shared" si="1039"/>
        <v>0</v>
      </c>
      <c r="JB222" s="422">
        <f t="shared" si="1039"/>
        <v>0</v>
      </c>
      <c r="JC222" s="422">
        <f t="shared" si="1039"/>
        <v>0</v>
      </c>
      <c r="JD222" s="422">
        <f t="shared" si="1039"/>
        <v>0</v>
      </c>
      <c r="JE222" s="422">
        <f t="shared" si="1039"/>
        <v>0</v>
      </c>
      <c r="JF222" s="422">
        <f t="shared" si="1039"/>
        <v>0</v>
      </c>
      <c r="JG222" s="422">
        <f t="shared" si="1039"/>
        <v>0</v>
      </c>
      <c r="JH222" s="422">
        <f t="shared" si="1039"/>
        <v>0</v>
      </c>
      <c r="JI222" s="422">
        <f t="shared" si="1039"/>
        <v>0</v>
      </c>
      <c r="JJ222" s="422">
        <f t="shared" si="1039"/>
        <v>0</v>
      </c>
      <c r="JK222" s="422">
        <f t="shared" si="1039"/>
        <v>0</v>
      </c>
      <c r="JL222" s="422">
        <f t="shared" si="1039"/>
        <v>0</v>
      </c>
      <c r="JM222" s="422">
        <f t="shared" si="1039"/>
        <v>0</v>
      </c>
      <c r="JN222" s="422">
        <f t="shared" si="1039"/>
        <v>0</v>
      </c>
      <c r="JO222" s="422">
        <f t="shared" si="1039"/>
        <v>0</v>
      </c>
      <c r="JP222" s="422">
        <f t="shared" si="1039"/>
        <v>0</v>
      </c>
      <c r="JQ222" s="422">
        <f t="shared" si="1039"/>
        <v>0</v>
      </c>
      <c r="JR222" s="422">
        <f t="shared" si="1039"/>
        <v>0</v>
      </c>
      <c r="JS222" s="422">
        <f t="shared" si="1039"/>
        <v>0</v>
      </c>
      <c r="JT222" s="422">
        <f t="shared" si="1039"/>
        <v>0</v>
      </c>
      <c r="JU222" s="422" t="n">
        <f>+JU220+JU217</f>
        <v>0</v>
      </c>
      <c r="JV222" s="422" t="n">
        <f>+JV220+JV217</f>
        <v>0</v>
      </c>
      <c r="JW222" s="422" t="n">
        <f>+JW220+JW217</f>
        <v>0</v>
      </c>
      <c r="JX222" s="422" t="n">
        <f>+JX220+JX217</f>
        <v>0</v>
      </c>
      <c r="JZ222" s="263"/>
      <c r="KA222" s="263"/>
      <c r="KB222" s="263"/>
      <c r="KC222" s="263"/>
      <c r="KD222" s="263"/>
      <c r="KE222" s="263"/>
      <c r="KF222" s="263"/>
      <c r="KG222" s="263"/>
      <c r="KH222" s="263"/>
      <c r="KI222" s="263"/>
      <c r="KJ222" s="263"/>
      <c r="KK222" s="263"/>
      <c r="KL222" s="263"/>
      <c r="KM222" s="263"/>
      <c r="KN222" s="263"/>
      <c r="KO222" s="263"/>
      <c r="KP222" s="263"/>
      <c r="KQ222" s="263"/>
      <c r="KR222" s="263"/>
      <c r="KS222" s="263"/>
      <c r="KT222" s="263"/>
      <c r="KU222" s="263"/>
      <c r="KV222" s="263"/>
      <c r="KW222" s="263"/>
      <c r="KX222" s="263"/>
      <c r="KY222" s="263"/>
      <c r="KZ222" s="263"/>
      <c r="LA222" s="263"/>
      <c r="LB222" s="263"/>
      <c r="LC222" s="263"/>
      <c r="LD222" s="263"/>
      <c r="LE222" s="263"/>
      <c r="LF222" s="263"/>
      <c r="LG222" s="263"/>
      <c r="LH222" s="263"/>
      <c r="LI222" s="263"/>
      <c r="LJ222" s="263"/>
      <c r="LK222" s="263"/>
      <c r="LL222" s="263"/>
      <c r="LM222" s="263"/>
      <c r="LN222" s="263"/>
      <c r="LO222" s="263"/>
      <c r="LP222" s="263"/>
      <c r="LQ222" s="263"/>
      <c r="LR222" s="263"/>
      <c r="LS222" s="263"/>
      <c r="LT222" s="263"/>
      <c r="LU222" s="263"/>
      <c r="LV222" s="263"/>
      <c r="LW222" s="263"/>
      <c r="LX222" s="263"/>
      <c r="LY222" s="263"/>
      <c r="LZ222" s="263"/>
      <c r="MA222" s="263"/>
      <c r="MB222" s="263"/>
      <c r="MC222" s="263"/>
      <c r="MD222" s="263"/>
      <c r="ME222" s="263"/>
      <c r="MF222" s="263"/>
      <c r="MG222" s="263"/>
      <c r="MH222" s="263"/>
      <c r="MI222" s="263"/>
      <c r="MJ222" s="263"/>
      <c r="MK222" s="263"/>
      <c r="ML222" s="263"/>
      <c r="MM222" s="263"/>
      <c r="MN222" s="263"/>
      <c r="MO222" s="263"/>
      <c r="MP222" s="263"/>
      <c r="MQ222" s="263"/>
      <c r="MR222" s="263"/>
      <c r="MS222" s="263"/>
      <c r="MT222" s="263"/>
      <c r="MU222" s="263"/>
      <c r="MV222" s="263"/>
      <c r="MW222" s="263"/>
      <c r="MX222" s="263"/>
      <c r="MY222" s="263"/>
      <c r="MZ222" s="263"/>
      <c r="NA222" s="263"/>
      <c r="NB222" s="263"/>
      <c r="NC222" s="263"/>
      <c r="ND222" s="263"/>
      <c r="NE222" s="263"/>
      <c r="NF222" s="263"/>
      <c r="NG222" s="263"/>
      <c r="NH222" s="263"/>
      <c r="NI222" s="263"/>
      <c r="NJ222" s="263"/>
      <c r="NK222" s="263"/>
      <c r="NL222" s="263"/>
      <c r="NM222" s="263"/>
      <c r="NN222" s="263"/>
      <c r="NO222" s="263"/>
      <c r="NP222" s="263"/>
      <c r="NQ222" s="263"/>
      <c r="NR222" s="263"/>
      <c r="NS222" s="263"/>
      <c r="NT222" s="263"/>
      <c r="NU222" s="263"/>
      <c r="NV222" s="263"/>
      <c r="NW222" s="263"/>
      <c r="NX222" s="263"/>
      <c r="NY222" s="263"/>
      <c r="NZ222" s="263"/>
      <c r="OA222" s="263"/>
      <c r="OB222" s="263"/>
      <c r="OC222" s="263"/>
      <c r="OD222" s="263"/>
      <c r="OE222" s="263"/>
      <c r="OF222" s="263"/>
      <c r="OG222" s="263"/>
      <c r="OH222" s="263"/>
      <c r="OI222" s="263"/>
      <c r="OJ222" s="263"/>
      <c r="OK222" s="263"/>
      <c r="OL222" s="263"/>
      <c r="OM222" s="263"/>
      <c r="ON222" s="263"/>
      <c r="OO222" s="263"/>
      <c r="OP222" s="263"/>
      <c r="OQ222" s="263"/>
      <c r="OR222" s="263"/>
      <c r="OS222" s="263"/>
      <c r="OT222" s="263"/>
      <c r="OU222" s="263"/>
      <c r="OV222" s="263"/>
      <c r="OW222" s="263"/>
      <c r="OX222" s="263"/>
      <c r="OY222" s="263"/>
      <c r="OZ222" s="263"/>
      <c r="PA222" s="263"/>
      <c r="PB222" s="263"/>
      <c r="PC222" s="263"/>
      <c r="PD222" s="263"/>
      <c r="PE222" s="263"/>
      <c r="PF222" s="263"/>
      <c r="PG222" s="263"/>
      <c r="PH222" s="263"/>
    </row>
    <row r="223">
      <c r="B223" s="448" t="str">
        <f>C229</f>
        <v>External Equity / Limited Partner — illustrative waterfall</v>
      </c>
      <c r="C223" s="404"/>
      <c r="D223" s="449" t="n">
        <f>I229</f>
        <v>178972256.76132748</v>
      </c>
      <c r="E223" s="449" t="n">
        <f>I245</f>
        <v>570003691.2388905</v>
      </c>
      <c r="F223" s="41"/>
      <c r="G223" s="303" t="n">
        <f>IFERROR(E223/D223,"NA")</f>
        <v>3.1848717871342034</v>
      </c>
      <c r="H223" s="542" t="n">
        <f>IFERROR(F245,"NA")</f>
        <v>6.919705122812984</v>
      </c>
      <c r="I223" s="304" t="n">
        <f>IFERROR(G245,"NA")</f>
        <v>0.7830743921338225</v>
      </c>
      <c r="L223" s="197"/>
      <c r="M223" s="197"/>
      <c r="N223" s="197"/>
      <c r="O223" s="197"/>
      <c r="P223" s="197"/>
      <c r="Q223" s="197"/>
      <c r="R223" s="197"/>
      <c r="S223" s="197"/>
      <c r="T223" s="197"/>
      <c r="U223" s="197"/>
      <c r="V223" s="197"/>
      <c r="W223" s="197"/>
      <c r="X223" s="197"/>
      <c r="Y223" s="197"/>
      <c r="Z223" s="197"/>
      <c r="AA223" s="197"/>
      <c r="AB223" s="197"/>
      <c r="AC223" s="197"/>
      <c r="AD223" s="197"/>
      <c r="AE223" s="197"/>
      <c r="AF223" s="197"/>
      <c r="AG223" s="197"/>
      <c r="AH223" s="197"/>
      <c r="AI223" s="197"/>
      <c r="AJ223" s="197"/>
      <c r="AK223" s="197"/>
      <c r="AL223" s="197"/>
      <c r="AM223" s="197"/>
      <c r="AN223" s="197"/>
      <c r="AO223" s="197"/>
      <c r="AP223" s="197"/>
      <c r="AQ223" s="197"/>
      <c r="AR223" s="197"/>
      <c r="AS223" s="197"/>
      <c r="AT223" s="197"/>
      <c r="AU223" s="197"/>
      <c r="AV223" s="197"/>
      <c r="AW223" s="197"/>
      <c r="AX223" s="197"/>
      <c r="AY223" s="197"/>
      <c r="AZ223" s="197"/>
      <c r="BA223" s="197"/>
      <c r="BB223" s="197"/>
      <c r="BC223" s="197"/>
      <c r="BD223" s="197"/>
      <c r="BE223" s="197"/>
      <c r="BF223" s="197"/>
      <c r="BG223" s="197"/>
      <c r="BH223" s="197"/>
      <c r="BI223" s="197"/>
      <c r="BJ223" s="197"/>
      <c r="BK223" s="197"/>
      <c r="BL223" s="197"/>
      <c r="BM223" s="197"/>
      <c r="BN223" s="197"/>
      <c r="BO223" s="197"/>
      <c r="BP223" s="197"/>
      <c r="BQ223" s="197"/>
      <c r="BR223" s="197"/>
      <c r="BS223" s="197"/>
      <c r="BT223" s="197"/>
      <c r="BU223" s="197"/>
      <c r="BV223" s="197"/>
      <c r="BW223" s="197"/>
      <c r="BX223" s="197"/>
      <c r="BY223" s="197"/>
      <c r="BZ223" s="197"/>
      <c r="CA223" s="197"/>
      <c r="CB223" s="197"/>
      <c r="CC223" s="197"/>
      <c r="CD223" s="197"/>
      <c r="CE223" s="197"/>
      <c r="CF223" s="197"/>
      <c r="CG223" s="197"/>
      <c r="CH223" s="197"/>
      <c r="CI223" s="197"/>
      <c r="CJ223" s="197"/>
      <c r="CK223" s="197"/>
      <c r="CL223" s="197"/>
      <c r="CM223" s="197"/>
      <c r="CN223" s="197"/>
      <c r="CO223" s="197"/>
      <c r="CP223" s="197"/>
      <c r="CQ223" s="197"/>
      <c r="CR223" s="197"/>
      <c r="CS223" s="197"/>
      <c r="CT223" s="197"/>
      <c r="CU223" s="197"/>
      <c r="CV223" s="197"/>
      <c r="CW223" s="197"/>
      <c r="CX223" s="197"/>
      <c r="CY223" s="197"/>
      <c r="CZ223" s="197"/>
      <c r="DA223" s="197"/>
      <c r="DB223" s="197"/>
      <c r="DC223" s="197"/>
      <c r="DD223" s="197"/>
      <c r="DE223" s="197"/>
      <c r="DF223" s="197"/>
      <c r="DG223" s="197"/>
      <c r="DH223" s="197"/>
      <c r="DI223" s="197"/>
      <c r="DJ223" s="197"/>
      <c r="DK223" s="197"/>
      <c r="DL223" s="197"/>
      <c r="DM223" s="197"/>
      <c r="DN223" s="197"/>
      <c r="DO223" s="197"/>
      <c r="DP223" s="197"/>
      <c r="DQ223" s="197"/>
      <c r="DR223" s="197"/>
      <c r="DS223" s="197"/>
      <c r="DT223" s="197"/>
      <c r="DU223" s="197"/>
      <c r="DV223" s="197"/>
      <c r="DW223" s="197"/>
      <c r="DX223" s="197"/>
      <c r="DY223" s="197"/>
      <c r="DZ223" s="197"/>
      <c r="EA223" s="197"/>
      <c r="EB223" s="197"/>
      <c r="EC223" s="197"/>
      <c r="ED223" s="197"/>
      <c r="EE223" s="197"/>
      <c r="EF223" s="197"/>
      <c r="EG223" s="197"/>
      <c r="EH223" s="197"/>
      <c r="EI223" s="197"/>
      <c r="EJ223" s="197"/>
      <c r="EK223" s="197"/>
      <c r="EL223" s="197"/>
      <c r="EM223" s="197"/>
      <c r="EN223" s="197"/>
      <c r="EP223" s="543"/>
      <c r="EQ223" s="539"/>
      <c r="ER223" s="539"/>
      <c r="ES223" s="539"/>
      <c r="ET223" s="539" t="s">
        <v>392</v>
      </c>
      <c r="EU223" s="539"/>
      <c r="EV223" s="540" t="n">
        <f>MAX(EV196-EV211-EV222,0)</f>
        <v>0</v>
      </c>
      <c r="EW223" s="540" t="n">
        <f t="shared" ref="EW223:GA223" si="1040">MAX(EW196-EW211-EW222,0)</f>
        <v>0</v>
      </c>
      <c r="EX223" s="540">
        <f t="shared" si="1040"/>
        <v>0</v>
      </c>
      <c r="EY223" s="540">
        <f t="shared" si="1040"/>
        <v>0</v>
      </c>
      <c r="EZ223" s="540">
        <f t="shared" si="1040"/>
        <v>0</v>
      </c>
      <c r="FA223" s="540">
        <f t="shared" si="1040"/>
        <v>0</v>
      </c>
      <c r="FB223" s="540">
        <f t="shared" si="1040"/>
        <v>0</v>
      </c>
      <c r="FC223" s="540">
        <f t="shared" si="1040"/>
        <v>0</v>
      </c>
      <c r="FD223" s="540">
        <f t="shared" si="1040"/>
        <v>0</v>
      </c>
      <c r="FE223" s="540">
        <f t="shared" si="1040"/>
        <v>0</v>
      </c>
      <c r="FF223" s="540">
        <f t="shared" si="1040"/>
        <v>0</v>
      </c>
      <c r="FG223" s="540">
        <f t="shared" si="1040"/>
        <v>0</v>
      </c>
      <c r="FH223" s="540">
        <f t="shared" si="1040"/>
        <v>0</v>
      </c>
      <c r="FI223" s="540">
        <f t="shared" si="1040"/>
        <v>0</v>
      </c>
      <c r="FJ223" s="540">
        <f t="shared" si="1040"/>
        <v>0</v>
      </c>
      <c r="FK223" s="540">
        <f t="shared" si="1040"/>
        <v>0</v>
      </c>
      <c r="FL223" s="540">
        <f t="shared" si="1040"/>
        <v>0</v>
      </c>
      <c r="FM223" s="540">
        <f t="shared" si="1040"/>
        <v>0</v>
      </c>
      <c r="FN223" s="540">
        <f t="shared" si="1040"/>
        <v>0</v>
      </c>
      <c r="FO223" s="540">
        <f t="shared" si="1040"/>
        <v>0</v>
      </c>
      <c r="FP223" s="540">
        <f t="shared" si="1040"/>
        <v>0</v>
      </c>
      <c r="FQ223" s="540">
        <f t="shared" si="1040"/>
        <v>0</v>
      </c>
      <c r="FR223" s="540">
        <f t="shared" si="1040"/>
        <v>0</v>
      </c>
      <c r="FS223" s="540">
        <f t="shared" si="1040"/>
        <v>0</v>
      </c>
      <c r="FT223" s="540">
        <f t="shared" si="1040"/>
        <v>0</v>
      </c>
      <c r="FU223" s="540">
        <f t="shared" si="1040"/>
        <v>0</v>
      </c>
      <c r="FV223" s="540">
        <f t="shared" si="1040"/>
        <v>0</v>
      </c>
      <c r="FW223" s="540">
        <f t="shared" si="1040"/>
        <v>0</v>
      </c>
      <c r="FX223" s="540">
        <f t="shared" si="1040"/>
        <v>0</v>
      </c>
      <c r="FY223" s="540">
        <f t="shared" si="1040"/>
        <v>0</v>
      </c>
      <c r="FZ223" s="540">
        <f t="shared" si="1040"/>
        <v>0</v>
      </c>
      <c r="GA223" s="540">
        <f t="shared" si="1040"/>
        <v>0</v>
      </c>
      <c r="GB223" s="540" t="n">
        <f t="shared" ref="GB223:HG223" si="1041">MAX(GB196-GB211-GB222,0)</f>
        <v>0</v>
      </c>
      <c r="GC223" s="540">
        <f t="shared" si="1041"/>
        <v>0</v>
      </c>
      <c r="GD223" s="540">
        <f t="shared" si="1041"/>
        <v>0</v>
      </c>
      <c r="GE223" s="540">
        <f t="shared" si="1041"/>
        <v>0</v>
      </c>
      <c r="GF223" s="540">
        <f t="shared" si="1041"/>
        <v>0</v>
      </c>
      <c r="GG223" s="540">
        <f t="shared" si="1041"/>
        <v>0</v>
      </c>
      <c r="GH223" s="540">
        <f t="shared" si="1041"/>
        <v>0</v>
      </c>
      <c r="GI223" s="540">
        <f t="shared" si="1041"/>
        <v>0</v>
      </c>
      <c r="GJ223" s="540">
        <f t="shared" si="1041"/>
        <v>0</v>
      </c>
      <c r="GK223" s="540">
        <f t="shared" si="1041"/>
        <v>0</v>
      </c>
      <c r="GL223" s="540">
        <f t="shared" si="1041"/>
        <v>0</v>
      </c>
      <c r="GM223" s="540">
        <f t="shared" si="1041"/>
        <v>0</v>
      </c>
      <c r="GN223" s="540">
        <f t="shared" si="1041"/>
        <v>0</v>
      </c>
      <c r="GO223" s="540">
        <f t="shared" si="1041"/>
        <v>0</v>
      </c>
      <c r="GP223" s="540">
        <f t="shared" si="1041"/>
        <v>0</v>
      </c>
      <c r="GQ223" s="540">
        <f t="shared" si="1041"/>
        <v>0</v>
      </c>
      <c r="GR223" s="540">
        <f t="shared" si="1041"/>
        <v>0</v>
      </c>
      <c r="GS223" s="540">
        <f t="shared" si="1041"/>
        <v>0</v>
      </c>
      <c r="GT223" s="540">
        <f t="shared" si="1041"/>
        <v>0</v>
      </c>
      <c r="GU223" s="540">
        <f t="shared" si="1041"/>
        <v>0</v>
      </c>
      <c r="GV223" s="540">
        <f t="shared" si="1041"/>
        <v>0</v>
      </c>
      <c r="GW223" s="540">
        <f t="shared" si="1041"/>
        <v>0</v>
      </c>
      <c r="GX223" s="540">
        <f t="shared" si="1041"/>
        <v>0</v>
      </c>
      <c r="GY223" s="540">
        <f t="shared" si="1041"/>
        <v>0</v>
      </c>
      <c r="GZ223" s="540">
        <f t="shared" si="1041"/>
        <v>0</v>
      </c>
      <c r="HA223" s="540">
        <f t="shared" si="1041"/>
        <v>0</v>
      </c>
      <c r="HB223" s="540">
        <f t="shared" si="1041"/>
        <v>0</v>
      </c>
      <c r="HC223" s="540">
        <f t="shared" si="1041"/>
        <v>0</v>
      </c>
      <c r="HD223" s="540">
        <f t="shared" si="1041"/>
        <v>0</v>
      </c>
      <c r="HE223" s="540">
        <f t="shared" si="1041"/>
        <v>697067045.54812527</v>
      </c>
      <c r="HF223" s="540">
        <f t="shared" si="1041"/>
        <v>0</v>
      </c>
      <c r="HG223" s="540">
        <f t="shared" si="1041"/>
        <v>0</v>
      </c>
      <c r="HH223" s="540" t="n">
        <f t="shared" ref="HH223:IM223" si="1042">MAX(HH196-HH211-HH222,0)</f>
        <v>0</v>
      </c>
      <c r="HI223" s="540">
        <f t="shared" si="1042"/>
        <v>0</v>
      </c>
      <c r="HJ223" s="540">
        <f t="shared" si="1042"/>
        <v>0</v>
      </c>
      <c r="HK223" s="540">
        <f t="shared" si="1042"/>
        <v>0</v>
      </c>
      <c r="HL223" s="540">
        <f t="shared" si="1042"/>
        <v>0</v>
      </c>
      <c r="HM223" s="540">
        <f t="shared" si="1042"/>
        <v>0</v>
      </c>
      <c r="HN223" s="540">
        <f t="shared" si="1042"/>
        <v>0</v>
      </c>
      <c r="HO223" s="540">
        <f t="shared" si="1042"/>
        <v>0</v>
      </c>
      <c r="HP223" s="540">
        <f t="shared" si="1042"/>
        <v>0</v>
      </c>
      <c r="HQ223" s="540">
        <f t="shared" si="1042"/>
        <v>0</v>
      </c>
      <c r="HR223" s="540">
        <f t="shared" si="1042"/>
        <v>0</v>
      </c>
      <c r="HS223" s="540">
        <f t="shared" si="1042"/>
        <v>0</v>
      </c>
      <c r="HT223" s="540">
        <f t="shared" si="1042"/>
        <v>0</v>
      </c>
      <c r="HU223" s="540">
        <f t="shared" si="1042"/>
        <v>0</v>
      </c>
      <c r="HV223" s="540">
        <f t="shared" si="1042"/>
        <v>0</v>
      </c>
      <c r="HW223" s="540">
        <f t="shared" si="1042"/>
        <v>0</v>
      </c>
      <c r="HX223" s="540">
        <f t="shared" si="1042"/>
        <v>0</v>
      </c>
      <c r="HY223" s="540">
        <f t="shared" si="1042"/>
        <v>0</v>
      </c>
      <c r="HZ223" s="540">
        <f t="shared" si="1042"/>
        <v>0</v>
      </c>
      <c r="IA223" s="540">
        <f t="shared" si="1042"/>
        <v>0</v>
      </c>
      <c r="IB223" s="540">
        <f t="shared" si="1042"/>
        <v>0</v>
      </c>
      <c r="IC223" s="540">
        <f t="shared" si="1042"/>
        <v>0</v>
      </c>
      <c r="ID223" s="540">
        <f t="shared" si="1042"/>
        <v>0</v>
      </c>
      <c r="IE223" s="540">
        <f t="shared" si="1042"/>
        <v>0</v>
      </c>
      <c r="IF223" s="540">
        <f t="shared" si="1042"/>
        <v>0</v>
      </c>
      <c r="IG223" s="540">
        <f t="shared" si="1042"/>
        <v>0</v>
      </c>
      <c r="IH223" s="540">
        <f t="shared" si="1042"/>
        <v>0</v>
      </c>
      <c r="II223" s="540">
        <f t="shared" si="1042"/>
        <v>0</v>
      </c>
      <c r="IJ223" s="540">
        <f t="shared" si="1042"/>
        <v>0</v>
      </c>
      <c r="IK223" s="540">
        <f t="shared" si="1042"/>
        <v>0</v>
      </c>
      <c r="IL223" s="540">
        <f t="shared" si="1042"/>
        <v>0</v>
      </c>
      <c r="IM223" s="540">
        <f t="shared" si="1042"/>
        <v>0</v>
      </c>
      <c r="IN223" s="540" t="n">
        <f t="shared" ref="IN223:JS223" si="1043">MAX(IN196-IN211-IN222,0)</f>
        <v>0</v>
      </c>
      <c r="IO223" s="540">
        <f t="shared" si="1043"/>
        <v>0</v>
      </c>
      <c r="IP223" s="540">
        <f t="shared" si="1043"/>
        <v>0</v>
      </c>
      <c r="IQ223" s="540">
        <f t="shared" si="1043"/>
        <v>0</v>
      </c>
      <c r="IR223" s="540">
        <f t="shared" si="1043"/>
        <v>0</v>
      </c>
      <c r="IS223" s="540">
        <f t="shared" si="1043"/>
        <v>0</v>
      </c>
      <c r="IT223" s="540">
        <f t="shared" si="1043"/>
        <v>0</v>
      </c>
      <c r="IU223" s="540">
        <f t="shared" si="1043"/>
        <v>0</v>
      </c>
      <c r="IV223" s="540">
        <f t="shared" si="1043"/>
        <v>0</v>
      </c>
      <c r="IW223" s="540">
        <f t="shared" si="1043"/>
        <v>0</v>
      </c>
      <c r="IX223" s="540">
        <f t="shared" si="1043"/>
        <v>0</v>
      </c>
      <c r="IY223" s="540">
        <f t="shared" si="1043"/>
        <v>0</v>
      </c>
      <c r="IZ223" s="540">
        <f t="shared" si="1043"/>
        <v>0</v>
      </c>
      <c r="JA223" s="540">
        <f t="shared" si="1043"/>
        <v>0</v>
      </c>
      <c r="JB223" s="540">
        <f t="shared" si="1043"/>
        <v>0</v>
      </c>
      <c r="JC223" s="540">
        <f t="shared" si="1043"/>
        <v>0</v>
      </c>
      <c r="JD223" s="540">
        <f t="shared" si="1043"/>
        <v>0</v>
      </c>
      <c r="JE223" s="540">
        <f t="shared" si="1043"/>
        <v>0</v>
      </c>
      <c r="JF223" s="540">
        <f t="shared" si="1043"/>
        <v>0</v>
      </c>
      <c r="JG223" s="540">
        <f t="shared" si="1043"/>
        <v>0</v>
      </c>
      <c r="JH223" s="540">
        <f t="shared" si="1043"/>
        <v>0</v>
      </c>
      <c r="JI223" s="540">
        <f t="shared" si="1043"/>
        <v>0</v>
      </c>
      <c r="JJ223" s="540">
        <f t="shared" si="1043"/>
        <v>0</v>
      </c>
      <c r="JK223" s="540">
        <f t="shared" si="1043"/>
        <v>0</v>
      </c>
      <c r="JL223" s="540">
        <f t="shared" si="1043"/>
        <v>0</v>
      </c>
      <c r="JM223" s="540">
        <f t="shared" si="1043"/>
        <v>0</v>
      </c>
      <c r="JN223" s="540">
        <f t="shared" si="1043"/>
        <v>0</v>
      </c>
      <c r="JO223" s="540">
        <f t="shared" si="1043"/>
        <v>0</v>
      </c>
      <c r="JP223" s="540">
        <f t="shared" si="1043"/>
        <v>0</v>
      </c>
      <c r="JQ223" s="540">
        <f t="shared" si="1043"/>
        <v>0</v>
      </c>
      <c r="JR223" s="540">
        <f t="shared" si="1043"/>
        <v>0</v>
      </c>
      <c r="JS223" s="540">
        <f t="shared" si="1043"/>
        <v>0</v>
      </c>
      <c r="JT223" s="540" t="n">
        <f t="shared" ref="JT223:JX223" si="1044">MAX(JT196-JT211-JT222,0)</f>
        <v>0</v>
      </c>
      <c r="JU223" s="540">
        <f t="shared" si="1044"/>
        <v>0</v>
      </c>
      <c r="JV223" s="540">
        <f t="shared" si="1044"/>
        <v>0</v>
      </c>
      <c r="JW223" s="540">
        <f t="shared" si="1044"/>
        <v>0</v>
      </c>
      <c r="JX223" s="540">
        <f t="shared" si="1044"/>
        <v>0</v>
      </c>
      <c r="JZ223" s="263"/>
      <c r="KA223" s="263"/>
      <c r="KB223" s="263"/>
      <c r="KC223" s="263"/>
      <c r="KD223" s="263"/>
      <c r="KE223" s="263"/>
      <c r="KF223" s="263"/>
      <c r="KG223" s="263"/>
      <c r="KH223" s="263"/>
      <c r="KI223" s="263"/>
      <c r="KJ223" s="263"/>
      <c r="KK223" s="263"/>
      <c r="KL223" s="263"/>
      <c r="KM223" s="263"/>
      <c r="KN223" s="263"/>
      <c r="KO223" s="263"/>
      <c r="KP223" s="263"/>
      <c r="KQ223" s="263"/>
      <c r="KR223" s="263"/>
      <c r="KS223" s="263"/>
      <c r="KT223" s="263"/>
      <c r="KU223" s="263"/>
      <c r="KV223" s="263"/>
      <c r="KW223" s="263"/>
      <c r="KX223" s="263"/>
      <c r="KY223" s="263"/>
      <c r="KZ223" s="263"/>
      <c r="LA223" s="263"/>
      <c r="LB223" s="263"/>
      <c r="LC223" s="263"/>
      <c r="LD223" s="263"/>
      <c r="LE223" s="263"/>
      <c r="LF223" s="263"/>
      <c r="LG223" s="263"/>
      <c r="LH223" s="263"/>
      <c r="LI223" s="263"/>
      <c r="LJ223" s="263"/>
      <c r="LK223" s="263"/>
      <c r="LL223" s="263"/>
      <c r="LM223" s="263"/>
      <c r="LN223" s="263"/>
      <c r="LO223" s="263"/>
      <c r="LP223" s="263"/>
      <c r="LQ223" s="263"/>
      <c r="LR223" s="263"/>
      <c r="LS223" s="263"/>
      <c r="LT223" s="263"/>
      <c r="LU223" s="263"/>
      <c r="LV223" s="263"/>
      <c r="LW223" s="263"/>
      <c r="LX223" s="263"/>
      <c r="LY223" s="263"/>
      <c r="LZ223" s="263"/>
      <c r="MA223" s="263"/>
      <c r="MB223" s="263"/>
      <c r="MC223" s="263"/>
      <c r="MD223" s="263"/>
      <c r="ME223" s="263"/>
      <c r="MF223" s="263"/>
      <c r="MG223" s="263"/>
      <c r="MH223" s="263"/>
      <c r="MI223" s="263"/>
      <c r="MJ223" s="263"/>
      <c r="MK223" s="263"/>
      <c r="ML223" s="263"/>
      <c r="MM223" s="263"/>
      <c r="MN223" s="263"/>
      <c r="MO223" s="263"/>
      <c r="MP223" s="263"/>
      <c r="MQ223" s="263"/>
      <c r="MR223" s="263"/>
      <c r="MS223" s="263"/>
      <c r="MT223" s="263"/>
      <c r="MU223" s="263"/>
      <c r="MV223" s="263"/>
      <c r="MW223" s="263"/>
      <c r="MX223" s="263"/>
      <c r="MY223" s="263"/>
      <c r="MZ223" s="263"/>
      <c r="NA223" s="263"/>
      <c r="NB223" s="263"/>
      <c r="NC223" s="263"/>
      <c r="ND223" s="263"/>
      <c r="NE223" s="263"/>
      <c r="NF223" s="263"/>
      <c r="NG223" s="263"/>
      <c r="NH223" s="263"/>
      <c r="NI223" s="263"/>
      <c r="NJ223" s="263"/>
      <c r="NK223" s="263"/>
      <c r="NL223" s="263"/>
      <c r="NM223" s="263"/>
      <c r="NN223" s="263"/>
      <c r="NO223" s="263"/>
      <c r="NP223" s="263"/>
      <c r="NQ223" s="263"/>
      <c r="NR223" s="263"/>
      <c r="NS223" s="263"/>
      <c r="NT223" s="263"/>
      <c r="NU223" s="263"/>
      <c r="NV223" s="263"/>
      <c r="NW223" s="263"/>
      <c r="NX223" s="263"/>
      <c r="NY223" s="263"/>
      <c r="NZ223" s="263"/>
      <c r="OA223" s="263"/>
      <c r="OB223" s="263"/>
      <c r="OC223" s="263"/>
      <c r="OD223" s="263"/>
      <c r="OE223" s="263"/>
      <c r="OF223" s="263"/>
      <c r="OG223" s="263"/>
      <c r="OH223" s="263"/>
      <c r="OI223" s="263"/>
      <c r="OJ223" s="263"/>
      <c r="OK223" s="263"/>
      <c r="OL223" s="263"/>
      <c r="OM223" s="263"/>
      <c r="ON223" s="263"/>
      <c r="OO223" s="263"/>
      <c r="OP223" s="263"/>
      <c r="OQ223" s="263"/>
      <c r="OR223" s="263"/>
      <c r="OS223" s="263"/>
      <c r="OT223" s="263"/>
      <c r="OU223" s="263"/>
      <c r="OV223" s="263"/>
      <c r="OW223" s="263"/>
      <c r="OX223" s="263"/>
      <c r="OY223" s="263"/>
      <c r="OZ223" s="263"/>
      <c r="PA223" s="263"/>
      <c r="PB223" s="263"/>
      <c r="PC223" s="263"/>
      <c r="PD223" s="263"/>
      <c r="PE223" s="263"/>
      <c r="PF223" s="263"/>
      <c r="PG223" s="263"/>
      <c r="PH223" s="263"/>
    </row>
    <row r="224">
      <c r="B224" s="448" t="str">
        <f>IF(Dbl_Promote?=1,C260,C228)</f>
        <v>Sponsor / General Partner — illustrative waterfall</v>
      </c>
      <c r="C224" s="404"/>
      <c r="D224" s="449" t="n">
        <f>IF(Dbl_Promote?=1,I249,I228)</f>
        <v>5067852.815863788</v>
      </c>
      <c r="E224" s="449" t="n">
        <f>IF(Dbl_Promote?=1,I265,I244)</f>
        <v>311070137.719603</v>
      </c>
      <c r="F224" s="41"/>
      <c r="G224" s="58" t="n">
        <f>IFERROR(E224/D224,"NA")</f>
        <v>61.38105209880346</v>
      </c>
      <c r="H224" s="544" t="n">
        <f>IFERROR(IF(Dbl_Promote?=1,F265,F244),"NA")</f>
        <v>62.38105209880346</v>
      </c>
      <c r="I224" s="40" t="str">
        <f>IFERROR(IF(Dbl_Promote?=1,G265,G244),"NA")</f>
        <v>NA</v>
      </c>
      <c r="EP224" s="409" t="s">
        <v>412</v>
      </c>
      <c r="EQ224" s="18"/>
      <c r="ER224" s="18"/>
      <c r="ES224" s="18"/>
      <c r="ET224" s="18" t="s">
        <v>366</v>
      </c>
      <c r="EU224" s="18"/>
      <c r="EV224" s="422" t="n">
        <f>(EV$197&lt;=Timing_Reversion_Month)*EU228</f>
        <v>0</v>
      </c>
      <c r="EW224" s="422" t="n">
        <f t="shared" ref="EW224:GA224" si="1045">(EW$197&lt;=Timing_Reversion_Month)*EV228</f>
        <v>82683053.2599155</v>
      </c>
      <c r="EX224" s="422">
        <f t="shared" si="1045"/>
        <v>83258427.399208412</v>
      </c>
      <c r="EY224" s="422">
        <f t="shared" si="1045"/>
        <v>84098191.875974551</v>
      </c>
      <c r="EZ224" s="422">
        <f t="shared" si="1045"/>
        <v>85315760.550576121</v>
      </c>
      <c r="FA224" s="422">
        <f t="shared" si="1045"/>
        <v>87057397.929822981</v>
      </c>
      <c r="FB224" s="422">
        <f t="shared" si="1045"/>
        <v>89612852.204272732</v>
      </c>
      <c r="FC224" s="422">
        <f t="shared" si="1045"/>
        <v>92425073.296410456</v>
      </c>
      <c r="FD224" s="422">
        <f t="shared" si="1045"/>
        <v>96392748.75531511</v>
      </c>
      <c r="FE224" s="422">
        <f t="shared" si="1045"/>
        <v>101773870.29620759</v>
      </c>
      <c r="FF224" s="422">
        <f t="shared" si="1045"/>
        <v>108824961.85520145</v>
      </c>
      <c r="FG224" s="422">
        <f t="shared" si="1045"/>
        <v>117778471.5106564</v>
      </c>
      <c r="FH224" s="422">
        <f t="shared" si="1045"/>
        <v>128816728.04327273</v>
      </c>
      <c r="FI224" s="422">
        <f t="shared" si="1045"/>
        <v>142045304.93256047</v>
      </c>
      <c r="FJ224" s="422">
        <f t="shared" si="1045"/>
        <v>157469426.99720815</v>
      </c>
      <c r="FK224" s="422">
        <f t="shared" si="1045"/>
        <v>174977311.5293386</v>
      </c>
      <c r="FL224" s="422">
        <f t="shared" si="1045"/>
        <v>194333886.30771461</v>
      </c>
      <c r="FM224" s="422">
        <f t="shared" si="1045"/>
        <v>199844958.4547247</v>
      </c>
      <c r="FN224" s="422">
        <f t="shared" si="1045"/>
        <v>201375661.96470362</v>
      </c>
      <c r="FO224" s="422">
        <f t="shared" si="1045"/>
        <v>200252960.23786917</v>
      </c>
      <c r="FP224" s="422">
        <f t="shared" si="1045"/>
        <v>199358778.03351173</v>
      </c>
      <c r="FQ224" s="422">
        <f t="shared" si="1045"/>
        <v>198608686.18816897</v>
      </c>
      <c r="FR224" s="422">
        <f t="shared" si="1045"/>
        <v>197250185.94238165</v>
      </c>
      <c r="FS224" s="422">
        <f t="shared" si="1045"/>
        <v>196017072.44227761</v>
      </c>
      <c r="FT224" s="422">
        <f t="shared" si="1045"/>
        <v>194899547.49153569</v>
      </c>
      <c r="FU224" s="422">
        <f t="shared" si="1045"/>
        <v>193595415.19000232</v>
      </c>
      <c r="FV224" s="422">
        <f t="shared" si="1045"/>
        <v>192378313.00994372</v>
      </c>
      <c r="FW224" s="422">
        <f t="shared" si="1045"/>
        <v>191234570.29825625</v>
      </c>
      <c r="FX224" s="422">
        <f t="shared" si="1045"/>
        <v>189972176.04515716</v>
      </c>
      <c r="FY224" s="422">
        <f t="shared" si="1045"/>
        <v>189352082.45611084</v>
      </c>
      <c r="FZ224" s="422">
        <f t="shared" si="1045"/>
        <v>190072591.13790494</v>
      </c>
      <c r="GA224" s="422">
        <f t="shared" si="1045"/>
        <v>189790111.88786659</v>
      </c>
      <c r="GB224" s="422" t="n">
        <f t="shared" ref="GB224:HG224" si="1046">(GB$197&lt;=Timing_Reversion_Month)*GA228</f>
        <v>189128214.6110597</v>
      </c>
      <c r="GC224" s="422">
        <f t="shared" si="1046"/>
        <v>188178492.90406346</v>
      </c>
      <c r="GD224" s="422">
        <f t="shared" si="1046"/>
        <v>187017066.87424317</v>
      </c>
      <c r="GE224" s="422">
        <f t="shared" si="1046"/>
        <v>185463991.52901265</v>
      </c>
      <c r="GF224" s="422">
        <f t="shared" si="1046"/>
        <v>183804692.5600701</v>
      </c>
      <c r="GG224" s="422">
        <f t="shared" si="1046"/>
        <v>182061113.07775456</v>
      </c>
      <c r="GH224" s="422">
        <f t="shared" si="1046"/>
        <v>180699373.0058139</v>
      </c>
      <c r="GI224" s="422">
        <f t="shared" si="1046"/>
        <v>179333728.75101689</v>
      </c>
      <c r="GJ224" s="422">
        <f t="shared" si="1046"/>
        <v>177964224.9398528</v>
      </c>
      <c r="GK224" s="422">
        <f t="shared" si="1046"/>
        <v>176584903.6121006</v>
      </c>
      <c r="GL224" s="422">
        <f t="shared" si="1046"/>
        <v>175201745.26780775</v>
      </c>
      <c r="GM224" s="422">
        <f t="shared" si="1046"/>
        <v>173814797.36878088</v>
      </c>
      <c r="GN224" s="422">
        <f t="shared" si="1046"/>
        <v>172268192.71825051</v>
      </c>
      <c r="GO224" s="422">
        <f t="shared" si="1046"/>
        <v>170716070.66183227</v>
      </c>
      <c r="GP224" s="422">
        <f t="shared" si="1046"/>
        <v>169158461.07061779</v>
      </c>
      <c r="GQ224" s="422">
        <f t="shared" si="1046"/>
        <v>167567711.47860566</v>
      </c>
      <c r="GR224" s="422">
        <f t="shared" si="1046"/>
        <v>165971212.97923803</v>
      </c>
      <c r="GS224" s="422">
        <f t="shared" si="1046"/>
        <v>164368994.87398252</v>
      </c>
      <c r="GT224" s="422">
        <f t="shared" si="1046"/>
        <v>162887921.74407628</v>
      </c>
      <c r="GU224" s="422">
        <f t="shared" si="1046"/>
        <v>161402676.6858241</v>
      </c>
      <c r="GV224" s="422">
        <f t="shared" si="1046"/>
        <v>159913309.66583443</v>
      </c>
      <c r="GW224" s="422">
        <f t="shared" si="1046"/>
        <v>158413878.24924842</v>
      </c>
      <c r="GX224" s="422">
        <f t="shared" si="1046"/>
        <v>156910358.58918932</v>
      </c>
      <c r="GY224" s="422">
        <f t="shared" si="1046"/>
        <v>155402803.87325698</v>
      </c>
      <c r="GZ224" s="422">
        <f t="shared" si="1046"/>
        <v>153750150.67716867</v>
      </c>
      <c r="HA224" s="422">
        <f t="shared" si="1046"/>
        <v>152091919.78029662</v>
      </c>
      <c r="HB224" s="422">
        <f t="shared" si="1046"/>
        <v>150428149.21279532</v>
      </c>
      <c r="HC224" s="422">
        <f t="shared" si="1046"/>
        <v>148730225.9109453</v>
      </c>
      <c r="HD224" s="422">
        <f t="shared" si="1046"/>
        <v>147026507.02184591</v>
      </c>
      <c r="HE224" s="422">
        <f t="shared" si="1046"/>
        <v>145317030.36649778</v>
      </c>
      <c r="HF224" s="422">
        <f t="shared" si="1046"/>
        <v>0</v>
      </c>
      <c r="HG224" s="422">
        <f t="shared" si="1046"/>
        <v>0</v>
      </c>
      <c r="HH224" s="422" t="n">
        <f t="shared" ref="HH224:IM224" si="1047">(HH$197&lt;=Timing_Reversion_Month)*HG228</f>
        <v>0</v>
      </c>
      <c r="HI224" s="422">
        <f t="shared" si="1047"/>
        <v>0</v>
      </c>
      <c r="HJ224" s="422">
        <f t="shared" si="1047"/>
        <v>0</v>
      </c>
      <c r="HK224" s="422">
        <f t="shared" si="1047"/>
        <v>0</v>
      </c>
      <c r="HL224" s="422">
        <f t="shared" si="1047"/>
        <v>0</v>
      </c>
      <c r="HM224" s="422">
        <f t="shared" si="1047"/>
        <v>0</v>
      </c>
      <c r="HN224" s="422">
        <f t="shared" si="1047"/>
        <v>0</v>
      </c>
      <c r="HO224" s="422">
        <f t="shared" si="1047"/>
        <v>0</v>
      </c>
      <c r="HP224" s="422">
        <f t="shared" si="1047"/>
        <v>0</v>
      </c>
      <c r="HQ224" s="422">
        <f t="shared" si="1047"/>
        <v>0</v>
      </c>
      <c r="HR224" s="422">
        <f t="shared" si="1047"/>
        <v>0</v>
      </c>
      <c r="HS224" s="422">
        <f t="shared" si="1047"/>
        <v>0</v>
      </c>
      <c r="HT224" s="422">
        <f t="shared" si="1047"/>
        <v>0</v>
      </c>
      <c r="HU224" s="422">
        <f t="shared" si="1047"/>
        <v>0</v>
      </c>
      <c r="HV224" s="422">
        <f t="shared" si="1047"/>
        <v>0</v>
      </c>
      <c r="HW224" s="422">
        <f t="shared" si="1047"/>
        <v>0</v>
      </c>
      <c r="HX224" s="422">
        <f t="shared" si="1047"/>
        <v>0</v>
      </c>
      <c r="HY224" s="422">
        <f t="shared" si="1047"/>
        <v>0</v>
      </c>
      <c r="HZ224" s="422">
        <f t="shared" si="1047"/>
        <v>0</v>
      </c>
      <c r="IA224" s="422">
        <f t="shared" si="1047"/>
        <v>0</v>
      </c>
      <c r="IB224" s="422">
        <f t="shared" si="1047"/>
        <v>0</v>
      </c>
      <c r="IC224" s="422">
        <f t="shared" si="1047"/>
        <v>0</v>
      </c>
      <c r="ID224" s="422">
        <f t="shared" si="1047"/>
        <v>0</v>
      </c>
      <c r="IE224" s="422">
        <f t="shared" si="1047"/>
        <v>0</v>
      </c>
      <c r="IF224" s="422">
        <f t="shared" si="1047"/>
        <v>0</v>
      </c>
      <c r="IG224" s="422">
        <f t="shared" si="1047"/>
        <v>0</v>
      </c>
      <c r="IH224" s="422">
        <f t="shared" si="1047"/>
        <v>0</v>
      </c>
      <c r="II224" s="422">
        <f t="shared" si="1047"/>
        <v>0</v>
      </c>
      <c r="IJ224" s="422">
        <f t="shared" si="1047"/>
        <v>0</v>
      </c>
      <c r="IK224" s="422">
        <f t="shared" si="1047"/>
        <v>0</v>
      </c>
      <c r="IL224" s="422">
        <f t="shared" si="1047"/>
        <v>0</v>
      </c>
      <c r="IM224" s="422">
        <f t="shared" si="1047"/>
        <v>0</v>
      </c>
      <c r="IN224" s="422" t="n">
        <f t="shared" ref="IN224:JX224" si="1048">(IN$197&lt;=Timing_Reversion_Month)*IM228</f>
        <v>0</v>
      </c>
      <c r="IO224" s="422">
        <f t="shared" si="1048"/>
        <v>0</v>
      </c>
      <c r="IP224" s="422">
        <f t="shared" si="1048"/>
        <v>0</v>
      </c>
      <c r="IQ224" s="422">
        <f t="shared" si="1048"/>
        <v>0</v>
      </c>
      <c r="IR224" s="422">
        <f t="shared" si="1048"/>
        <v>0</v>
      </c>
      <c r="IS224" s="422">
        <f t="shared" si="1048"/>
        <v>0</v>
      </c>
      <c r="IT224" s="422">
        <f t="shared" si="1048"/>
        <v>0</v>
      </c>
      <c r="IU224" s="422">
        <f t="shared" si="1048"/>
        <v>0</v>
      </c>
      <c r="IV224" s="422">
        <f t="shared" si="1048"/>
        <v>0</v>
      </c>
      <c r="IW224" s="422">
        <f t="shared" si="1048"/>
        <v>0</v>
      </c>
      <c r="IX224" s="422">
        <f t="shared" si="1048"/>
        <v>0</v>
      </c>
      <c r="IY224" s="422">
        <f t="shared" si="1048"/>
        <v>0</v>
      </c>
      <c r="IZ224" s="422">
        <f t="shared" si="1048"/>
        <v>0</v>
      </c>
      <c r="JA224" s="422">
        <f t="shared" si="1048"/>
        <v>0</v>
      </c>
      <c r="JB224" s="422">
        <f t="shared" si="1048"/>
        <v>0</v>
      </c>
      <c r="JC224" s="422">
        <f t="shared" si="1048"/>
        <v>0</v>
      </c>
      <c r="JD224" s="422">
        <f t="shared" si="1048"/>
        <v>0</v>
      </c>
      <c r="JE224" s="422">
        <f t="shared" si="1048"/>
        <v>0</v>
      </c>
      <c r="JF224" s="422">
        <f t="shared" si="1048"/>
        <v>0</v>
      </c>
      <c r="JG224" s="422">
        <f t="shared" si="1048"/>
        <v>0</v>
      </c>
      <c r="JH224" s="422">
        <f t="shared" si="1048"/>
        <v>0</v>
      </c>
      <c r="JI224" s="422">
        <f t="shared" si="1048"/>
        <v>0</v>
      </c>
      <c r="JJ224" s="422">
        <f t="shared" si="1048"/>
        <v>0</v>
      </c>
      <c r="JK224" s="422">
        <f t="shared" si="1048"/>
        <v>0</v>
      </c>
      <c r="JL224" s="422">
        <f t="shared" si="1048"/>
        <v>0</v>
      </c>
      <c r="JM224" s="422">
        <f t="shared" si="1048"/>
        <v>0</v>
      </c>
      <c r="JN224" s="422">
        <f t="shared" si="1048"/>
        <v>0</v>
      </c>
      <c r="JO224" s="422">
        <f t="shared" si="1048"/>
        <v>0</v>
      </c>
      <c r="JP224" s="422">
        <f t="shared" si="1048"/>
        <v>0</v>
      </c>
      <c r="JQ224" s="422">
        <f t="shared" si="1048"/>
        <v>0</v>
      </c>
      <c r="JR224" s="422">
        <f t="shared" si="1048"/>
        <v>0</v>
      </c>
      <c r="JS224" s="422">
        <f t="shared" si="1048"/>
        <v>0</v>
      </c>
      <c r="JT224" s="422">
        <f t="shared" si="1048"/>
        <v>0</v>
      </c>
      <c r="JU224" s="422">
        <f t="shared" si="1048"/>
        <v>0</v>
      </c>
      <c r="JV224" s="422">
        <f t="shared" si="1048"/>
        <v>0</v>
      </c>
      <c r="JW224" s="422">
        <f t="shared" si="1048"/>
        <v>0</v>
      </c>
      <c r="JX224" s="422">
        <f t="shared" si="1048"/>
        <v>0</v>
      </c>
      <c r="JZ224" s="263"/>
      <c r="KA224" s="263"/>
      <c r="KB224" s="263"/>
      <c r="KC224" s="263"/>
      <c r="KD224" s="263"/>
      <c r="KE224" s="263"/>
      <c r="KF224" s="263"/>
      <c r="KG224" s="263"/>
      <c r="KH224" s="263"/>
      <c r="KI224" s="263"/>
      <c r="KJ224" s="263"/>
      <c r="KK224" s="263"/>
      <c r="KL224" s="263"/>
      <c r="KM224" s="263"/>
      <c r="KN224" s="263"/>
      <c r="KO224" s="263"/>
      <c r="KP224" s="263"/>
      <c r="KQ224" s="263"/>
      <c r="KR224" s="263"/>
      <c r="KS224" s="263"/>
      <c r="KT224" s="263"/>
      <c r="KU224" s="263"/>
      <c r="KV224" s="263"/>
      <c r="KW224" s="263"/>
      <c r="KX224" s="263"/>
      <c r="KY224" s="263"/>
      <c r="KZ224" s="263"/>
      <c r="LA224" s="263"/>
      <c r="LB224" s="263"/>
      <c r="LC224" s="263"/>
      <c r="LD224" s="263"/>
      <c r="LE224" s="263"/>
      <c r="LF224" s="263"/>
      <c r="LG224" s="263"/>
      <c r="LH224" s="263"/>
      <c r="LI224" s="263"/>
      <c r="LJ224" s="263"/>
      <c r="LK224" s="263"/>
      <c r="LL224" s="263"/>
      <c r="LM224" s="263"/>
      <c r="LN224" s="263"/>
      <c r="LO224" s="263"/>
      <c r="LP224" s="263"/>
      <c r="LQ224" s="263"/>
      <c r="LR224" s="263"/>
      <c r="LS224" s="263"/>
      <c r="LT224" s="263"/>
      <c r="LU224" s="263"/>
      <c r="LV224" s="263"/>
      <c r="LW224" s="263"/>
      <c r="LX224" s="263"/>
      <c r="LY224" s="263"/>
      <c r="LZ224" s="263"/>
      <c r="MA224" s="263"/>
      <c r="MB224" s="263"/>
      <c r="MC224" s="263"/>
      <c r="MD224" s="263"/>
      <c r="ME224" s="263"/>
      <c r="MF224" s="263"/>
      <c r="MG224" s="263"/>
      <c r="MH224" s="263"/>
      <c r="MI224" s="263"/>
      <c r="MJ224" s="263"/>
      <c r="MK224" s="263"/>
      <c r="ML224" s="263"/>
      <c r="MM224" s="263"/>
      <c r="MN224" s="263"/>
      <c r="MO224" s="263"/>
      <c r="MP224" s="263"/>
      <c r="MQ224" s="263"/>
      <c r="MR224" s="263"/>
      <c r="MS224" s="263"/>
      <c r="MT224" s="263"/>
      <c r="MU224" s="263"/>
      <c r="MV224" s="263"/>
      <c r="MW224" s="263"/>
      <c r="MX224" s="263"/>
      <c r="MY224" s="263"/>
      <c r="MZ224" s="263"/>
      <c r="NA224" s="263"/>
      <c r="NB224" s="263"/>
      <c r="NC224" s="263"/>
      <c r="ND224" s="263"/>
      <c r="NE224" s="263"/>
      <c r="NF224" s="263"/>
      <c r="NG224" s="263"/>
      <c r="NH224" s="263"/>
      <c r="NI224" s="263"/>
      <c r="NJ224" s="263"/>
      <c r="NK224" s="263"/>
      <c r="NL224" s="263"/>
      <c r="NM224" s="263"/>
      <c r="NN224" s="263"/>
      <c r="NO224" s="263"/>
      <c r="NP224" s="263"/>
      <c r="NQ224" s="263"/>
      <c r="NR224" s="263"/>
      <c r="NS224" s="263"/>
      <c r="NT224" s="263"/>
      <c r="NU224" s="263"/>
      <c r="NV224" s="263"/>
      <c r="NW224" s="263"/>
      <c r="NX224" s="263"/>
      <c r="NY224" s="263"/>
      <c r="NZ224" s="263"/>
      <c r="OA224" s="263"/>
      <c r="OB224" s="263"/>
      <c r="OC224" s="263"/>
      <c r="OD224" s="263"/>
      <c r="OE224" s="263"/>
      <c r="OF224" s="263"/>
      <c r="OG224" s="263"/>
      <c r="OH224" s="263"/>
      <c r="OI224" s="263"/>
      <c r="OJ224" s="263"/>
      <c r="OK224" s="263"/>
      <c r="OL224" s="263"/>
      <c r="OM224" s="263"/>
      <c r="ON224" s="263"/>
      <c r="OO224" s="263"/>
      <c r="OP224" s="263"/>
      <c r="OQ224" s="263"/>
      <c r="OR224" s="263"/>
      <c r="OS224" s="263"/>
      <c r="OT224" s="263"/>
      <c r="OU224" s="263"/>
      <c r="OV224" s="263"/>
      <c r="OW224" s="263"/>
      <c r="OX224" s="263"/>
      <c r="OY224" s="263"/>
      <c r="OZ224" s="263"/>
      <c r="PA224" s="263"/>
      <c r="PB224" s="263"/>
      <c r="PC224" s="263"/>
      <c r="PD224" s="263"/>
      <c r="PE224" s="263"/>
      <c r="PF224" s="263"/>
      <c r="PG224" s="263"/>
      <c r="PH224" s="263"/>
    </row>
    <row r="225">
      <c r="B225" s="448" t="str">
        <f>IF(Dbl_Promote?=1,C250,"")</f>
      </c>
      <c r="C225" s="404"/>
      <c r="D225" s="41" t="str">
        <f>IF(Dbl_Promote?=1,I250,"")</f>
      </c>
      <c r="E225" s="41" t="str">
        <f>IF(Dbl_Promote?=1,I266,"")</f>
      </c>
      <c r="F225" s="41"/>
      <c r="G225" s="58" t="str">
        <f>IFERROR(IF(Dbl_Promote?=1,E225/D225,""),"NA")</f>
      </c>
      <c r="H225" s="91" t="str">
        <f>IFERROR(IF(Dbl_Promote?=1,F266,""),"NA")</f>
      </c>
      <c r="I225" s="40" t="str">
        <f>IFERROR(IF(Dbl_Promote?=1,G266,""),"NA")</f>
      </c>
      <c r="J225" s="545"/>
      <c r="K225" s="546"/>
      <c r="L225" s="546"/>
      <c r="M225" s="546"/>
      <c r="N225" s="546"/>
      <c r="O225" s="546"/>
      <c r="P225" s="546"/>
      <c r="Q225" s="546"/>
      <c r="R225" s="546"/>
      <c r="S225" s="546"/>
      <c r="T225" s="546"/>
      <c r="U225" s="546"/>
      <c r="V225" s="546"/>
      <c r="W225" s="546"/>
      <c r="X225" s="546"/>
      <c r="Y225" s="546"/>
      <c r="Z225" s="546"/>
      <c r="AA225" s="546"/>
      <c r="AB225" s="546"/>
      <c r="AC225" s="546"/>
      <c r="AD225" s="546"/>
      <c r="AE225" s="546"/>
      <c r="AF225" s="546"/>
      <c r="AG225" s="546"/>
      <c r="AH225" s="546"/>
      <c r="AI225" s="546"/>
      <c r="AJ225" s="546"/>
      <c r="AK225" s="546"/>
      <c r="AL225" s="546"/>
      <c r="AM225" s="546"/>
      <c r="AN225" s="546"/>
      <c r="AO225" s="546"/>
      <c r="AP225" s="546"/>
      <c r="AQ225" s="546"/>
      <c r="AR225" s="546"/>
      <c r="AS225" s="546"/>
      <c r="AT225" s="546"/>
      <c r="AU225" s="546"/>
      <c r="AV225" s="546"/>
      <c r="AW225" s="546"/>
      <c r="AX225" s="546"/>
      <c r="AY225" s="546"/>
      <c r="AZ225" s="546"/>
      <c r="BA225" s="546"/>
      <c r="BB225" s="546"/>
      <c r="BC225" s="546"/>
      <c r="BD225" s="546"/>
      <c r="BE225" s="546"/>
      <c r="BF225" s="546"/>
      <c r="BG225" s="546"/>
      <c r="BH225" s="546"/>
      <c r="BI225" s="546"/>
      <c r="BJ225" s="546"/>
      <c r="BK225" s="546"/>
      <c r="BL225" s="546"/>
      <c r="BM225" s="546"/>
      <c r="BN225" s="546"/>
      <c r="BO225" s="546"/>
      <c r="BP225" s="546"/>
      <c r="BQ225" s="546"/>
      <c r="BR225" s="546"/>
      <c r="BS225" s="546"/>
      <c r="BT225" s="546"/>
      <c r="BU225" s="546"/>
      <c r="BV225" s="546"/>
      <c r="BW225" s="546"/>
      <c r="BX225" s="546"/>
      <c r="BY225" s="546"/>
      <c r="BZ225" s="546"/>
      <c r="CA225" s="546"/>
      <c r="CB225" s="546"/>
      <c r="CC225" s="546"/>
      <c r="CD225" s="546"/>
      <c r="CE225" s="546"/>
      <c r="CF225" s="546"/>
      <c r="CG225" s="546"/>
      <c r="CH225" s="546"/>
      <c r="CI225" s="546"/>
      <c r="CJ225" s="546"/>
      <c r="CK225" s="546"/>
      <c r="CL225" s="546"/>
      <c r="CM225" s="546"/>
      <c r="CN225" s="546"/>
      <c r="CO225" s="546"/>
      <c r="CP225" s="546"/>
      <c r="CQ225" s="546"/>
      <c r="CR225" s="546"/>
      <c r="CS225" s="546"/>
      <c r="CT225" s="546"/>
      <c r="CU225" s="546"/>
      <c r="CV225" s="546"/>
      <c r="CW225" s="546"/>
      <c r="CX225" s="546"/>
      <c r="CY225" s="546"/>
      <c r="CZ225" s="546"/>
      <c r="DA225" s="546"/>
      <c r="DB225" s="546"/>
      <c r="DC225" s="546"/>
      <c r="DD225" s="546"/>
      <c r="DE225" s="546"/>
      <c r="DF225" s="546"/>
      <c r="DG225" s="546"/>
      <c r="DH225" s="546"/>
      <c r="DI225" s="546"/>
      <c r="DJ225" s="546"/>
      <c r="DK225" s="546"/>
      <c r="DL225" s="546"/>
      <c r="DM225" s="546"/>
      <c r="DN225" s="546"/>
      <c r="DO225" s="546"/>
      <c r="DP225" s="546"/>
      <c r="DQ225" s="546"/>
      <c r="DR225" s="546"/>
      <c r="DS225" s="546"/>
      <c r="DT225" s="546"/>
      <c r="DU225" s="546"/>
      <c r="DV225" s="546"/>
      <c r="DW225" s="546"/>
      <c r="DX225" s="546"/>
      <c r="DY225" s="546"/>
      <c r="DZ225" s="546"/>
      <c r="EA225" s="546"/>
      <c r="EB225" s="546"/>
      <c r="EC225" s="546"/>
      <c r="ED225" s="546"/>
      <c r="EE225" s="546"/>
      <c r="EF225" s="546"/>
      <c r="EG225" s="546"/>
      <c r="EH225" s="546"/>
      <c r="EI225" s="546"/>
      <c r="EJ225" s="546"/>
      <c r="EK225" s="546"/>
      <c r="EL225" s="546"/>
      <c r="EM225" s="546"/>
      <c r="EN225" s="546"/>
      <c r="EO225" s="546"/>
      <c r="EP225" s="409"/>
      <c r="EQ225" s="18"/>
      <c r="ER225" s="18"/>
      <c r="ES225" s="18"/>
      <c r="ET225" s="18" t="s">
        <v>369</v>
      </c>
      <c r="EU225" s="18"/>
      <c r="EV225" s="422" t="n">
        <f>(EV$197&lt;=Timing_Reversion_Month)*(EV224*((1+$EP226)^(1/12)-1))</f>
        <v>0</v>
      </c>
      <c r="EW225" s="422" t="n">
        <f t="shared" ref="EW225:GA225" si="1049">(EW$197&lt;=Timing_Reversion_Month)*(EW224*((1+$EP226)^(1/12)-1))</f>
        <v>968625.0996197222</v>
      </c>
      <c r="EX225" s="422">
        <f t="shared" si="1049"/>
        <v>975365.55985937081</v>
      </c>
      <c r="EY225" s="422">
        <f t="shared" si="1049"/>
        <v>985203.33093693026</v>
      </c>
      <c r="EZ225" s="422">
        <f t="shared" si="1049"/>
        <v>999467.04680410365</v>
      </c>
      <c r="FA225" s="422">
        <f t="shared" si="1049"/>
        <v>1019870.1840064918</v>
      </c>
      <c r="FB225" s="422">
        <f t="shared" si="1049"/>
        <v>1049807.1185241549</v>
      </c>
      <c r="FC225" s="422">
        <f t="shared" si="1049"/>
        <v>1082752.0549788077</v>
      </c>
      <c r="FD225" s="422">
        <f t="shared" si="1049"/>
        <v>1129233.0433448169</v>
      </c>
      <c r="FE225" s="422">
        <f t="shared" si="1049"/>
        <v>1192272.4351320057</v>
      </c>
      <c r="FF225" s="422">
        <f t="shared" si="1049"/>
        <v>1274875.3869398981</v>
      </c>
      <c r="FG225" s="422">
        <f t="shared" si="1049"/>
        <v>1379765.0086946578</v>
      </c>
      <c r="FH225" s="422">
        <f t="shared" si="1049"/>
        <v>1509077.2669142871</v>
      </c>
      <c r="FI225" s="422">
        <f t="shared" si="1049"/>
        <v>1664048.9461401855</v>
      </c>
      <c r="FJ225" s="422">
        <f t="shared" si="1049"/>
        <v>1844741.2546892103</v>
      </c>
      <c r="FK225" s="422">
        <f t="shared" si="1049"/>
        <v>2049844.6674255047</v>
      </c>
      <c r="FL225" s="422">
        <f t="shared" si="1049"/>
        <v>2276605.3328071088</v>
      </c>
      <c r="FM225" s="422">
        <f t="shared" si="1049"/>
        <v>2341167.0851486502</v>
      </c>
      <c r="FN225" s="422">
        <f t="shared" si="1049"/>
        <v>2359099.1495969812</v>
      </c>
      <c r="FO225" s="422">
        <f t="shared" si="1049"/>
        <v>2345946.7921413397</v>
      </c>
      <c r="FP225" s="422">
        <f t="shared" si="1049"/>
        <v>2335471.5219060807</v>
      </c>
      <c r="FQ225" s="422">
        <f t="shared" si="1049"/>
        <v>2326684.2582556307</v>
      </c>
      <c r="FR225" s="422">
        <f t="shared" si="1049"/>
        <v>2310769.540740632</v>
      </c>
      <c r="FS225" s="422">
        <f t="shared" si="1049"/>
        <v>2296323.7185341637</v>
      </c>
      <c r="FT225" s="422">
        <f t="shared" si="1049"/>
        <v>2283232.0065803588</v>
      </c>
      <c r="FU225" s="422">
        <f t="shared" si="1049"/>
        <v>2267954.2050153981</v>
      </c>
      <c r="FV225" s="422">
        <f t="shared" si="1049"/>
        <v>2253695.9540930395</v>
      </c>
      <c r="FW225" s="422">
        <f t="shared" si="1049"/>
        <v>2240297.1032479326</v>
      </c>
      <c r="FX225" s="422">
        <f t="shared" si="1049"/>
        <v>2225508.2594527765</v>
      </c>
      <c r="FY225" s="422">
        <f t="shared" si="1049"/>
        <v>2218243.9145745654</v>
      </c>
      <c r="FZ225" s="422">
        <f t="shared" si="1049"/>
        <v>2226684.613921816</v>
      </c>
      <c r="GA225" s="422">
        <f t="shared" si="1049"/>
        <v>2223375.3929760344</v>
      </c>
      <c r="GB225" s="422" t="n">
        <f t="shared" ref="GB225:HG225" si="1050">(GB$197&lt;=Timing_Reversion_Month)*(GB224*((1+$EP226)^(1/12)-1))</f>
        <v>2215621.3213687646</v>
      </c>
      <c r="GC225" s="422">
        <f t="shared" si="1050"/>
        <v>2204495.4104743223</v>
      </c>
      <c r="GD225" s="422">
        <f t="shared" si="1050"/>
        <v>2190889.4010264222</v>
      </c>
      <c r="GE225" s="422">
        <f t="shared" si="1050"/>
        <v>2172695.2523867744</v>
      </c>
      <c r="GF225" s="422">
        <f t="shared" si="1050"/>
        <v>2153256.7028204137</v>
      </c>
      <c r="GG225" s="422">
        <f t="shared" si="1050"/>
        <v>2132830.8140419265</v>
      </c>
      <c r="GH225" s="422">
        <f t="shared" si="1050"/>
        <v>2116878.1422327063</v>
      </c>
      <c r="GI225" s="422">
        <f t="shared" si="1050"/>
        <v>2100879.7332456843</v>
      </c>
      <c r="GJ225" s="422">
        <f t="shared" si="1050"/>
        <v>2084836.1098764744</v>
      </c>
      <c r="GK225" s="422">
        <f t="shared" si="1050"/>
        <v>2068677.4751160755</v>
      </c>
      <c r="GL225" s="422">
        <f t="shared" si="1050"/>
        <v>2052473.8900256827</v>
      </c>
      <c r="GM225" s="422">
        <f t="shared" si="1050"/>
        <v>2036225.9106164179</v>
      </c>
      <c r="GN225" s="422">
        <f t="shared" si="1050"/>
        <v>2018107.5656275956</v>
      </c>
      <c r="GO225" s="422">
        <f t="shared" si="1050"/>
        <v>1999924.5846871841</v>
      </c>
      <c r="GP225" s="422">
        <f t="shared" si="1050"/>
        <v>1981677.3177325397</v>
      </c>
      <c r="GQ225" s="422">
        <f t="shared" si="1050"/>
        <v>1963041.8184218269</v>
      </c>
      <c r="GR225" s="422">
        <f t="shared" si="1050"/>
        <v>1944338.9711390645</v>
      </c>
      <c r="GS225" s="422">
        <f t="shared" si="1050"/>
        <v>1925569.1191485112</v>
      </c>
      <c r="GT225" s="422">
        <f t="shared" si="1050"/>
        <v>1908218.4704794325</v>
      </c>
      <c r="GU225" s="422">
        <f t="shared" si="1050"/>
        <v>1890818.9480163853</v>
      </c>
      <c r="GV225" s="422">
        <f t="shared" si="1050"/>
        <v>1873371.1371140368</v>
      </c>
      <c r="GW225" s="422">
        <f t="shared" si="1050"/>
        <v>1855805.4226417136</v>
      </c>
      <c r="GX225" s="422">
        <f t="shared" si="1050"/>
        <v>1838191.8147367551</v>
      </c>
      <c r="GY225" s="422">
        <f t="shared" si="1050"/>
        <v>1820530.9364874745</v>
      </c>
      <c r="GZ225" s="422">
        <f t="shared" si="1050"/>
        <v>1801170.2415979698</v>
      </c>
      <c r="HA225" s="422">
        <f t="shared" si="1050"/>
        <v>1781744.20440718</v>
      </c>
      <c r="HB225" s="422">
        <f t="shared" si="1050"/>
        <v>1762253.2704352047</v>
      </c>
      <c r="HC225" s="422">
        <f t="shared" si="1050"/>
        <v>1742362.2400177487</v>
      </c>
      <c r="HD225" s="422">
        <f t="shared" si="1050"/>
        <v>1722403.3147771643</v>
      </c>
      <c r="HE225" s="422">
        <f t="shared" si="1050"/>
        <v>1702376.9377833323</v>
      </c>
      <c r="HF225" s="422">
        <f t="shared" si="1050"/>
        <v>0</v>
      </c>
      <c r="HG225" s="422">
        <f t="shared" si="1050"/>
        <v>0</v>
      </c>
      <c r="HH225" s="422" t="n">
        <f t="shared" ref="HH225:IM225" si="1051">(HH$197&lt;=Timing_Reversion_Month)*(HH224*((1+$EP226)^(1/12)-1))</f>
        <v>0</v>
      </c>
      <c r="HI225" s="422">
        <f t="shared" si="1051"/>
        <v>0</v>
      </c>
      <c r="HJ225" s="422">
        <f t="shared" si="1051"/>
        <v>0</v>
      </c>
      <c r="HK225" s="422">
        <f t="shared" si="1051"/>
        <v>0</v>
      </c>
      <c r="HL225" s="422">
        <f t="shared" si="1051"/>
        <v>0</v>
      </c>
      <c r="HM225" s="422">
        <f t="shared" si="1051"/>
        <v>0</v>
      </c>
      <c r="HN225" s="422">
        <f t="shared" si="1051"/>
        <v>0</v>
      </c>
      <c r="HO225" s="422">
        <f t="shared" si="1051"/>
        <v>0</v>
      </c>
      <c r="HP225" s="422">
        <f t="shared" si="1051"/>
        <v>0</v>
      </c>
      <c r="HQ225" s="422">
        <f t="shared" si="1051"/>
        <v>0</v>
      </c>
      <c r="HR225" s="422">
        <f t="shared" si="1051"/>
        <v>0</v>
      </c>
      <c r="HS225" s="422">
        <f t="shared" si="1051"/>
        <v>0</v>
      </c>
      <c r="HT225" s="422">
        <f t="shared" si="1051"/>
        <v>0</v>
      </c>
      <c r="HU225" s="422">
        <f t="shared" si="1051"/>
        <v>0</v>
      </c>
      <c r="HV225" s="422">
        <f t="shared" si="1051"/>
        <v>0</v>
      </c>
      <c r="HW225" s="422">
        <f t="shared" si="1051"/>
        <v>0</v>
      </c>
      <c r="HX225" s="422">
        <f t="shared" si="1051"/>
        <v>0</v>
      </c>
      <c r="HY225" s="422">
        <f t="shared" si="1051"/>
        <v>0</v>
      </c>
      <c r="HZ225" s="422">
        <f t="shared" si="1051"/>
        <v>0</v>
      </c>
      <c r="IA225" s="422">
        <f t="shared" si="1051"/>
        <v>0</v>
      </c>
      <c r="IB225" s="422">
        <f t="shared" si="1051"/>
        <v>0</v>
      </c>
      <c r="IC225" s="422">
        <f t="shared" si="1051"/>
        <v>0</v>
      </c>
      <c r="ID225" s="422">
        <f t="shared" si="1051"/>
        <v>0</v>
      </c>
      <c r="IE225" s="422">
        <f t="shared" si="1051"/>
        <v>0</v>
      </c>
      <c r="IF225" s="422">
        <f t="shared" si="1051"/>
        <v>0</v>
      </c>
      <c r="IG225" s="422">
        <f t="shared" si="1051"/>
        <v>0</v>
      </c>
      <c r="IH225" s="422">
        <f t="shared" si="1051"/>
        <v>0</v>
      </c>
      <c r="II225" s="422">
        <f t="shared" si="1051"/>
        <v>0</v>
      </c>
      <c r="IJ225" s="422">
        <f t="shared" si="1051"/>
        <v>0</v>
      </c>
      <c r="IK225" s="422">
        <f t="shared" si="1051"/>
        <v>0</v>
      </c>
      <c r="IL225" s="422">
        <f t="shared" si="1051"/>
        <v>0</v>
      </c>
      <c r="IM225" s="422">
        <f t="shared" si="1051"/>
        <v>0</v>
      </c>
      <c r="IN225" s="422" t="n">
        <f t="shared" ref="IN225:JS225" si="1052">(IN$197&lt;=Timing_Reversion_Month)*(IN224*((1+$EP226)^(1/12)-1))</f>
        <v>0</v>
      </c>
      <c r="IO225" s="422">
        <f t="shared" si="1052"/>
        <v>0</v>
      </c>
      <c r="IP225" s="422">
        <f t="shared" si="1052"/>
        <v>0</v>
      </c>
      <c r="IQ225" s="422">
        <f t="shared" si="1052"/>
        <v>0</v>
      </c>
      <c r="IR225" s="422">
        <f t="shared" si="1052"/>
        <v>0</v>
      </c>
      <c r="IS225" s="422">
        <f t="shared" si="1052"/>
        <v>0</v>
      </c>
      <c r="IT225" s="422">
        <f t="shared" si="1052"/>
        <v>0</v>
      </c>
      <c r="IU225" s="422">
        <f t="shared" si="1052"/>
        <v>0</v>
      </c>
      <c r="IV225" s="422">
        <f t="shared" si="1052"/>
        <v>0</v>
      </c>
      <c r="IW225" s="422">
        <f t="shared" si="1052"/>
        <v>0</v>
      </c>
      <c r="IX225" s="422">
        <f t="shared" si="1052"/>
        <v>0</v>
      </c>
      <c r="IY225" s="422">
        <f t="shared" si="1052"/>
        <v>0</v>
      </c>
      <c r="IZ225" s="422">
        <f t="shared" si="1052"/>
        <v>0</v>
      </c>
      <c r="JA225" s="422">
        <f t="shared" si="1052"/>
        <v>0</v>
      </c>
      <c r="JB225" s="422">
        <f t="shared" si="1052"/>
        <v>0</v>
      </c>
      <c r="JC225" s="422">
        <f t="shared" si="1052"/>
        <v>0</v>
      </c>
      <c r="JD225" s="422">
        <f t="shared" si="1052"/>
        <v>0</v>
      </c>
      <c r="JE225" s="422">
        <f t="shared" si="1052"/>
        <v>0</v>
      </c>
      <c r="JF225" s="422">
        <f t="shared" si="1052"/>
        <v>0</v>
      </c>
      <c r="JG225" s="422">
        <f t="shared" si="1052"/>
        <v>0</v>
      </c>
      <c r="JH225" s="422">
        <f t="shared" si="1052"/>
        <v>0</v>
      </c>
      <c r="JI225" s="422">
        <f t="shared" si="1052"/>
        <v>0</v>
      </c>
      <c r="JJ225" s="422">
        <f t="shared" si="1052"/>
        <v>0</v>
      </c>
      <c r="JK225" s="422">
        <f t="shared" si="1052"/>
        <v>0</v>
      </c>
      <c r="JL225" s="422">
        <f t="shared" si="1052"/>
        <v>0</v>
      </c>
      <c r="JM225" s="422">
        <f t="shared" si="1052"/>
        <v>0</v>
      </c>
      <c r="JN225" s="422">
        <f t="shared" si="1052"/>
        <v>0</v>
      </c>
      <c r="JO225" s="422">
        <f t="shared" si="1052"/>
        <v>0</v>
      </c>
      <c r="JP225" s="422">
        <f t="shared" si="1052"/>
        <v>0</v>
      </c>
      <c r="JQ225" s="422">
        <f t="shared" si="1052"/>
        <v>0</v>
      </c>
      <c r="JR225" s="422">
        <f t="shared" si="1052"/>
        <v>0</v>
      </c>
      <c r="JS225" s="422">
        <f t="shared" si="1052"/>
        <v>0</v>
      </c>
      <c r="JT225" s="422" t="n">
        <f t="shared" ref="JT225:JX225" si="1053">(JT$197&lt;=Timing_Reversion_Month)*(JT224*((1+$EP226)^(1/12)-1))</f>
        <v>0</v>
      </c>
      <c r="JU225" s="422">
        <f t="shared" si="1053"/>
        <v>0</v>
      </c>
      <c r="JV225" s="422">
        <f t="shared" si="1053"/>
        <v>0</v>
      </c>
      <c r="JW225" s="422">
        <f t="shared" si="1053"/>
        <v>0</v>
      </c>
      <c r="JX225" s="422">
        <f t="shared" si="1053"/>
        <v>0</v>
      </c>
      <c r="JZ225" s="263"/>
      <c r="KA225" s="263"/>
      <c r="KB225" s="263"/>
      <c r="KC225" s="263"/>
      <c r="KD225" s="263"/>
      <c r="KE225" s="263"/>
      <c r="KF225" s="263"/>
      <c r="KG225" s="263"/>
      <c r="KH225" s="263"/>
      <c r="KI225" s="263"/>
      <c r="KJ225" s="263"/>
      <c r="KK225" s="263"/>
      <c r="KL225" s="263"/>
      <c r="KM225" s="263"/>
      <c r="KN225" s="263"/>
      <c r="KO225" s="263"/>
      <c r="KP225" s="263"/>
      <c r="KQ225" s="263"/>
      <c r="KR225" s="263"/>
      <c r="KS225" s="263"/>
      <c r="KT225" s="263"/>
      <c r="KU225" s="263"/>
      <c r="KV225" s="263"/>
      <c r="KW225" s="263"/>
      <c r="KX225" s="263"/>
      <c r="KY225" s="263"/>
      <c r="KZ225" s="263"/>
      <c r="LA225" s="263"/>
      <c r="LB225" s="263"/>
      <c r="LC225" s="263"/>
      <c r="LD225" s="263"/>
      <c r="LE225" s="263"/>
      <c r="LF225" s="263"/>
      <c r="LG225" s="263"/>
      <c r="LH225" s="263"/>
      <c r="LI225" s="263"/>
      <c r="LJ225" s="263"/>
      <c r="LK225" s="263"/>
      <c r="LL225" s="263"/>
      <c r="LM225" s="263"/>
      <c r="LN225" s="263"/>
      <c r="LO225" s="263"/>
      <c r="LP225" s="263"/>
      <c r="LQ225" s="263"/>
      <c r="LR225" s="263"/>
      <c r="LS225" s="263"/>
      <c r="LT225" s="263"/>
      <c r="LU225" s="263"/>
      <c r="LV225" s="263"/>
      <c r="LW225" s="263"/>
      <c r="LX225" s="263"/>
      <c r="LY225" s="263"/>
      <c r="LZ225" s="263"/>
      <c r="MA225" s="263"/>
      <c r="MB225" s="263"/>
      <c r="MC225" s="263"/>
      <c r="MD225" s="263"/>
      <c r="ME225" s="263"/>
      <c r="MF225" s="263"/>
      <c r="MG225" s="263"/>
      <c r="MH225" s="263"/>
      <c r="MI225" s="263"/>
      <c r="MJ225" s="263"/>
      <c r="MK225" s="263"/>
      <c r="ML225" s="263"/>
      <c r="MM225" s="263"/>
      <c r="MN225" s="263"/>
      <c r="MO225" s="263"/>
      <c r="MP225" s="263"/>
      <c r="MQ225" s="263"/>
      <c r="MR225" s="263"/>
      <c r="MS225" s="263"/>
      <c r="MT225" s="263"/>
      <c r="MU225" s="263"/>
      <c r="MV225" s="263"/>
      <c r="MW225" s="263"/>
      <c r="MX225" s="263"/>
      <c r="MY225" s="263"/>
      <c r="MZ225" s="263"/>
      <c r="NA225" s="263"/>
      <c r="NB225" s="263"/>
      <c r="NC225" s="263"/>
      <c r="ND225" s="263"/>
      <c r="NE225" s="263"/>
      <c r="NF225" s="263"/>
      <c r="NG225" s="263"/>
      <c r="NH225" s="263"/>
      <c r="NI225" s="263"/>
      <c r="NJ225" s="263"/>
      <c r="NK225" s="263"/>
      <c r="NL225" s="263"/>
      <c r="NM225" s="263"/>
      <c r="NN225" s="263"/>
      <c r="NO225" s="263"/>
      <c r="NP225" s="263"/>
      <c r="NQ225" s="263"/>
      <c r="NR225" s="263"/>
      <c r="NS225" s="263"/>
      <c r="NT225" s="263"/>
      <c r="NU225" s="263"/>
      <c r="NV225" s="263"/>
      <c r="NW225" s="263"/>
      <c r="NX225" s="263"/>
      <c r="NY225" s="263"/>
      <c r="NZ225" s="263"/>
      <c r="OA225" s="263"/>
      <c r="OB225" s="263"/>
      <c r="OC225" s="263"/>
      <c r="OD225" s="263"/>
      <c r="OE225" s="263"/>
      <c r="OF225" s="263"/>
      <c r="OG225" s="263"/>
      <c r="OH225" s="263"/>
      <c r="OI225" s="263"/>
      <c r="OJ225" s="263"/>
      <c r="OK225" s="263"/>
      <c r="OL225" s="263"/>
      <c r="OM225" s="263"/>
      <c r="ON225" s="263"/>
      <c r="OO225" s="263"/>
      <c r="OP225" s="263"/>
      <c r="OQ225" s="263"/>
      <c r="OR225" s="263"/>
      <c r="OS225" s="263"/>
      <c r="OT225" s="263"/>
      <c r="OU225" s="263"/>
      <c r="OV225" s="263"/>
      <c r="OW225" s="263"/>
      <c r="OX225" s="263"/>
      <c r="OY225" s="263"/>
      <c r="OZ225" s="263"/>
      <c r="PA225" s="263"/>
      <c r="PB225" s="263"/>
      <c r="PC225" s="263"/>
      <c r="PD225" s="263"/>
      <c r="PE225" s="263"/>
      <c r="PF225" s="263"/>
      <c r="PG225" s="263"/>
      <c r="PH225" s="263"/>
    </row>
    <row r="226">
      <c r="B226" s="547" t="str">
        <f>IF(Dbl_Promote?=0,"WATERFALL (GP AND LP)","1ST WATERFALL (GP AND LP)")</f>
        <v>WATERFALL (GP AND LP)</v>
      </c>
      <c r="C226" s="547"/>
      <c r="D226" s="547"/>
      <c r="E226" s="547"/>
      <c r="F226" s="547"/>
      <c r="G226" s="547"/>
      <c r="H226" s="547"/>
      <c r="I226" s="547"/>
      <c r="EP226" s="223" t="n">
        <f>F235</f>
        <v>0.15</v>
      </c>
      <c r="EQ226" s="18" t="s">
        <v>371</v>
      </c>
      <c r="ER226" s="18"/>
      <c r="ES226" s="18"/>
      <c r="ET226" s="18" t="s">
        <v>396</v>
      </c>
      <c r="EU226" s="18"/>
      <c r="EV226" s="422" t="n">
        <f>EV201+EV217</f>
        <v>0</v>
      </c>
      <c r="EW226" s="422" t="n">
        <f t="shared" ref="EW226:GA226" si="1054">EW201+EW217</f>
        <v>393250.9603268034</v>
      </c>
      <c r="EX226" s="422">
        <f t="shared" si="1054"/>
        <v>135601.08309322695</v>
      </c>
      <c r="EY226" s="422">
        <f t="shared" si="1054"/>
        <v>0</v>
      </c>
      <c r="EZ226" s="422">
        <f t="shared" si="1054"/>
        <v>0</v>
      </c>
      <c r="FA226" s="422">
        <f t="shared" si="1054"/>
        <v>0</v>
      </c>
      <c r="FB226" s="422">
        <f t="shared" si="1054"/>
        <v>0</v>
      </c>
      <c r="FC226" s="422">
        <f t="shared" si="1054"/>
        <v>0</v>
      </c>
      <c r="FD226" s="422">
        <f t="shared" si="1054"/>
        <v>0</v>
      </c>
      <c r="FE226" s="422">
        <f t="shared" si="1054"/>
        <v>0</v>
      </c>
      <c r="FF226" s="422">
        <f t="shared" si="1054"/>
        <v>0</v>
      </c>
      <c r="FG226" s="422">
        <f t="shared" si="1054"/>
        <v>0</v>
      </c>
      <c r="FH226" s="422">
        <f t="shared" si="1054"/>
        <v>0</v>
      </c>
      <c r="FI226" s="422">
        <f t="shared" si="1054"/>
        <v>0</v>
      </c>
      <c r="FJ226" s="422">
        <f t="shared" si="1054"/>
        <v>0</v>
      </c>
      <c r="FK226" s="422">
        <f t="shared" si="1054"/>
        <v>0</v>
      </c>
      <c r="FL226" s="422">
        <f t="shared" si="1054"/>
        <v>0</v>
      </c>
      <c r="FM226" s="422">
        <f t="shared" si="1054"/>
        <v>810463.57516973012</v>
      </c>
      <c r="FN226" s="422">
        <f t="shared" si="1054"/>
        <v>3481800.8764314256</v>
      </c>
      <c r="FO226" s="422">
        <f t="shared" si="1054"/>
        <v>3240128.9964987887</v>
      </c>
      <c r="FP226" s="422">
        <f t="shared" si="1054"/>
        <v>3085563.367248842</v>
      </c>
      <c r="FQ226" s="422">
        <f t="shared" si="1054"/>
        <v>3685184.504042963</v>
      </c>
      <c r="FR226" s="422">
        <f t="shared" si="1054"/>
        <v>3543883.0408446738</v>
      </c>
      <c r="FS226" s="422">
        <f t="shared" si="1054"/>
        <v>3413848.6692760913</v>
      </c>
      <c r="FT226" s="422">
        <f t="shared" si="1054"/>
        <v>3587364.3081137375</v>
      </c>
      <c r="FU226" s="422">
        <f t="shared" si="1054"/>
        <v>3485056.3850739766</v>
      </c>
      <c r="FV226" s="422">
        <f t="shared" si="1054"/>
        <v>3397438.6657805149</v>
      </c>
      <c r="FW226" s="422">
        <f t="shared" si="1054"/>
        <v>3502691.3563470333</v>
      </c>
      <c r="FX226" s="422">
        <f t="shared" si="1054"/>
        <v>2845601.8484991258</v>
      </c>
      <c r="FY226" s="422">
        <f t="shared" si="1054"/>
        <v>1497735.2327804544</v>
      </c>
      <c r="FZ226" s="422">
        <f t="shared" si="1054"/>
        <v>2509163.8639601702</v>
      </c>
      <c r="GA226" s="422">
        <f t="shared" si="1054"/>
        <v>2885272.669782937</v>
      </c>
      <c r="GB226" s="422" t="n">
        <f t="shared" ref="GB226:HG226" si="1055">GB201+GB217</f>
        <v>3165343.028364981</v>
      </c>
      <c r="GC226" s="422">
        <f t="shared" si="1055"/>
        <v>3365921.4402946201</v>
      </c>
      <c r="GD226" s="422">
        <f t="shared" si="1055"/>
        <v>3743964.7462569405</v>
      </c>
      <c r="GE226" s="422">
        <f t="shared" si="1055"/>
        <v>3831994.2213293347</v>
      </c>
      <c r="GF226" s="422">
        <f t="shared" si="1055"/>
        <v>3896836.1851359545</v>
      </c>
      <c r="GG226" s="422">
        <f t="shared" si="1055"/>
        <v>3494570.8859825786</v>
      </c>
      <c r="GH226" s="422">
        <f t="shared" si="1055"/>
        <v>3482522.3970297342</v>
      </c>
      <c r="GI226" s="422">
        <f t="shared" si="1055"/>
        <v>3470383.544409744</v>
      </c>
      <c r="GJ226" s="422">
        <f t="shared" si="1055"/>
        <v>3464157.4376286799</v>
      </c>
      <c r="GK226" s="422">
        <f t="shared" si="1055"/>
        <v>3451835.8194089294</v>
      </c>
      <c r="GL226" s="422">
        <f t="shared" si="1055"/>
        <v>3439421.7890525316</v>
      </c>
      <c r="GM226" s="422">
        <f t="shared" si="1055"/>
        <v>3582830.5611468046</v>
      </c>
      <c r="GN226" s="422">
        <f t="shared" si="1055"/>
        <v>3570229.6220458527</v>
      </c>
      <c r="GO226" s="422">
        <f t="shared" si="1055"/>
        <v>3557534.1759016444</v>
      </c>
      <c r="GP226" s="422">
        <f t="shared" si="1055"/>
        <v>3572426.9097446869</v>
      </c>
      <c r="GQ226" s="422">
        <f t="shared" si="1055"/>
        <v>3559540.3177894698</v>
      </c>
      <c r="GR226" s="422">
        <f t="shared" si="1055"/>
        <v>3546557.0763945873</v>
      </c>
      <c r="GS226" s="422">
        <f t="shared" si="1055"/>
        <v>3406642.2490547462</v>
      </c>
      <c r="GT226" s="422">
        <f t="shared" si="1055"/>
        <v>3393463.5287316125</v>
      </c>
      <c r="GU226" s="422">
        <f t="shared" si="1055"/>
        <v>3380185.9680060558</v>
      </c>
      <c r="GV226" s="422">
        <f t="shared" si="1055"/>
        <v>3372802.5537000573</v>
      </c>
      <c r="GW226" s="422">
        <f t="shared" si="1055"/>
        <v>3359325.0827008258</v>
      </c>
      <c r="GX226" s="422">
        <f t="shared" si="1055"/>
        <v>3345746.5306691006</v>
      </c>
      <c r="GY226" s="422">
        <f t="shared" si="1055"/>
        <v>3473184.1325757857</v>
      </c>
      <c r="GZ226" s="422">
        <f t="shared" si="1055"/>
        <v>3459401.1384700327</v>
      </c>
      <c r="HA226" s="422">
        <f t="shared" si="1055"/>
        <v>3445514.7719084867</v>
      </c>
      <c r="HB226" s="422">
        <f t="shared" si="1055"/>
        <v>3460176.5722852284</v>
      </c>
      <c r="HC226" s="422">
        <f t="shared" si="1055"/>
        <v>3446081.1291171401</v>
      </c>
      <c r="HD226" s="422">
        <f t="shared" si="1055"/>
        <v>3431879.970125291</v>
      </c>
      <c r="HE226" s="422">
        <f t="shared" si="1055"/>
        <v>118173280.30351555</v>
      </c>
      <c r="HF226" s="422">
        <f t="shared" si="1055"/>
        <v>0</v>
      </c>
      <c r="HG226" s="422">
        <f t="shared" si="1055"/>
        <v>0</v>
      </c>
      <c r="HH226" s="422" t="n">
        <f t="shared" ref="HH226:IM226" si="1056">HH201+HH217</f>
        <v>0</v>
      </c>
      <c r="HI226" s="422">
        <f t="shared" si="1056"/>
        <v>0</v>
      </c>
      <c r="HJ226" s="422">
        <f t="shared" si="1056"/>
        <v>0</v>
      </c>
      <c r="HK226" s="422">
        <f t="shared" si="1056"/>
        <v>0</v>
      </c>
      <c r="HL226" s="422">
        <f t="shared" si="1056"/>
        <v>0</v>
      </c>
      <c r="HM226" s="422">
        <f t="shared" si="1056"/>
        <v>0</v>
      </c>
      <c r="HN226" s="422">
        <f t="shared" si="1056"/>
        <v>0</v>
      </c>
      <c r="HO226" s="422">
        <f t="shared" si="1056"/>
        <v>0</v>
      </c>
      <c r="HP226" s="422">
        <f t="shared" si="1056"/>
        <v>0</v>
      </c>
      <c r="HQ226" s="422">
        <f t="shared" si="1056"/>
        <v>0</v>
      </c>
      <c r="HR226" s="422">
        <f t="shared" si="1056"/>
        <v>0</v>
      </c>
      <c r="HS226" s="422">
        <f t="shared" si="1056"/>
        <v>0</v>
      </c>
      <c r="HT226" s="422">
        <f t="shared" si="1056"/>
        <v>0</v>
      </c>
      <c r="HU226" s="422">
        <f t="shared" si="1056"/>
        <v>0</v>
      </c>
      <c r="HV226" s="422">
        <f t="shared" si="1056"/>
        <v>0</v>
      </c>
      <c r="HW226" s="422">
        <f t="shared" si="1056"/>
        <v>0</v>
      </c>
      <c r="HX226" s="422">
        <f t="shared" si="1056"/>
        <v>0</v>
      </c>
      <c r="HY226" s="422">
        <f t="shared" si="1056"/>
        <v>0</v>
      </c>
      <c r="HZ226" s="422">
        <f t="shared" si="1056"/>
        <v>0</v>
      </c>
      <c r="IA226" s="422">
        <f t="shared" si="1056"/>
        <v>0</v>
      </c>
      <c r="IB226" s="422">
        <f t="shared" si="1056"/>
        <v>0</v>
      </c>
      <c r="IC226" s="422">
        <f t="shared" si="1056"/>
        <v>0</v>
      </c>
      <c r="ID226" s="422">
        <f t="shared" si="1056"/>
        <v>0</v>
      </c>
      <c r="IE226" s="422">
        <f t="shared" si="1056"/>
        <v>0</v>
      </c>
      <c r="IF226" s="422">
        <f t="shared" si="1056"/>
        <v>0</v>
      </c>
      <c r="IG226" s="422">
        <f t="shared" si="1056"/>
        <v>0</v>
      </c>
      <c r="IH226" s="422">
        <f t="shared" si="1056"/>
        <v>0</v>
      </c>
      <c r="II226" s="422">
        <f t="shared" si="1056"/>
        <v>0</v>
      </c>
      <c r="IJ226" s="422">
        <f t="shared" si="1056"/>
        <v>0</v>
      </c>
      <c r="IK226" s="422">
        <f t="shared" si="1056"/>
        <v>0</v>
      </c>
      <c r="IL226" s="422">
        <f t="shared" si="1056"/>
        <v>0</v>
      </c>
      <c r="IM226" s="422">
        <f t="shared" si="1056"/>
        <v>0</v>
      </c>
      <c r="IN226" s="422" t="n">
        <f t="shared" ref="IN226:JX226" si="1057">IN201+IN217</f>
        <v>0</v>
      </c>
      <c r="IO226" s="422">
        <f t="shared" si="1057"/>
        <v>0</v>
      </c>
      <c r="IP226" s="422">
        <f t="shared" si="1057"/>
        <v>0</v>
      </c>
      <c r="IQ226" s="422">
        <f t="shared" si="1057"/>
        <v>0</v>
      </c>
      <c r="IR226" s="422">
        <f t="shared" si="1057"/>
        <v>0</v>
      </c>
      <c r="IS226" s="422">
        <f t="shared" si="1057"/>
        <v>0</v>
      </c>
      <c r="IT226" s="422">
        <f t="shared" si="1057"/>
        <v>0</v>
      </c>
      <c r="IU226" s="422">
        <f t="shared" si="1057"/>
        <v>0</v>
      </c>
      <c r="IV226" s="422">
        <f t="shared" si="1057"/>
        <v>0</v>
      </c>
      <c r="IW226" s="422">
        <f t="shared" si="1057"/>
        <v>0</v>
      </c>
      <c r="IX226" s="422">
        <f t="shared" si="1057"/>
        <v>0</v>
      </c>
      <c r="IY226" s="422">
        <f t="shared" si="1057"/>
        <v>0</v>
      </c>
      <c r="IZ226" s="422">
        <f t="shared" si="1057"/>
        <v>0</v>
      </c>
      <c r="JA226" s="422">
        <f t="shared" si="1057"/>
        <v>0</v>
      </c>
      <c r="JB226" s="422">
        <f t="shared" si="1057"/>
        <v>0</v>
      </c>
      <c r="JC226" s="422">
        <f t="shared" si="1057"/>
        <v>0</v>
      </c>
      <c r="JD226" s="422">
        <f t="shared" si="1057"/>
        <v>0</v>
      </c>
      <c r="JE226" s="422">
        <f t="shared" si="1057"/>
        <v>0</v>
      </c>
      <c r="JF226" s="422">
        <f t="shared" si="1057"/>
        <v>0</v>
      </c>
      <c r="JG226" s="422">
        <f t="shared" si="1057"/>
        <v>0</v>
      </c>
      <c r="JH226" s="422">
        <f t="shared" si="1057"/>
        <v>0</v>
      </c>
      <c r="JI226" s="422">
        <f t="shared" si="1057"/>
        <v>0</v>
      </c>
      <c r="JJ226" s="422">
        <f t="shared" si="1057"/>
        <v>0</v>
      </c>
      <c r="JK226" s="422">
        <f t="shared" si="1057"/>
        <v>0</v>
      </c>
      <c r="JL226" s="422">
        <f t="shared" si="1057"/>
        <v>0</v>
      </c>
      <c r="JM226" s="422">
        <f t="shared" si="1057"/>
        <v>0</v>
      </c>
      <c r="JN226" s="422">
        <f t="shared" si="1057"/>
        <v>0</v>
      </c>
      <c r="JO226" s="422">
        <f t="shared" si="1057"/>
        <v>0</v>
      </c>
      <c r="JP226" s="422">
        <f t="shared" si="1057"/>
        <v>0</v>
      </c>
      <c r="JQ226" s="422">
        <f t="shared" si="1057"/>
        <v>0</v>
      </c>
      <c r="JR226" s="422">
        <f t="shared" si="1057"/>
        <v>0</v>
      </c>
      <c r="JS226" s="422">
        <f t="shared" si="1057"/>
        <v>0</v>
      </c>
      <c r="JT226" s="422">
        <f t="shared" si="1057"/>
        <v>0</v>
      </c>
      <c r="JU226" s="422">
        <f t="shared" si="1057"/>
        <v>0</v>
      </c>
      <c r="JV226" s="422">
        <f t="shared" si="1057"/>
        <v>0</v>
      </c>
      <c r="JW226" s="422">
        <f t="shared" si="1057"/>
        <v>0</v>
      </c>
      <c r="JX226" s="422">
        <f t="shared" si="1057"/>
        <v>0</v>
      </c>
      <c r="JZ226" s="263"/>
      <c r="KA226" s="263"/>
      <c r="KB226" s="263"/>
      <c r="KC226" s="263"/>
      <c r="KD226" s="263"/>
      <c r="KE226" s="263"/>
      <c r="KF226" s="263"/>
      <c r="KG226" s="263"/>
      <c r="KH226" s="263"/>
      <c r="KI226" s="263"/>
      <c r="KJ226" s="263"/>
      <c r="KK226" s="263"/>
      <c r="KL226" s="263"/>
      <c r="KM226" s="263"/>
      <c r="KN226" s="263"/>
      <c r="KO226" s="263"/>
      <c r="KP226" s="263"/>
      <c r="KQ226" s="263"/>
      <c r="KR226" s="263"/>
      <c r="KS226" s="263"/>
      <c r="KT226" s="263"/>
      <c r="KU226" s="263"/>
      <c r="KV226" s="263"/>
      <c r="KW226" s="263"/>
      <c r="KX226" s="263"/>
      <c r="KY226" s="263"/>
      <c r="KZ226" s="263"/>
      <c r="LA226" s="263"/>
      <c r="LB226" s="263"/>
      <c r="LC226" s="263"/>
      <c r="LD226" s="263"/>
      <c r="LE226" s="263"/>
      <c r="LF226" s="263"/>
      <c r="LG226" s="263"/>
      <c r="LH226" s="263"/>
      <c r="LI226" s="263"/>
      <c r="LJ226" s="263"/>
      <c r="LK226" s="263"/>
      <c r="LL226" s="263"/>
      <c r="LM226" s="263"/>
      <c r="LN226" s="263"/>
      <c r="LO226" s="263"/>
      <c r="LP226" s="263"/>
      <c r="LQ226" s="263"/>
      <c r="LR226" s="263"/>
      <c r="LS226" s="263"/>
      <c r="LT226" s="263"/>
      <c r="LU226" s="263"/>
      <c r="LV226" s="263"/>
      <c r="LW226" s="263"/>
      <c r="LX226" s="263"/>
      <c r="LY226" s="263"/>
      <c r="LZ226" s="263"/>
      <c r="MA226" s="263"/>
      <c r="MB226" s="263"/>
      <c r="MC226" s="263"/>
      <c r="MD226" s="263"/>
      <c r="ME226" s="263"/>
      <c r="MF226" s="263"/>
      <c r="MG226" s="263"/>
      <c r="MH226" s="263"/>
      <c r="MI226" s="263"/>
      <c r="MJ226" s="263"/>
      <c r="MK226" s="263"/>
      <c r="ML226" s="263"/>
      <c r="MM226" s="263"/>
      <c r="MN226" s="263"/>
      <c r="MO226" s="263"/>
      <c r="MP226" s="263"/>
      <c r="MQ226" s="263"/>
      <c r="MR226" s="263"/>
      <c r="MS226" s="263"/>
      <c r="MT226" s="263"/>
      <c r="MU226" s="263"/>
      <c r="MV226" s="263"/>
      <c r="MW226" s="263"/>
      <c r="MX226" s="263"/>
      <c r="MY226" s="263"/>
      <c r="MZ226" s="263"/>
      <c r="NA226" s="263"/>
      <c r="NB226" s="263"/>
      <c r="NC226" s="263"/>
      <c r="ND226" s="263"/>
      <c r="NE226" s="263"/>
      <c r="NF226" s="263"/>
      <c r="NG226" s="263"/>
      <c r="NH226" s="263"/>
      <c r="NI226" s="263"/>
      <c r="NJ226" s="263"/>
      <c r="NK226" s="263"/>
      <c r="NL226" s="263"/>
      <c r="NM226" s="263"/>
      <c r="NN226" s="263"/>
      <c r="NO226" s="263"/>
      <c r="NP226" s="263"/>
      <c r="NQ226" s="263"/>
      <c r="NR226" s="263"/>
      <c r="NS226" s="263"/>
      <c r="NT226" s="263"/>
      <c r="NU226" s="263"/>
      <c r="NV226" s="263"/>
      <c r="NW226" s="263"/>
      <c r="NX226" s="263"/>
      <c r="NY226" s="263"/>
      <c r="NZ226" s="263"/>
      <c r="OA226" s="263"/>
      <c r="OB226" s="263"/>
      <c r="OC226" s="263"/>
      <c r="OD226" s="263"/>
      <c r="OE226" s="263"/>
      <c r="OF226" s="263"/>
      <c r="OG226" s="263"/>
      <c r="OH226" s="263"/>
      <c r="OI226" s="263"/>
      <c r="OJ226" s="263"/>
      <c r="OK226" s="263"/>
      <c r="OL226" s="263"/>
      <c r="OM226" s="263"/>
      <c r="ON226" s="263"/>
      <c r="OO226" s="263"/>
      <c r="OP226" s="263"/>
      <c r="OQ226" s="263"/>
      <c r="OR226" s="263"/>
      <c r="OS226" s="263"/>
      <c r="OT226" s="263"/>
      <c r="OU226" s="263"/>
      <c r="OV226" s="263"/>
      <c r="OW226" s="263"/>
      <c r="OX226" s="263"/>
      <c r="OY226" s="263"/>
      <c r="OZ226" s="263"/>
      <c r="PA226" s="263"/>
      <c r="PB226" s="263"/>
      <c r="PC226" s="263"/>
      <c r="PD226" s="263"/>
      <c r="PE226" s="263"/>
      <c r="PF226" s="263"/>
      <c r="PG226" s="263"/>
      <c r="PH226" s="263"/>
    </row>
    <row r="227">
      <c r="B227" s="415" t="s">
        <v>413</v>
      </c>
      <c r="C227" s="401"/>
      <c r="D227" s="401"/>
      <c r="E227" s="548"/>
      <c r="F227" s="548"/>
      <c r="G227" s="548"/>
      <c r="H227" s="416" t="s">
        <v>209</v>
      </c>
      <c r="I227" s="416" t="s">
        <v>80</v>
      </c>
      <c r="J227" s="378"/>
      <c r="K227" s="378" t="s">
        <v>89</v>
      </c>
      <c r="L227" s="197" t="n">
        <f t="shared" ref="L227:AQ227" si="1058">L194</f>
        <v>0</v>
      </c>
      <c r="M227" s="197">
        <f t="shared" si="1058"/>
        <v>1</v>
      </c>
      <c r="N227" s="197">
        <f t="shared" si="1058"/>
        <v>2</v>
      </c>
      <c r="O227" s="197">
        <f t="shared" si="1058"/>
        <v>3</v>
      </c>
      <c r="P227" s="197">
        <f t="shared" si="1058"/>
        <v>4</v>
      </c>
      <c r="Q227" s="197">
        <f t="shared" si="1058"/>
        <v>5</v>
      </c>
      <c r="R227" s="197">
        <f t="shared" si="1058"/>
        <v>6</v>
      </c>
      <c r="S227" s="197">
        <f t="shared" si="1058"/>
        <v>7</v>
      </c>
      <c r="T227" s="197">
        <f t="shared" si="1058"/>
        <v>8</v>
      </c>
      <c r="U227" s="197">
        <f t="shared" si="1058"/>
        <v>9</v>
      </c>
      <c r="V227" s="197">
        <f t="shared" si="1058"/>
        <v>10</v>
      </c>
      <c r="W227" s="197">
        <f t="shared" si="1058"/>
        <v>11</v>
      </c>
      <c r="X227" s="197">
        <f t="shared" si="1058"/>
        <v>12</v>
      </c>
      <c r="Y227" s="197">
        <f t="shared" si="1058"/>
        <v>13</v>
      </c>
      <c r="Z227" s="197">
        <f t="shared" si="1058"/>
        <v>14</v>
      </c>
      <c r="AA227" s="197">
        <f t="shared" si="1058"/>
        <v>15</v>
      </c>
      <c r="AB227" s="197">
        <f t="shared" si="1058"/>
        <v>16</v>
      </c>
      <c r="AC227" s="197">
        <f t="shared" si="1058"/>
        <v>17</v>
      </c>
      <c r="AD227" s="197">
        <f t="shared" si="1058"/>
        <v>18</v>
      </c>
      <c r="AE227" s="197">
        <f t="shared" si="1058"/>
        <v>19</v>
      </c>
      <c r="AF227" s="197">
        <f t="shared" si="1058"/>
        <v>20</v>
      </c>
      <c r="AG227" s="197">
        <f t="shared" si="1058"/>
        <v>21</v>
      </c>
      <c r="AH227" s="197">
        <f t="shared" si="1058"/>
        <v>22</v>
      </c>
      <c r="AI227" s="197">
        <f t="shared" si="1058"/>
        <v>23</v>
      </c>
      <c r="AJ227" s="197">
        <f t="shared" si="1058"/>
        <v>24</v>
      </c>
      <c r="AK227" s="197">
        <f t="shared" si="1058"/>
        <v>25</v>
      </c>
      <c r="AL227" s="197">
        <f t="shared" si="1058"/>
        <v>26</v>
      </c>
      <c r="AM227" s="197">
        <f t="shared" si="1058"/>
        <v>27</v>
      </c>
      <c r="AN227" s="197">
        <f t="shared" si="1058"/>
        <v>28</v>
      </c>
      <c r="AO227" s="197">
        <f t="shared" si="1058"/>
        <v>29</v>
      </c>
      <c r="AP227" s="197">
        <f t="shared" si="1058"/>
        <v>30</v>
      </c>
      <c r="AQ227" s="197">
        <f t="shared" si="1058"/>
        <v>31</v>
      </c>
      <c r="AR227" s="197" t="n">
        <f t="shared" ref="AR227:BW227" si="1059">AR194</f>
        <v>32</v>
      </c>
      <c r="AS227" s="197">
        <f t="shared" si="1059"/>
        <v>33</v>
      </c>
      <c r="AT227" s="197">
        <f t="shared" si="1059"/>
        <v>34</v>
      </c>
      <c r="AU227" s="197">
        <f t="shared" si="1059"/>
        <v>35</v>
      </c>
      <c r="AV227" s="197">
        <f t="shared" si="1059"/>
        <v>36</v>
      </c>
      <c r="AW227" s="197">
        <f t="shared" si="1059"/>
        <v>37</v>
      </c>
      <c r="AX227" s="197">
        <f t="shared" si="1059"/>
        <v>38</v>
      </c>
      <c r="AY227" s="197">
        <f t="shared" si="1059"/>
        <v>39</v>
      </c>
      <c r="AZ227" s="197">
        <f t="shared" si="1059"/>
        <v>40</v>
      </c>
      <c r="BA227" s="197">
        <f t="shared" si="1059"/>
        <v>41</v>
      </c>
      <c r="BB227" s="197">
        <f t="shared" si="1059"/>
        <v>42</v>
      </c>
      <c r="BC227" s="197">
        <f t="shared" si="1059"/>
        <v>43</v>
      </c>
      <c r="BD227" s="197">
        <f t="shared" si="1059"/>
        <v>44</v>
      </c>
      <c r="BE227" s="197">
        <f t="shared" si="1059"/>
        <v>45</v>
      </c>
      <c r="BF227" s="197">
        <f t="shared" si="1059"/>
        <v>46</v>
      </c>
      <c r="BG227" s="197">
        <f t="shared" si="1059"/>
        <v>47</v>
      </c>
      <c r="BH227" s="197">
        <f t="shared" si="1059"/>
        <v>48</v>
      </c>
      <c r="BI227" s="197">
        <f t="shared" si="1059"/>
        <v>49</v>
      </c>
      <c r="BJ227" s="197">
        <f t="shared" si="1059"/>
        <v>50</v>
      </c>
      <c r="BK227" s="197">
        <f t="shared" si="1059"/>
        <v>51</v>
      </c>
      <c r="BL227" s="197">
        <f t="shared" si="1059"/>
        <v>52</v>
      </c>
      <c r="BM227" s="197">
        <f t="shared" si="1059"/>
        <v>53</v>
      </c>
      <c r="BN227" s="197">
        <f t="shared" si="1059"/>
        <v>54</v>
      </c>
      <c r="BO227" s="197">
        <f t="shared" si="1059"/>
        <v>55</v>
      </c>
      <c r="BP227" s="197">
        <f t="shared" si="1059"/>
        <v>56</v>
      </c>
      <c r="BQ227" s="197">
        <f t="shared" si="1059"/>
        <v>57</v>
      </c>
      <c r="BR227" s="197">
        <f t="shared" si="1059"/>
        <v>58</v>
      </c>
      <c r="BS227" s="197">
        <f t="shared" si="1059"/>
        <v>59</v>
      </c>
      <c r="BT227" s="197">
        <f t="shared" si="1059"/>
        <v>60</v>
      </c>
      <c r="BU227" s="197">
        <f t="shared" si="1059"/>
        <v>61</v>
      </c>
      <c r="BV227" s="197" t="str">
        <f t="shared" si="1059"/>
      </c>
      <c r="BW227" s="197" t="str">
        <f t="shared" si="1059"/>
      </c>
      <c r="BX227" s="197" t="n">
        <f t="shared" ref="BX227:DC227" si="1060">BX194</f>
        <v>0</v>
      </c>
      <c r="BY227" s="197" t="str">
        <f t="shared" si="1060"/>
      </c>
      <c r="BZ227" s="197" t="str">
        <f t="shared" si="1060"/>
      </c>
      <c r="CA227" s="197" t="str">
        <f t="shared" si="1060"/>
      </c>
      <c r="CB227" s="197" t="str">
        <f t="shared" si="1060"/>
      </c>
      <c r="CC227" s="197" t="str">
        <f t="shared" si="1060"/>
      </c>
      <c r="CD227" s="197" t="str">
        <f t="shared" si="1060"/>
      </c>
      <c r="CE227" s="197" t="str">
        <f t="shared" si="1060"/>
      </c>
      <c r="CF227" s="197" t="str">
        <f t="shared" si="1060"/>
      </c>
      <c r="CG227" s="197" t="str">
        <f t="shared" si="1060"/>
      </c>
      <c r="CH227" s="197" t="str">
        <f t="shared" si="1060"/>
      </c>
      <c r="CI227" s="197" t="str">
        <f t="shared" si="1060"/>
      </c>
      <c r="CJ227" s="197" t="str">
        <f t="shared" si="1060"/>
      </c>
      <c r="CK227" s="197" t="str">
        <f t="shared" si="1060"/>
      </c>
      <c r="CL227" s="197" t="str">
        <f t="shared" si="1060"/>
      </c>
      <c r="CM227" s="197" t="str">
        <f t="shared" si="1060"/>
      </c>
      <c r="CN227" s="197" t="str">
        <f t="shared" si="1060"/>
      </c>
      <c r="CO227" s="197" t="str">
        <f t="shared" si="1060"/>
      </c>
      <c r="CP227" s="197" t="str">
        <f t="shared" si="1060"/>
      </c>
      <c r="CQ227" s="197" t="str">
        <f t="shared" si="1060"/>
      </c>
      <c r="CR227" s="197" t="str">
        <f t="shared" si="1060"/>
      </c>
      <c r="CS227" s="197" t="str">
        <f t="shared" si="1060"/>
      </c>
      <c r="CT227" s="197" t="str">
        <f t="shared" si="1060"/>
      </c>
      <c r="CU227" s="197" t="str">
        <f t="shared" si="1060"/>
      </c>
      <c r="CV227" s="197" t="str">
        <f t="shared" si="1060"/>
      </c>
      <c r="CW227" s="197" t="str">
        <f t="shared" si="1060"/>
      </c>
      <c r="CX227" s="197" t="str">
        <f t="shared" si="1060"/>
      </c>
      <c r="CY227" s="197" t="str">
        <f t="shared" si="1060"/>
      </c>
      <c r="CZ227" s="197" t="str">
        <f t="shared" si="1060"/>
      </c>
      <c r="DA227" s="197" t="str">
        <f t="shared" si="1060"/>
      </c>
      <c r="DB227" s="197" t="str">
        <f t="shared" si="1060"/>
      </c>
      <c r="DC227" s="197" t="str">
        <f t="shared" si="1060"/>
      </c>
      <c r="DD227" s="197" t="n">
        <f t="shared" ref="DD227:EN227" si="1061">DD194</f>
        <v>0</v>
      </c>
      <c r="DE227" s="197" t="str">
        <f t="shared" si="1061"/>
      </c>
      <c r="DF227" s="197" t="str">
        <f t="shared" si="1061"/>
      </c>
      <c r="DG227" s="197" t="str">
        <f t="shared" si="1061"/>
      </c>
      <c r="DH227" s="197" t="str">
        <f t="shared" si="1061"/>
      </c>
      <c r="DI227" s="197" t="str">
        <f t="shared" si="1061"/>
      </c>
      <c r="DJ227" s="197" t="str">
        <f t="shared" si="1061"/>
      </c>
      <c r="DK227" s="197" t="str">
        <f t="shared" si="1061"/>
      </c>
      <c r="DL227" s="197" t="str">
        <f t="shared" si="1061"/>
      </c>
      <c r="DM227" s="197" t="str">
        <f t="shared" si="1061"/>
      </c>
      <c r="DN227" s="197" t="str">
        <f t="shared" si="1061"/>
      </c>
      <c r="DO227" s="197" t="str">
        <f t="shared" si="1061"/>
      </c>
      <c r="DP227" s="197" t="str">
        <f t="shared" si="1061"/>
      </c>
      <c r="DQ227" s="197" t="str">
        <f t="shared" si="1061"/>
      </c>
      <c r="DR227" s="197" t="str">
        <f t="shared" si="1061"/>
      </c>
      <c r="DS227" s="197" t="str">
        <f t="shared" si="1061"/>
      </c>
      <c r="DT227" s="197" t="str">
        <f t="shared" si="1061"/>
      </c>
      <c r="DU227" s="197" t="str">
        <f t="shared" si="1061"/>
      </c>
      <c r="DV227" s="197" t="str">
        <f t="shared" si="1061"/>
      </c>
      <c r="DW227" s="197" t="str">
        <f t="shared" si="1061"/>
      </c>
      <c r="DX227" s="197" t="str">
        <f t="shared" si="1061"/>
      </c>
      <c r="DY227" s="197" t="str">
        <f t="shared" si="1061"/>
      </c>
      <c r="DZ227" s="197" t="str">
        <f t="shared" si="1061"/>
      </c>
      <c r="EA227" s="197" t="str">
        <f t="shared" si="1061"/>
      </c>
      <c r="EB227" s="197" t="str">
        <f t="shared" si="1061"/>
      </c>
      <c r="EC227" s="197" t="str">
        <f t="shared" si="1061"/>
      </c>
      <c r="ED227" s="197" t="str">
        <f t="shared" si="1061"/>
      </c>
      <c r="EE227" s="197" t="str">
        <f t="shared" si="1061"/>
      </c>
      <c r="EF227" s="197" t="str">
        <f t="shared" si="1061"/>
      </c>
      <c r="EG227" s="197" t="str">
        <f t="shared" si="1061"/>
      </c>
      <c r="EH227" s="197" t="str">
        <f t="shared" si="1061"/>
      </c>
      <c r="EI227" s="197" t="str">
        <f t="shared" si="1061"/>
      </c>
      <c r="EJ227" s="197" t="str">
        <f t="shared" si="1061"/>
      </c>
      <c r="EK227" s="197" t="str">
        <f t="shared" si="1061"/>
      </c>
      <c r="EL227" s="197" t="str">
        <f t="shared" si="1061"/>
      </c>
      <c r="EM227" s="197" t="str">
        <f t="shared" si="1061"/>
      </c>
      <c r="EN227" s="197" t="str">
        <f t="shared" si="1061"/>
      </c>
      <c r="EP227" s="409"/>
      <c r="EQ227" s="18"/>
      <c r="ER227" s="18"/>
      <c r="ES227" s="18"/>
      <c r="ET227" s="18" t="s">
        <v>414</v>
      </c>
      <c r="EU227" s="18"/>
      <c r="EV227" s="422" t="n">
        <f t="shared" ref="EV227:GA227" si="1062">(EV$197&lt;=Timing_Reversion_Month)*(MIN(EV224+EV225-EV226,MAX(EV223,0)*$I$235))</f>
        <v>0</v>
      </c>
      <c r="EW227" s="422">
        <f t="shared" si="1062"/>
        <v>0</v>
      </c>
      <c r="EX227" s="422">
        <f t="shared" si="1062"/>
        <v>0</v>
      </c>
      <c r="EY227" s="422">
        <f t="shared" si="1062"/>
        <v>0</v>
      </c>
      <c r="EZ227" s="422">
        <f t="shared" si="1062"/>
        <v>0</v>
      </c>
      <c r="FA227" s="422">
        <f t="shared" si="1062"/>
        <v>0</v>
      </c>
      <c r="FB227" s="422">
        <f t="shared" si="1062"/>
        <v>0</v>
      </c>
      <c r="FC227" s="422">
        <f t="shared" si="1062"/>
        <v>0</v>
      </c>
      <c r="FD227" s="422">
        <f t="shared" si="1062"/>
        <v>0</v>
      </c>
      <c r="FE227" s="422">
        <f t="shared" si="1062"/>
        <v>0</v>
      </c>
      <c r="FF227" s="422">
        <f t="shared" si="1062"/>
        <v>0</v>
      </c>
      <c r="FG227" s="422">
        <f t="shared" si="1062"/>
        <v>0</v>
      </c>
      <c r="FH227" s="422">
        <f t="shared" si="1062"/>
        <v>0</v>
      </c>
      <c r="FI227" s="422">
        <f t="shared" si="1062"/>
        <v>0</v>
      </c>
      <c r="FJ227" s="422">
        <f t="shared" si="1062"/>
        <v>0</v>
      </c>
      <c r="FK227" s="422">
        <f t="shared" si="1062"/>
        <v>0</v>
      </c>
      <c r="FL227" s="422">
        <f t="shared" si="1062"/>
        <v>0</v>
      </c>
      <c r="FM227" s="422">
        <f t="shared" si="1062"/>
        <v>0</v>
      </c>
      <c r="FN227" s="422">
        <f t="shared" si="1062"/>
        <v>0</v>
      </c>
      <c r="FO227" s="422">
        <f t="shared" si="1062"/>
        <v>0</v>
      </c>
      <c r="FP227" s="422">
        <f t="shared" si="1062"/>
        <v>0</v>
      </c>
      <c r="FQ227" s="422">
        <f t="shared" si="1062"/>
        <v>0</v>
      </c>
      <c r="FR227" s="422">
        <f t="shared" si="1062"/>
        <v>0</v>
      </c>
      <c r="FS227" s="422">
        <f t="shared" si="1062"/>
        <v>0</v>
      </c>
      <c r="FT227" s="422">
        <f t="shared" si="1062"/>
        <v>0</v>
      </c>
      <c r="FU227" s="422">
        <f t="shared" si="1062"/>
        <v>0</v>
      </c>
      <c r="FV227" s="422">
        <f t="shared" si="1062"/>
        <v>0</v>
      </c>
      <c r="FW227" s="422">
        <f t="shared" si="1062"/>
        <v>0</v>
      </c>
      <c r="FX227" s="422">
        <f t="shared" si="1062"/>
        <v>0</v>
      </c>
      <c r="FY227" s="422">
        <f t="shared" si="1062"/>
        <v>0</v>
      </c>
      <c r="FZ227" s="422">
        <f t="shared" si="1062"/>
        <v>0</v>
      </c>
      <c r="GA227" s="422">
        <f t="shared" si="1062"/>
        <v>0</v>
      </c>
      <c r="GB227" s="422" t="n">
        <f t="shared" ref="GB227:HG227" si="1063">(GB$197&lt;=Timing_Reversion_Month)*(MIN(GB224+GB225-GB226,MAX(GB223,0)*$I$235))</f>
        <v>0</v>
      </c>
      <c r="GC227" s="422">
        <f t="shared" si="1063"/>
        <v>0</v>
      </c>
      <c r="GD227" s="422">
        <f t="shared" si="1063"/>
        <v>0</v>
      </c>
      <c r="GE227" s="422">
        <f t="shared" si="1063"/>
        <v>0</v>
      </c>
      <c r="GF227" s="422">
        <f t="shared" si="1063"/>
        <v>0</v>
      </c>
      <c r="GG227" s="422">
        <f t="shared" si="1063"/>
        <v>0</v>
      </c>
      <c r="GH227" s="422">
        <f t="shared" si="1063"/>
        <v>0</v>
      </c>
      <c r="GI227" s="422">
        <f t="shared" si="1063"/>
        <v>0</v>
      </c>
      <c r="GJ227" s="422">
        <f t="shared" si="1063"/>
        <v>0</v>
      </c>
      <c r="GK227" s="422">
        <f t="shared" si="1063"/>
        <v>0</v>
      </c>
      <c r="GL227" s="422">
        <f t="shared" si="1063"/>
        <v>0</v>
      </c>
      <c r="GM227" s="422">
        <f t="shared" si="1063"/>
        <v>0</v>
      </c>
      <c r="GN227" s="422">
        <f t="shared" si="1063"/>
        <v>0</v>
      </c>
      <c r="GO227" s="422">
        <f t="shared" si="1063"/>
        <v>0</v>
      </c>
      <c r="GP227" s="422">
        <f t="shared" si="1063"/>
        <v>0</v>
      </c>
      <c r="GQ227" s="422">
        <f t="shared" si="1063"/>
        <v>0</v>
      </c>
      <c r="GR227" s="422">
        <f t="shared" si="1063"/>
        <v>0</v>
      </c>
      <c r="GS227" s="422">
        <f t="shared" si="1063"/>
        <v>0</v>
      </c>
      <c r="GT227" s="422">
        <f t="shared" si="1063"/>
        <v>0</v>
      </c>
      <c r="GU227" s="422">
        <f t="shared" si="1063"/>
        <v>0</v>
      </c>
      <c r="GV227" s="422">
        <f t="shared" si="1063"/>
        <v>0</v>
      </c>
      <c r="GW227" s="422">
        <f t="shared" si="1063"/>
        <v>0</v>
      </c>
      <c r="GX227" s="422">
        <f t="shared" si="1063"/>
        <v>0</v>
      </c>
      <c r="GY227" s="422">
        <f t="shared" si="1063"/>
        <v>0</v>
      </c>
      <c r="GZ227" s="422">
        <f t="shared" si="1063"/>
        <v>0</v>
      </c>
      <c r="HA227" s="422">
        <f t="shared" si="1063"/>
        <v>0</v>
      </c>
      <c r="HB227" s="422">
        <f t="shared" si="1063"/>
        <v>0</v>
      </c>
      <c r="HC227" s="422">
        <f t="shared" si="1063"/>
        <v>0</v>
      </c>
      <c r="HD227" s="422">
        <f t="shared" si="1063"/>
        <v>0</v>
      </c>
      <c r="HE227" s="422">
        <f t="shared" si="1063"/>
        <v>28846127.000765562</v>
      </c>
      <c r="HF227" s="422">
        <f t="shared" si="1063"/>
        <v>0</v>
      </c>
      <c r="HG227" s="422">
        <f t="shared" si="1063"/>
        <v>0</v>
      </c>
      <c r="HH227" s="422" t="n">
        <f t="shared" ref="HH227:IM227" si="1064">(HH$197&lt;=Timing_Reversion_Month)*(MIN(HH224+HH225-HH226,MAX(HH223,0)*$I$235))</f>
        <v>0</v>
      </c>
      <c r="HI227" s="422">
        <f t="shared" si="1064"/>
        <v>0</v>
      </c>
      <c r="HJ227" s="422">
        <f t="shared" si="1064"/>
        <v>0</v>
      </c>
      <c r="HK227" s="422">
        <f t="shared" si="1064"/>
        <v>0</v>
      </c>
      <c r="HL227" s="422">
        <f t="shared" si="1064"/>
        <v>0</v>
      </c>
      <c r="HM227" s="422">
        <f t="shared" si="1064"/>
        <v>0</v>
      </c>
      <c r="HN227" s="422">
        <f t="shared" si="1064"/>
        <v>0</v>
      </c>
      <c r="HO227" s="422">
        <f t="shared" si="1064"/>
        <v>0</v>
      </c>
      <c r="HP227" s="422">
        <f t="shared" si="1064"/>
        <v>0</v>
      </c>
      <c r="HQ227" s="422">
        <f t="shared" si="1064"/>
        <v>0</v>
      </c>
      <c r="HR227" s="422">
        <f t="shared" si="1064"/>
        <v>0</v>
      </c>
      <c r="HS227" s="422">
        <f t="shared" si="1064"/>
        <v>0</v>
      </c>
      <c r="HT227" s="422">
        <f t="shared" si="1064"/>
        <v>0</v>
      </c>
      <c r="HU227" s="422">
        <f t="shared" si="1064"/>
        <v>0</v>
      </c>
      <c r="HV227" s="422">
        <f t="shared" si="1064"/>
        <v>0</v>
      </c>
      <c r="HW227" s="422">
        <f t="shared" si="1064"/>
        <v>0</v>
      </c>
      <c r="HX227" s="422">
        <f t="shared" si="1064"/>
        <v>0</v>
      </c>
      <c r="HY227" s="422">
        <f t="shared" si="1064"/>
        <v>0</v>
      </c>
      <c r="HZ227" s="422">
        <f t="shared" si="1064"/>
        <v>0</v>
      </c>
      <c r="IA227" s="422">
        <f t="shared" si="1064"/>
        <v>0</v>
      </c>
      <c r="IB227" s="422">
        <f t="shared" si="1064"/>
        <v>0</v>
      </c>
      <c r="IC227" s="422">
        <f t="shared" si="1064"/>
        <v>0</v>
      </c>
      <c r="ID227" s="422">
        <f t="shared" si="1064"/>
        <v>0</v>
      </c>
      <c r="IE227" s="422">
        <f t="shared" si="1064"/>
        <v>0</v>
      </c>
      <c r="IF227" s="422">
        <f t="shared" si="1064"/>
        <v>0</v>
      </c>
      <c r="IG227" s="422">
        <f t="shared" si="1064"/>
        <v>0</v>
      </c>
      <c r="IH227" s="422">
        <f t="shared" si="1064"/>
        <v>0</v>
      </c>
      <c r="II227" s="422">
        <f t="shared" si="1064"/>
        <v>0</v>
      </c>
      <c r="IJ227" s="422">
        <f t="shared" si="1064"/>
        <v>0</v>
      </c>
      <c r="IK227" s="422">
        <f t="shared" si="1064"/>
        <v>0</v>
      </c>
      <c r="IL227" s="422">
        <f t="shared" si="1064"/>
        <v>0</v>
      </c>
      <c r="IM227" s="422">
        <f t="shared" si="1064"/>
        <v>0</v>
      </c>
      <c r="IN227" s="422" t="n">
        <f t="shared" ref="IN227:JS227" si="1065">(IN$197&lt;=Timing_Reversion_Month)*(MIN(IN224+IN225-IN226,MAX(IN223,0)*$I$235))</f>
        <v>0</v>
      </c>
      <c r="IO227" s="422">
        <f t="shared" si="1065"/>
        <v>0</v>
      </c>
      <c r="IP227" s="422">
        <f t="shared" si="1065"/>
        <v>0</v>
      </c>
      <c r="IQ227" s="422">
        <f t="shared" si="1065"/>
        <v>0</v>
      </c>
      <c r="IR227" s="422">
        <f t="shared" si="1065"/>
        <v>0</v>
      </c>
      <c r="IS227" s="422">
        <f t="shared" si="1065"/>
        <v>0</v>
      </c>
      <c r="IT227" s="422">
        <f t="shared" si="1065"/>
        <v>0</v>
      </c>
      <c r="IU227" s="422">
        <f t="shared" si="1065"/>
        <v>0</v>
      </c>
      <c r="IV227" s="422">
        <f t="shared" si="1065"/>
        <v>0</v>
      </c>
      <c r="IW227" s="422">
        <f t="shared" si="1065"/>
        <v>0</v>
      </c>
      <c r="IX227" s="422">
        <f t="shared" si="1065"/>
        <v>0</v>
      </c>
      <c r="IY227" s="422">
        <f t="shared" si="1065"/>
        <v>0</v>
      </c>
      <c r="IZ227" s="422">
        <f t="shared" si="1065"/>
        <v>0</v>
      </c>
      <c r="JA227" s="422">
        <f t="shared" si="1065"/>
        <v>0</v>
      </c>
      <c r="JB227" s="422">
        <f t="shared" si="1065"/>
        <v>0</v>
      </c>
      <c r="JC227" s="422">
        <f t="shared" si="1065"/>
        <v>0</v>
      </c>
      <c r="JD227" s="422">
        <f t="shared" si="1065"/>
        <v>0</v>
      </c>
      <c r="JE227" s="422">
        <f t="shared" si="1065"/>
        <v>0</v>
      </c>
      <c r="JF227" s="422">
        <f t="shared" si="1065"/>
        <v>0</v>
      </c>
      <c r="JG227" s="422">
        <f t="shared" si="1065"/>
        <v>0</v>
      </c>
      <c r="JH227" s="422">
        <f t="shared" si="1065"/>
        <v>0</v>
      </c>
      <c r="JI227" s="422">
        <f t="shared" si="1065"/>
        <v>0</v>
      </c>
      <c r="JJ227" s="422">
        <f t="shared" si="1065"/>
        <v>0</v>
      </c>
      <c r="JK227" s="422">
        <f t="shared" si="1065"/>
        <v>0</v>
      </c>
      <c r="JL227" s="422">
        <f t="shared" si="1065"/>
        <v>0</v>
      </c>
      <c r="JM227" s="422">
        <f t="shared" si="1065"/>
        <v>0</v>
      </c>
      <c r="JN227" s="422">
        <f t="shared" si="1065"/>
        <v>0</v>
      </c>
      <c r="JO227" s="422">
        <f t="shared" si="1065"/>
        <v>0</v>
      </c>
      <c r="JP227" s="422">
        <f t="shared" si="1065"/>
        <v>0</v>
      </c>
      <c r="JQ227" s="422">
        <f t="shared" si="1065"/>
        <v>0</v>
      </c>
      <c r="JR227" s="422">
        <f t="shared" si="1065"/>
        <v>0</v>
      </c>
      <c r="JS227" s="422">
        <f t="shared" si="1065"/>
        <v>0</v>
      </c>
      <c r="JT227" s="422" t="n">
        <f t="shared" ref="JT227:JX227" si="1066">(JT$197&lt;=Timing_Reversion_Month)*(MIN(JT224+JT225-JT226,MAX(JT223,0)*$I$235))</f>
        <v>0</v>
      </c>
      <c r="JU227" s="422">
        <f t="shared" si="1066"/>
        <v>0</v>
      </c>
      <c r="JV227" s="422">
        <f t="shared" si="1066"/>
        <v>0</v>
      </c>
      <c r="JW227" s="422">
        <f t="shared" si="1066"/>
        <v>0</v>
      </c>
      <c r="JX227" s="422">
        <f t="shared" si="1066"/>
        <v>0</v>
      </c>
      <c r="JZ227" s="263"/>
      <c r="KA227" s="263"/>
      <c r="KB227" s="263"/>
      <c r="KC227" s="263"/>
      <c r="KD227" s="263"/>
      <c r="KE227" s="263"/>
      <c r="KF227" s="263"/>
      <c r="KG227" s="263"/>
      <c r="KH227" s="263"/>
      <c r="KI227" s="263"/>
      <c r="KJ227" s="263"/>
      <c r="KK227" s="263"/>
      <c r="KL227" s="263"/>
      <c r="KM227" s="263"/>
      <c r="KN227" s="263"/>
      <c r="KO227" s="263"/>
      <c r="KP227" s="263"/>
      <c r="KQ227" s="263"/>
      <c r="KR227" s="263"/>
      <c r="KS227" s="263"/>
      <c r="KT227" s="263"/>
      <c r="KU227" s="263"/>
      <c r="KV227" s="263"/>
      <c r="KW227" s="263"/>
      <c r="KX227" s="263"/>
      <c r="KY227" s="263"/>
      <c r="KZ227" s="263"/>
      <c r="LA227" s="263"/>
      <c r="LB227" s="263"/>
      <c r="LC227" s="263"/>
      <c r="LD227" s="263"/>
      <c r="LE227" s="263"/>
      <c r="LF227" s="263"/>
      <c r="LG227" s="263"/>
      <c r="LH227" s="263"/>
      <c r="LI227" s="263"/>
      <c r="LJ227" s="263"/>
      <c r="LK227" s="263"/>
      <c r="LL227" s="263"/>
      <c r="LM227" s="263"/>
      <c r="LN227" s="263"/>
      <c r="LO227" s="263"/>
      <c r="LP227" s="263"/>
      <c r="LQ227" s="263"/>
      <c r="LR227" s="263"/>
      <c r="LS227" s="263"/>
      <c r="LT227" s="263"/>
      <c r="LU227" s="263"/>
      <c r="LV227" s="263"/>
      <c r="LW227" s="263"/>
      <c r="LX227" s="263"/>
      <c r="LY227" s="263"/>
      <c r="LZ227" s="263"/>
      <c r="MA227" s="263"/>
      <c r="MB227" s="263"/>
      <c r="MC227" s="263"/>
      <c r="MD227" s="263"/>
      <c r="ME227" s="263"/>
      <c r="MF227" s="263"/>
      <c r="MG227" s="263"/>
      <c r="MH227" s="263"/>
      <c r="MI227" s="263"/>
      <c r="MJ227" s="263"/>
      <c r="MK227" s="263"/>
      <c r="ML227" s="263"/>
      <c r="MM227" s="263"/>
      <c r="MN227" s="263"/>
      <c r="MO227" s="263"/>
      <c r="MP227" s="263"/>
      <c r="MQ227" s="263"/>
      <c r="MR227" s="263"/>
      <c r="MS227" s="263"/>
      <c r="MT227" s="263"/>
      <c r="MU227" s="263"/>
      <c r="MV227" s="263"/>
      <c r="MW227" s="263"/>
      <c r="MX227" s="263"/>
      <c r="MY227" s="263"/>
      <c r="MZ227" s="263"/>
      <c r="NA227" s="263"/>
      <c r="NB227" s="263"/>
      <c r="NC227" s="263"/>
      <c r="ND227" s="263"/>
      <c r="NE227" s="263"/>
      <c r="NF227" s="263"/>
      <c r="NG227" s="263"/>
      <c r="NH227" s="263"/>
      <c r="NI227" s="263"/>
      <c r="NJ227" s="263"/>
      <c r="NK227" s="263"/>
      <c r="NL227" s="263"/>
      <c r="NM227" s="263"/>
      <c r="NN227" s="263"/>
      <c r="NO227" s="263"/>
      <c r="NP227" s="263"/>
      <c r="NQ227" s="263"/>
      <c r="NR227" s="263"/>
      <c r="NS227" s="263"/>
      <c r="NT227" s="263"/>
      <c r="NU227" s="263"/>
      <c r="NV227" s="263"/>
      <c r="NW227" s="263"/>
      <c r="NX227" s="263"/>
      <c r="NY227" s="263"/>
      <c r="NZ227" s="263"/>
      <c r="OA227" s="263"/>
      <c r="OB227" s="263"/>
      <c r="OC227" s="263"/>
      <c r="OD227" s="263"/>
      <c r="OE227" s="263"/>
      <c r="OF227" s="263"/>
      <c r="OG227" s="263"/>
      <c r="OH227" s="263"/>
      <c r="OI227" s="263"/>
      <c r="OJ227" s="263"/>
      <c r="OK227" s="263"/>
      <c r="OL227" s="263"/>
      <c r="OM227" s="263"/>
      <c r="ON227" s="263"/>
      <c r="OO227" s="263"/>
      <c r="OP227" s="263"/>
      <c r="OQ227" s="263"/>
      <c r="OR227" s="263"/>
      <c r="OS227" s="263"/>
      <c r="OT227" s="263"/>
      <c r="OU227" s="263"/>
      <c r="OV227" s="263"/>
      <c r="OW227" s="263"/>
      <c r="OX227" s="263"/>
      <c r="OY227" s="263"/>
      <c r="OZ227" s="263"/>
      <c r="PA227" s="263"/>
      <c r="PB227" s="263"/>
      <c r="PC227" s="263"/>
      <c r="PD227" s="263"/>
      <c r="PE227" s="263"/>
      <c r="PF227" s="263"/>
      <c r="PG227" s="263"/>
      <c r="PH227" s="263"/>
    </row>
    <row r="228">
      <c r="B228" s="34" t="s">
        <v>415</v>
      </c>
      <c r="C228" s="549" t="str">
        <f>PROJECTS!$AP$120</f>
        <v>Sponsor / General Partner — illustrative waterfall</v>
      </c>
      <c r="D228" s="401"/>
      <c r="E228" s="83"/>
      <c r="F228" s="83"/>
      <c r="G228" s="548"/>
      <c r="H228" s="54" t="n">
        <f>PROJECTS!$AP$122</f>
        <v>0.05</v>
      </c>
      <c r="I228" s="449" t="n">
        <f>SUM(L228:EN228)</f>
        <v>5067852.815863788</v>
      </c>
      <c r="L228" s="421" t="str">
        <f t="shared" ref="L228:U229" si="1067">IF(L$227="","",-MIN(L$212,0)*$H228)</f>
      </c>
      <c r="M228" s="421">
        <f t="shared" si="1067"/>
        <v>0</v>
      </c>
      <c r="N228" s="421">
        <f t="shared" si="1067"/>
        <v>0</v>
      </c>
      <c r="O228" s="421">
        <f t="shared" si="1067"/>
        <v>12229.754929718263</v>
      </c>
      <c r="P228" s="421">
        <f t="shared" si="1067"/>
        <v>39061.596444356001</v>
      </c>
      <c r="Q228" s="421">
        <f t="shared" si="1067"/>
        <v>80820.215286487393</v>
      </c>
      <c r="R228" s="421">
        <f t="shared" si="1067"/>
        <v>92758.630190187861</v>
      </c>
      <c r="S228" s="421">
        <f t="shared" si="1067"/>
        <v>151838.07389083391</v>
      </c>
      <c r="T228" s="421">
        <f t="shared" si="1067"/>
        <v>223783.60513408761</v>
      </c>
      <c r="U228" s="421">
        <f t="shared" si="1067"/>
        <v>308358.90125588689</v>
      </c>
      <c r="V228" s="421" t="n">
        <f t="shared" ref="V228:AE229" si="1068">IF(V$227="","",-MIN(V$212,0)*$H228)</f>
        <v>404138.64571131836</v>
      </c>
      <c r="W228" s="421">
        <f t="shared" si="1068"/>
        <v>508341.65915377199</v>
      </c>
      <c r="X228" s="421">
        <f t="shared" si="1068"/>
        <v>616815.76959860174</v>
      </c>
      <c r="Y228" s="421">
        <f t="shared" si="1068"/>
        <v>724214.3746582889</v>
      </c>
      <c r="Z228" s="421">
        <f t="shared" si="1068"/>
        <v>824375.9619705918</v>
      </c>
      <c r="AA228" s="421">
        <f t="shared" si="1068"/>
        <v>910880.5321552892</v>
      </c>
      <c r="AB228" s="421">
        <f t="shared" si="1068"/>
        <v>170235.09548436865</v>
      </c>
      <c r="AC228" s="421">
        <f t="shared" si="1068"/>
        <v>0</v>
      </c>
      <c r="AD228" s="421">
        <f t="shared" si="1068"/>
        <v>0</v>
      </c>
      <c r="AE228" s="421">
        <f t="shared" si="1068"/>
        <v>0</v>
      </c>
      <c r="AF228" s="421" t="n">
        <f t="shared" ref="AF228:AO229" si="1069">IF(AF$227="","",-MIN(AF$212,0)*$H228)</f>
        <v>0</v>
      </c>
      <c r="AG228" s="421">
        <f t="shared" si="1069"/>
        <v>0</v>
      </c>
      <c r="AH228" s="421">
        <f t="shared" si="1069"/>
        <v>0</v>
      </c>
      <c r="AI228" s="421">
        <f t="shared" si="1069"/>
        <v>0</v>
      </c>
      <c r="AJ228" s="421">
        <f t="shared" si="1069"/>
        <v>0</v>
      </c>
      <c r="AK228" s="421">
        <f t="shared" si="1069"/>
        <v>0</v>
      </c>
      <c r="AL228" s="421">
        <f t="shared" si="1069"/>
        <v>0</v>
      </c>
      <c r="AM228" s="421">
        <f t="shared" si="1069"/>
        <v>0</v>
      </c>
      <c r="AN228" s="421">
        <f t="shared" si="1069"/>
        <v>0</v>
      </c>
      <c r="AO228" s="421">
        <f t="shared" si="1069"/>
        <v>0</v>
      </c>
      <c r="AP228" s="421" t="n">
        <f t="shared" ref="AP228:AY229" si="1070">IF(AP$227="","",-MIN(AP$212,0)*$H228)</f>
        <v>0</v>
      </c>
      <c r="AQ228" s="421">
        <f t="shared" si="1070"/>
        <v>0</v>
      </c>
      <c r="AR228" s="421">
        <f t="shared" si="1070"/>
        <v>0</v>
      </c>
      <c r="AS228" s="421">
        <f t="shared" si="1070"/>
        <v>0</v>
      </c>
      <c r="AT228" s="421">
        <f t="shared" si="1070"/>
        <v>0</v>
      </c>
      <c r="AU228" s="421">
        <f t="shared" si="1070"/>
        <v>0</v>
      </c>
      <c r="AV228" s="421">
        <f t="shared" si="1070"/>
        <v>0</v>
      </c>
      <c r="AW228" s="421">
        <f t="shared" si="1070"/>
        <v>0</v>
      </c>
      <c r="AX228" s="421">
        <f t="shared" si="1070"/>
        <v>0</v>
      </c>
      <c r="AY228" s="421">
        <f t="shared" si="1070"/>
        <v>0</v>
      </c>
      <c r="AZ228" s="421" t="n">
        <f t="shared" ref="AZ228:BI229" si="1071">IF(AZ$227="","",-MIN(AZ$212,0)*$H228)</f>
        <v>0</v>
      </c>
      <c r="BA228" s="421">
        <f t="shared" si="1071"/>
        <v>0</v>
      </c>
      <c r="BB228" s="421">
        <f t="shared" si="1071"/>
        <v>0</v>
      </c>
      <c r="BC228" s="421">
        <f t="shared" si="1071"/>
        <v>0</v>
      </c>
      <c r="BD228" s="76">
        <f t="shared" si="1071"/>
        <v>0</v>
      </c>
      <c r="BE228" s="76">
        <f t="shared" si="1071"/>
        <v>0</v>
      </c>
      <c r="BF228" s="76">
        <f t="shared" si="1071"/>
        <v>0</v>
      </c>
      <c r="BG228" s="76">
        <f t="shared" si="1071"/>
        <v>0</v>
      </c>
      <c r="BH228" s="76">
        <f t="shared" si="1071"/>
        <v>0</v>
      </c>
      <c r="BI228" s="76">
        <f t="shared" si="1071"/>
        <v>0</v>
      </c>
      <c r="BJ228" s="76" t="n">
        <f t="shared" ref="BJ228:BS229" si="1072">IF(BJ$227="","",-MIN(BJ$212,0)*$H228)</f>
        <v>0</v>
      </c>
      <c r="BK228" s="76">
        <f t="shared" si="1072"/>
        <v>0</v>
      </c>
      <c r="BL228" s="76">
        <f t="shared" si="1072"/>
        <v>0</v>
      </c>
      <c r="BM228" s="76">
        <f t="shared" si="1072"/>
        <v>0</v>
      </c>
      <c r="BN228" s="76">
        <f t="shared" si="1072"/>
        <v>0</v>
      </c>
      <c r="BO228" s="76">
        <f t="shared" si="1072"/>
        <v>0</v>
      </c>
      <c r="BP228" s="76">
        <f t="shared" si="1072"/>
        <v>0</v>
      </c>
      <c r="BQ228" s="76">
        <f t="shared" si="1072"/>
        <v>0</v>
      </c>
      <c r="BR228" s="76">
        <f t="shared" si="1072"/>
        <v>0</v>
      </c>
      <c r="BS228" s="76">
        <f t="shared" si="1072"/>
        <v>0</v>
      </c>
      <c r="BT228" s="76" t="n">
        <f t="shared" ref="BT228:CC229" si="1073">IF(BT$227="","",-MIN(BT$212,0)*$H228)</f>
        <v>0</v>
      </c>
      <c r="BU228" s="76">
        <f t="shared" si="1073"/>
        <v>0</v>
      </c>
      <c r="BV228" s="76" t="str">
        <f t="shared" si="1073"/>
      </c>
      <c r="BW228" s="76" t="str">
        <f t="shared" si="1073"/>
      </c>
      <c r="BX228" s="76" t="str">
        <f t="shared" si="1073"/>
      </c>
      <c r="BY228" s="76" t="str">
        <f t="shared" si="1073"/>
      </c>
      <c r="BZ228" s="76" t="str">
        <f t="shared" si="1073"/>
      </c>
      <c r="CA228" s="76" t="str">
        <f t="shared" si="1073"/>
      </c>
      <c r="CB228" s="76" t="str">
        <f t="shared" si="1073"/>
      </c>
      <c r="CC228" s="76" t="str">
        <f t="shared" si="1073"/>
      </c>
      <c r="CD228" s="76" t="str">
        <f t="shared" ref="CD228:CM229" si="1074">IF(CD$227="","",-MIN(CD$212,0)*$H228)</f>
      </c>
      <c r="CE228" s="76" t="str">
        <f t="shared" si="1074"/>
      </c>
      <c r="CF228" s="76" t="str">
        <f t="shared" si="1074"/>
      </c>
      <c r="CG228" s="76" t="str">
        <f t="shared" si="1074"/>
      </c>
      <c r="CH228" s="76" t="str">
        <f t="shared" si="1074"/>
      </c>
      <c r="CI228" s="76" t="str">
        <f t="shared" si="1074"/>
      </c>
      <c r="CJ228" s="76" t="str">
        <f t="shared" si="1074"/>
      </c>
      <c r="CK228" s="76" t="str">
        <f t="shared" si="1074"/>
      </c>
      <c r="CL228" s="76" t="str">
        <f t="shared" si="1074"/>
      </c>
      <c r="CM228" s="76" t="str">
        <f t="shared" si="1074"/>
      </c>
      <c r="CN228" s="76" t="str">
        <f t="shared" ref="CN228:CW229" si="1075">IF(CN$227="","",-MIN(CN$212,0)*$H228)</f>
      </c>
      <c r="CO228" s="76" t="str">
        <f t="shared" si="1075"/>
      </c>
      <c r="CP228" s="76" t="str">
        <f t="shared" si="1075"/>
      </c>
      <c r="CQ228" s="76" t="str">
        <f t="shared" si="1075"/>
      </c>
      <c r="CR228" s="76" t="str">
        <f t="shared" si="1075"/>
      </c>
      <c r="CS228" s="76" t="str">
        <f t="shared" si="1075"/>
      </c>
      <c r="CT228" s="76" t="str">
        <f t="shared" si="1075"/>
      </c>
      <c r="CU228" s="76" t="str">
        <f t="shared" si="1075"/>
      </c>
      <c r="CV228" s="76" t="str">
        <f t="shared" si="1075"/>
      </c>
      <c r="CW228" s="76" t="str">
        <f t="shared" si="1075"/>
      </c>
      <c r="CX228" s="76" t="str">
        <f t="shared" ref="CX228:DG229" si="1076">IF(CX$227="","",-MIN(CX$212,0)*$H228)</f>
      </c>
      <c r="CY228" s="76" t="str">
        <f t="shared" si="1076"/>
      </c>
      <c r="CZ228" s="76" t="str">
        <f t="shared" si="1076"/>
      </c>
      <c r="DA228" s="76" t="str">
        <f t="shared" si="1076"/>
      </c>
      <c r="DB228" s="76" t="str">
        <f t="shared" si="1076"/>
      </c>
      <c r="DC228" s="76" t="str">
        <f t="shared" si="1076"/>
      </c>
      <c r="DD228" s="76" t="str">
        <f t="shared" si="1076"/>
      </c>
      <c r="DE228" s="76" t="str">
        <f t="shared" si="1076"/>
      </c>
      <c r="DF228" s="76" t="str">
        <f t="shared" si="1076"/>
      </c>
      <c r="DG228" s="76" t="str">
        <f t="shared" si="1076"/>
      </c>
      <c r="DH228" s="76" t="str">
        <f t="shared" ref="DH228:DQ229" si="1077">IF(DH$227="","",-MIN(DH$212,0)*$H228)</f>
      </c>
      <c r="DI228" s="76" t="str">
        <f t="shared" si="1077"/>
      </c>
      <c r="DJ228" s="76" t="str">
        <f t="shared" si="1077"/>
      </c>
      <c r="DK228" s="76" t="str">
        <f t="shared" si="1077"/>
      </c>
      <c r="DL228" s="76" t="str">
        <f t="shared" si="1077"/>
      </c>
      <c r="DM228" s="76" t="str">
        <f t="shared" si="1077"/>
      </c>
      <c r="DN228" s="76" t="str">
        <f t="shared" si="1077"/>
      </c>
      <c r="DO228" s="76" t="str">
        <f t="shared" si="1077"/>
      </c>
      <c r="DP228" s="76" t="str">
        <f t="shared" si="1077"/>
      </c>
      <c r="DQ228" s="76" t="str">
        <f t="shared" si="1077"/>
      </c>
      <c r="DR228" s="76" t="str">
        <f t="shared" ref="DR228:EA229" si="1078">IF(DR$227="","",-MIN(DR$212,0)*$H228)</f>
      </c>
      <c r="DS228" s="76" t="str">
        <f t="shared" si="1078"/>
      </c>
      <c r="DT228" s="76" t="str">
        <f t="shared" si="1078"/>
      </c>
      <c r="DU228" s="76" t="str">
        <f t="shared" si="1078"/>
      </c>
      <c r="DV228" s="76" t="str">
        <f t="shared" si="1078"/>
      </c>
      <c r="DW228" s="76" t="str">
        <f t="shared" si="1078"/>
      </c>
      <c r="DX228" s="76" t="str">
        <f t="shared" si="1078"/>
      </c>
      <c r="DY228" s="76" t="str">
        <f t="shared" si="1078"/>
      </c>
      <c r="DZ228" s="76" t="str">
        <f t="shared" si="1078"/>
      </c>
      <c r="EA228" s="76" t="str">
        <f t="shared" si="1078"/>
      </c>
      <c r="EB228" s="76" t="str">
        <f t="shared" ref="EB228:EN229" si="1079">IF(EB$227="","",-MIN(EB$212,0)*$H228)</f>
      </c>
      <c r="EC228" s="76" t="str">
        <f t="shared" si="1079"/>
      </c>
      <c r="ED228" s="76" t="str">
        <f t="shared" si="1079"/>
      </c>
      <c r="EE228" s="76" t="str">
        <f t="shared" si="1079"/>
      </c>
      <c r="EF228" s="76" t="str">
        <f t="shared" si="1079"/>
      </c>
      <c r="EG228" s="76" t="str">
        <f t="shared" si="1079"/>
      </c>
      <c r="EH228" s="76" t="str">
        <f t="shared" si="1079"/>
      </c>
      <c r="EI228" s="76" t="str">
        <f t="shared" si="1079"/>
      </c>
      <c r="EJ228" s="76" t="str">
        <f t="shared" si="1079"/>
      </c>
      <c r="EK228" s="76" t="str">
        <f t="shared" si="1079"/>
      </c>
      <c r="EL228" s="76" t="str">
        <f t="shared" si="1079"/>
      </c>
      <c r="EM228" s="76" t="str">
        <f t="shared" si="1079"/>
      </c>
      <c r="EN228" s="76" t="str">
        <f t="shared" si="1079"/>
      </c>
      <c r="EP228" s="409"/>
      <c r="EQ228" s="18"/>
      <c r="ER228" s="18"/>
      <c r="ES228" s="18"/>
      <c r="ET228" s="18" t="s">
        <v>374</v>
      </c>
      <c r="EU228" s="18"/>
      <c r="EV228" s="422" t="n">
        <f t="shared" ref="EV228:GA228" si="1080">(EV$197&lt;=Timing_Reversion_Month)*(EV224+EV225+EV200-EV226-EV227)</f>
        <v>82683053.2599155</v>
      </c>
      <c r="EW228" s="422">
        <f t="shared" si="1080"/>
        <v>83258427.399208412</v>
      </c>
      <c r="EX228" s="422">
        <f t="shared" si="1080"/>
        <v>84098191.875974551</v>
      </c>
      <c r="EY228" s="422">
        <f t="shared" si="1080"/>
        <v>85315760.550576121</v>
      </c>
      <c r="EZ228" s="422">
        <f t="shared" si="1080"/>
        <v>87057397.929822981</v>
      </c>
      <c r="FA228" s="422">
        <f t="shared" si="1080"/>
        <v>89612852.204272732</v>
      </c>
      <c r="FB228" s="422">
        <f t="shared" si="1080"/>
        <v>92425073.296410456</v>
      </c>
      <c r="FC228" s="422">
        <f t="shared" si="1080"/>
        <v>96392748.75531511</v>
      </c>
      <c r="FD228" s="422">
        <f t="shared" si="1080"/>
        <v>101773870.29620759</v>
      </c>
      <c r="FE228" s="422">
        <f t="shared" si="1080"/>
        <v>108824961.85520145</v>
      </c>
      <c r="FF228" s="422">
        <f t="shared" si="1080"/>
        <v>117778471.5106564</v>
      </c>
      <c r="FG228" s="422">
        <f t="shared" si="1080"/>
        <v>128816728.04327273</v>
      </c>
      <c r="FH228" s="422">
        <f t="shared" si="1080"/>
        <v>142045304.93256047</v>
      </c>
      <c r="FI228" s="422">
        <f t="shared" si="1080"/>
        <v>157469426.99720815</v>
      </c>
      <c r="FJ228" s="422">
        <f t="shared" si="1080"/>
        <v>174977311.5293386</v>
      </c>
      <c r="FK228" s="422">
        <f t="shared" si="1080"/>
        <v>194333886.30771461</v>
      </c>
      <c r="FL228" s="422">
        <f t="shared" si="1080"/>
        <v>199844958.4547247</v>
      </c>
      <c r="FM228" s="422">
        <f t="shared" si="1080"/>
        <v>201375661.96470362</v>
      </c>
      <c r="FN228" s="422">
        <f t="shared" si="1080"/>
        <v>200252960.23786917</v>
      </c>
      <c r="FO228" s="422">
        <f t="shared" si="1080"/>
        <v>199358778.03351173</v>
      </c>
      <c r="FP228" s="422">
        <f t="shared" si="1080"/>
        <v>198608686.18816897</v>
      </c>
      <c r="FQ228" s="422">
        <f t="shared" si="1080"/>
        <v>197250185.94238165</v>
      </c>
      <c r="FR228" s="422">
        <f t="shared" si="1080"/>
        <v>196017072.44227761</v>
      </c>
      <c r="FS228" s="422">
        <f t="shared" si="1080"/>
        <v>194899547.49153569</v>
      </c>
      <c r="FT228" s="422">
        <f t="shared" si="1080"/>
        <v>193595415.19000232</v>
      </c>
      <c r="FU228" s="422">
        <f t="shared" si="1080"/>
        <v>192378313.00994372</v>
      </c>
      <c r="FV228" s="422">
        <f t="shared" si="1080"/>
        <v>191234570.29825625</v>
      </c>
      <c r="FW228" s="422">
        <f t="shared" si="1080"/>
        <v>189972176.04515716</v>
      </c>
      <c r="FX228" s="422">
        <f t="shared" si="1080"/>
        <v>189352082.45611084</v>
      </c>
      <c r="FY228" s="422">
        <f t="shared" si="1080"/>
        <v>190072591.13790494</v>
      </c>
      <c r="FZ228" s="422">
        <f t="shared" si="1080"/>
        <v>189790111.88786659</v>
      </c>
      <c r="GA228" s="422">
        <f t="shared" si="1080"/>
        <v>189128214.6110597</v>
      </c>
      <c r="GB228" s="422" t="n">
        <f t="shared" ref="GB228:HG228" si="1081">(GB$197&lt;=Timing_Reversion_Month)*(GB224+GB225+GB200-GB226-GB227)</f>
        <v>188178492.90406346</v>
      </c>
      <c r="GC228" s="422">
        <f t="shared" si="1081"/>
        <v>187017066.87424317</v>
      </c>
      <c r="GD228" s="422">
        <f t="shared" si="1081"/>
        <v>185463991.52901265</v>
      </c>
      <c r="GE228" s="422">
        <f t="shared" si="1081"/>
        <v>183804692.5600701</v>
      </c>
      <c r="GF228" s="422">
        <f t="shared" si="1081"/>
        <v>182061113.07775456</v>
      </c>
      <c r="GG228" s="422">
        <f t="shared" si="1081"/>
        <v>180699373.0058139</v>
      </c>
      <c r="GH228" s="422">
        <f t="shared" si="1081"/>
        <v>179333728.75101689</v>
      </c>
      <c r="GI228" s="422">
        <f t="shared" si="1081"/>
        <v>177964224.9398528</v>
      </c>
      <c r="GJ228" s="422">
        <f t="shared" si="1081"/>
        <v>176584903.6121006</v>
      </c>
      <c r="GK228" s="422">
        <f t="shared" si="1081"/>
        <v>175201745.26780775</v>
      </c>
      <c r="GL228" s="422">
        <f t="shared" si="1081"/>
        <v>173814797.36878088</v>
      </c>
      <c r="GM228" s="422">
        <f t="shared" si="1081"/>
        <v>172268192.71825051</v>
      </c>
      <c r="GN228" s="422">
        <f t="shared" si="1081"/>
        <v>170716070.66183227</v>
      </c>
      <c r="GO228" s="422">
        <f t="shared" si="1081"/>
        <v>169158461.07061779</v>
      </c>
      <c r="GP228" s="422">
        <f t="shared" si="1081"/>
        <v>167567711.47860566</v>
      </c>
      <c r="GQ228" s="422">
        <f t="shared" si="1081"/>
        <v>165971212.97923803</v>
      </c>
      <c r="GR228" s="422">
        <f t="shared" si="1081"/>
        <v>164368994.87398252</v>
      </c>
      <c r="GS228" s="422">
        <f t="shared" si="1081"/>
        <v>162887921.74407628</v>
      </c>
      <c r="GT228" s="422">
        <f t="shared" si="1081"/>
        <v>161402676.6858241</v>
      </c>
      <c r="GU228" s="422">
        <f t="shared" si="1081"/>
        <v>159913309.66583443</v>
      </c>
      <c r="GV228" s="422">
        <f t="shared" si="1081"/>
        <v>158413878.24924842</v>
      </c>
      <c r="GW228" s="422">
        <f t="shared" si="1081"/>
        <v>156910358.58918932</v>
      </c>
      <c r="GX228" s="422">
        <f t="shared" si="1081"/>
        <v>155402803.87325698</v>
      </c>
      <c r="GY228" s="422">
        <f t="shared" si="1081"/>
        <v>153750150.67716867</v>
      </c>
      <c r="GZ228" s="422">
        <f t="shared" si="1081"/>
        <v>152091919.78029662</v>
      </c>
      <c r="HA228" s="422">
        <f t="shared" si="1081"/>
        <v>150428149.21279532</v>
      </c>
      <c r="HB228" s="422">
        <f t="shared" si="1081"/>
        <v>148730225.9109453</v>
      </c>
      <c r="HC228" s="422">
        <f t="shared" si="1081"/>
        <v>147026507.02184591</v>
      </c>
      <c r="HD228" s="422">
        <f t="shared" si="1081"/>
        <v>145317030.36649778</v>
      </c>
      <c r="HE228" s="422">
        <f t="shared" si="1081"/>
        <v>0</v>
      </c>
      <c r="HF228" s="422">
        <f t="shared" si="1081"/>
        <v>0</v>
      </c>
      <c r="HG228" s="422">
        <f t="shared" si="1081"/>
        <v>0</v>
      </c>
      <c r="HH228" s="422" t="n">
        <f t="shared" ref="HH228:IM228" si="1082">(HH$197&lt;=Timing_Reversion_Month)*(HH224+HH225+HH200-HH226-HH227)</f>
        <v>0</v>
      </c>
      <c r="HI228" s="422">
        <f t="shared" si="1082"/>
        <v>0</v>
      </c>
      <c r="HJ228" s="422">
        <f t="shared" si="1082"/>
        <v>0</v>
      </c>
      <c r="HK228" s="422">
        <f t="shared" si="1082"/>
        <v>0</v>
      </c>
      <c r="HL228" s="422">
        <f t="shared" si="1082"/>
        <v>0</v>
      </c>
      <c r="HM228" s="422">
        <f t="shared" si="1082"/>
        <v>0</v>
      </c>
      <c r="HN228" s="422">
        <f t="shared" si="1082"/>
        <v>0</v>
      </c>
      <c r="HO228" s="422">
        <f t="shared" si="1082"/>
        <v>0</v>
      </c>
      <c r="HP228" s="422">
        <f t="shared" si="1082"/>
        <v>0</v>
      </c>
      <c r="HQ228" s="422">
        <f t="shared" si="1082"/>
        <v>0</v>
      </c>
      <c r="HR228" s="422">
        <f t="shared" si="1082"/>
        <v>0</v>
      </c>
      <c r="HS228" s="422">
        <f t="shared" si="1082"/>
        <v>0</v>
      </c>
      <c r="HT228" s="422">
        <f t="shared" si="1082"/>
        <v>0</v>
      </c>
      <c r="HU228" s="422">
        <f t="shared" si="1082"/>
        <v>0</v>
      </c>
      <c r="HV228" s="422">
        <f t="shared" si="1082"/>
        <v>0</v>
      </c>
      <c r="HW228" s="422">
        <f t="shared" si="1082"/>
        <v>0</v>
      </c>
      <c r="HX228" s="422">
        <f t="shared" si="1082"/>
        <v>0</v>
      </c>
      <c r="HY228" s="422">
        <f t="shared" si="1082"/>
        <v>0</v>
      </c>
      <c r="HZ228" s="422">
        <f t="shared" si="1082"/>
        <v>0</v>
      </c>
      <c r="IA228" s="422">
        <f t="shared" si="1082"/>
        <v>0</v>
      </c>
      <c r="IB228" s="422">
        <f t="shared" si="1082"/>
        <v>0</v>
      </c>
      <c r="IC228" s="422">
        <f t="shared" si="1082"/>
        <v>0</v>
      </c>
      <c r="ID228" s="422">
        <f t="shared" si="1082"/>
        <v>0</v>
      </c>
      <c r="IE228" s="422">
        <f t="shared" si="1082"/>
        <v>0</v>
      </c>
      <c r="IF228" s="422">
        <f t="shared" si="1082"/>
        <v>0</v>
      </c>
      <c r="IG228" s="422">
        <f t="shared" si="1082"/>
        <v>0</v>
      </c>
      <c r="IH228" s="422">
        <f t="shared" si="1082"/>
        <v>0</v>
      </c>
      <c r="II228" s="422">
        <f t="shared" si="1082"/>
        <v>0</v>
      </c>
      <c r="IJ228" s="422">
        <f t="shared" si="1082"/>
        <v>0</v>
      </c>
      <c r="IK228" s="422">
        <f t="shared" si="1082"/>
        <v>0</v>
      </c>
      <c r="IL228" s="422">
        <f t="shared" si="1082"/>
        <v>0</v>
      </c>
      <c r="IM228" s="422">
        <f t="shared" si="1082"/>
        <v>0</v>
      </c>
      <c r="IN228" s="422" t="n">
        <f t="shared" ref="IN228:JS228" si="1083">(IN$197&lt;=Timing_Reversion_Month)*(IN224+IN225+IN200-IN226-IN227)</f>
        <v>0</v>
      </c>
      <c r="IO228" s="422">
        <f t="shared" si="1083"/>
        <v>0</v>
      </c>
      <c r="IP228" s="422">
        <f t="shared" si="1083"/>
        <v>0</v>
      </c>
      <c r="IQ228" s="422">
        <f t="shared" si="1083"/>
        <v>0</v>
      </c>
      <c r="IR228" s="422">
        <f t="shared" si="1083"/>
        <v>0</v>
      </c>
      <c r="IS228" s="422">
        <f t="shared" si="1083"/>
        <v>0</v>
      </c>
      <c r="IT228" s="422">
        <f t="shared" si="1083"/>
        <v>0</v>
      </c>
      <c r="IU228" s="422">
        <f t="shared" si="1083"/>
        <v>0</v>
      </c>
      <c r="IV228" s="422">
        <f t="shared" si="1083"/>
        <v>0</v>
      </c>
      <c r="IW228" s="422">
        <f t="shared" si="1083"/>
        <v>0</v>
      </c>
      <c r="IX228" s="422">
        <f t="shared" si="1083"/>
        <v>0</v>
      </c>
      <c r="IY228" s="422">
        <f t="shared" si="1083"/>
        <v>0</v>
      </c>
      <c r="IZ228" s="422">
        <f t="shared" si="1083"/>
        <v>0</v>
      </c>
      <c r="JA228" s="422">
        <f t="shared" si="1083"/>
        <v>0</v>
      </c>
      <c r="JB228" s="422">
        <f t="shared" si="1083"/>
        <v>0</v>
      </c>
      <c r="JC228" s="422">
        <f t="shared" si="1083"/>
        <v>0</v>
      </c>
      <c r="JD228" s="422">
        <f t="shared" si="1083"/>
        <v>0</v>
      </c>
      <c r="JE228" s="422">
        <f t="shared" si="1083"/>
        <v>0</v>
      </c>
      <c r="JF228" s="422">
        <f t="shared" si="1083"/>
        <v>0</v>
      </c>
      <c r="JG228" s="422">
        <f t="shared" si="1083"/>
        <v>0</v>
      </c>
      <c r="JH228" s="422">
        <f t="shared" si="1083"/>
        <v>0</v>
      </c>
      <c r="JI228" s="422">
        <f t="shared" si="1083"/>
        <v>0</v>
      </c>
      <c r="JJ228" s="422">
        <f t="shared" si="1083"/>
        <v>0</v>
      </c>
      <c r="JK228" s="422">
        <f t="shared" si="1083"/>
        <v>0</v>
      </c>
      <c r="JL228" s="422">
        <f t="shared" si="1083"/>
        <v>0</v>
      </c>
      <c r="JM228" s="422">
        <f t="shared" si="1083"/>
        <v>0</v>
      </c>
      <c r="JN228" s="422">
        <f t="shared" si="1083"/>
        <v>0</v>
      </c>
      <c r="JO228" s="422">
        <f t="shared" si="1083"/>
        <v>0</v>
      </c>
      <c r="JP228" s="422">
        <f t="shared" si="1083"/>
        <v>0</v>
      </c>
      <c r="JQ228" s="422">
        <f t="shared" si="1083"/>
        <v>0</v>
      </c>
      <c r="JR228" s="422">
        <f t="shared" si="1083"/>
        <v>0</v>
      </c>
      <c r="JS228" s="422">
        <f t="shared" si="1083"/>
        <v>0</v>
      </c>
      <c r="JT228" s="422" t="n">
        <f t="shared" ref="JT228:JX228" si="1084">(JT$197&lt;=Timing_Reversion_Month)*(JT224+JT225+JT200-JT226-JT227)</f>
        <v>0</v>
      </c>
      <c r="JU228" s="422">
        <f t="shared" si="1084"/>
        <v>0</v>
      </c>
      <c r="JV228" s="422">
        <f t="shared" si="1084"/>
        <v>0</v>
      </c>
      <c r="JW228" s="422">
        <f t="shared" si="1084"/>
        <v>0</v>
      </c>
      <c r="JX228" s="422">
        <f t="shared" si="1084"/>
        <v>0</v>
      </c>
      <c r="JZ228" s="263"/>
      <c r="KA228" s="263"/>
      <c r="KB228" s="263"/>
      <c r="KC228" s="263"/>
      <c r="KD228" s="263"/>
      <c r="KE228" s="263"/>
      <c r="KF228" s="263"/>
      <c r="KG228" s="263"/>
      <c r="KH228" s="263"/>
      <c r="KI228" s="263"/>
      <c r="KJ228" s="263"/>
      <c r="KK228" s="263"/>
      <c r="KL228" s="263"/>
      <c r="KM228" s="263"/>
      <c r="KN228" s="263"/>
      <c r="KO228" s="263"/>
      <c r="KP228" s="263"/>
      <c r="KQ228" s="263"/>
      <c r="KR228" s="263"/>
      <c r="KS228" s="263"/>
      <c r="KT228" s="263"/>
      <c r="KU228" s="263"/>
      <c r="KV228" s="263"/>
      <c r="KW228" s="263"/>
      <c r="KX228" s="263"/>
      <c r="KY228" s="263"/>
      <c r="KZ228" s="263"/>
      <c r="LA228" s="263"/>
      <c r="LB228" s="263"/>
      <c r="LC228" s="263"/>
      <c r="LD228" s="263"/>
      <c r="LE228" s="263"/>
      <c r="LF228" s="263"/>
      <c r="LG228" s="263"/>
      <c r="LH228" s="263"/>
      <c r="LI228" s="263"/>
      <c r="LJ228" s="263"/>
      <c r="LK228" s="263"/>
      <c r="LL228" s="263"/>
      <c r="LM228" s="263"/>
      <c r="LN228" s="263"/>
      <c r="LO228" s="263"/>
      <c r="LP228" s="263"/>
      <c r="LQ228" s="263"/>
      <c r="LR228" s="263"/>
      <c r="LS228" s="263"/>
      <c r="LT228" s="263"/>
      <c r="LU228" s="263"/>
      <c r="LV228" s="263"/>
      <c r="LW228" s="263"/>
      <c r="LX228" s="263"/>
      <c r="LY228" s="263"/>
      <c r="LZ228" s="263"/>
      <c r="MA228" s="263"/>
      <c r="MB228" s="263"/>
      <c r="MC228" s="263"/>
      <c r="MD228" s="263"/>
      <c r="ME228" s="263"/>
      <c r="MF228" s="263"/>
      <c r="MG228" s="263"/>
      <c r="MH228" s="263"/>
      <c r="MI228" s="263"/>
      <c r="MJ228" s="263"/>
      <c r="MK228" s="263"/>
      <c r="ML228" s="263"/>
      <c r="MM228" s="263"/>
      <c r="MN228" s="263"/>
      <c r="MO228" s="263"/>
      <c r="MP228" s="263"/>
      <c r="MQ228" s="263"/>
      <c r="MR228" s="263"/>
      <c r="MS228" s="263"/>
      <c r="MT228" s="263"/>
      <c r="MU228" s="263"/>
      <c r="MV228" s="263"/>
      <c r="MW228" s="263"/>
      <c r="MX228" s="263"/>
      <c r="MY228" s="263"/>
      <c r="MZ228" s="263"/>
      <c r="NA228" s="263"/>
      <c r="NB228" s="263"/>
      <c r="NC228" s="263"/>
      <c r="ND228" s="263"/>
      <c r="NE228" s="263"/>
      <c r="NF228" s="263"/>
      <c r="NG228" s="263"/>
      <c r="NH228" s="263"/>
      <c r="NI228" s="263"/>
      <c r="NJ228" s="263"/>
      <c r="NK228" s="263"/>
      <c r="NL228" s="263"/>
      <c r="NM228" s="263"/>
      <c r="NN228" s="263"/>
      <c r="NO228" s="263"/>
      <c r="NP228" s="263"/>
      <c r="NQ228" s="263"/>
      <c r="NR228" s="263"/>
      <c r="NS228" s="263"/>
      <c r="NT228" s="263"/>
      <c r="NU228" s="263"/>
      <c r="NV228" s="263"/>
      <c r="NW228" s="263"/>
      <c r="NX228" s="263"/>
      <c r="NY228" s="263"/>
      <c r="NZ228" s="263"/>
      <c r="OA228" s="263"/>
      <c r="OB228" s="263"/>
      <c r="OC228" s="263"/>
      <c r="OD228" s="263"/>
      <c r="OE228" s="263"/>
      <c r="OF228" s="263"/>
      <c r="OG228" s="263"/>
      <c r="OH228" s="263"/>
      <c r="OI228" s="263"/>
      <c r="OJ228" s="263"/>
      <c r="OK228" s="263"/>
      <c r="OL228" s="263"/>
      <c r="OM228" s="263"/>
      <c r="ON228" s="263"/>
      <c r="OO228" s="263"/>
      <c r="OP228" s="263"/>
      <c r="OQ228" s="263"/>
      <c r="OR228" s="263"/>
      <c r="OS228" s="263"/>
      <c r="OT228" s="263"/>
      <c r="OU228" s="263"/>
      <c r="OV228" s="263"/>
      <c r="OW228" s="263"/>
      <c r="OX228" s="263"/>
      <c r="OY228" s="263"/>
      <c r="OZ228" s="263"/>
      <c r="PA228" s="263"/>
      <c r="PB228" s="263"/>
      <c r="PC228" s="263"/>
      <c r="PD228" s="263"/>
      <c r="PE228" s="263"/>
      <c r="PF228" s="263"/>
      <c r="PG228" s="263"/>
      <c r="PH228" s="263"/>
    </row>
    <row r="229">
      <c r="B229" s="415" t="s">
        <v>416</v>
      </c>
      <c r="C229" s="549" t="str">
        <f>PROJECTS!$AP$121</f>
        <v>External Equity / Limited Partner — illustrative waterfall</v>
      </c>
      <c r="D229" s="401"/>
      <c r="E229" s="83"/>
      <c r="F229" s="83"/>
      <c r="G229" s="548"/>
      <c r="H229" s="55" t="n">
        <f>1-H228</f>
        <v>0.95</v>
      </c>
      <c r="I229" s="424" t="n">
        <f>SUM(L229:EN229)</f>
        <v>178972256.76132748</v>
      </c>
      <c r="L229" s="426">
        <f t="shared" si="1067"/>
        <v>82683053.259915501</v>
      </c>
      <c r="M229" s="426">
        <f t="shared" si="1067"/>
        <v>0</v>
      </c>
      <c r="N229" s="426">
        <f t="shared" si="1067"/>
        <v>0</v>
      </c>
      <c r="O229" s="426">
        <f t="shared" si="1067"/>
        <v>232365.34366464696</v>
      </c>
      <c r="P229" s="426">
        <f t="shared" si="1067"/>
        <v>742170.33244276396</v>
      </c>
      <c r="Q229" s="426">
        <f t="shared" si="1067"/>
        <v>1535584.0904432603</v>
      </c>
      <c r="R229" s="426">
        <f t="shared" si="1067"/>
        <v>1762413.9736135693</v>
      </c>
      <c r="S229" s="426">
        <f t="shared" si="1067"/>
        <v>2884923.403925844</v>
      </c>
      <c r="T229" s="426">
        <f t="shared" si="1067"/>
        <v>4251888.4975476647</v>
      </c>
      <c r="U229" s="426">
        <f t="shared" si="1067"/>
        <v>5858819.1238618502</v>
      </c>
      <c r="V229" s="426">
        <f t="shared" si="1068"/>
        <v>7678634.2685150485</v>
      </c>
      <c r="W229" s="426">
        <f t="shared" si="1068"/>
        <v>9658491.5239216667</v>
      </c>
      <c r="X229" s="426">
        <f t="shared" si="1068"/>
        <v>11719499.622373434</v>
      </c>
      <c r="Y229" s="426">
        <f t="shared" si="1068"/>
        <v>13760073.118507486</v>
      </c>
      <c r="Z229" s="426">
        <f t="shared" si="1068"/>
        <v>15663143.277441243</v>
      </c>
      <c r="AA229" s="426">
        <f t="shared" si="1068"/>
        <v>17306730.110950492</v>
      </c>
      <c r="AB229" s="426">
        <f t="shared" si="1068"/>
        <v>3234466.8142030039</v>
      </c>
      <c r="AC229" s="426">
        <f t="shared" si="1068"/>
        <v>0</v>
      </c>
      <c r="AD229" s="426">
        <f t="shared" si="1068"/>
        <v>0</v>
      </c>
      <c r="AE229" s="426">
        <f t="shared" si="1068"/>
        <v>0</v>
      </c>
      <c r="AF229" s="426">
        <f t="shared" si="1069"/>
        <v>0</v>
      </c>
      <c r="AG229" s="426">
        <f t="shared" si="1069"/>
        <v>0</v>
      </c>
      <c r="AH229" s="426">
        <f t="shared" si="1069"/>
        <v>0</v>
      </c>
      <c r="AI229" s="426">
        <f t="shared" si="1069"/>
        <v>0</v>
      </c>
      <c r="AJ229" s="426">
        <f t="shared" si="1069"/>
        <v>0</v>
      </c>
      <c r="AK229" s="426">
        <f t="shared" si="1069"/>
        <v>0</v>
      </c>
      <c r="AL229" s="426">
        <f t="shared" si="1069"/>
        <v>0</v>
      </c>
      <c r="AM229" s="426">
        <f t="shared" si="1069"/>
        <v>0</v>
      </c>
      <c r="AN229" s="426">
        <f t="shared" si="1069"/>
        <v>0</v>
      </c>
      <c r="AO229" s="426">
        <f t="shared" si="1069"/>
        <v>0</v>
      </c>
      <c r="AP229" s="426">
        <f t="shared" si="1070"/>
        <v>0</v>
      </c>
      <c r="AQ229" s="426">
        <f t="shared" si="1070"/>
        <v>0</v>
      </c>
      <c r="AR229" s="426">
        <f t="shared" si="1070"/>
        <v>0</v>
      </c>
      <c r="AS229" s="426">
        <f t="shared" si="1070"/>
        <v>0</v>
      </c>
      <c r="AT229" s="426">
        <f t="shared" si="1070"/>
        <v>0</v>
      </c>
      <c r="AU229" s="426">
        <f t="shared" si="1070"/>
        <v>0</v>
      </c>
      <c r="AV229" s="426">
        <f t="shared" si="1070"/>
        <v>0</v>
      </c>
      <c r="AW229" s="426">
        <f t="shared" si="1070"/>
        <v>0</v>
      </c>
      <c r="AX229" s="426">
        <f t="shared" si="1070"/>
        <v>0</v>
      </c>
      <c r="AY229" s="426">
        <f t="shared" si="1070"/>
        <v>0</v>
      </c>
      <c r="AZ229" s="426">
        <f t="shared" si="1071"/>
        <v>0</v>
      </c>
      <c r="BA229" s="426">
        <f t="shared" si="1071"/>
        <v>0</v>
      </c>
      <c r="BB229" s="426">
        <f t="shared" si="1071"/>
        <v>0</v>
      </c>
      <c r="BC229" s="426">
        <f t="shared" si="1071"/>
        <v>0</v>
      </c>
      <c r="BD229" s="203">
        <f t="shared" si="1071"/>
        <v>0</v>
      </c>
      <c r="BE229" s="203">
        <f t="shared" si="1071"/>
        <v>0</v>
      </c>
      <c r="BF229" s="203">
        <f t="shared" si="1071"/>
        <v>0</v>
      </c>
      <c r="BG229" s="203">
        <f t="shared" si="1071"/>
        <v>0</v>
      </c>
      <c r="BH229" s="203">
        <f t="shared" si="1071"/>
        <v>0</v>
      </c>
      <c r="BI229" s="203">
        <f t="shared" si="1071"/>
        <v>0</v>
      </c>
      <c r="BJ229" s="203">
        <f t="shared" si="1072"/>
        <v>0</v>
      </c>
      <c r="BK229" s="203">
        <f t="shared" si="1072"/>
        <v>0</v>
      </c>
      <c r="BL229" s="203">
        <f t="shared" si="1072"/>
        <v>0</v>
      </c>
      <c r="BM229" s="203">
        <f t="shared" si="1072"/>
        <v>0</v>
      </c>
      <c r="BN229" s="203">
        <f t="shared" si="1072"/>
        <v>0</v>
      </c>
      <c r="BO229" s="203">
        <f t="shared" si="1072"/>
        <v>0</v>
      </c>
      <c r="BP229" s="203">
        <f t="shared" si="1072"/>
        <v>0</v>
      </c>
      <c r="BQ229" s="203">
        <f t="shared" si="1072"/>
        <v>0</v>
      </c>
      <c r="BR229" s="203">
        <f t="shared" si="1072"/>
        <v>0</v>
      </c>
      <c r="BS229" s="203">
        <f t="shared" si="1072"/>
        <v>0</v>
      </c>
      <c r="BT229" s="203">
        <f t="shared" si="1073"/>
        <v>0</v>
      </c>
      <c r="BU229" s="203">
        <f t="shared" si="1073"/>
        <v>0</v>
      </c>
      <c r="BV229" s="203" t="str">
        <f t="shared" si="1073"/>
      </c>
      <c r="BW229" s="203" t="str">
        <f t="shared" si="1073"/>
      </c>
      <c r="BX229" s="203" t="str">
        <f t="shared" si="1073"/>
      </c>
      <c r="BY229" s="203" t="str">
        <f t="shared" si="1073"/>
      </c>
      <c r="BZ229" s="203" t="str">
        <f t="shared" si="1073"/>
      </c>
      <c r="CA229" s="203" t="str">
        <f t="shared" si="1073"/>
      </c>
      <c r="CB229" s="203" t="str">
        <f t="shared" si="1073"/>
      </c>
      <c r="CC229" s="203" t="str">
        <f t="shared" si="1073"/>
      </c>
      <c r="CD229" s="203" t="str">
        <f t="shared" si="1074"/>
      </c>
      <c r="CE229" s="203" t="str">
        <f t="shared" si="1074"/>
      </c>
      <c r="CF229" s="203" t="str">
        <f t="shared" si="1074"/>
      </c>
      <c r="CG229" s="203" t="str">
        <f t="shared" si="1074"/>
      </c>
      <c r="CH229" s="203" t="str">
        <f t="shared" si="1074"/>
      </c>
      <c r="CI229" s="203" t="str">
        <f t="shared" si="1074"/>
      </c>
      <c r="CJ229" s="203" t="str">
        <f t="shared" si="1074"/>
      </c>
      <c r="CK229" s="203" t="str">
        <f t="shared" si="1074"/>
      </c>
      <c r="CL229" s="203" t="str">
        <f t="shared" si="1074"/>
      </c>
      <c r="CM229" s="203" t="str">
        <f t="shared" si="1074"/>
      </c>
      <c r="CN229" s="203" t="str">
        <f t="shared" si="1075"/>
      </c>
      <c r="CO229" s="203" t="str">
        <f t="shared" si="1075"/>
      </c>
      <c r="CP229" s="203" t="str">
        <f t="shared" si="1075"/>
      </c>
      <c r="CQ229" s="203" t="str">
        <f t="shared" si="1075"/>
      </c>
      <c r="CR229" s="203" t="str">
        <f t="shared" si="1075"/>
      </c>
      <c r="CS229" s="203" t="str">
        <f t="shared" si="1075"/>
      </c>
      <c r="CT229" s="203" t="str">
        <f t="shared" si="1075"/>
      </c>
      <c r="CU229" s="203" t="str">
        <f t="shared" si="1075"/>
      </c>
      <c r="CV229" s="203" t="str">
        <f t="shared" si="1075"/>
      </c>
      <c r="CW229" s="203" t="str">
        <f t="shared" si="1075"/>
      </c>
      <c r="CX229" s="203" t="str">
        <f t="shared" si="1076"/>
      </c>
      <c r="CY229" s="203" t="str">
        <f t="shared" si="1076"/>
      </c>
      <c r="CZ229" s="203" t="str">
        <f t="shared" si="1076"/>
      </c>
      <c r="DA229" s="203" t="str">
        <f t="shared" si="1076"/>
      </c>
      <c r="DB229" s="203" t="str">
        <f t="shared" si="1076"/>
      </c>
      <c r="DC229" s="203" t="str">
        <f t="shared" si="1076"/>
      </c>
      <c r="DD229" s="203" t="str">
        <f t="shared" si="1076"/>
      </c>
      <c r="DE229" s="203" t="str">
        <f t="shared" si="1076"/>
      </c>
      <c r="DF229" s="203" t="str">
        <f t="shared" si="1076"/>
      </c>
      <c r="DG229" s="203" t="str">
        <f t="shared" si="1076"/>
      </c>
      <c r="DH229" s="203" t="str">
        <f t="shared" si="1077"/>
      </c>
      <c r="DI229" s="203" t="str">
        <f t="shared" si="1077"/>
      </c>
      <c r="DJ229" s="203" t="str">
        <f t="shared" si="1077"/>
      </c>
      <c r="DK229" s="203" t="str">
        <f t="shared" si="1077"/>
      </c>
      <c r="DL229" s="203" t="str">
        <f t="shared" si="1077"/>
      </c>
      <c r="DM229" s="203" t="str">
        <f t="shared" si="1077"/>
      </c>
      <c r="DN229" s="203" t="str">
        <f t="shared" si="1077"/>
      </c>
      <c r="DO229" s="203" t="str">
        <f t="shared" si="1077"/>
      </c>
      <c r="DP229" s="203" t="str">
        <f t="shared" si="1077"/>
      </c>
      <c r="DQ229" s="203" t="str">
        <f t="shared" si="1077"/>
      </c>
      <c r="DR229" s="203" t="str">
        <f t="shared" si="1078"/>
      </c>
      <c r="DS229" s="203" t="str">
        <f t="shared" si="1078"/>
      </c>
      <c r="DT229" s="203" t="str">
        <f t="shared" si="1078"/>
      </c>
      <c r="DU229" s="203" t="str">
        <f t="shared" si="1078"/>
      </c>
      <c r="DV229" s="203" t="str">
        <f t="shared" si="1078"/>
      </c>
      <c r="DW229" s="203" t="str">
        <f t="shared" si="1078"/>
      </c>
      <c r="DX229" s="203" t="str">
        <f t="shared" si="1078"/>
      </c>
      <c r="DY229" s="203" t="str">
        <f t="shared" si="1078"/>
      </c>
      <c r="DZ229" s="203" t="str">
        <f t="shared" si="1078"/>
      </c>
      <c r="EA229" s="203" t="str">
        <f t="shared" si="1078"/>
      </c>
      <c r="EB229" s="203" t="str">
        <f t="shared" si="1079"/>
      </c>
      <c r="EC229" s="203" t="str">
        <f t="shared" si="1079"/>
      </c>
      <c r="ED229" s="203" t="str">
        <f t="shared" si="1079"/>
      </c>
      <c r="EE229" s="203" t="str">
        <f t="shared" si="1079"/>
      </c>
      <c r="EF229" s="203" t="str">
        <f t="shared" si="1079"/>
      </c>
      <c r="EG229" s="203" t="str">
        <f t="shared" si="1079"/>
      </c>
      <c r="EH229" s="203" t="str">
        <f t="shared" si="1079"/>
      </c>
      <c r="EI229" s="203" t="str">
        <f t="shared" si="1079"/>
      </c>
      <c r="EJ229" s="203" t="str">
        <f t="shared" si="1079"/>
      </c>
      <c r="EK229" s="203" t="str">
        <f t="shared" si="1079"/>
      </c>
      <c r="EL229" s="203" t="str">
        <f t="shared" si="1079"/>
      </c>
      <c r="EM229" s="203" t="str">
        <f t="shared" si="1079"/>
      </c>
      <c r="EN229" s="203" t="str">
        <f t="shared" si="1079"/>
      </c>
      <c r="EP229" s="409"/>
      <c r="EQ229" s="18"/>
      <c r="ER229" s="18"/>
      <c r="ES229" s="18" t="s">
        <v>376</v>
      </c>
      <c r="ET229" s="308" t="n">
        <f>XIRR($EV229:INDEX($EV229:$PH229,1,Timing_Reversion_Month+1),$EV$24:INDEX($EV$24:$PH$24,1,Timing_Reversion_Month+1))</f>
        <v>0.14983568315658827</v>
      </c>
      <c r="EU229" s="18"/>
      <c r="EV229" s="422" t="n">
        <f>+-EV200+EV226+EV227</f>
        <v>-82683053.2599155</v>
      </c>
      <c r="EW229" s="422" t="n">
        <f t="shared" ref="EW229:GA229" si="1085">+-EW200+EW226+EW227</f>
        <v>393250.9603268034</v>
      </c>
      <c r="EX229" s="422">
        <f t="shared" si="1085"/>
        <v>135601.08309322695</v>
      </c>
      <c r="EY229" s="422">
        <f t="shared" si="1085"/>
        <v>-232365.34366464696</v>
      </c>
      <c r="EZ229" s="422">
        <f t="shared" si="1085"/>
        <v>-742170.33244276396</v>
      </c>
      <c r="FA229" s="422">
        <f t="shared" si="1085"/>
        <v>-1535584.0904432603</v>
      </c>
      <c r="FB229" s="422">
        <f t="shared" si="1085"/>
        <v>-1762413.9736135693</v>
      </c>
      <c r="FC229" s="422">
        <f t="shared" si="1085"/>
        <v>-2884923.403925844</v>
      </c>
      <c r="FD229" s="422">
        <f t="shared" si="1085"/>
        <v>-4251888.4975476647</v>
      </c>
      <c r="FE229" s="422">
        <f t="shared" si="1085"/>
        <v>-5858819.1238618502</v>
      </c>
      <c r="FF229" s="422">
        <f t="shared" si="1085"/>
        <v>-7678634.2685150485</v>
      </c>
      <c r="FG229" s="422">
        <f t="shared" si="1085"/>
        <v>-9658491.5239216667</v>
      </c>
      <c r="FH229" s="422">
        <f t="shared" si="1085"/>
        <v>-11719499.622373434</v>
      </c>
      <c r="FI229" s="422">
        <f t="shared" si="1085"/>
        <v>-13760073.118507486</v>
      </c>
      <c r="FJ229" s="422">
        <f t="shared" si="1085"/>
        <v>-15663143.277441243</v>
      </c>
      <c r="FK229" s="422">
        <f t="shared" si="1085"/>
        <v>-17306730.110950492</v>
      </c>
      <c r="FL229" s="422">
        <f t="shared" si="1085"/>
        <v>-3234466.8142030039</v>
      </c>
      <c r="FM229" s="422">
        <f t="shared" si="1085"/>
        <v>810463.57516973012</v>
      </c>
      <c r="FN229" s="422">
        <f t="shared" si="1085"/>
        <v>3481800.8764314256</v>
      </c>
      <c r="FO229" s="422">
        <f t="shared" si="1085"/>
        <v>3240128.9964987887</v>
      </c>
      <c r="FP229" s="422">
        <f t="shared" si="1085"/>
        <v>3085563.367248842</v>
      </c>
      <c r="FQ229" s="422">
        <f t="shared" si="1085"/>
        <v>3685184.504042963</v>
      </c>
      <c r="FR229" s="422">
        <f t="shared" si="1085"/>
        <v>3543883.0408446738</v>
      </c>
      <c r="FS229" s="422">
        <f t="shared" si="1085"/>
        <v>3413848.6692760913</v>
      </c>
      <c r="FT229" s="422">
        <f t="shared" si="1085"/>
        <v>3587364.3081137375</v>
      </c>
      <c r="FU229" s="422">
        <f t="shared" si="1085"/>
        <v>3485056.3850739766</v>
      </c>
      <c r="FV229" s="422">
        <f t="shared" si="1085"/>
        <v>3397438.6657805149</v>
      </c>
      <c r="FW229" s="422">
        <f t="shared" si="1085"/>
        <v>3502691.3563470333</v>
      </c>
      <c r="FX229" s="422">
        <f t="shared" si="1085"/>
        <v>2845601.8484991258</v>
      </c>
      <c r="FY229" s="422">
        <f t="shared" si="1085"/>
        <v>1497735.2327804544</v>
      </c>
      <c r="FZ229" s="422">
        <f t="shared" si="1085"/>
        <v>2509163.8639601702</v>
      </c>
      <c r="GA229" s="422">
        <f t="shared" si="1085"/>
        <v>2885272.669782937</v>
      </c>
      <c r="GB229" s="422" t="n">
        <f t="shared" ref="GB229:HG229" si="1086">+-GB200+GB226+GB227</f>
        <v>3165343.028364981</v>
      </c>
      <c r="GC229" s="422">
        <f t="shared" si="1086"/>
        <v>3365921.4402946201</v>
      </c>
      <c r="GD229" s="422">
        <f t="shared" si="1086"/>
        <v>3743964.7462569405</v>
      </c>
      <c r="GE229" s="422">
        <f t="shared" si="1086"/>
        <v>3831994.2213293347</v>
      </c>
      <c r="GF229" s="422">
        <f t="shared" si="1086"/>
        <v>3896836.1851359545</v>
      </c>
      <c r="GG229" s="422">
        <f t="shared" si="1086"/>
        <v>3494570.8859825786</v>
      </c>
      <c r="GH229" s="422">
        <f t="shared" si="1086"/>
        <v>3482522.3970297342</v>
      </c>
      <c r="GI229" s="422">
        <f t="shared" si="1086"/>
        <v>3470383.544409744</v>
      </c>
      <c r="GJ229" s="422">
        <f t="shared" si="1086"/>
        <v>3464157.4376286799</v>
      </c>
      <c r="GK229" s="422">
        <f t="shared" si="1086"/>
        <v>3451835.8194089294</v>
      </c>
      <c r="GL229" s="422">
        <f t="shared" si="1086"/>
        <v>3439421.7890525316</v>
      </c>
      <c r="GM229" s="422">
        <f t="shared" si="1086"/>
        <v>3582830.5611468046</v>
      </c>
      <c r="GN229" s="422">
        <f t="shared" si="1086"/>
        <v>3570229.6220458527</v>
      </c>
      <c r="GO229" s="422">
        <f t="shared" si="1086"/>
        <v>3557534.1759016444</v>
      </c>
      <c r="GP229" s="422">
        <f t="shared" si="1086"/>
        <v>3572426.9097446869</v>
      </c>
      <c r="GQ229" s="422">
        <f t="shared" si="1086"/>
        <v>3559540.3177894698</v>
      </c>
      <c r="GR229" s="422">
        <f t="shared" si="1086"/>
        <v>3546557.0763945873</v>
      </c>
      <c r="GS229" s="422">
        <f t="shared" si="1086"/>
        <v>3406642.2490547462</v>
      </c>
      <c r="GT229" s="422">
        <f t="shared" si="1086"/>
        <v>3393463.5287316125</v>
      </c>
      <c r="GU229" s="422">
        <f t="shared" si="1086"/>
        <v>3380185.9680060558</v>
      </c>
      <c r="GV229" s="422">
        <f t="shared" si="1086"/>
        <v>3372802.5537000573</v>
      </c>
      <c r="GW229" s="422">
        <f t="shared" si="1086"/>
        <v>3359325.0827008258</v>
      </c>
      <c r="GX229" s="422">
        <f t="shared" si="1086"/>
        <v>3345746.5306691006</v>
      </c>
      <c r="GY229" s="422">
        <f t="shared" si="1086"/>
        <v>3473184.1325757857</v>
      </c>
      <c r="GZ229" s="422">
        <f t="shared" si="1086"/>
        <v>3459401.1384700327</v>
      </c>
      <c r="HA229" s="422">
        <f t="shared" si="1086"/>
        <v>3445514.7719084867</v>
      </c>
      <c r="HB229" s="422">
        <f t="shared" si="1086"/>
        <v>3460176.5722852284</v>
      </c>
      <c r="HC229" s="422">
        <f t="shared" si="1086"/>
        <v>3446081.1291171401</v>
      </c>
      <c r="HD229" s="422">
        <f t="shared" si="1086"/>
        <v>3431879.970125291</v>
      </c>
      <c r="HE229" s="422">
        <f t="shared" si="1086"/>
        <v>147019407.30428112</v>
      </c>
      <c r="HF229" s="422">
        <f t="shared" si="1086"/>
        <v>0</v>
      </c>
      <c r="HG229" s="422">
        <f t="shared" si="1086"/>
        <v>0</v>
      </c>
      <c r="HH229" s="422" t="n">
        <f t="shared" ref="HH229:IM229" si="1087">+-HH200+HH226+HH227</f>
        <v>0</v>
      </c>
      <c r="HI229" s="422">
        <f t="shared" si="1087"/>
        <v>0</v>
      </c>
      <c r="HJ229" s="422">
        <f t="shared" si="1087"/>
        <v>0</v>
      </c>
      <c r="HK229" s="422">
        <f t="shared" si="1087"/>
        <v>0</v>
      </c>
      <c r="HL229" s="422">
        <f t="shared" si="1087"/>
        <v>0</v>
      </c>
      <c r="HM229" s="422">
        <f t="shared" si="1087"/>
        <v>0</v>
      </c>
      <c r="HN229" s="422">
        <f t="shared" si="1087"/>
        <v>0</v>
      </c>
      <c r="HO229" s="422">
        <f t="shared" si="1087"/>
        <v>0</v>
      </c>
      <c r="HP229" s="422">
        <f t="shared" si="1087"/>
        <v>0</v>
      </c>
      <c r="HQ229" s="422">
        <f t="shared" si="1087"/>
        <v>0</v>
      </c>
      <c r="HR229" s="422">
        <f t="shared" si="1087"/>
        <v>0</v>
      </c>
      <c r="HS229" s="422">
        <f t="shared" si="1087"/>
        <v>0</v>
      </c>
      <c r="HT229" s="422">
        <f t="shared" si="1087"/>
        <v>0</v>
      </c>
      <c r="HU229" s="422">
        <f t="shared" si="1087"/>
        <v>0</v>
      </c>
      <c r="HV229" s="422">
        <f t="shared" si="1087"/>
        <v>0</v>
      </c>
      <c r="HW229" s="422">
        <f t="shared" si="1087"/>
        <v>0</v>
      </c>
      <c r="HX229" s="422">
        <f t="shared" si="1087"/>
        <v>0</v>
      </c>
      <c r="HY229" s="422">
        <f t="shared" si="1087"/>
        <v>0</v>
      </c>
      <c r="HZ229" s="422">
        <f t="shared" si="1087"/>
        <v>0</v>
      </c>
      <c r="IA229" s="422">
        <f t="shared" si="1087"/>
        <v>0</v>
      </c>
      <c r="IB229" s="422">
        <f t="shared" si="1087"/>
        <v>0</v>
      </c>
      <c r="IC229" s="422">
        <f t="shared" si="1087"/>
        <v>0</v>
      </c>
      <c r="ID229" s="422">
        <f t="shared" si="1087"/>
        <v>0</v>
      </c>
      <c r="IE229" s="422">
        <f t="shared" si="1087"/>
        <v>0</v>
      </c>
      <c r="IF229" s="422">
        <f t="shared" si="1087"/>
        <v>0</v>
      </c>
      <c r="IG229" s="422">
        <f t="shared" si="1087"/>
        <v>0</v>
      </c>
      <c r="IH229" s="422">
        <f t="shared" si="1087"/>
        <v>0</v>
      </c>
      <c r="II229" s="422">
        <f t="shared" si="1087"/>
        <v>0</v>
      </c>
      <c r="IJ229" s="422">
        <f t="shared" si="1087"/>
        <v>0</v>
      </c>
      <c r="IK229" s="422">
        <f t="shared" si="1087"/>
        <v>0</v>
      </c>
      <c r="IL229" s="422">
        <f t="shared" si="1087"/>
        <v>0</v>
      </c>
      <c r="IM229" s="422">
        <f t="shared" si="1087"/>
        <v>0</v>
      </c>
      <c r="IN229" s="422" t="n">
        <f t="shared" ref="IN229:JX229" si="1088">+-IN200+IN226+IN227</f>
        <v>0</v>
      </c>
      <c r="IO229" s="422">
        <f t="shared" si="1088"/>
        <v>0</v>
      </c>
      <c r="IP229" s="422">
        <f t="shared" si="1088"/>
        <v>0</v>
      </c>
      <c r="IQ229" s="422">
        <f t="shared" si="1088"/>
        <v>0</v>
      </c>
      <c r="IR229" s="422">
        <f t="shared" si="1088"/>
        <v>0</v>
      </c>
      <c r="IS229" s="422">
        <f t="shared" si="1088"/>
        <v>0</v>
      </c>
      <c r="IT229" s="422">
        <f t="shared" si="1088"/>
        <v>0</v>
      </c>
      <c r="IU229" s="422">
        <f t="shared" si="1088"/>
        <v>0</v>
      </c>
      <c r="IV229" s="422">
        <f t="shared" si="1088"/>
        <v>0</v>
      </c>
      <c r="IW229" s="422">
        <f t="shared" si="1088"/>
        <v>0</v>
      </c>
      <c r="IX229" s="422">
        <f t="shared" si="1088"/>
        <v>0</v>
      </c>
      <c r="IY229" s="422">
        <f t="shared" si="1088"/>
        <v>0</v>
      </c>
      <c r="IZ229" s="422">
        <f t="shared" si="1088"/>
        <v>0</v>
      </c>
      <c r="JA229" s="422">
        <f t="shared" si="1088"/>
        <v>0</v>
      </c>
      <c r="JB229" s="422">
        <f t="shared" si="1088"/>
        <v>0</v>
      </c>
      <c r="JC229" s="422">
        <f t="shared" si="1088"/>
        <v>0</v>
      </c>
      <c r="JD229" s="422">
        <f t="shared" si="1088"/>
        <v>0</v>
      </c>
      <c r="JE229" s="422">
        <f t="shared" si="1088"/>
        <v>0</v>
      </c>
      <c r="JF229" s="422">
        <f t="shared" si="1088"/>
        <v>0</v>
      </c>
      <c r="JG229" s="422">
        <f t="shared" si="1088"/>
        <v>0</v>
      </c>
      <c r="JH229" s="422">
        <f t="shared" si="1088"/>
        <v>0</v>
      </c>
      <c r="JI229" s="422">
        <f t="shared" si="1088"/>
        <v>0</v>
      </c>
      <c r="JJ229" s="422">
        <f t="shared" si="1088"/>
        <v>0</v>
      </c>
      <c r="JK229" s="422">
        <f t="shared" si="1088"/>
        <v>0</v>
      </c>
      <c r="JL229" s="422">
        <f t="shared" si="1088"/>
        <v>0</v>
      </c>
      <c r="JM229" s="422">
        <f t="shared" si="1088"/>
        <v>0</v>
      </c>
      <c r="JN229" s="422">
        <f t="shared" si="1088"/>
        <v>0</v>
      </c>
      <c r="JO229" s="422">
        <f t="shared" si="1088"/>
        <v>0</v>
      </c>
      <c r="JP229" s="422">
        <f t="shared" si="1088"/>
        <v>0</v>
      </c>
      <c r="JQ229" s="422">
        <f t="shared" si="1088"/>
        <v>0</v>
      </c>
      <c r="JR229" s="422">
        <f t="shared" si="1088"/>
        <v>0</v>
      </c>
      <c r="JS229" s="422">
        <f t="shared" si="1088"/>
        <v>0</v>
      </c>
      <c r="JT229" s="422">
        <f t="shared" si="1088"/>
        <v>0</v>
      </c>
      <c r="JU229" s="422">
        <f t="shared" si="1088"/>
        <v>0</v>
      </c>
      <c r="JV229" s="422">
        <f t="shared" si="1088"/>
        <v>0</v>
      </c>
      <c r="JW229" s="422">
        <f t="shared" si="1088"/>
        <v>0</v>
      </c>
      <c r="JX229" s="422">
        <f t="shared" si="1088"/>
        <v>0</v>
      </c>
      <c r="JZ229" s="263"/>
      <c r="KA229" s="263"/>
      <c r="KB229" s="263"/>
      <c r="KC229" s="263"/>
      <c r="KD229" s="263"/>
      <c r="KE229" s="263"/>
      <c r="KF229" s="263"/>
      <c r="KG229" s="263"/>
      <c r="KH229" s="263"/>
      <c r="KI229" s="263"/>
      <c r="KJ229" s="263"/>
      <c r="KK229" s="263"/>
      <c r="KL229" s="263"/>
      <c r="KM229" s="263"/>
      <c r="KN229" s="263"/>
      <c r="KO229" s="263"/>
      <c r="KP229" s="263"/>
      <c r="KQ229" s="263"/>
      <c r="KR229" s="263"/>
      <c r="KS229" s="263"/>
      <c r="KT229" s="263"/>
      <c r="KU229" s="263"/>
      <c r="KV229" s="263"/>
      <c r="KW229" s="263"/>
      <c r="KX229" s="263"/>
      <c r="KY229" s="263"/>
      <c r="KZ229" s="263"/>
      <c r="LA229" s="263"/>
      <c r="LB229" s="263"/>
      <c r="LC229" s="263"/>
      <c r="LD229" s="263"/>
      <c r="LE229" s="263"/>
      <c r="LF229" s="263"/>
      <c r="LG229" s="263"/>
      <c r="LH229" s="263"/>
      <c r="LI229" s="263"/>
      <c r="LJ229" s="263"/>
      <c r="LK229" s="263"/>
      <c r="LL229" s="263"/>
      <c r="LM229" s="263"/>
      <c r="LN229" s="263"/>
      <c r="LO229" s="263"/>
      <c r="LP229" s="263"/>
      <c r="LQ229" s="263"/>
      <c r="LR229" s="263"/>
      <c r="LS229" s="263"/>
      <c r="LT229" s="263"/>
      <c r="LU229" s="263"/>
      <c r="LV229" s="263"/>
      <c r="LW229" s="263"/>
      <c r="LX229" s="263"/>
      <c r="LY229" s="263"/>
      <c r="LZ229" s="263"/>
      <c r="MA229" s="263"/>
      <c r="MB229" s="263"/>
      <c r="MC229" s="263"/>
      <c r="MD229" s="263"/>
      <c r="ME229" s="263"/>
      <c r="MF229" s="263"/>
      <c r="MG229" s="263"/>
      <c r="MH229" s="263"/>
      <c r="MI229" s="263"/>
      <c r="MJ229" s="263"/>
      <c r="MK229" s="263"/>
      <c r="ML229" s="263"/>
      <c r="MM229" s="263"/>
      <c r="MN229" s="263"/>
      <c r="MO229" s="263"/>
      <c r="MP229" s="263"/>
      <c r="MQ229" s="263"/>
      <c r="MR229" s="263"/>
      <c r="MS229" s="263"/>
      <c r="MT229" s="263"/>
      <c r="MU229" s="263"/>
      <c r="MV229" s="263"/>
      <c r="MW229" s="263"/>
      <c r="MX229" s="263"/>
      <c r="MY229" s="263"/>
      <c r="MZ229" s="263"/>
      <c r="NA229" s="263"/>
      <c r="NB229" s="263"/>
      <c r="NC229" s="263"/>
      <c r="ND229" s="263"/>
      <c r="NE229" s="263"/>
      <c r="NF229" s="263"/>
      <c r="NG229" s="263"/>
      <c r="NH229" s="263"/>
      <c r="NI229" s="263"/>
      <c r="NJ229" s="263"/>
      <c r="NK229" s="263"/>
      <c r="NL229" s="263"/>
      <c r="NM229" s="263"/>
      <c r="NN229" s="263"/>
      <c r="NO229" s="263"/>
      <c r="NP229" s="263"/>
      <c r="NQ229" s="263"/>
      <c r="NR229" s="263"/>
      <c r="NS229" s="263"/>
      <c r="NT229" s="263"/>
      <c r="NU229" s="263"/>
      <c r="NV229" s="263"/>
      <c r="NW229" s="263"/>
      <c r="NX229" s="263"/>
      <c r="NY229" s="263"/>
      <c r="NZ229" s="263"/>
      <c r="OA229" s="263"/>
      <c r="OB229" s="263"/>
      <c r="OC229" s="263"/>
      <c r="OD229" s="263"/>
      <c r="OE229" s="263"/>
      <c r="OF229" s="263"/>
      <c r="OG229" s="263"/>
      <c r="OH229" s="263"/>
      <c r="OI229" s="263"/>
      <c r="OJ229" s="263"/>
      <c r="OK229" s="263"/>
      <c r="OL229" s="263"/>
      <c r="OM229" s="263"/>
      <c r="ON229" s="263"/>
      <c r="OO229" s="263"/>
      <c r="OP229" s="263"/>
      <c r="OQ229" s="263"/>
      <c r="OR229" s="263"/>
      <c r="OS229" s="263"/>
      <c r="OT229" s="263"/>
      <c r="OU229" s="263"/>
      <c r="OV229" s="263"/>
      <c r="OW229" s="263"/>
      <c r="OX229" s="263"/>
      <c r="OY229" s="263"/>
      <c r="OZ229" s="263"/>
      <c r="PA229" s="263"/>
      <c r="PB229" s="263"/>
      <c r="PC229" s="263"/>
      <c r="PD229" s="263"/>
      <c r="PE229" s="263"/>
      <c r="PF229" s="263"/>
      <c r="PG229" s="263"/>
      <c r="PH229" s="263"/>
    </row>
    <row r="230">
      <c r="B230" s="34" t="s">
        <v>153</v>
      </c>
      <c r="C230" s="401"/>
      <c r="D230" s="401"/>
      <c r="E230" s="548"/>
      <c r="F230" s="548"/>
      <c r="G230" s="548"/>
      <c r="H230" s="550" t="n">
        <f>SUM(H228:H229)</f>
        <v>1</v>
      </c>
      <c r="I230" s="551" t="n">
        <f>SUM(I228:I229)</f>
        <v>184040109.57719126</v>
      </c>
      <c r="L230" s="421" t="str">
        <f t="shared" ref="L230:AQ230" si="1089">IF(L227="","",SUM(L228:L229))</f>
      </c>
      <c r="M230" s="421">
        <f t="shared" si="1089"/>
        <v>0</v>
      </c>
      <c r="N230" s="421">
        <f t="shared" si="1089"/>
        <v>0</v>
      </c>
      <c r="O230" s="421">
        <f t="shared" si="1089"/>
        <v>244595.09859436523</v>
      </c>
      <c r="P230" s="421">
        <f t="shared" si="1089"/>
        <v>781231.92888711998</v>
      </c>
      <c r="Q230" s="421">
        <f t="shared" si="1089"/>
        <v>1616404.3057297477</v>
      </c>
      <c r="R230" s="421">
        <f t="shared" si="1089"/>
        <v>1855172.6038037571</v>
      </c>
      <c r="S230" s="421">
        <f t="shared" si="1089"/>
        <v>3036761.4778166781</v>
      </c>
      <c r="T230" s="421">
        <f t="shared" si="1089"/>
        <v>4475672.1026817523</v>
      </c>
      <c r="U230" s="421">
        <f t="shared" si="1089"/>
        <v>6167178.0251177372</v>
      </c>
      <c r="V230" s="421">
        <f t="shared" si="1089"/>
        <v>8082772.9142263671</v>
      </c>
      <c r="W230" s="421">
        <f t="shared" si="1089"/>
        <v>10166833.183075439</v>
      </c>
      <c r="X230" s="421">
        <f t="shared" si="1089"/>
        <v>12336315.391972035</v>
      </c>
      <c r="Y230" s="421">
        <f t="shared" si="1089"/>
        <v>14484287.493165774</v>
      </c>
      <c r="Z230" s="421">
        <f t="shared" si="1089"/>
        <v>16487519.239411835</v>
      </c>
      <c r="AA230" s="421">
        <f t="shared" si="1089"/>
        <v>18217610.643105783</v>
      </c>
      <c r="AB230" s="421">
        <f t="shared" si="1089"/>
        <v>3404701.9096873724</v>
      </c>
      <c r="AC230" s="421">
        <f t="shared" si="1089"/>
        <v>0</v>
      </c>
      <c r="AD230" s="421">
        <f t="shared" si="1089"/>
        <v>0</v>
      </c>
      <c r="AE230" s="421">
        <f t="shared" si="1089"/>
        <v>0</v>
      </c>
      <c r="AF230" s="421">
        <f t="shared" si="1089"/>
        <v>0</v>
      </c>
      <c r="AG230" s="421">
        <f t="shared" si="1089"/>
        <v>0</v>
      </c>
      <c r="AH230" s="421">
        <f t="shared" si="1089"/>
        <v>0</v>
      </c>
      <c r="AI230" s="421">
        <f t="shared" si="1089"/>
        <v>0</v>
      </c>
      <c r="AJ230" s="421">
        <f t="shared" si="1089"/>
        <v>0</v>
      </c>
      <c r="AK230" s="421">
        <f t="shared" si="1089"/>
        <v>0</v>
      </c>
      <c r="AL230" s="421">
        <f t="shared" si="1089"/>
        <v>0</v>
      </c>
      <c r="AM230" s="421">
        <f t="shared" si="1089"/>
        <v>0</v>
      </c>
      <c r="AN230" s="421">
        <f t="shared" si="1089"/>
        <v>0</v>
      </c>
      <c r="AO230" s="421">
        <f t="shared" si="1089"/>
        <v>0</v>
      </c>
      <c r="AP230" s="421">
        <f t="shared" si="1089"/>
        <v>0</v>
      </c>
      <c r="AQ230" s="421">
        <f t="shared" si="1089"/>
        <v>0</v>
      </c>
      <c r="AR230" s="421" t="n">
        <f t="shared" ref="AR230:BW230" si="1090">IF(AR227="","",SUM(AR228:AR229))</f>
        <v>0</v>
      </c>
      <c r="AS230" s="421">
        <f t="shared" si="1090"/>
        <v>0</v>
      </c>
      <c r="AT230" s="421">
        <f t="shared" si="1090"/>
        <v>0</v>
      </c>
      <c r="AU230" s="421">
        <f t="shared" si="1090"/>
        <v>0</v>
      </c>
      <c r="AV230" s="421">
        <f t="shared" si="1090"/>
        <v>0</v>
      </c>
      <c r="AW230" s="421">
        <f t="shared" si="1090"/>
        <v>0</v>
      </c>
      <c r="AX230" s="421">
        <f t="shared" si="1090"/>
        <v>0</v>
      </c>
      <c r="AY230" s="421">
        <f t="shared" si="1090"/>
        <v>0</v>
      </c>
      <c r="AZ230" s="421">
        <f t="shared" si="1090"/>
        <v>0</v>
      </c>
      <c r="BA230" s="421">
        <f t="shared" si="1090"/>
        <v>0</v>
      </c>
      <c r="BB230" s="421">
        <f t="shared" si="1090"/>
        <v>0</v>
      </c>
      <c r="BC230" s="421">
        <f t="shared" si="1090"/>
        <v>0</v>
      </c>
      <c r="BD230" s="76">
        <f t="shared" si="1090"/>
        <v>0</v>
      </c>
      <c r="BE230" s="76">
        <f t="shared" si="1090"/>
        <v>0</v>
      </c>
      <c r="BF230" s="76">
        <f t="shared" si="1090"/>
        <v>0</v>
      </c>
      <c r="BG230" s="76">
        <f t="shared" si="1090"/>
        <v>0</v>
      </c>
      <c r="BH230" s="76">
        <f t="shared" si="1090"/>
        <v>0</v>
      </c>
      <c r="BI230" s="76">
        <f t="shared" si="1090"/>
        <v>0</v>
      </c>
      <c r="BJ230" s="76">
        <f t="shared" si="1090"/>
        <v>0</v>
      </c>
      <c r="BK230" s="76">
        <f t="shared" si="1090"/>
        <v>0</v>
      </c>
      <c r="BL230" s="76">
        <f t="shared" si="1090"/>
        <v>0</v>
      </c>
      <c r="BM230" s="76">
        <f t="shared" si="1090"/>
        <v>0</v>
      </c>
      <c r="BN230" s="76">
        <f t="shared" si="1090"/>
        <v>0</v>
      </c>
      <c r="BO230" s="76">
        <f t="shared" si="1090"/>
        <v>0</v>
      </c>
      <c r="BP230" s="76">
        <f t="shared" si="1090"/>
        <v>0</v>
      </c>
      <c r="BQ230" s="76">
        <f t="shared" si="1090"/>
        <v>0</v>
      </c>
      <c r="BR230" s="76">
        <f t="shared" si="1090"/>
        <v>0</v>
      </c>
      <c r="BS230" s="76">
        <f t="shared" si="1090"/>
        <v>0</v>
      </c>
      <c r="BT230" s="76">
        <f t="shared" si="1090"/>
        <v>0</v>
      </c>
      <c r="BU230" s="76">
        <f t="shared" si="1090"/>
        <v>0</v>
      </c>
      <c r="BV230" s="76" t="str">
        <f t="shared" si="1090"/>
      </c>
      <c r="BW230" s="76" t="str">
        <f t="shared" si="1090"/>
      </c>
      <c r="BX230" s="76" t="str">
        <f t="shared" ref="BX230:DC230" si="1091">IF(BX227="","",SUM(BX228:BX229))</f>
      </c>
      <c r="BY230" s="76" t="str">
        <f t="shared" si="1091"/>
      </c>
      <c r="BZ230" s="76" t="str">
        <f t="shared" si="1091"/>
      </c>
      <c r="CA230" s="76" t="str">
        <f t="shared" si="1091"/>
      </c>
      <c r="CB230" s="76" t="str">
        <f t="shared" si="1091"/>
      </c>
      <c r="CC230" s="76" t="str">
        <f t="shared" si="1091"/>
      </c>
      <c r="CD230" s="76" t="str">
        <f t="shared" si="1091"/>
      </c>
      <c r="CE230" s="76" t="str">
        <f t="shared" si="1091"/>
      </c>
      <c r="CF230" s="76" t="str">
        <f t="shared" si="1091"/>
      </c>
      <c r="CG230" s="76" t="str">
        <f t="shared" si="1091"/>
      </c>
      <c r="CH230" s="76" t="str">
        <f t="shared" si="1091"/>
      </c>
      <c r="CI230" s="76" t="str">
        <f t="shared" si="1091"/>
      </c>
      <c r="CJ230" s="76" t="str">
        <f t="shared" si="1091"/>
      </c>
      <c r="CK230" s="76" t="str">
        <f t="shared" si="1091"/>
      </c>
      <c r="CL230" s="76" t="str">
        <f t="shared" si="1091"/>
      </c>
      <c r="CM230" s="76" t="str">
        <f t="shared" si="1091"/>
      </c>
      <c r="CN230" s="76" t="str">
        <f t="shared" si="1091"/>
      </c>
      <c r="CO230" s="76" t="str">
        <f t="shared" si="1091"/>
      </c>
      <c r="CP230" s="76" t="str">
        <f t="shared" si="1091"/>
      </c>
      <c r="CQ230" s="76" t="str">
        <f t="shared" si="1091"/>
      </c>
      <c r="CR230" s="76" t="str">
        <f t="shared" si="1091"/>
      </c>
      <c r="CS230" s="76" t="str">
        <f t="shared" si="1091"/>
      </c>
      <c r="CT230" s="76" t="str">
        <f t="shared" si="1091"/>
      </c>
      <c r="CU230" s="76" t="str">
        <f t="shared" si="1091"/>
      </c>
      <c r="CV230" s="76" t="str">
        <f t="shared" si="1091"/>
      </c>
      <c r="CW230" s="76" t="str">
        <f t="shared" si="1091"/>
      </c>
      <c r="CX230" s="76" t="str">
        <f t="shared" si="1091"/>
      </c>
      <c r="CY230" s="76" t="str">
        <f t="shared" si="1091"/>
      </c>
      <c r="CZ230" s="76" t="str">
        <f t="shared" si="1091"/>
      </c>
      <c r="DA230" s="76" t="str">
        <f t="shared" si="1091"/>
      </c>
      <c r="DB230" s="76" t="str">
        <f t="shared" si="1091"/>
      </c>
      <c r="DC230" s="76" t="str">
        <f t="shared" si="1091"/>
      </c>
      <c r="DD230" s="76" t="str">
        <f t="shared" ref="DD230:EI230" si="1092">IF(DD227="","",SUM(DD228:DD229))</f>
      </c>
      <c r="DE230" s="76" t="str">
        <f t="shared" si="1092"/>
      </c>
      <c r="DF230" s="76" t="str">
        <f t="shared" si="1092"/>
      </c>
      <c r="DG230" s="76" t="str">
        <f t="shared" si="1092"/>
      </c>
      <c r="DH230" s="76" t="str">
        <f t="shared" si="1092"/>
      </c>
      <c r="DI230" s="76" t="str">
        <f t="shared" si="1092"/>
      </c>
      <c r="DJ230" s="76" t="str">
        <f t="shared" si="1092"/>
      </c>
      <c r="DK230" s="76" t="str">
        <f t="shared" si="1092"/>
      </c>
      <c r="DL230" s="76" t="str">
        <f t="shared" si="1092"/>
      </c>
      <c r="DM230" s="76" t="str">
        <f t="shared" si="1092"/>
      </c>
      <c r="DN230" s="76" t="str">
        <f t="shared" si="1092"/>
      </c>
      <c r="DO230" s="76" t="str">
        <f t="shared" si="1092"/>
      </c>
      <c r="DP230" s="76" t="str">
        <f t="shared" si="1092"/>
      </c>
      <c r="DQ230" s="76" t="str">
        <f t="shared" si="1092"/>
      </c>
      <c r="DR230" s="76" t="str">
        <f t="shared" si="1092"/>
      </c>
      <c r="DS230" s="76" t="str">
        <f t="shared" si="1092"/>
      </c>
      <c r="DT230" s="76" t="str">
        <f t="shared" si="1092"/>
      </c>
      <c r="DU230" s="76" t="str">
        <f t="shared" si="1092"/>
      </c>
      <c r="DV230" s="76" t="str">
        <f t="shared" si="1092"/>
      </c>
      <c r="DW230" s="76" t="str">
        <f t="shared" si="1092"/>
      </c>
      <c r="DX230" s="76" t="str">
        <f t="shared" si="1092"/>
      </c>
      <c r="DY230" s="76" t="str">
        <f t="shared" si="1092"/>
      </c>
      <c r="DZ230" s="76" t="str">
        <f t="shared" si="1092"/>
      </c>
      <c r="EA230" s="76" t="str">
        <f t="shared" si="1092"/>
      </c>
      <c r="EB230" s="76" t="str">
        <f t="shared" si="1092"/>
      </c>
      <c r="EC230" s="76" t="str">
        <f t="shared" si="1092"/>
      </c>
      <c r="ED230" s="76" t="str">
        <f t="shared" si="1092"/>
      </c>
      <c r="EE230" s="76" t="str">
        <f t="shared" si="1092"/>
      </c>
      <c r="EF230" s="76" t="str">
        <f t="shared" si="1092"/>
      </c>
      <c r="EG230" s="76" t="str">
        <f t="shared" si="1092"/>
      </c>
      <c r="EH230" s="76" t="str">
        <f t="shared" si="1092"/>
      </c>
      <c r="EI230" s="76" t="str">
        <f t="shared" si="1092"/>
      </c>
      <c r="EJ230" s="76" t="str">
        <f>IF(EJ227="","",SUM(EJ228:EJ229))</f>
      </c>
      <c r="EK230" s="76" t="str">
        <f>IF(EK227="","",SUM(EK228:EK229))</f>
      </c>
      <c r="EL230" s="76" t="str">
        <f>IF(EL227="","",SUM(EL228:EL229))</f>
      </c>
      <c r="EM230" s="76" t="str">
        <f>IF(EM227="","",SUM(EM228:EM229))</f>
      </c>
      <c r="EN230" s="76" t="str">
        <f>IF(EN227="","",SUM(EN228:EN229))</f>
      </c>
      <c r="EP230" s="409"/>
      <c r="EQ230" s="18"/>
      <c r="ER230" s="18"/>
      <c r="ES230" s="18"/>
      <c r="ET230" s="18" t="s">
        <v>403</v>
      </c>
      <c r="EU230" s="18"/>
      <c r="EV230" s="422" t="n">
        <f t="shared" ref="EV230:GA230" si="1093">(EV$197&lt;=Timing_Reversion_Month)*IFERROR((EV227/$I$235*$H$235),0)</f>
        <v>0</v>
      </c>
      <c r="EW230" s="422">
        <f t="shared" si="1093"/>
        <v>0</v>
      </c>
      <c r="EX230" s="422">
        <f t="shared" si="1093"/>
        <v>0</v>
      </c>
      <c r="EY230" s="422">
        <f t="shared" si="1093"/>
        <v>0</v>
      </c>
      <c r="EZ230" s="422">
        <f t="shared" si="1093"/>
        <v>0</v>
      </c>
      <c r="FA230" s="422">
        <f t="shared" si="1093"/>
        <v>0</v>
      </c>
      <c r="FB230" s="422">
        <f t="shared" si="1093"/>
        <v>0</v>
      </c>
      <c r="FC230" s="422">
        <f t="shared" si="1093"/>
        <v>0</v>
      </c>
      <c r="FD230" s="422">
        <f t="shared" si="1093"/>
        <v>0</v>
      </c>
      <c r="FE230" s="422">
        <f t="shared" si="1093"/>
        <v>0</v>
      </c>
      <c r="FF230" s="422">
        <f t="shared" si="1093"/>
        <v>0</v>
      </c>
      <c r="FG230" s="422">
        <f t="shared" si="1093"/>
        <v>0</v>
      </c>
      <c r="FH230" s="422">
        <f t="shared" si="1093"/>
        <v>0</v>
      </c>
      <c r="FI230" s="422">
        <f t="shared" si="1093"/>
        <v>0</v>
      </c>
      <c r="FJ230" s="422">
        <f t="shared" si="1093"/>
        <v>0</v>
      </c>
      <c r="FK230" s="422">
        <f t="shared" si="1093"/>
        <v>0</v>
      </c>
      <c r="FL230" s="422">
        <f t="shared" si="1093"/>
        <v>0</v>
      </c>
      <c r="FM230" s="422">
        <f t="shared" si="1093"/>
        <v>0</v>
      </c>
      <c r="FN230" s="422">
        <f t="shared" si="1093"/>
        <v>0</v>
      </c>
      <c r="FO230" s="422">
        <f t="shared" si="1093"/>
        <v>0</v>
      </c>
      <c r="FP230" s="422">
        <f t="shared" si="1093"/>
        <v>0</v>
      </c>
      <c r="FQ230" s="422">
        <f t="shared" si="1093"/>
        <v>0</v>
      </c>
      <c r="FR230" s="422">
        <f t="shared" si="1093"/>
        <v>0</v>
      </c>
      <c r="FS230" s="422">
        <f t="shared" si="1093"/>
        <v>0</v>
      </c>
      <c r="FT230" s="422">
        <f t="shared" si="1093"/>
        <v>0</v>
      </c>
      <c r="FU230" s="422">
        <f t="shared" si="1093"/>
        <v>0</v>
      </c>
      <c r="FV230" s="422">
        <f t="shared" si="1093"/>
        <v>0</v>
      </c>
      <c r="FW230" s="422">
        <f t="shared" si="1093"/>
        <v>0</v>
      </c>
      <c r="FX230" s="422">
        <f t="shared" si="1093"/>
        <v>0</v>
      </c>
      <c r="FY230" s="422">
        <f t="shared" si="1093"/>
        <v>0</v>
      </c>
      <c r="FZ230" s="422">
        <f t="shared" si="1093"/>
        <v>0</v>
      </c>
      <c r="GA230" s="422">
        <f t="shared" si="1093"/>
        <v>0</v>
      </c>
      <c r="GB230" s="422" t="n">
        <f t="shared" ref="GB230:HG230" si="1094">(GB$197&lt;=Timing_Reversion_Month)*IFERROR((GB227/$I$235*$H$235),0)</f>
        <v>0</v>
      </c>
      <c r="GC230" s="422">
        <f t="shared" si="1094"/>
        <v>0</v>
      </c>
      <c r="GD230" s="422">
        <f t="shared" si="1094"/>
        <v>0</v>
      </c>
      <c r="GE230" s="422">
        <f t="shared" si="1094"/>
        <v>0</v>
      </c>
      <c r="GF230" s="422">
        <f t="shared" si="1094"/>
        <v>0</v>
      </c>
      <c r="GG230" s="422">
        <f t="shared" si="1094"/>
        <v>0</v>
      </c>
      <c r="GH230" s="422">
        <f t="shared" si="1094"/>
        <v>0</v>
      </c>
      <c r="GI230" s="422">
        <f t="shared" si="1094"/>
        <v>0</v>
      </c>
      <c r="GJ230" s="422">
        <f t="shared" si="1094"/>
        <v>0</v>
      </c>
      <c r="GK230" s="422">
        <f t="shared" si="1094"/>
        <v>0</v>
      </c>
      <c r="GL230" s="422">
        <f t="shared" si="1094"/>
        <v>0</v>
      </c>
      <c r="GM230" s="422">
        <f t="shared" si="1094"/>
        <v>0</v>
      </c>
      <c r="GN230" s="422">
        <f t="shared" si="1094"/>
        <v>0</v>
      </c>
      <c r="GO230" s="422">
        <f t="shared" si="1094"/>
        <v>0</v>
      </c>
      <c r="GP230" s="422">
        <f t="shared" si="1094"/>
        <v>0</v>
      </c>
      <c r="GQ230" s="422">
        <f t="shared" si="1094"/>
        <v>0</v>
      </c>
      <c r="GR230" s="422">
        <f t="shared" si="1094"/>
        <v>0</v>
      </c>
      <c r="GS230" s="422">
        <f t="shared" si="1094"/>
        <v>0</v>
      </c>
      <c r="GT230" s="422">
        <f t="shared" si="1094"/>
        <v>0</v>
      </c>
      <c r="GU230" s="422">
        <f t="shared" si="1094"/>
        <v>0</v>
      </c>
      <c r="GV230" s="422">
        <f t="shared" si="1094"/>
        <v>0</v>
      </c>
      <c r="GW230" s="422">
        <f t="shared" si="1094"/>
        <v>0</v>
      </c>
      <c r="GX230" s="422">
        <f t="shared" si="1094"/>
        <v>0</v>
      </c>
      <c r="GY230" s="422">
        <f t="shared" si="1094"/>
        <v>0</v>
      </c>
      <c r="GZ230" s="422">
        <f t="shared" si="1094"/>
        <v>0</v>
      </c>
      <c r="HA230" s="422">
        <f t="shared" si="1094"/>
        <v>0</v>
      </c>
      <c r="HB230" s="422">
        <f t="shared" si="1094"/>
        <v>0</v>
      </c>
      <c r="HC230" s="422">
        <f t="shared" si="1094"/>
        <v>0</v>
      </c>
      <c r="HD230" s="422">
        <f t="shared" si="1094"/>
        <v>0</v>
      </c>
      <c r="HE230" s="422">
        <f t="shared" si="1094"/>
        <v>14531507.586851822</v>
      </c>
      <c r="HF230" s="422">
        <f t="shared" si="1094"/>
        <v>0</v>
      </c>
      <c r="HG230" s="422">
        <f t="shared" si="1094"/>
        <v>0</v>
      </c>
      <c r="HH230" s="422" t="n">
        <f t="shared" ref="HH230:IM230" si="1095">(HH$197&lt;=Timing_Reversion_Month)*IFERROR((HH227/$I$235*$H$235),0)</f>
        <v>0</v>
      </c>
      <c r="HI230" s="422">
        <f t="shared" si="1095"/>
        <v>0</v>
      </c>
      <c r="HJ230" s="422">
        <f t="shared" si="1095"/>
        <v>0</v>
      </c>
      <c r="HK230" s="422">
        <f t="shared" si="1095"/>
        <v>0</v>
      </c>
      <c r="HL230" s="422">
        <f t="shared" si="1095"/>
        <v>0</v>
      </c>
      <c r="HM230" s="422">
        <f t="shared" si="1095"/>
        <v>0</v>
      </c>
      <c r="HN230" s="422">
        <f t="shared" si="1095"/>
        <v>0</v>
      </c>
      <c r="HO230" s="422">
        <f t="shared" si="1095"/>
        <v>0</v>
      </c>
      <c r="HP230" s="422">
        <f t="shared" si="1095"/>
        <v>0</v>
      </c>
      <c r="HQ230" s="422">
        <f t="shared" si="1095"/>
        <v>0</v>
      </c>
      <c r="HR230" s="422">
        <f t="shared" si="1095"/>
        <v>0</v>
      </c>
      <c r="HS230" s="422">
        <f t="shared" si="1095"/>
        <v>0</v>
      </c>
      <c r="HT230" s="422">
        <f t="shared" si="1095"/>
        <v>0</v>
      </c>
      <c r="HU230" s="422">
        <f t="shared" si="1095"/>
        <v>0</v>
      </c>
      <c r="HV230" s="422">
        <f t="shared" si="1095"/>
        <v>0</v>
      </c>
      <c r="HW230" s="422">
        <f t="shared" si="1095"/>
        <v>0</v>
      </c>
      <c r="HX230" s="422">
        <f t="shared" si="1095"/>
        <v>0</v>
      </c>
      <c r="HY230" s="422">
        <f t="shared" si="1095"/>
        <v>0</v>
      </c>
      <c r="HZ230" s="422">
        <f t="shared" si="1095"/>
        <v>0</v>
      </c>
      <c r="IA230" s="422">
        <f t="shared" si="1095"/>
        <v>0</v>
      </c>
      <c r="IB230" s="422">
        <f t="shared" si="1095"/>
        <v>0</v>
      </c>
      <c r="IC230" s="422">
        <f t="shared" si="1095"/>
        <v>0</v>
      </c>
      <c r="ID230" s="422">
        <f t="shared" si="1095"/>
        <v>0</v>
      </c>
      <c r="IE230" s="422">
        <f t="shared" si="1095"/>
        <v>0</v>
      </c>
      <c r="IF230" s="422">
        <f t="shared" si="1095"/>
        <v>0</v>
      </c>
      <c r="IG230" s="422">
        <f t="shared" si="1095"/>
        <v>0</v>
      </c>
      <c r="IH230" s="422">
        <f t="shared" si="1095"/>
        <v>0</v>
      </c>
      <c r="II230" s="422">
        <f t="shared" si="1095"/>
        <v>0</v>
      </c>
      <c r="IJ230" s="422">
        <f t="shared" si="1095"/>
        <v>0</v>
      </c>
      <c r="IK230" s="422">
        <f t="shared" si="1095"/>
        <v>0</v>
      </c>
      <c r="IL230" s="422">
        <f t="shared" si="1095"/>
        <v>0</v>
      </c>
      <c r="IM230" s="422">
        <f t="shared" si="1095"/>
        <v>0</v>
      </c>
      <c r="IN230" s="422" t="n">
        <f t="shared" ref="IN230:JX230" si="1096">(IN$197&lt;=Timing_Reversion_Month)*IFERROR((IN227/$I$235*$H$235),0)</f>
        <v>0</v>
      </c>
      <c r="IO230" s="422">
        <f t="shared" si="1096"/>
        <v>0</v>
      </c>
      <c r="IP230" s="422">
        <f t="shared" si="1096"/>
        <v>0</v>
      </c>
      <c r="IQ230" s="422">
        <f t="shared" si="1096"/>
        <v>0</v>
      </c>
      <c r="IR230" s="422">
        <f t="shared" si="1096"/>
        <v>0</v>
      </c>
      <c r="IS230" s="422">
        <f t="shared" si="1096"/>
        <v>0</v>
      </c>
      <c r="IT230" s="422">
        <f t="shared" si="1096"/>
        <v>0</v>
      </c>
      <c r="IU230" s="422">
        <f t="shared" si="1096"/>
        <v>0</v>
      </c>
      <c r="IV230" s="422">
        <f t="shared" si="1096"/>
        <v>0</v>
      </c>
      <c r="IW230" s="422">
        <f t="shared" si="1096"/>
        <v>0</v>
      </c>
      <c r="IX230" s="422">
        <f t="shared" si="1096"/>
        <v>0</v>
      </c>
      <c r="IY230" s="422">
        <f t="shared" si="1096"/>
        <v>0</v>
      </c>
      <c r="IZ230" s="422">
        <f t="shared" si="1096"/>
        <v>0</v>
      </c>
      <c r="JA230" s="422">
        <f t="shared" si="1096"/>
        <v>0</v>
      </c>
      <c r="JB230" s="422">
        <f t="shared" si="1096"/>
        <v>0</v>
      </c>
      <c r="JC230" s="422">
        <f t="shared" si="1096"/>
        <v>0</v>
      </c>
      <c r="JD230" s="422">
        <f t="shared" si="1096"/>
        <v>0</v>
      </c>
      <c r="JE230" s="422">
        <f t="shared" si="1096"/>
        <v>0</v>
      </c>
      <c r="JF230" s="422">
        <f t="shared" si="1096"/>
        <v>0</v>
      </c>
      <c r="JG230" s="422">
        <f t="shared" si="1096"/>
        <v>0</v>
      </c>
      <c r="JH230" s="422">
        <f t="shared" si="1096"/>
        <v>0</v>
      </c>
      <c r="JI230" s="422">
        <f t="shared" si="1096"/>
        <v>0</v>
      </c>
      <c r="JJ230" s="422">
        <f t="shared" si="1096"/>
        <v>0</v>
      </c>
      <c r="JK230" s="422">
        <f t="shared" si="1096"/>
        <v>0</v>
      </c>
      <c r="JL230" s="422">
        <f t="shared" si="1096"/>
        <v>0</v>
      </c>
      <c r="JM230" s="422">
        <f t="shared" si="1096"/>
        <v>0</v>
      </c>
      <c r="JN230" s="422">
        <f t="shared" si="1096"/>
        <v>0</v>
      </c>
      <c r="JO230" s="422">
        <f t="shared" si="1096"/>
        <v>0</v>
      </c>
      <c r="JP230" s="422">
        <f t="shared" si="1096"/>
        <v>0</v>
      </c>
      <c r="JQ230" s="422">
        <f t="shared" si="1096"/>
        <v>0</v>
      </c>
      <c r="JR230" s="422">
        <f t="shared" si="1096"/>
        <v>0</v>
      </c>
      <c r="JS230" s="422">
        <f t="shared" si="1096"/>
        <v>0</v>
      </c>
      <c r="JT230" s="422">
        <f t="shared" si="1096"/>
        <v>0</v>
      </c>
      <c r="JU230" s="422">
        <f t="shared" si="1096"/>
        <v>0</v>
      </c>
      <c r="JV230" s="422">
        <f t="shared" si="1096"/>
        <v>0</v>
      </c>
      <c r="JW230" s="422">
        <f t="shared" si="1096"/>
        <v>0</v>
      </c>
      <c r="JX230" s="422">
        <f t="shared" si="1096"/>
        <v>0</v>
      </c>
      <c r="JZ230" s="263"/>
      <c r="KA230" s="263"/>
      <c r="KB230" s="263"/>
      <c r="KC230" s="263"/>
      <c r="KD230" s="263"/>
      <c r="KE230" s="263"/>
      <c r="KF230" s="263"/>
      <c r="KG230" s="263"/>
      <c r="KH230" s="263"/>
      <c r="KI230" s="263"/>
      <c r="KJ230" s="263"/>
      <c r="KK230" s="263"/>
      <c r="KL230" s="263"/>
      <c r="KM230" s="263"/>
      <c r="KN230" s="263"/>
      <c r="KO230" s="263"/>
      <c r="KP230" s="263"/>
      <c r="KQ230" s="263"/>
      <c r="KR230" s="263"/>
      <c r="KS230" s="263"/>
      <c r="KT230" s="263"/>
      <c r="KU230" s="263"/>
      <c r="KV230" s="263"/>
      <c r="KW230" s="263"/>
      <c r="KX230" s="263"/>
      <c r="KY230" s="263"/>
      <c r="KZ230" s="263"/>
      <c r="LA230" s="263"/>
      <c r="LB230" s="263"/>
      <c r="LC230" s="263"/>
      <c r="LD230" s="263"/>
      <c r="LE230" s="263"/>
      <c r="LF230" s="263"/>
      <c r="LG230" s="263"/>
      <c r="LH230" s="263"/>
      <c r="LI230" s="263"/>
      <c r="LJ230" s="263"/>
      <c r="LK230" s="263"/>
      <c r="LL230" s="263"/>
      <c r="LM230" s="263"/>
      <c r="LN230" s="263"/>
      <c r="LO230" s="263"/>
      <c r="LP230" s="263"/>
      <c r="LQ230" s="263"/>
      <c r="LR230" s="263"/>
      <c r="LS230" s="263"/>
      <c r="LT230" s="263"/>
      <c r="LU230" s="263"/>
      <c r="LV230" s="263"/>
      <c r="LW230" s="263"/>
      <c r="LX230" s="263"/>
      <c r="LY230" s="263"/>
      <c r="LZ230" s="263"/>
      <c r="MA230" s="263"/>
      <c r="MB230" s="263"/>
      <c r="MC230" s="263"/>
      <c r="MD230" s="263"/>
      <c r="ME230" s="263"/>
      <c r="MF230" s="263"/>
      <c r="MG230" s="263"/>
      <c r="MH230" s="263"/>
      <c r="MI230" s="263"/>
      <c r="MJ230" s="263"/>
      <c r="MK230" s="263"/>
      <c r="ML230" s="263"/>
      <c r="MM230" s="263"/>
      <c r="MN230" s="263"/>
      <c r="MO230" s="263"/>
      <c r="MP230" s="263"/>
      <c r="MQ230" s="263"/>
      <c r="MR230" s="263"/>
      <c r="MS230" s="263"/>
      <c r="MT230" s="263"/>
      <c r="MU230" s="263"/>
      <c r="MV230" s="263"/>
      <c r="MW230" s="263"/>
      <c r="MX230" s="263"/>
      <c r="MY230" s="263"/>
      <c r="MZ230" s="263"/>
      <c r="NA230" s="263"/>
      <c r="NB230" s="263"/>
      <c r="NC230" s="263"/>
      <c r="ND230" s="263"/>
      <c r="NE230" s="263"/>
      <c r="NF230" s="263"/>
      <c r="NG230" s="263"/>
      <c r="NH230" s="263"/>
      <c r="NI230" s="263"/>
      <c r="NJ230" s="263"/>
      <c r="NK230" s="263"/>
      <c r="NL230" s="263"/>
      <c r="NM230" s="263"/>
      <c r="NN230" s="263"/>
      <c r="NO230" s="263"/>
      <c r="NP230" s="263"/>
      <c r="NQ230" s="263"/>
      <c r="NR230" s="263"/>
      <c r="NS230" s="263"/>
      <c r="NT230" s="263"/>
      <c r="NU230" s="263"/>
      <c r="NV230" s="263"/>
      <c r="NW230" s="263"/>
      <c r="NX230" s="263"/>
      <c r="NY230" s="263"/>
      <c r="NZ230" s="263"/>
      <c r="OA230" s="263"/>
      <c r="OB230" s="263"/>
      <c r="OC230" s="263"/>
      <c r="OD230" s="263"/>
      <c r="OE230" s="263"/>
      <c r="OF230" s="263"/>
      <c r="OG230" s="263"/>
      <c r="OH230" s="263"/>
      <c r="OI230" s="263"/>
      <c r="OJ230" s="263"/>
      <c r="OK230" s="263"/>
      <c r="OL230" s="263"/>
      <c r="OM230" s="263"/>
      <c r="ON230" s="263"/>
      <c r="OO230" s="263"/>
      <c r="OP230" s="263"/>
      <c r="OQ230" s="263"/>
      <c r="OR230" s="263"/>
      <c r="OS230" s="263"/>
      <c r="OT230" s="263"/>
      <c r="OU230" s="263"/>
      <c r="OV230" s="263"/>
      <c r="OW230" s="263"/>
      <c r="OX230" s="263"/>
      <c r="OY230" s="263"/>
      <c r="OZ230" s="263"/>
      <c r="PA230" s="263"/>
      <c r="PB230" s="263"/>
      <c r="PC230" s="263"/>
      <c r="PD230" s="263"/>
      <c r="PE230" s="263"/>
      <c r="PF230" s="263"/>
      <c r="PG230" s="263"/>
      <c r="PH230" s="263"/>
    </row>
    <row r="231">
      <c r="B231" s="34"/>
      <c r="C231" s="401"/>
      <c r="D231" s="401"/>
      <c r="E231" s="548"/>
      <c r="F231" s="548"/>
      <c r="G231" s="548"/>
      <c r="H231" s="85"/>
      <c r="I231" s="86"/>
      <c r="EP231" s="409"/>
      <c r="EQ231" s="18"/>
      <c r="ER231" s="18"/>
      <c r="ES231" s="18"/>
      <c r="ET231" s="18" t="s">
        <v>417</v>
      </c>
      <c r="EU231" s="18"/>
      <c r="EV231" s="422" t="n">
        <f>+EV230+EV227</f>
        <v>0</v>
      </c>
      <c r="EW231" s="422" t="n">
        <f t="shared" ref="EW231:HH231" si="1097">+EW230+EW227</f>
        <v>0</v>
      </c>
      <c r="EX231" s="422">
        <f t="shared" si="1097"/>
        <v>0</v>
      </c>
      <c r="EY231" s="422">
        <f t="shared" si="1097"/>
        <v>0</v>
      </c>
      <c r="EZ231" s="422">
        <f t="shared" si="1097"/>
        <v>0</v>
      </c>
      <c r="FA231" s="422">
        <f t="shared" si="1097"/>
        <v>0</v>
      </c>
      <c r="FB231" s="422">
        <f t="shared" si="1097"/>
        <v>0</v>
      </c>
      <c r="FC231" s="422">
        <f t="shared" si="1097"/>
        <v>0</v>
      </c>
      <c r="FD231" s="422">
        <f t="shared" si="1097"/>
        <v>0</v>
      </c>
      <c r="FE231" s="422">
        <f t="shared" si="1097"/>
        <v>0</v>
      </c>
      <c r="FF231" s="422">
        <f t="shared" si="1097"/>
        <v>0</v>
      </c>
      <c r="FG231" s="422">
        <f t="shared" si="1097"/>
        <v>0</v>
      </c>
      <c r="FH231" s="422">
        <f t="shared" si="1097"/>
        <v>0</v>
      </c>
      <c r="FI231" s="422">
        <f t="shared" si="1097"/>
        <v>0</v>
      </c>
      <c r="FJ231" s="422">
        <f t="shared" si="1097"/>
        <v>0</v>
      </c>
      <c r="FK231" s="422">
        <f t="shared" si="1097"/>
        <v>0</v>
      </c>
      <c r="FL231" s="422">
        <f t="shared" si="1097"/>
        <v>0</v>
      </c>
      <c r="FM231" s="422">
        <f t="shared" si="1097"/>
        <v>0</v>
      </c>
      <c r="FN231" s="422">
        <f t="shared" si="1097"/>
        <v>0</v>
      </c>
      <c r="FO231" s="422">
        <f t="shared" si="1097"/>
        <v>0</v>
      </c>
      <c r="FP231" s="422">
        <f t="shared" si="1097"/>
        <v>0</v>
      </c>
      <c r="FQ231" s="422">
        <f t="shared" si="1097"/>
        <v>0</v>
      </c>
      <c r="FR231" s="422">
        <f t="shared" si="1097"/>
        <v>0</v>
      </c>
      <c r="FS231" s="422">
        <f t="shared" si="1097"/>
        <v>0</v>
      </c>
      <c r="FT231" s="422">
        <f t="shared" si="1097"/>
        <v>0</v>
      </c>
      <c r="FU231" s="422">
        <f t="shared" si="1097"/>
        <v>0</v>
      </c>
      <c r="FV231" s="422">
        <f t="shared" si="1097"/>
        <v>0</v>
      </c>
      <c r="FW231" s="422">
        <f t="shared" si="1097"/>
        <v>0</v>
      </c>
      <c r="FX231" s="422">
        <f t="shared" si="1097"/>
        <v>0</v>
      </c>
      <c r="FY231" s="422">
        <f t="shared" si="1097"/>
        <v>0</v>
      </c>
      <c r="FZ231" s="422">
        <f t="shared" si="1097"/>
        <v>0</v>
      </c>
      <c r="GA231" s="422">
        <f t="shared" si="1097"/>
        <v>0</v>
      </c>
      <c r="GB231" s="422">
        <f t="shared" si="1097"/>
        <v>0</v>
      </c>
      <c r="GC231" s="422">
        <f t="shared" si="1097"/>
        <v>0</v>
      </c>
      <c r="GD231" s="422">
        <f t="shared" si="1097"/>
        <v>0</v>
      </c>
      <c r="GE231" s="422">
        <f t="shared" si="1097"/>
        <v>0</v>
      </c>
      <c r="GF231" s="422">
        <f t="shared" si="1097"/>
        <v>0</v>
      </c>
      <c r="GG231" s="422">
        <f t="shared" si="1097"/>
        <v>0</v>
      </c>
      <c r="GH231" s="422">
        <f t="shared" si="1097"/>
        <v>0</v>
      </c>
      <c r="GI231" s="422">
        <f t="shared" si="1097"/>
        <v>0</v>
      </c>
      <c r="GJ231" s="422">
        <f t="shared" si="1097"/>
        <v>0</v>
      </c>
      <c r="GK231" s="422">
        <f t="shared" si="1097"/>
        <v>0</v>
      </c>
      <c r="GL231" s="422">
        <f t="shared" si="1097"/>
        <v>0</v>
      </c>
      <c r="GM231" s="422">
        <f t="shared" si="1097"/>
        <v>0</v>
      </c>
      <c r="GN231" s="422">
        <f t="shared" si="1097"/>
        <v>0</v>
      </c>
      <c r="GO231" s="422">
        <f t="shared" si="1097"/>
        <v>0</v>
      </c>
      <c r="GP231" s="422">
        <f t="shared" si="1097"/>
        <v>0</v>
      </c>
      <c r="GQ231" s="422">
        <f t="shared" si="1097"/>
        <v>0</v>
      </c>
      <c r="GR231" s="422">
        <f t="shared" si="1097"/>
        <v>0</v>
      </c>
      <c r="GS231" s="422">
        <f t="shared" si="1097"/>
        <v>0</v>
      </c>
      <c r="GT231" s="422">
        <f t="shared" si="1097"/>
        <v>0</v>
      </c>
      <c r="GU231" s="422">
        <f t="shared" si="1097"/>
        <v>0</v>
      </c>
      <c r="GV231" s="422">
        <f t="shared" si="1097"/>
        <v>0</v>
      </c>
      <c r="GW231" s="422">
        <f t="shared" si="1097"/>
        <v>0</v>
      </c>
      <c r="GX231" s="422">
        <f t="shared" si="1097"/>
        <v>0</v>
      </c>
      <c r="GY231" s="422">
        <f t="shared" si="1097"/>
        <v>0</v>
      </c>
      <c r="GZ231" s="422">
        <f t="shared" si="1097"/>
        <v>0</v>
      </c>
      <c r="HA231" s="422">
        <f t="shared" si="1097"/>
        <v>0</v>
      </c>
      <c r="HB231" s="422">
        <f t="shared" si="1097"/>
        <v>0</v>
      </c>
      <c r="HC231" s="422">
        <f t="shared" si="1097"/>
        <v>0</v>
      </c>
      <c r="HD231" s="422">
        <f t="shared" si="1097"/>
        <v>0</v>
      </c>
      <c r="HE231" s="422">
        <f t="shared" si="1097"/>
        <v>43377634.587617382</v>
      </c>
      <c r="HF231" s="422">
        <f t="shared" si="1097"/>
        <v>0</v>
      </c>
      <c r="HG231" s="422">
        <f t="shared" si="1097"/>
        <v>0</v>
      </c>
      <c r="HH231" s="422">
        <f t="shared" si="1097"/>
        <v>0</v>
      </c>
      <c r="HI231" s="422" t="n">
        <f t="shared" ref="HI231:JT231" si="1098">+HI230+HI227</f>
        <v>0</v>
      </c>
      <c r="HJ231" s="422">
        <f t="shared" si="1098"/>
        <v>0</v>
      </c>
      <c r="HK231" s="422">
        <f t="shared" si="1098"/>
        <v>0</v>
      </c>
      <c r="HL231" s="422">
        <f t="shared" si="1098"/>
        <v>0</v>
      </c>
      <c r="HM231" s="422">
        <f t="shared" si="1098"/>
        <v>0</v>
      </c>
      <c r="HN231" s="422">
        <f t="shared" si="1098"/>
        <v>0</v>
      </c>
      <c r="HO231" s="422">
        <f t="shared" si="1098"/>
        <v>0</v>
      </c>
      <c r="HP231" s="422">
        <f t="shared" si="1098"/>
        <v>0</v>
      </c>
      <c r="HQ231" s="422">
        <f t="shared" si="1098"/>
        <v>0</v>
      </c>
      <c r="HR231" s="422">
        <f t="shared" si="1098"/>
        <v>0</v>
      </c>
      <c r="HS231" s="422">
        <f t="shared" si="1098"/>
        <v>0</v>
      </c>
      <c r="HT231" s="422">
        <f t="shared" si="1098"/>
        <v>0</v>
      </c>
      <c r="HU231" s="422">
        <f t="shared" si="1098"/>
        <v>0</v>
      </c>
      <c r="HV231" s="422">
        <f t="shared" si="1098"/>
        <v>0</v>
      </c>
      <c r="HW231" s="422">
        <f t="shared" si="1098"/>
        <v>0</v>
      </c>
      <c r="HX231" s="422">
        <f t="shared" si="1098"/>
        <v>0</v>
      </c>
      <c r="HY231" s="422">
        <f t="shared" si="1098"/>
        <v>0</v>
      </c>
      <c r="HZ231" s="422">
        <f t="shared" si="1098"/>
        <v>0</v>
      </c>
      <c r="IA231" s="422">
        <f t="shared" si="1098"/>
        <v>0</v>
      </c>
      <c r="IB231" s="422">
        <f t="shared" si="1098"/>
        <v>0</v>
      </c>
      <c r="IC231" s="422">
        <f t="shared" si="1098"/>
        <v>0</v>
      </c>
      <c r="ID231" s="422">
        <f t="shared" si="1098"/>
        <v>0</v>
      </c>
      <c r="IE231" s="422">
        <f t="shared" si="1098"/>
        <v>0</v>
      </c>
      <c r="IF231" s="422">
        <f t="shared" si="1098"/>
        <v>0</v>
      </c>
      <c r="IG231" s="422">
        <f t="shared" si="1098"/>
        <v>0</v>
      </c>
      <c r="IH231" s="422">
        <f t="shared" si="1098"/>
        <v>0</v>
      </c>
      <c r="II231" s="422">
        <f t="shared" si="1098"/>
        <v>0</v>
      </c>
      <c r="IJ231" s="422">
        <f t="shared" si="1098"/>
        <v>0</v>
      </c>
      <c r="IK231" s="422">
        <f t="shared" si="1098"/>
        <v>0</v>
      </c>
      <c r="IL231" s="422">
        <f t="shared" si="1098"/>
        <v>0</v>
      </c>
      <c r="IM231" s="422">
        <f t="shared" si="1098"/>
        <v>0</v>
      </c>
      <c r="IN231" s="422">
        <f t="shared" si="1098"/>
        <v>0</v>
      </c>
      <c r="IO231" s="422">
        <f t="shared" si="1098"/>
        <v>0</v>
      </c>
      <c r="IP231" s="422">
        <f t="shared" si="1098"/>
        <v>0</v>
      </c>
      <c r="IQ231" s="422">
        <f t="shared" si="1098"/>
        <v>0</v>
      </c>
      <c r="IR231" s="422">
        <f t="shared" si="1098"/>
        <v>0</v>
      </c>
      <c r="IS231" s="422">
        <f t="shared" si="1098"/>
        <v>0</v>
      </c>
      <c r="IT231" s="422">
        <f t="shared" si="1098"/>
        <v>0</v>
      </c>
      <c r="IU231" s="422">
        <f t="shared" si="1098"/>
        <v>0</v>
      </c>
      <c r="IV231" s="422">
        <f t="shared" si="1098"/>
        <v>0</v>
      </c>
      <c r="IW231" s="422">
        <f t="shared" si="1098"/>
        <v>0</v>
      </c>
      <c r="IX231" s="422">
        <f t="shared" si="1098"/>
        <v>0</v>
      </c>
      <c r="IY231" s="422">
        <f t="shared" si="1098"/>
        <v>0</v>
      </c>
      <c r="IZ231" s="422">
        <f t="shared" si="1098"/>
        <v>0</v>
      </c>
      <c r="JA231" s="422">
        <f t="shared" si="1098"/>
        <v>0</v>
      </c>
      <c r="JB231" s="422">
        <f t="shared" si="1098"/>
        <v>0</v>
      </c>
      <c r="JC231" s="422">
        <f t="shared" si="1098"/>
        <v>0</v>
      </c>
      <c r="JD231" s="422">
        <f t="shared" si="1098"/>
        <v>0</v>
      </c>
      <c r="JE231" s="422">
        <f t="shared" si="1098"/>
        <v>0</v>
      </c>
      <c r="JF231" s="422">
        <f t="shared" si="1098"/>
        <v>0</v>
      </c>
      <c r="JG231" s="422">
        <f t="shared" si="1098"/>
        <v>0</v>
      </c>
      <c r="JH231" s="422">
        <f t="shared" si="1098"/>
        <v>0</v>
      </c>
      <c r="JI231" s="422">
        <f t="shared" si="1098"/>
        <v>0</v>
      </c>
      <c r="JJ231" s="422">
        <f t="shared" si="1098"/>
        <v>0</v>
      </c>
      <c r="JK231" s="422">
        <f t="shared" si="1098"/>
        <v>0</v>
      </c>
      <c r="JL231" s="422">
        <f t="shared" si="1098"/>
        <v>0</v>
      </c>
      <c r="JM231" s="422">
        <f t="shared" si="1098"/>
        <v>0</v>
      </c>
      <c r="JN231" s="422">
        <f t="shared" si="1098"/>
        <v>0</v>
      </c>
      <c r="JO231" s="422">
        <f t="shared" si="1098"/>
        <v>0</v>
      </c>
      <c r="JP231" s="422">
        <f t="shared" si="1098"/>
        <v>0</v>
      </c>
      <c r="JQ231" s="422">
        <f t="shared" si="1098"/>
        <v>0</v>
      </c>
      <c r="JR231" s="422">
        <f t="shared" si="1098"/>
        <v>0</v>
      </c>
      <c r="JS231" s="422">
        <f t="shared" si="1098"/>
        <v>0</v>
      </c>
      <c r="JT231" s="422">
        <f t="shared" si="1098"/>
        <v>0</v>
      </c>
      <c r="JU231" s="422" t="n">
        <f>+JU230+JU227</f>
        <v>0</v>
      </c>
      <c r="JV231" s="422" t="n">
        <f>+JV230+JV227</f>
        <v>0</v>
      </c>
      <c r="JW231" s="422" t="n">
        <f>+JW230+JW227</f>
        <v>0</v>
      </c>
      <c r="JX231" s="422" t="n">
        <f>+JX230+JX227</f>
        <v>0</v>
      </c>
      <c r="JZ231" s="263"/>
      <c r="KA231" s="263"/>
      <c r="KB231" s="263"/>
      <c r="KC231" s="263"/>
      <c r="KD231" s="263"/>
      <c r="KE231" s="263"/>
      <c r="KF231" s="263"/>
      <c r="KG231" s="263"/>
      <c r="KH231" s="263"/>
      <c r="KI231" s="263"/>
      <c r="KJ231" s="263"/>
      <c r="KK231" s="263"/>
      <c r="KL231" s="263"/>
      <c r="KM231" s="263"/>
      <c r="KN231" s="263"/>
      <c r="KO231" s="263"/>
      <c r="KP231" s="263"/>
      <c r="KQ231" s="263"/>
      <c r="KR231" s="263"/>
      <c r="KS231" s="263"/>
      <c r="KT231" s="263"/>
      <c r="KU231" s="263"/>
      <c r="KV231" s="263"/>
      <c r="KW231" s="263"/>
      <c r="KX231" s="263"/>
      <c r="KY231" s="263"/>
      <c r="KZ231" s="263"/>
      <c r="LA231" s="263"/>
      <c r="LB231" s="263"/>
      <c r="LC231" s="263"/>
      <c r="LD231" s="263"/>
      <c r="LE231" s="263"/>
      <c r="LF231" s="263"/>
      <c r="LG231" s="263"/>
      <c r="LH231" s="263"/>
      <c r="LI231" s="263"/>
      <c r="LJ231" s="263"/>
      <c r="LK231" s="263"/>
      <c r="LL231" s="263"/>
      <c r="LM231" s="263"/>
      <c r="LN231" s="263"/>
      <c r="LO231" s="263"/>
      <c r="LP231" s="263"/>
      <c r="LQ231" s="263"/>
      <c r="LR231" s="263"/>
      <c r="LS231" s="263"/>
      <c r="LT231" s="263"/>
      <c r="LU231" s="263"/>
      <c r="LV231" s="263"/>
      <c r="LW231" s="263"/>
      <c r="LX231" s="263"/>
      <c r="LY231" s="263"/>
      <c r="LZ231" s="263"/>
      <c r="MA231" s="263"/>
      <c r="MB231" s="263"/>
      <c r="MC231" s="263"/>
      <c r="MD231" s="263"/>
      <c r="ME231" s="263"/>
      <c r="MF231" s="263"/>
      <c r="MG231" s="263"/>
      <c r="MH231" s="263"/>
      <c r="MI231" s="263"/>
      <c r="MJ231" s="263"/>
      <c r="MK231" s="263"/>
      <c r="ML231" s="263"/>
      <c r="MM231" s="263"/>
      <c r="MN231" s="263"/>
      <c r="MO231" s="263"/>
      <c r="MP231" s="263"/>
      <c r="MQ231" s="263"/>
      <c r="MR231" s="263"/>
      <c r="MS231" s="263"/>
      <c r="MT231" s="263"/>
      <c r="MU231" s="263"/>
      <c r="MV231" s="263"/>
      <c r="MW231" s="263"/>
      <c r="MX231" s="263"/>
      <c r="MY231" s="263"/>
      <c r="MZ231" s="263"/>
      <c r="NA231" s="263"/>
      <c r="NB231" s="263"/>
      <c r="NC231" s="263"/>
      <c r="ND231" s="263"/>
      <c r="NE231" s="263"/>
      <c r="NF231" s="263"/>
      <c r="NG231" s="263"/>
      <c r="NH231" s="263"/>
      <c r="NI231" s="263"/>
      <c r="NJ231" s="263"/>
      <c r="NK231" s="263"/>
      <c r="NL231" s="263"/>
      <c r="NM231" s="263"/>
      <c r="NN231" s="263"/>
      <c r="NO231" s="263"/>
      <c r="NP231" s="263"/>
      <c r="NQ231" s="263"/>
      <c r="NR231" s="263"/>
      <c r="NS231" s="263"/>
      <c r="NT231" s="263"/>
      <c r="NU231" s="263"/>
      <c r="NV231" s="263"/>
      <c r="NW231" s="263"/>
      <c r="NX231" s="263"/>
      <c r="NY231" s="263"/>
      <c r="NZ231" s="263"/>
      <c r="OA231" s="263"/>
      <c r="OB231" s="263"/>
      <c r="OC231" s="263"/>
      <c r="OD231" s="263"/>
      <c r="OE231" s="263"/>
      <c r="OF231" s="263"/>
      <c r="OG231" s="263"/>
      <c r="OH231" s="263"/>
      <c r="OI231" s="263"/>
      <c r="OJ231" s="263"/>
      <c r="OK231" s="263"/>
      <c r="OL231" s="263"/>
      <c r="OM231" s="263"/>
      <c r="ON231" s="263"/>
      <c r="OO231" s="263"/>
      <c r="OP231" s="263"/>
      <c r="OQ231" s="263"/>
      <c r="OR231" s="263"/>
      <c r="OS231" s="263"/>
      <c r="OT231" s="263"/>
      <c r="OU231" s="263"/>
      <c r="OV231" s="263"/>
      <c r="OW231" s="263"/>
      <c r="OX231" s="263"/>
      <c r="OY231" s="263"/>
      <c r="OZ231" s="263"/>
      <c r="PA231" s="263"/>
      <c r="PB231" s="263"/>
      <c r="PC231" s="263"/>
      <c r="PD231" s="263"/>
      <c r="PE231" s="263"/>
      <c r="PF231" s="263"/>
      <c r="PG231" s="263"/>
      <c r="PH231" s="263"/>
    </row>
    <row r="232">
      <c r="B232" s="415" t="s">
        <v>418</v>
      </c>
      <c r="C232" s="401"/>
      <c r="D232" s="401"/>
      <c r="E232" s="401"/>
      <c r="F232" s="552" t="s">
        <v>419</v>
      </c>
      <c r="G232" s="416" t="s">
        <v>420</v>
      </c>
      <c r="H232" s="416" t="s">
        <v>421</v>
      </c>
      <c r="I232" s="416" t="s">
        <v>422</v>
      </c>
      <c r="EP232" s="543"/>
      <c r="EQ232" s="539"/>
      <c r="ER232" s="539"/>
      <c r="ES232" s="539"/>
      <c r="ET232" s="539" t="s">
        <v>392</v>
      </c>
      <c r="EU232" s="539"/>
      <c r="EV232" s="540" t="n">
        <f t="shared" ref="EV232:GA232" si="1099">MAX(EV223-EV231,0)</f>
        <v>0</v>
      </c>
      <c r="EW232" s="540">
        <f t="shared" si="1099"/>
        <v>0</v>
      </c>
      <c r="EX232" s="540">
        <f t="shared" si="1099"/>
        <v>0</v>
      </c>
      <c r="EY232" s="540">
        <f t="shared" si="1099"/>
        <v>0</v>
      </c>
      <c r="EZ232" s="540">
        <f t="shared" si="1099"/>
        <v>0</v>
      </c>
      <c r="FA232" s="540">
        <f t="shared" si="1099"/>
        <v>0</v>
      </c>
      <c r="FB232" s="540">
        <f t="shared" si="1099"/>
        <v>0</v>
      </c>
      <c r="FC232" s="540">
        <f t="shared" si="1099"/>
        <v>0</v>
      </c>
      <c r="FD232" s="540">
        <f t="shared" si="1099"/>
        <v>0</v>
      </c>
      <c r="FE232" s="540">
        <f t="shared" si="1099"/>
        <v>0</v>
      </c>
      <c r="FF232" s="540">
        <f t="shared" si="1099"/>
        <v>0</v>
      </c>
      <c r="FG232" s="540">
        <f t="shared" si="1099"/>
        <v>0</v>
      </c>
      <c r="FH232" s="540">
        <f t="shared" si="1099"/>
        <v>0</v>
      </c>
      <c r="FI232" s="540">
        <f t="shared" si="1099"/>
        <v>0</v>
      </c>
      <c r="FJ232" s="540">
        <f t="shared" si="1099"/>
        <v>0</v>
      </c>
      <c r="FK232" s="540">
        <f t="shared" si="1099"/>
        <v>0</v>
      </c>
      <c r="FL232" s="540">
        <f t="shared" si="1099"/>
        <v>0</v>
      </c>
      <c r="FM232" s="540">
        <f t="shared" si="1099"/>
        <v>0</v>
      </c>
      <c r="FN232" s="540">
        <f t="shared" si="1099"/>
        <v>0</v>
      </c>
      <c r="FO232" s="540">
        <f t="shared" si="1099"/>
        <v>0</v>
      </c>
      <c r="FP232" s="540">
        <f t="shared" si="1099"/>
        <v>0</v>
      </c>
      <c r="FQ232" s="540">
        <f t="shared" si="1099"/>
        <v>0</v>
      </c>
      <c r="FR232" s="540">
        <f t="shared" si="1099"/>
        <v>0</v>
      </c>
      <c r="FS232" s="540">
        <f t="shared" si="1099"/>
        <v>0</v>
      </c>
      <c r="FT232" s="540">
        <f t="shared" si="1099"/>
        <v>0</v>
      </c>
      <c r="FU232" s="540">
        <f t="shared" si="1099"/>
        <v>0</v>
      </c>
      <c r="FV232" s="540">
        <f t="shared" si="1099"/>
        <v>0</v>
      </c>
      <c r="FW232" s="540">
        <f t="shared" si="1099"/>
        <v>0</v>
      </c>
      <c r="FX232" s="540">
        <f t="shared" si="1099"/>
        <v>0</v>
      </c>
      <c r="FY232" s="540">
        <f t="shared" si="1099"/>
        <v>0</v>
      </c>
      <c r="FZ232" s="540">
        <f t="shared" si="1099"/>
        <v>0</v>
      </c>
      <c r="GA232" s="540">
        <f t="shared" si="1099"/>
        <v>0</v>
      </c>
      <c r="GB232" s="540" t="n">
        <f t="shared" ref="GB232:HG232" si="1100">MAX(GB223-GB231,0)</f>
        <v>0</v>
      </c>
      <c r="GC232" s="540">
        <f t="shared" si="1100"/>
        <v>0</v>
      </c>
      <c r="GD232" s="540">
        <f t="shared" si="1100"/>
        <v>0</v>
      </c>
      <c r="GE232" s="540">
        <f t="shared" si="1100"/>
        <v>0</v>
      </c>
      <c r="GF232" s="540">
        <f t="shared" si="1100"/>
        <v>0</v>
      </c>
      <c r="GG232" s="540">
        <f t="shared" si="1100"/>
        <v>0</v>
      </c>
      <c r="GH232" s="540">
        <f t="shared" si="1100"/>
        <v>0</v>
      </c>
      <c r="GI232" s="540">
        <f t="shared" si="1100"/>
        <v>0</v>
      </c>
      <c r="GJ232" s="540">
        <f t="shared" si="1100"/>
        <v>0</v>
      </c>
      <c r="GK232" s="540">
        <f t="shared" si="1100"/>
        <v>0</v>
      </c>
      <c r="GL232" s="540">
        <f t="shared" si="1100"/>
        <v>0</v>
      </c>
      <c r="GM232" s="540">
        <f t="shared" si="1100"/>
        <v>0</v>
      </c>
      <c r="GN232" s="540">
        <f t="shared" si="1100"/>
        <v>0</v>
      </c>
      <c r="GO232" s="540">
        <f t="shared" si="1100"/>
        <v>0</v>
      </c>
      <c r="GP232" s="540">
        <f t="shared" si="1100"/>
        <v>0</v>
      </c>
      <c r="GQ232" s="540">
        <f t="shared" si="1100"/>
        <v>0</v>
      </c>
      <c r="GR232" s="540">
        <f t="shared" si="1100"/>
        <v>0</v>
      </c>
      <c r="GS232" s="540">
        <f t="shared" si="1100"/>
        <v>0</v>
      </c>
      <c r="GT232" s="540">
        <f t="shared" si="1100"/>
        <v>0</v>
      </c>
      <c r="GU232" s="540">
        <f t="shared" si="1100"/>
        <v>0</v>
      </c>
      <c r="GV232" s="540">
        <f t="shared" si="1100"/>
        <v>0</v>
      </c>
      <c r="GW232" s="540">
        <f t="shared" si="1100"/>
        <v>0</v>
      </c>
      <c r="GX232" s="540">
        <f t="shared" si="1100"/>
        <v>0</v>
      </c>
      <c r="GY232" s="540">
        <f t="shared" si="1100"/>
        <v>0</v>
      </c>
      <c r="GZ232" s="540">
        <f t="shared" si="1100"/>
        <v>0</v>
      </c>
      <c r="HA232" s="540">
        <f t="shared" si="1100"/>
        <v>0</v>
      </c>
      <c r="HB232" s="540">
        <f t="shared" si="1100"/>
        <v>0</v>
      </c>
      <c r="HC232" s="540">
        <f t="shared" si="1100"/>
        <v>0</v>
      </c>
      <c r="HD232" s="540">
        <f t="shared" si="1100"/>
        <v>0</v>
      </c>
      <c r="HE232" s="540">
        <f t="shared" si="1100"/>
        <v>653689410.96050787</v>
      </c>
      <c r="HF232" s="540">
        <f t="shared" si="1100"/>
        <v>0</v>
      </c>
      <c r="HG232" s="540">
        <f t="shared" si="1100"/>
        <v>0</v>
      </c>
      <c r="HH232" s="540" t="n">
        <f t="shared" ref="HH232:IM232" si="1101">MAX(HH223-HH231,0)</f>
        <v>0</v>
      </c>
      <c r="HI232" s="540">
        <f t="shared" si="1101"/>
        <v>0</v>
      </c>
      <c r="HJ232" s="540">
        <f t="shared" si="1101"/>
        <v>0</v>
      </c>
      <c r="HK232" s="540">
        <f t="shared" si="1101"/>
        <v>0</v>
      </c>
      <c r="HL232" s="540">
        <f t="shared" si="1101"/>
        <v>0</v>
      </c>
      <c r="HM232" s="540">
        <f t="shared" si="1101"/>
        <v>0</v>
      </c>
      <c r="HN232" s="540">
        <f t="shared" si="1101"/>
        <v>0</v>
      </c>
      <c r="HO232" s="540">
        <f t="shared" si="1101"/>
        <v>0</v>
      </c>
      <c r="HP232" s="540">
        <f t="shared" si="1101"/>
        <v>0</v>
      </c>
      <c r="HQ232" s="540">
        <f t="shared" si="1101"/>
        <v>0</v>
      </c>
      <c r="HR232" s="540">
        <f t="shared" si="1101"/>
        <v>0</v>
      </c>
      <c r="HS232" s="540">
        <f t="shared" si="1101"/>
        <v>0</v>
      </c>
      <c r="HT232" s="540">
        <f t="shared" si="1101"/>
        <v>0</v>
      </c>
      <c r="HU232" s="540">
        <f t="shared" si="1101"/>
        <v>0</v>
      </c>
      <c r="HV232" s="540">
        <f t="shared" si="1101"/>
        <v>0</v>
      </c>
      <c r="HW232" s="540">
        <f t="shared" si="1101"/>
        <v>0</v>
      </c>
      <c r="HX232" s="540">
        <f t="shared" si="1101"/>
        <v>0</v>
      </c>
      <c r="HY232" s="540">
        <f t="shared" si="1101"/>
        <v>0</v>
      </c>
      <c r="HZ232" s="540">
        <f t="shared" si="1101"/>
        <v>0</v>
      </c>
      <c r="IA232" s="540">
        <f t="shared" si="1101"/>
        <v>0</v>
      </c>
      <c r="IB232" s="540">
        <f t="shared" si="1101"/>
        <v>0</v>
      </c>
      <c r="IC232" s="540">
        <f t="shared" si="1101"/>
        <v>0</v>
      </c>
      <c r="ID232" s="540">
        <f t="shared" si="1101"/>
        <v>0</v>
      </c>
      <c r="IE232" s="540">
        <f t="shared" si="1101"/>
        <v>0</v>
      </c>
      <c r="IF232" s="540">
        <f t="shared" si="1101"/>
        <v>0</v>
      </c>
      <c r="IG232" s="540">
        <f t="shared" si="1101"/>
        <v>0</v>
      </c>
      <c r="IH232" s="540">
        <f t="shared" si="1101"/>
        <v>0</v>
      </c>
      <c r="II232" s="540">
        <f t="shared" si="1101"/>
        <v>0</v>
      </c>
      <c r="IJ232" s="540">
        <f t="shared" si="1101"/>
        <v>0</v>
      </c>
      <c r="IK232" s="540">
        <f t="shared" si="1101"/>
        <v>0</v>
      </c>
      <c r="IL232" s="540">
        <f t="shared" si="1101"/>
        <v>0</v>
      </c>
      <c r="IM232" s="540">
        <f t="shared" si="1101"/>
        <v>0</v>
      </c>
      <c r="IN232" s="540" t="n">
        <f t="shared" ref="IN232:JS232" si="1102">MAX(IN223-IN231,0)</f>
        <v>0</v>
      </c>
      <c r="IO232" s="540">
        <f t="shared" si="1102"/>
        <v>0</v>
      </c>
      <c r="IP232" s="540">
        <f t="shared" si="1102"/>
        <v>0</v>
      </c>
      <c r="IQ232" s="540">
        <f t="shared" si="1102"/>
        <v>0</v>
      </c>
      <c r="IR232" s="540">
        <f t="shared" si="1102"/>
        <v>0</v>
      </c>
      <c r="IS232" s="540">
        <f t="shared" si="1102"/>
        <v>0</v>
      </c>
      <c r="IT232" s="540">
        <f t="shared" si="1102"/>
        <v>0</v>
      </c>
      <c r="IU232" s="540">
        <f t="shared" si="1102"/>
        <v>0</v>
      </c>
      <c r="IV232" s="540">
        <f t="shared" si="1102"/>
        <v>0</v>
      </c>
      <c r="IW232" s="540">
        <f t="shared" si="1102"/>
        <v>0</v>
      </c>
      <c r="IX232" s="540">
        <f t="shared" si="1102"/>
        <v>0</v>
      </c>
      <c r="IY232" s="540">
        <f t="shared" si="1102"/>
        <v>0</v>
      </c>
      <c r="IZ232" s="540">
        <f t="shared" si="1102"/>
        <v>0</v>
      </c>
      <c r="JA232" s="540">
        <f t="shared" si="1102"/>
        <v>0</v>
      </c>
      <c r="JB232" s="540">
        <f t="shared" si="1102"/>
        <v>0</v>
      </c>
      <c r="JC232" s="540">
        <f t="shared" si="1102"/>
        <v>0</v>
      </c>
      <c r="JD232" s="540">
        <f t="shared" si="1102"/>
        <v>0</v>
      </c>
      <c r="JE232" s="540">
        <f t="shared" si="1102"/>
        <v>0</v>
      </c>
      <c r="JF232" s="540">
        <f t="shared" si="1102"/>
        <v>0</v>
      </c>
      <c r="JG232" s="540">
        <f t="shared" si="1102"/>
        <v>0</v>
      </c>
      <c r="JH232" s="540">
        <f t="shared" si="1102"/>
        <v>0</v>
      </c>
      <c r="JI232" s="540">
        <f t="shared" si="1102"/>
        <v>0</v>
      </c>
      <c r="JJ232" s="540">
        <f t="shared" si="1102"/>
        <v>0</v>
      </c>
      <c r="JK232" s="540">
        <f t="shared" si="1102"/>
        <v>0</v>
      </c>
      <c r="JL232" s="540">
        <f t="shared" si="1102"/>
        <v>0</v>
      </c>
      <c r="JM232" s="540">
        <f t="shared" si="1102"/>
        <v>0</v>
      </c>
      <c r="JN232" s="540">
        <f t="shared" si="1102"/>
        <v>0</v>
      </c>
      <c r="JO232" s="540">
        <f t="shared" si="1102"/>
        <v>0</v>
      </c>
      <c r="JP232" s="540">
        <f t="shared" si="1102"/>
        <v>0</v>
      </c>
      <c r="JQ232" s="540">
        <f t="shared" si="1102"/>
        <v>0</v>
      </c>
      <c r="JR232" s="540">
        <f t="shared" si="1102"/>
        <v>0</v>
      </c>
      <c r="JS232" s="540">
        <f t="shared" si="1102"/>
        <v>0</v>
      </c>
      <c r="JT232" s="540" t="n">
        <f>MAX(JT223-JT231,0)</f>
        <v>0</v>
      </c>
      <c r="JU232" s="540" t="n">
        <f>MAX(JU223-JU231,0)</f>
        <v>0</v>
      </c>
      <c r="JV232" s="540" t="n">
        <f>MAX(JV223-JV231,0)</f>
        <v>0</v>
      </c>
      <c r="JW232" s="540" t="n">
        <f>MAX(JW223-JW231,0)</f>
        <v>0</v>
      </c>
      <c r="JX232" s="540" t="n">
        <f>MAX(JX223-JX231,0)</f>
        <v>0</v>
      </c>
      <c r="JZ232" s="263"/>
      <c r="KA232" s="263"/>
      <c r="KB232" s="263"/>
      <c r="KC232" s="263"/>
      <c r="KD232" s="263"/>
      <c r="KE232" s="263"/>
      <c r="KF232" s="263"/>
      <c r="KG232" s="263"/>
      <c r="KH232" s="263"/>
      <c r="KI232" s="263"/>
      <c r="KJ232" s="263"/>
      <c r="KK232" s="263"/>
      <c r="KL232" s="263"/>
      <c r="KM232" s="263"/>
      <c r="KN232" s="263"/>
      <c r="KO232" s="263"/>
      <c r="KP232" s="263"/>
      <c r="KQ232" s="263"/>
      <c r="KR232" s="263"/>
      <c r="KS232" s="263"/>
      <c r="KT232" s="263"/>
      <c r="KU232" s="263"/>
      <c r="KV232" s="263"/>
      <c r="KW232" s="263"/>
      <c r="KX232" s="263"/>
      <c r="KY232" s="263"/>
      <c r="KZ232" s="263"/>
      <c r="LA232" s="263"/>
      <c r="LB232" s="263"/>
      <c r="LC232" s="263"/>
      <c r="LD232" s="263"/>
      <c r="LE232" s="263"/>
      <c r="LF232" s="263"/>
      <c r="LG232" s="263"/>
      <c r="LH232" s="263"/>
      <c r="LI232" s="263"/>
      <c r="LJ232" s="263"/>
      <c r="LK232" s="263"/>
      <c r="LL232" s="263"/>
      <c r="LM232" s="263"/>
      <c r="LN232" s="263"/>
      <c r="LO232" s="263"/>
      <c r="LP232" s="263"/>
      <c r="LQ232" s="263"/>
      <c r="LR232" s="263"/>
      <c r="LS232" s="263"/>
      <c r="LT232" s="263"/>
      <c r="LU232" s="263"/>
      <c r="LV232" s="263"/>
      <c r="LW232" s="263"/>
      <c r="LX232" s="263"/>
      <c r="LY232" s="263"/>
      <c r="LZ232" s="263"/>
      <c r="MA232" s="263"/>
      <c r="MB232" s="263"/>
      <c r="MC232" s="263"/>
      <c r="MD232" s="263"/>
      <c r="ME232" s="263"/>
      <c r="MF232" s="263"/>
      <c r="MG232" s="263"/>
      <c r="MH232" s="263"/>
      <c r="MI232" s="263"/>
      <c r="MJ232" s="263"/>
      <c r="MK232" s="263"/>
      <c r="ML232" s="263"/>
      <c r="MM232" s="263"/>
      <c r="MN232" s="263"/>
      <c r="MO232" s="263"/>
      <c r="MP232" s="263"/>
      <c r="MQ232" s="263"/>
      <c r="MR232" s="263"/>
      <c r="MS232" s="263"/>
      <c r="MT232" s="263"/>
      <c r="MU232" s="263"/>
      <c r="MV232" s="263"/>
      <c r="MW232" s="263"/>
      <c r="MX232" s="263"/>
      <c r="MY232" s="263"/>
      <c r="MZ232" s="263"/>
      <c r="NA232" s="263"/>
      <c r="NB232" s="263"/>
      <c r="NC232" s="263"/>
      <c r="ND232" s="263"/>
      <c r="NE232" s="263"/>
      <c r="NF232" s="263"/>
      <c r="NG232" s="263"/>
      <c r="NH232" s="263"/>
      <c r="NI232" s="263"/>
      <c r="NJ232" s="263"/>
      <c r="NK232" s="263"/>
      <c r="NL232" s="263"/>
      <c r="NM232" s="263"/>
      <c r="NN232" s="263"/>
      <c r="NO232" s="263"/>
      <c r="NP232" s="263"/>
      <c r="NQ232" s="263"/>
      <c r="NR232" s="263"/>
      <c r="NS232" s="263"/>
      <c r="NT232" s="263"/>
      <c r="NU232" s="263"/>
      <c r="NV232" s="263"/>
      <c r="NW232" s="263"/>
      <c r="NX232" s="263"/>
      <c r="NY232" s="263"/>
      <c r="NZ232" s="263"/>
      <c r="OA232" s="263"/>
      <c r="OB232" s="263"/>
      <c r="OC232" s="263"/>
      <c r="OD232" s="263"/>
      <c r="OE232" s="263"/>
      <c r="OF232" s="263"/>
      <c r="OG232" s="263"/>
      <c r="OH232" s="263"/>
      <c r="OI232" s="263"/>
      <c r="OJ232" s="263"/>
      <c r="OK232" s="263"/>
      <c r="OL232" s="263"/>
      <c r="OM232" s="263"/>
      <c r="ON232" s="263"/>
      <c r="OO232" s="263"/>
      <c r="OP232" s="263"/>
      <c r="OQ232" s="263"/>
      <c r="OR232" s="263"/>
      <c r="OS232" s="263"/>
      <c r="OT232" s="263"/>
      <c r="OU232" s="263"/>
      <c r="OV232" s="263"/>
      <c r="OW232" s="263"/>
      <c r="OX232" s="263"/>
      <c r="OY232" s="263"/>
      <c r="OZ232" s="263"/>
      <c r="PA232" s="263"/>
      <c r="PB232" s="263"/>
      <c r="PC232" s="263"/>
      <c r="PD232" s="263"/>
      <c r="PE232" s="263"/>
      <c r="PF232" s="263"/>
      <c r="PG232" s="263"/>
      <c r="PH232" s="263"/>
    </row>
    <row r="233">
      <c r="B233" s="34" t="s">
        <v>423</v>
      </c>
      <c r="C233" s="553" t="s">
        <v>424</v>
      </c>
      <c r="D233" s="554" t="s">
        <v>205</v>
      </c>
      <c r="E233" s="404" t="s">
        <v>425</v>
      </c>
      <c r="F233" s="87" t="n">
        <f>PROJECTS!$AP$124</f>
        <v>0.09</v>
      </c>
      <c r="G233" s="53">
        <v>0</v>
      </c>
      <c r="H233" s="302">
        <v>0.05</v>
      </c>
      <c r="I233" s="58" t="n">
        <f>1-H233</f>
        <v>0.95</v>
      </c>
      <c r="L233" s="421" t="str">
        <f t="shared" ref="L233:AQ233" si="1103">IF(L$227="","",EV211)</f>
      </c>
      <c r="M233" s="421">
        <f t="shared" si="1103"/>
        <v>413948.37929137191</v>
      </c>
      <c r="N233" s="421">
        <f t="shared" si="1103"/>
        <v>142737.98220339679</v>
      </c>
      <c r="O233" s="421">
        <f t="shared" si="1103"/>
        <v>0</v>
      </c>
      <c r="P233" s="421">
        <f t="shared" si="1103"/>
        <v>0</v>
      </c>
      <c r="Q233" s="421">
        <f t="shared" si="1103"/>
        <v>0</v>
      </c>
      <c r="R233" s="421">
        <f t="shared" si="1103"/>
        <v>0</v>
      </c>
      <c r="S233" s="421">
        <f t="shared" si="1103"/>
        <v>0</v>
      </c>
      <c r="T233" s="421">
        <f t="shared" si="1103"/>
        <v>0</v>
      </c>
      <c r="U233" s="421">
        <f t="shared" si="1103"/>
        <v>0</v>
      </c>
      <c r="V233" s="421">
        <f t="shared" si="1103"/>
        <v>0</v>
      </c>
      <c r="W233" s="421">
        <f t="shared" si="1103"/>
        <v>0</v>
      </c>
      <c r="X233" s="421">
        <f t="shared" si="1103"/>
        <v>0</v>
      </c>
      <c r="Y233" s="421">
        <f t="shared" si="1103"/>
        <v>0</v>
      </c>
      <c r="Z233" s="421">
        <f t="shared" si="1103"/>
        <v>0</v>
      </c>
      <c r="AA233" s="421">
        <f t="shared" si="1103"/>
        <v>0</v>
      </c>
      <c r="AB233" s="421">
        <f t="shared" si="1103"/>
        <v>0</v>
      </c>
      <c r="AC233" s="421">
        <f t="shared" si="1103"/>
        <v>853119.55281024228</v>
      </c>
      <c r="AD233" s="421">
        <f t="shared" si="1103"/>
        <v>3665053.5541383428</v>
      </c>
      <c r="AE233" s="421">
        <f t="shared" si="1103"/>
        <v>3410662.1015776717</v>
      </c>
      <c r="AF233" s="421">
        <f t="shared" si="1103"/>
        <v>3247961.4392093075</v>
      </c>
      <c r="AG233" s="421">
        <f t="shared" si="1103"/>
        <v>3879141.5832031192</v>
      </c>
      <c r="AH233" s="421">
        <f t="shared" si="1103"/>
        <v>3730403.2008891297</v>
      </c>
      <c r="AI233" s="421">
        <f t="shared" si="1103"/>
        <v>3593524.9150274647</v>
      </c>
      <c r="AJ233" s="421">
        <f t="shared" si="1103"/>
        <v>3776172.9559091968</v>
      </c>
      <c r="AK233" s="421">
        <f t="shared" si="1103"/>
        <v>3668480.4053410282</v>
      </c>
      <c r="AL233" s="421">
        <f t="shared" si="1103"/>
        <v>3576251.2271373835</v>
      </c>
      <c r="AM233" s="421">
        <f t="shared" si="1103"/>
        <v>3687043.5329968771</v>
      </c>
      <c r="AN233" s="421">
        <f t="shared" si="1103"/>
        <v>2995370.3668411844</v>
      </c>
      <c r="AO233" s="421">
        <f t="shared" si="1103"/>
        <v>1576563.4029267943</v>
      </c>
      <c r="AP233" s="421">
        <f t="shared" si="1103"/>
        <v>2641225.1199580738</v>
      </c>
      <c r="AQ233" s="421">
        <f t="shared" si="1103"/>
        <v>3037129.1260873023</v>
      </c>
      <c r="AR233" s="421" t="n">
        <f t="shared" ref="AR233:BW233" si="1104">IF(AR$227="","",GB211)</f>
        <v>3331940.029857875</v>
      </c>
      <c r="AS233" s="421">
        <f t="shared" si="1104"/>
        <v>3543075.2003101264</v>
      </c>
      <c r="AT233" s="421">
        <f t="shared" si="1104"/>
        <v>3941015.5223757271</v>
      </c>
      <c r="AU233" s="421">
        <f t="shared" si="1104"/>
        <v>4033678.1277150894</v>
      </c>
      <c r="AV233" s="421">
        <f t="shared" si="1104"/>
        <v>4101932.8264588988</v>
      </c>
      <c r="AW233" s="421">
        <f t="shared" si="1104"/>
        <v>3678495.6694553453</v>
      </c>
      <c r="AX233" s="421">
        <f t="shared" si="1104"/>
        <v>3665813.0495049828</v>
      </c>
      <c r="AY233" s="421">
        <f t="shared" si="1104"/>
        <v>3653035.309904993</v>
      </c>
      <c r="AZ233" s="421">
        <f t="shared" si="1104"/>
        <v>3646481.5132933473</v>
      </c>
      <c r="BA233" s="421">
        <f t="shared" si="1104"/>
        <v>3633511.3888515048</v>
      </c>
      <c r="BB233" s="421">
        <f t="shared" si="1104"/>
        <v>3620443.988476349</v>
      </c>
      <c r="BC233" s="421">
        <f t="shared" si="1104"/>
        <v>3771400.5906808469</v>
      </c>
      <c r="BD233" s="76">
        <f t="shared" si="1104"/>
        <v>3758136.4442587923</v>
      </c>
      <c r="BE233" s="76">
        <f t="shared" si="1104"/>
        <v>3744772.8167385724</v>
      </c>
      <c r="BF233" s="76">
        <f t="shared" si="1104"/>
        <v>3760449.378678618</v>
      </c>
      <c r="BG233" s="76">
        <f t="shared" si="1104"/>
        <v>3746884.5450415472</v>
      </c>
      <c r="BH233" s="76">
        <f t="shared" si="1104"/>
        <v>3733217.9751521973</v>
      </c>
      <c r="BI233" s="76">
        <f t="shared" si="1104"/>
        <v>3585939.2095313119</v>
      </c>
      <c r="BJ233" s="76">
        <f t="shared" si="1104"/>
        <v>3572066.8723490657</v>
      </c>
      <c r="BK233" s="76">
        <f t="shared" si="1104"/>
        <v>3558090.4926379537</v>
      </c>
      <c r="BL233" s="76">
        <f t="shared" si="1104"/>
        <v>3550318.4775790079</v>
      </c>
      <c r="BM233" s="76">
        <f t="shared" si="1104"/>
        <v>3536131.6660008687</v>
      </c>
      <c r="BN233" s="76">
        <f t="shared" si="1104"/>
        <v>3521838.4533358947</v>
      </c>
      <c r="BO233" s="76">
        <f t="shared" si="1104"/>
        <v>3655983.2974481955</v>
      </c>
      <c r="BP233" s="76">
        <f t="shared" si="1104"/>
        <v>3641474.8826000346</v>
      </c>
      <c r="BQ233" s="76">
        <f t="shared" si="1104"/>
        <v>3626857.6546405125</v>
      </c>
      <c r="BR233" s="76">
        <f t="shared" si="1104"/>
        <v>3642291.1287212931</v>
      </c>
      <c r="BS233" s="76">
        <f t="shared" si="1104"/>
        <v>3627453.8201233055</v>
      </c>
      <c r="BT233" s="76">
        <f t="shared" si="1104"/>
        <v>3612505.2317108321</v>
      </c>
      <c r="BU233" s="76">
        <f t="shared" si="1104"/>
        <v>97384072.966539294</v>
      </c>
      <c r="BV233" s="76" t="str">
        <f t="shared" si="1104"/>
      </c>
      <c r="BW233" s="76" t="str">
        <f t="shared" si="1104"/>
      </c>
      <c r="BX233" s="76" t="str">
        <f t="shared" ref="BX233:DC233" si="1105">IF(BX$227="","",HH211)</f>
      </c>
      <c r="BY233" s="76" t="str">
        <f t="shared" si="1105"/>
      </c>
      <c r="BZ233" s="76" t="str">
        <f t="shared" si="1105"/>
      </c>
      <c r="CA233" s="76" t="str">
        <f t="shared" si="1105"/>
      </c>
      <c r="CB233" s="76" t="str">
        <f t="shared" si="1105"/>
      </c>
      <c r="CC233" s="76" t="str">
        <f t="shared" si="1105"/>
      </c>
      <c r="CD233" s="76" t="str">
        <f t="shared" si="1105"/>
      </c>
      <c r="CE233" s="76" t="str">
        <f t="shared" si="1105"/>
      </c>
      <c r="CF233" s="76" t="str">
        <f t="shared" si="1105"/>
      </c>
      <c r="CG233" s="76" t="str">
        <f t="shared" si="1105"/>
      </c>
      <c r="CH233" s="76" t="str">
        <f t="shared" si="1105"/>
      </c>
      <c r="CI233" s="76" t="str">
        <f t="shared" si="1105"/>
      </c>
      <c r="CJ233" s="76" t="str">
        <f t="shared" si="1105"/>
      </c>
      <c r="CK233" s="76" t="str">
        <f t="shared" si="1105"/>
      </c>
      <c r="CL233" s="76" t="str">
        <f t="shared" si="1105"/>
      </c>
      <c r="CM233" s="76" t="str">
        <f t="shared" si="1105"/>
      </c>
      <c r="CN233" s="76" t="str">
        <f t="shared" si="1105"/>
      </c>
      <c r="CO233" s="76" t="str">
        <f t="shared" si="1105"/>
      </c>
      <c r="CP233" s="76" t="str">
        <f t="shared" si="1105"/>
      </c>
      <c r="CQ233" s="76" t="str">
        <f t="shared" si="1105"/>
      </c>
      <c r="CR233" s="76" t="str">
        <f t="shared" si="1105"/>
      </c>
      <c r="CS233" s="76" t="str">
        <f t="shared" si="1105"/>
      </c>
      <c r="CT233" s="76" t="str">
        <f t="shared" si="1105"/>
      </c>
      <c r="CU233" s="76" t="str">
        <f t="shared" si="1105"/>
      </c>
      <c r="CV233" s="76" t="str">
        <f t="shared" si="1105"/>
      </c>
      <c r="CW233" s="76" t="str">
        <f t="shared" si="1105"/>
      </c>
      <c r="CX233" s="76" t="str">
        <f t="shared" si="1105"/>
      </c>
      <c r="CY233" s="76" t="str">
        <f t="shared" si="1105"/>
      </c>
      <c r="CZ233" s="76" t="str">
        <f t="shared" si="1105"/>
      </c>
      <c r="DA233" s="76" t="str">
        <f t="shared" si="1105"/>
      </c>
      <c r="DB233" s="76" t="str">
        <f t="shared" si="1105"/>
      </c>
      <c r="DC233" s="76" t="str">
        <f t="shared" si="1105"/>
      </c>
      <c r="DD233" s="76" t="str">
        <f t="shared" ref="DD233:EI233" si="1106">IF(DD$227="","",IN211)</f>
      </c>
      <c r="DE233" s="76" t="str">
        <f t="shared" si="1106"/>
      </c>
      <c r="DF233" s="76" t="str">
        <f t="shared" si="1106"/>
      </c>
      <c r="DG233" s="76" t="str">
        <f t="shared" si="1106"/>
      </c>
      <c r="DH233" s="76" t="str">
        <f t="shared" si="1106"/>
      </c>
      <c r="DI233" s="76" t="str">
        <f t="shared" si="1106"/>
      </c>
      <c r="DJ233" s="76" t="str">
        <f t="shared" si="1106"/>
      </c>
      <c r="DK233" s="76" t="str">
        <f t="shared" si="1106"/>
      </c>
      <c r="DL233" s="76" t="str">
        <f t="shared" si="1106"/>
      </c>
      <c r="DM233" s="76" t="str">
        <f t="shared" si="1106"/>
      </c>
      <c r="DN233" s="76" t="str">
        <f t="shared" si="1106"/>
      </c>
      <c r="DO233" s="76" t="str">
        <f t="shared" si="1106"/>
      </c>
      <c r="DP233" s="76" t="str">
        <f t="shared" si="1106"/>
      </c>
      <c r="DQ233" s="76" t="str">
        <f t="shared" si="1106"/>
      </c>
      <c r="DR233" s="76" t="str">
        <f t="shared" si="1106"/>
      </c>
      <c r="DS233" s="76" t="str">
        <f t="shared" si="1106"/>
      </c>
      <c r="DT233" s="76" t="str">
        <f t="shared" si="1106"/>
      </c>
      <c r="DU233" s="76" t="str">
        <f t="shared" si="1106"/>
      </c>
      <c r="DV233" s="76" t="str">
        <f t="shared" si="1106"/>
      </c>
      <c r="DW233" s="76" t="str">
        <f t="shared" si="1106"/>
      </c>
      <c r="DX233" s="76" t="str">
        <f t="shared" si="1106"/>
      </c>
      <c r="DY233" s="76" t="str">
        <f t="shared" si="1106"/>
      </c>
      <c r="DZ233" s="76" t="str">
        <f t="shared" si="1106"/>
      </c>
      <c r="EA233" s="76" t="str">
        <f t="shared" si="1106"/>
      </c>
      <c r="EB233" s="76" t="str">
        <f t="shared" si="1106"/>
      </c>
      <c r="EC233" s="76" t="str">
        <f t="shared" si="1106"/>
      </c>
      <c r="ED233" s="76" t="str">
        <f t="shared" si="1106"/>
      </c>
      <c r="EE233" s="76" t="str">
        <f t="shared" si="1106"/>
      </c>
      <c r="EF233" s="76" t="str">
        <f t="shared" si="1106"/>
      </c>
      <c r="EG233" s="76" t="str">
        <f t="shared" si="1106"/>
      </c>
      <c r="EH233" s="76" t="str">
        <f t="shared" si="1106"/>
      </c>
      <c r="EI233" s="76" t="str">
        <f t="shared" si="1106"/>
      </c>
      <c r="EJ233" s="76" t="str">
        <f t="shared" ref="EJ233:EN233" si="1107">IF(EJ$227="","",JT211)</f>
      </c>
      <c r="EK233" s="76" t="str">
        <f t="shared" si="1107"/>
      </c>
      <c r="EL233" s="76" t="str">
        <f t="shared" si="1107"/>
      </c>
      <c r="EM233" s="76" t="str">
        <f t="shared" si="1107"/>
      </c>
      <c r="EN233" s="76" t="str">
        <f t="shared" si="1107"/>
      </c>
      <c r="EP233" s="409" t="s">
        <v>426</v>
      </c>
      <c r="EQ233" s="18"/>
      <c r="ER233" s="18"/>
      <c r="ES233" s="18"/>
      <c r="ET233" s="18" t="s">
        <v>427</v>
      </c>
      <c r="EU233" s="18"/>
      <c r="EV233" s="422" t="n">
        <f t="shared" ref="EV233:GA233" si="1108">EV$232*$I$236</f>
        <v>0</v>
      </c>
      <c r="EW233" s="422">
        <f t="shared" si="1108"/>
        <v>0</v>
      </c>
      <c r="EX233" s="422">
        <f t="shared" si="1108"/>
        <v>0</v>
      </c>
      <c r="EY233" s="422">
        <f t="shared" si="1108"/>
        <v>0</v>
      </c>
      <c r="EZ233" s="422">
        <f t="shared" si="1108"/>
        <v>0</v>
      </c>
      <c r="FA233" s="422">
        <f t="shared" si="1108"/>
        <v>0</v>
      </c>
      <c r="FB233" s="422">
        <f t="shared" si="1108"/>
        <v>0</v>
      </c>
      <c r="FC233" s="422">
        <f t="shared" si="1108"/>
        <v>0</v>
      </c>
      <c r="FD233" s="422">
        <f t="shared" si="1108"/>
        <v>0</v>
      </c>
      <c r="FE233" s="422">
        <f t="shared" si="1108"/>
        <v>0</v>
      </c>
      <c r="FF233" s="422">
        <f t="shared" si="1108"/>
        <v>0</v>
      </c>
      <c r="FG233" s="422">
        <f t="shared" si="1108"/>
        <v>0</v>
      </c>
      <c r="FH233" s="422">
        <f t="shared" si="1108"/>
        <v>0</v>
      </c>
      <c r="FI233" s="422">
        <f t="shared" si="1108"/>
        <v>0</v>
      </c>
      <c r="FJ233" s="422">
        <f t="shared" si="1108"/>
        <v>0</v>
      </c>
      <c r="FK233" s="422">
        <f t="shared" si="1108"/>
        <v>0</v>
      </c>
      <c r="FL233" s="422">
        <f t="shared" si="1108"/>
        <v>0</v>
      </c>
      <c r="FM233" s="422">
        <f t="shared" si="1108"/>
        <v>0</v>
      </c>
      <c r="FN233" s="422">
        <f t="shared" si="1108"/>
        <v>0</v>
      </c>
      <c r="FO233" s="422">
        <f t="shared" si="1108"/>
        <v>0</v>
      </c>
      <c r="FP233" s="422">
        <f t="shared" si="1108"/>
        <v>0</v>
      </c>
      <c r="FQ233" s="422">
        <f t="shared" si="1108"/>
        <v>0</v>
      </c>
      <c r="FR233" s="422">
        <f t="shared" si="1108"/>
        <v>0</v>
      </c>
      <c r="FS233" s="422">
        <f t="shared" si="1108"/>
        <v>0</v>
      </c>
      <c r="FT233" s="422">
        <f t="shared" si="1108"/>
        <v>0</v>
      </c>
      <c r="FU233" s="422">
        <f t="shared" si="1108"/>
        <v>0</v>
      </c>
      <c r="FV233" s="422">
        <f t="shared" si="1108"/>
        <v>0</v>
      </c>
      <c r="FW233" s="422">
        <f t="shared" si="1108"/>
        <v>0</v>
      </c>
      <c r="FX233" s="422">
        <f t="shared" si="1108"/>
        <v>0</v>
      </c>
      <c r="FY233" s="422">
        <f t="shared" si="1108"/>
        <v>0</v>
      </c>
      <c r="FZ233" s="422">
        <f t="shared" si="1108"/>
        <v>0</v>
      </c>
      <c r="GA233" s="422">
        <f t="shared" si="1108"/>
        <v>0</v>
      </c>
      <c r="GB233" s="422" t="n">
        <f t="shared" ref="GB233:HG233" si="1109">GB$232*$I$236</f>
        <v>0</v>
      </c>
      <c r="GC233" s="422">
        <f t="shared" si="1109"/>
        <v>0</v>
      </c>
      <c r="GD233" s="422">
        <f t="shared" si="1109"/>
        <v>0</v>
      </c>
      <c r="GE233" s="422">
        <f t="shared" si="1109"/>
        <v>0</v>
      </c>
      <c r="GF233" s="422">
        <f t="shared" si="1109"/>
        <v>0</v>
      </c>
      <c r="GG233" s="422">
        <f t="shared" si="1109"/>
        <v>0</v>
      </c>
      <c r="GH233" s="422">
        <f t="shared" si="1109"/>
        <v>0</v>
      </c>
      <c r="GI233" s="422">
        <f t="shared" si="1109"/>
        <v>0</v>
      </c>
      <c r="GJ233" s="422">
        <f t="shared" si="1109"/>
        <v>0</v>
      </c>
      <c r="GK233" s="422">
        <f t="shared" si="1109"/>
        <v>0</v>
      </c>
      <c r="GL233" s="422">
        <f t="shared" si="1109"/>
        <v>0</v>
      </c>
      <c r="GM233" s="422">
        <f t="shared" si="1109"/>
        <v>0</v>
      </c>
      <c r="GN233" s="422">
        <f t="shared" si="1109"/>
        <v>0</v>
      </c>
      <c r="GO233" s="422">
        <f t="shared" si="1109"/>
        <v>0</v>
      </c>
      <c r="GP233" s="422">
        <f t="shared" si="1109"/>
        <v>0</v>
      </c>
      <c r="GQ233" s="422">
        <f t="shared" si="1109"/>
        <v>0</v>
      </c>
      <c r="GR233" s="422">
        <f t="shared" si="1109"/>
        <v>0</v>
      </c>
      <c r="GS233" s="422">
        <f t="shared" si="1109"/>
        <v>0</v>
      </c>
      <c r="GT233" s="422">
        <f t="shared" si="1109"/>
        <v>0</v>
      </c>
      <c r="GU233" s="422">
        <f t="shared" si="1109"/>
        <v>0</v>
      </c>
      <c r="GV233" s="422">
        <f t="shared" si="1109"/>
        <v>0</v>
      </c>
      <c r="GW233" s="422">
        <f t="shared" si="1109"/>
        <v>0</v>
      </c>
      <c r="GX233" s="422">
        <f t="shared" si="1109"/>
        <v>0</v>
      </c>
      <c r="GY233" s="422">
        <f t="shared" si="1109"/>
        <v>0</v>
      </c>
      <c r="GZ233" s="422">
        <f t="shared" si="1109"/>
        <v>0</v>
      </c>
      <c r="HA233" s="422">
        <f t="shared" si="1109"/>
        <v>0</v>
      </c>
      <c r="HB233" s="422">
        <f t="shared" si="1109"/>
        <v>0</v>
      </c>
      <c r="HC233" s="422">
        <f t="shared" si="1109"/>
        <v>0</v>
      </c>
      <c r="HD233" s="422">
        <f t="shared" si="1109"/>
        <v>0</v>
      </c>
      <c r="HE233" s="422">
        <f t="shared" si="1109"/>
        <v>372602964.24748945</v>
      </c>
      <c r="HF233" s="422">
        <f t="shared" si="1109"/>
        <v>0</v>
      </c>
      <c r="HG233" s="422">
        <f t="shared" si="1109"/>
        <v>0</v>
      </c>
      <c r="HH233" s="422" t="n">
        <f t="shared" ref="HH233:IM233" si="1110">HH$232*$I$236</f>
        <v>0</v>
      </c>
      <c r="HI233" s="422">
        <f t="shared" si="1110"/>
        <v>0</v>
      </c>
      <c r="HJ233" s="422">
        <f t="shared" si="1110"/>
        <v>0</v>
      </c>
      <c r="HK233" s="422">
        <f t="shared" si="1110"/>
        <v>0</v>
      </c>
      <c r="HL233" s="422">
        <f t="shared" si="1110"/>
        <v>0</v>
      </c>
      <c r="HM233" s="422">
        <f t="shared" si="1110"/>
        <v>0</v>
      </c>
      <c r="HN233" s="422">
        <f t="shared" si="1110"/>
        <v>0</v>
      </c>
      <c r="HO233" s="422">
        <f t="shared" si="1110"/>
        <v>0</v>
      </c>
      <c r="HP233" s="422">
        <f t="shared" si="1110"/>
        <v>0</v>
      </c>
      <c r="HQ233" s="422">
        <f t="shared" si="1110"/>
        <v>0</v>
      </c>
      <c r="HR233" s="422">
        <f t="shared" si="1110"/>
        <v>0</v>
      </c>
      <c r="HS233" s="422">
        <f t="shared" si="1110"/>
        <v>0</v>
      </c>
      <c r="HT233" s="422">
        <f t="shared" si="1110"/>
        <v>0</v>
      </c>
      <c r="HU233" s="422">
        <f t="shared" si="1110"/>
        <v>0</v>
      </c>
      <c r="HV233" s="422">
        <f t="shared" si="1110"/>
        <v>0</v>
      </c>
      <c r="HW233" s="422">
        <f t="shared" si="1110"/>
        <v>0</v>
      </c>
      <c r="HX233" s="422">
        <f t="shared" si="1110"/>
        <v>0</v>
      </c>
      <c r="HY233" s="422">
        <f t="shared" si="1110"/>
        <v>0</v>
      </c>
      <c r="HZ233" s="422">
        <f t="shared" si="1110"/>
        <v>0</v>
      </c>
      <c r="IA233" s="422">
        <f t="shared" si="1110"/>
        <v>0</v>
      </c>
      <c r="IB233" s="422">
        <f t="shared" si="1110"/>
        <v>0</v>
      </c>
      <c r="IC233" s="422">
        <f t="shared" si="1110"/>
        <v>0</v>
      </c>
      <c r="ID233" s="422">
        <f t="shared" si="1110"/>
        <v>0</v>
      </c>
      <c r="IE233" s="422">
        <f t="shared" si="1110"/>
        <v>0</v>
      </c>
      <c r="IF233" s="422">
        <f t="shared" si="1110"/>
        <v>0</v>
      </c>
      <c r="IG233" s="422">
        <f t="shared" si="1110"/>
        <v>0</v>
      </c>
      <c r="IH233" s="422">
        <f t="shared" si="1110"/>
        <v>0</v>
      </c>
      <c r="II233" s="422">
        <f t="shared" si="1110"/>
        <v>0</v>
      </c>
      <c r="IJ233" s="422">
        <f t="shared" si="1110"/>
        <v>0</v>
      </c>
      <c r="IK233" s="422">
        <f t="shared" si="1110"/>
        <v>0</v>
      </c>
      <c r="IL233" s="422">
        <f t="shared" si="1110"/>
        <v>0</v>
      </c>
      <c r="IM233" s="422">
        <f t="shared" si="1110"/>
        <v>0</v>
      </c>
      <c r="IN233" s="422" t="n">
        <f t="shared" ref="IN233:JX233" si="1111">IN$232*$I$236</f>
        <v>0</v>
      </c>
      <c r="IO233" s="422">
        <f t="shared" si="1111"/>
        <v>0</v>
      </c>
      <c r="IP233" s="422">
        <f t="shared" si="1111"/>
        <v>0</v>
      </c>
      <c r="IQ233" s="422">
        <f t="shared" si="1111"/>
        <v>0</v>
      </c>
      <c r="IR233" s="422">
        <f t="shared" si="1111"/>
        <v>0</v>
      </c>
      <c r="IS233" s="422">
        <f t="shared" si="1111"/>
        <v>0</v>
      </c>
      <c r="IT233" s="422">
        <f t="shared" si="1111"/>
        <v>0</v>
      </c>
      <c r="IU233" s="422">
        <f t="shared" si="1111"/>
        <v>0</v>
      </c>
      <c r="IV233" s="422">
        <f t="shared" si="1111"/>
        <v>0</v>
      </c>
      <c r="IW233" s="422">
        <f t="shared" si="1111"/>
        <v>0</v>
      </c>
      <c r="IX233" s="422">
        <f t="shared" si="1111"/>
        <v>0</v>
      </c>
      <c r="IY233" s="422">
        <f t="shared" si="1111"/>
        <v>0</v>
      </c>
      <c r="IZ233" s="422">
        <f t="shared" si="1111"/>
        <v>0</v>
      </c>
      <c r="JA233" s="422">
        <f t="shared" si="1111"/>
        <v>0</v>
      </c>
      <c r="JB233" s="422">
        <f t="shared" si="1111"/>
        <v>0</v>
      </c>
      <c r="JC233" s="422">
        <f t="shared" si="1111"/>
        <v>0</v>
      </c>
      <c r="JD233" s="422">
        <f t="shared" si="1111"/>
        <v>0</v>
      </c>
      <c r="JE233" s="422">
        <f t="shared" si="1111"/>
        <v>0</v>
      </c>
      <c r="JF233" s="422">
        <f t="shared" si="1111"/>
        <v>0</v>
      </c>
      <c r="JG233" s="422">
        <f t="shared" si="1111"/>
        <v>0</v>
      </c>
      <c r="JH233" s="422">
        <f t="shared" si="1111"/>
        <v>0</v>
      </c>
      <c r="JI233" s="422">
        <f t="shared" si="1111"/>
        <v>0</v>
      </c>
      <c r="JJ233" s="422">
        <f t="shared" si="1111"/>
        <v>0</v>
      </c>
      <c r="JK233" s="422">
        <f t="shared" si="1111"/>
        <v>0</v>
      </c>
      <c r="JL233" s="422">
        <f t="shared" si="1111"/>
        <v>0</v>
      </c>
      <c r="JM233" s="422">
        <f t="shared" si="1111"/>
        <v>0</v>
      </c>
      <c r="JN233" s="422">
        <f t="shared" si="1111"/>
        <v>0</v>
      </c>
      <c r="JO233" s="422">
        <f t="shared" si="1111"/>
        <v>0</v>
      </c>
      <c r="JP233" s="422">
        <f t="shared" si="1111"/>
        <v>0</v>
      </c>
      <c r="JQ233" s="422">
        <f t="shared" si="1111"/>
        <v>0</v>
      </c>
      <c r="JR233" s="422">
        <f t="shared" si="1111"/>
        <v>0</v>
      </c>
      <c r="JS233" s="422">
        <f t="shared" si="1111"/>
        <v>0</v>
      </c>
      <c r="JT233" s="422">
        <f t="shared" si="1111"/>
        <v>0</v>
      </c>
      <c r="JU233" s="422">
        <f t="shared" si="1111"/>
        <v>0</v>
      </c>
      <c r="JV233" s="422">
        <f t="shared" si="1111"/>
        <v>0</v>
      </c>
      <c r="JW233" s="422">
        <f t="shared" si="1111"/>
        <v>0</v>
      </c>
      <c r="JX233" s="422">
        <f t="shared" si="1111"/>
        <v>0</v>
      </c>
      <c r="JZ233" s="263"/>
      <c r="KA233" s="263"/>
      <c r="KB233" s="263"/>
      <c r="KC233" s="263"/>
      <c r="KD233" s="263"/>
      <c r="KE233" s="263"/>
      <c r="KF233" s="263"/>
      <c r="KG233" s="263"/>
      <c r="KH233" s="263"/>
      <c r="KI233" s="263"/>
      <c r="KJ233" s="263"/>
      <c r="KK233" s="263"/>
      <c r="KL233" s="263"/>
      <c r="KM233" s="263"/>
      <c r="KN233" s="263"/>
      <c r="KO233" s="263"/>
      <c r="KP233" s="263"/>
      <c r="KQ233" s="263"/>
      <c r="KR233" s="263"/>
      <c r="KS233" s="263"/>
      <c r="KT233" s="263"/>
      <c r="KU233" s="263"/>
      <c r="KV233" s="263"/>
      <c r="KW233" s="263"/>
      <c r="KX233" s="263"/>
      <c r="KY233" s="263"/>
      <c r="KZ233" s="263"/>
      <c r="LA233" s="263"/>
      <c r="LB233" s="263"/>
      <c r="LC233" s="263"/>
      <c r="LD233" s="263"/>
      <c r="LE233" s="263"/>
      <c r="LF233" s="263"/>
      <c r="LG233" s="263"/>
      <c r="LH233" s="263"/>
      <c r="LI233" s="263"/>
      <c r="LJ233" s="263"/>
      <c r="LK233" s="263"/>
      <c r="LL233" s="263"/>
      <c r="LM233" s="263"/>
      <c r="LN233" s="263"/>
      <c r="LO233" s="263"/>
      <c r="LP233" s="263"/>
      <c r="LQ233" s="263"/>
      <c r="LR233" s="263"/>
      <c r="LS233" s="263"/>
      <c r="LT233" s="263"/>
      <c r="LU233" s="263"/>
      <c r="LV233" s="263"/>
      <c r="LW233" s="263"/>
      <c r="LX233" s="263"/>
      <c r="LY233" s="263"/>
      <c r="LZ233" s="263"/>
      <c r="MA233" s="263"/>
      <c r="MB233" s="263"/>
      <c r="MC233" s="263"/>
      <c r="MD233" s="263"/>
      <c r="ME233" s="263"/>
      <c r="MF233" s="263"/>
      <c r="MG233" s="263"/>
      <c r="MH233" s="263"/>
      <c r="MI233" s="263"/>
      <c r="MJ233" s="263"/>
      <c r="MK233" s="263"/>
      <c r="ML233" s="263"/>
      <c r="MM233" s="263"/>
      <c r="MN233" s="263"/>
      <c r="MO233" s="263"/>
      <c r="MP233" s="263"/>
      <c r="MQ233" s="263"/>
      <c r="MR233" s="263"/>
      <c r="MS233" s="263"/>
      <c r="MT233" s="263"/>
      <c r="MU233" s="263"/>
      <c r="MV233" s="263"/>
      <c r="MW233" s="263"/>
      <c r="MX233" s="263"/>
      <c r="MY233" s="263"/>
      <c r="MZ233" s="263"/>
      <c r="NA233" s="263"/>
      <c r="NB233" s="263"/>
      <c r="NC233" s="263"/>
      <c r="ND233" s="263"/>
      <c r="NE233" s="263"/>
      <c r="NF233" s="263"/>
      <c r="NG233" s="263"/>
      <c r="NH233" s="263"/>
      <c r="NI233" s="263"/>
      <c r="NJ233" s="263"/>
      <c r="NK233" s="263"/>
      <c r="NL233" s="263"/>
      <c r="NM233" s="263"/>
      <c r="NN233" s="263"/>
      <c r="NO233" s="263"/>
      <c r="NP233" s="263"/>
      <c r="NQ233" s="263"/>
      <c r="NR233" s="263"/>
      <c r="NS233" s="263"/>
      <c r="NT233" s="263"/>
      <c r="NU233" s="263"/>
      <c r="NV233" s="263"/>
      <c r="NW233" s="263"/>
      <c r="NX233" s="263"/>
      <c r="NY233" s="263"/>
      <c r="NZ233" s="263"/>
      <c r="OA233" s="263"/>
      <c r="OB233" s="263"/>
      <c r="OC233" s="263"/>
      <c r="OD233" s="263"/>
      <c r="OE233" s="263"/>
      <c r="OF233" s="263"/>
      <c r="OG233" s="263"/>
      <c r="OH233" s="263"/>
      <c r="OI233" s="263"/>
      <c r="OJ233" s="263"/>
      <c r="OK233" s="263"/>
      <c r="OL233" s="263"/>
      <c r="OM233" s="263"/>
      <c r="ON233" s="263"/>
      <c r="OO233" s="263"/>
      <c r="OP233" s="263"/>
      <c r="OQ233" s="263"/>
      <c r="OR233" s="263"/>
      <c r="OS233" s="263"/>
      <c r="OT233" s="263"/>
      <c r="OU233" s="263"/>
      <c r="OV233" s="263"/>
      <c r="OW233" s="263"/>
      <c r="OX233" s="263"/>
      <c r="OY233" s="263"/>
      <c r="OZ233" s="263"/>
      <c r="PA233" s="263"/>
      <c r="PB233" s="263"/>
      <c r="PC233" s="263"/>
      <c r="PD233" s="263"/>
      <c r="PE233" s="263"/>
      <c r="PF233" s="263"/>
      <c r="PG233" s="263"/>
      <c r="PH233" s="263"/>
    </row>
    <row r="234">
      <c r="B234" s="34" t="s">
        <v>428</v>
      </c>
      <c r="C234" s="401"/>
      <c r="D234" s="404"/>
      <c r="E234" s="404" t="s">
        <v>425</v>
      </c>
      <c r="F234" s="87" t="n">
        <f>PROJECTS!$AP$125</f>
        <v>0.12</v>
      </c>
      <c r="G234" s="54" t="n">
        <f>PROJECTS!$AP$127</f>
        <v>0.15</v>
      </c>
      <c r="H234" s="53" t="n">
        <f t="shared" ref="H234:H236" si="1112">G234+(1-G234)*$H$228</f>
        <v>0.1925</v>
      </c>
      <c r="I234" s="58" t="n">
        <f>1-H234</f>
        <v>0.8075</v>
      </c>
      <c r="L234" s="421" t="str">
        <f t="shared" ref="L234:AQ234" si="1113">IF(L$227="","",EV222)</f>
      </c>
      <c r="M234" s="421">
        <f t="shared" si="1113"/>
        <v>5.8207660913467407E-11</v>
      </c>
      <c r="N234" s="421">
        <f t="shared" si="1113"/>
        <v>0</v>
      </c>
      <c r="O234" s="421">
        <f t="shared" si="1113"/>
        <v>0</v>
      </c>
      <c r="P234" s="421">
        <f t="shared" si="1113"/>
        <v>0</v>
      </c>
      <c r="Q234" s="421">
        <f t="shared" si="1113"/>
        <v>0</v>
      </c>
      <c r="R234" s="421">
        <f t="shared" si="1113"/>
        <v>0</v>
      </c>
      <c r="S234" s="421">
        <f t="shared" si="1113"/>
        <v>0</v>
      </c>
      <c r="T234" s="421">
        <f t="shared" si="1113"/>
        <v>0</v>
      </c>
      <c r="U234" s="421">
        <f t="shared" si="1113"/>
        <v>0</v>
      </c>
      <c r="V234" s="421">
        <f t="shared" si="1113"/>
        <v>0</v>
      </c>
      <c r="W234" s="421">
        <f t="shared" si="1113"/>
        <v>0</v>
      </c>
      <c r="X234" s="421">
        <f t="shared" si="1113"/>
        <v>0</v>
      </c>
      <c r="Y234" s="421">
        <f t="shared" si="1113"/>
        <v>0</v>
      </c>
      <c r="Z234" s="421">
        <f t="shared" si="1113"/>
        <v>0</v>
      </c>
      <c r="AA234" s="421">
        <f t="shared" si="1113"/>
        <v>0</v>
      </c>
      <c r="AB234" s="421">
        <f t="shared" si="1113"/>
        <v>0</v>
      </c>
      <c r="AC234" s="421">
        <f t="shared" si="1113"/>
        <v>0</v>
      </c>
      <c r="AD234" s="421">
        <f t="shared" si="1113"/>
        <v>0</v>
      </c>
      <c r="AE234" s="421">
        <f t="shared" si="1113"/>
        <v>4.6566128730773926E-10</v>
      </c>
      <c r="AF234" s="421">
        <f t="shared" si="1113"/>
        <v>0</v>
      </c>
      <c r="AG234" s="421">
        <f t="shared" si="1113"/>
        <v>0</v>
      </c>
      <c r="AH234" s="421">
        <f t="shared" si="1113"/>
        <v>4.6566128730773926E-10</v>
      </c>
      <c r="AI234" s="421">
        <f t="shared" si="1113"/>
        <v>0</v>
      </c>
      <c r="AJ234" s="421">
        <f t="shared" si="1113"/>
        <v>4.6566128730773926E-10</v>
      </c>
      <c r="AK234" s="421">
        <f t="shared" si="1113"/>
        <v>0</v>
      </c>
      <c r="AL234" s="421">
        <f t="shared" si="1113"/>
        <v>4.6566128730773926E-10</v>
      </c>
      <c r="AM234" s="421">
        <f t="shared" si="1113"/>
        <v>0</v>
      </c>
      <c r="AN234" s="421">
        <f t="shared" si="1113"/>
        <v>4.6566128730773926E-10</v>
      </c>
      <c r="AO234" s="421">
        <f t="shared" si="1113"/>
        <v>0</v>
      </c>
      <c r="AP234" s="421">
        <f t="shared" si="1113"/>
        <v>0</v>
      </c>
      <c r="AQ234" s="421">
        <f t="shared" si="1113"/>
        <v>0</v>
      </c>
      <c r="AR234" s="421" t="n">
        <f t="shared" ref="AR234:BW234" si="1114">IF(AR$227="","",GB222)</f>
        <v>0</v>
      </c>
      <c r="AS234" s="421">
        <f t="shared" si="1114"/>
        <v>0</v>
      </c>
      <c r="AT234" s="421">
        <f t="shared" si="1114"/>
        <v>0</v>
      </c>
      <c r="AU234" s="421">
        <f t="shared" si="1114"/>
        <v>0</v>
      </c>
      <c r="AV234" s="421">
        <f t="shared" si="1114"/>
        <v>4.6566128730773926E-10</v>
      </c>
      <c r="AW234" s="421">
        <f t="shared" si="1114"/>
        <v>4.6566128730773926E-10</v>
      </c>
      <c r="AX234" s="421">
        <f t="shared" si="1114"/>
        <v>4.6566128730773926E-10</v>
      </c>
      <c r="AY234" s="421">
        <f t="shared" si="1114"/>
        <v>4.6566128730773926E-10</v>
      </c>
      <c r="AZ234" s="421">
        <f t="shared" si="1114"/>
        <v>0</v>
      </c>
      <c r="BA234" s="421">
        <f t="shared" si="1114"/>
        <v>0</v>
      </c>
      <c r="BB234" s="421">
        <f t="shared" si="1114"/>
        <v>0</v>
      </c>
      <c r="BC234" s="421">
        <f t="shared" si="1114"/>
        <v>0</v>
      </c>
      <c r="BD234" s="76">
        <f t="shared" si="1114"/>
        <v>0</v>
      </c>
      <c r="BE234" s="76">
        <f t="shared" si="1114"/>
        <v>4.6566128730773926E-10</v>
      </c>
      <c r="BF234" s="76">
        <f t="shared" si="1114"/>
        <v>0</v>
      </c>
      <c r="BG234" s="76">
        <f t="shared" si="1114"/>
        <v>0</v>
      </c>
      <c r="BH234" s="76">
        <f t="shared" si="1114"/>
        <v>0</v>
      </c>
      <c r="BI234" s="76">
        <f t="shared" si="1114"/>
        <v>0</v>
      </c>
      <c r="BJ234" s="76">
        <f t="shared" si="1114"/>
        <v>0</v>
      </c>
      <c r="BK234" s="76">
        <f t="shared" si="1114"/>
        <v>0</v>
      </c>
      <c r="BL234" s="76">
        <f t="shared" si="1114"/>
        <v>0</v>
      </c>
      <c r="BM234" s="76">
        <f t="shared" si="1114"/>
        <v>4.6566128730773926E-10</v>
      </c>
      <c r="BN234" s="76">
        <f t="shared" si="1114"/>
        <v>4.6566128730773926E-10</v>
      </c>
      <c r="BO234" s="76">
        <f t="shared" si="1114"/>
        <v>0</v>
      </c>
      <c r="BP234" s="76">
        <f t="shared" si="1114"/>
        <v>0</v>
      </c>
      <c r="BQ234" s="76">
        <f t="shared" si="1114"/>
        <v>0</v>
      </c>
      <c r="BR234" s="76">
        <f t="shared" si="1114"/>
        <v>0</v>
      </c>
      <c r="BS234" s="76">
        <f t="shared" si="1114"/>
        <v>0</v>
      </c>
      <c r="BT234" s="76">
        <f t="shared" si="1114"/>
        <v>4.6566128730773926E-10</v>
      </c>
      <c r="BU234" s="76">
        <f t="shared" si="1114"/>
        <v>31775121.963223808</v>
      </c>
      <c r="BV234" s="76" t="str">
        <f t="shared" si="1114"/>
      </c>
      <c r="BW234" s="76" t="str">
        <f t="shared" si="1114"/>
      </c>
      <c r="BX234" s="76" t="str">
        <f t="shared" ref="BX234:DC234" si="1115">IF(BX$227="","",HH222)</f>
      </c>
      <c r="BY234" s="76" t="str">
        <f t="shared" si="1115"/>
      </c>
      <c r="BZ234" s="76" t="str">
        <f t="shared" si="1115"/>
      </c>
      <c r="CA234" s="76" t="str">
        <f t="shared" si="1115"/>
      </c>
      <c r="CB234" s="76" t="str">
        <f t="shared" si="1115"/>
      </c>
      <c r="CC234" s="76" t="str">
        <f t="shared" si="1115"/>
      </c>
      <c r="CD234" s="76" t="str">
        <f t="shared" si="1115"/>
      </c>
      <c r="CE234" s="76" t="str">
        <f t="shared" si="1115"/>
      </c>
      <c r="CF234" s="76" t="str">
        <f t="shared" si="1115"/>
      </c>
      <c r="CG234" s="76" t="str">
        <f t="shared" si="1115"/>
      </c>
      <c r="CH234" s="76" t="str">
        <f t="shared" si="1115"/>
      </c>
      <c r="CI234" s="76" t="str">
        <f t="shared" si="1115"/>
      </c>
      <c r="CJ234" s="76" t="str">
        <f t="shared" si="1115"/>
      </c>
      <c r="CK234" s="76" t="str">
        <f t="shared" si="1115"/>
      </c>
      <c r="CL234" s="76" t="str">
        <f t="shared" si="1115"/>
      </c>
      <c r="CM234" s="76" t="str">
        <f t="shared" si="1115"/>
      </c>
      <c r="CN234" s="76" t="str">
        <f t="shared" si="1115"/>
      </c>
      <c r="CO234" s="76" t="str">
        <f t="shared" si="1115"/>
      </c>
      <c r="CP234" s="76" t="str">
        <f t="shared" si="1115"/>
      </c>
      <c r="CQ234" s="76" t="str">
        <f t="shared" si="1115"/>
      </c>
      <c r="CR234" s="76" t="str">
        <f t="shared" si="1115"/>
      </c>
      <c r="CS234" s="76" t="str">
        <f t="shared" si="1115"/>
      </c>
      <c r="CT234" s="76" t="str">
        <f t="shared" si="1115"/>
      </c>
      <c r="CU234" s="76" t="str">
        <f t="shared" si="1115"/>
      </c>
      <c r="CV234" s="76" t="str">
        <f t="shared" si="1115"/>
      </c>
      <c r="CW234" s="76" t="str">
        <f t="shared" si="1115"/>
      </c>
      <c r="CX234" s="76" t="str">
        <f t="shared" si="1115"/>
      </c>
      <c r="CY234" s="76" t="str">
        <f t="shared" si="1115"/>
      </c>
      <c r="CZ234" s="76" t="str">
        <f t="shared" si="1115"/>
      </c>
      <c r="DA234" s="76" t="str">
        <f t="shared" si="1115"/>
      </c>
      <c r="DB234" s="76" t="str">
        <f t="shared" si="1115"/>
      </c>
      <c r="DC234" s="76" t="str">
        <f t="shared" si="1115"/>
      </c>
      <c r="DD234" s="76" t="str">
        <f t="shared" ref="DD234:EI234" si="1116">IF(DD$227="","",IN222)</f>
      </c>
      <c r="DE234" s="76" t="str">
        <f t="shared" si="1116"/>
      </c>
      <c r="DF234" s="76" t="str">
        <f t="shared" si="1116"/>
      </c>
      <c r="DG234" s="76" t="str">
        <f t="shared" si="1116"/>
      </c>
      <c r="DH234" s="76" t="str">
        <f t="shared" si="1116"/>
      </c>
      <c r="DI234" s="76" t="str">
        <f t="shared" si="1116"/>
      </c>
      <c r="DJ234" s="76" t="str">
        <f t="shared" si="1116"/>
      </c>
      <c r="DK234" s="76" t="str">
        <f t="shared" si="1116"/>
      </c>
      <c r="DL234" s="76" t="str">
        <f t="shared" si="1116"/>
      </c>
      <c r="DM234" s="76" t="str">
        <f t="shared" si="1116"/>
      </c>
      <c r="DN234" s="76" t="str">
        <f t="shared" si="1116"/>
      </c>
      <c r="DO234" s="76" t="str">
        <f t="shared" si="1116"/>
      </c>
      <c r="DP234" s="76" t="str">
        <f t="shared" si="1116"/>
      </c>
      <c r="DQ234" s="76" t="str">
        <f t="shared" si="1116"/>
      </c>
      <c r="DR234" s="76" t="str">
        <f t="shared" si="1116"/>
      </c>
      <c r="DS234" s="76" t="str">
        <f t="shared" si="1116"/>
      </c>
      <c r="DT234" s="76" t="str">
        <f t="shared" si="1116"/>
      </c>
      <c r="DU234" s="76" t="str">
        <f t="shared" si="1116"/>
      </c>
      <c r="DV234" s="76" t="str">
        <f t="shared" si="1116"/>
      </c>
      <c r="DW234" s="76" t="str">
        <f t="shared" si="1116"/>
      </c>
      <c r="DX234" s="76" t="str">
        <f t="shared" si="1116"/>
      </c>
      <c r="DY234" s="76" t="str">
        <f t="shared" si="1116"/>
      </c>
      <c r="DZ234" s="76" t="str">
        <f t="shared" si="1116"/>
      </c>
      <c r="EA234" s="76" t="str">
        <f t="shared" si="1116"/>
      </c>
      <c r="EB234" s="76" t="str">
        <f t="shared" si="1116"/>
      </c>
      <c r="EC234" s="76" t="str">
        <f t="shared" si="1116"/>
      </c>
      <c r="ED234" s="76" t="str">
        <f t="shared" si="1116"/>
      </c>
      <c r="EE234" s="76" t="str">
        <f t="shared" si="1116"/>
      </c>
      <c r="EF234" s="76" t="str">
        <f t="shared" si="1116"/>
      </c>
      <c r="EG234" s="76" t="str">
        <f t="shared" si="1116"/>
      </c>
      <c r="EH234" s="76" t="str">
        <f t="shared" si="1116"/>
      </c>
      <c r="EI234" s="76" t="str">
        <f t="shared" si="1116"/>
      </c>
      <c r="EJ234" s="76" t="str">
        <f t="shared" ref="EJ234:EN234" si="1117">IF(EJ$227="","",JT222)</f>
      </c>
      <c r="EK234" s="76" t="str">
        <f t="shared" si="1117"/>
      </c>
      <c r="EL234" s="76" t="str">
        <f t="shared" si="1117"/>
      </c>
      <c r="EM234" s="76" t="str">
        <f t="shared" si="1117"/>
      </c>
      <c r="EN234" s="76" t="str">
        <f t="shared" si="1117"/>
      </c>
      <c r="EP234" s="409"/>
      <c r="EQ234" s="18"/>
      <c r="ER234" s="18"/>
      <c r="ES234" s="18"/>
      <c r="ET234" s="18" t="s">
        <v>403</v>
      </c>
      <c r="EU234" s="18"/>
      <c r="EV234" s="422" t="n">
        <f t="shared" ref="EV234:GA234" si="1118">EV$232*$H$236</f>
        <v>0</v>
      </c>
      <c r="EW234" s="422">
        <f t="shared" si="1118"/>
        <v>0</v>
      </c>
      <c r="EX234" s="422">
        <f t="shared" si="1118"/>
        <v>0</v>
      </c>
      <c r="EY234" s="422">
        <f t="shared" si="1118"/>
        <v>0</v>
      </c>
      <c r="EZ234" s="422">
        <f t="shared" si="1118"/>
        <v>0</v>
      </c>
      <c r="FA234" s="422">
        <f t="shared" si="1118"/>
        <v>0</v>
      </c>
      <c r="FB234" s="422">
        <f t="shared" si="1118"/>
        <v>0</v>
      </c>
      <c r="FC234" s="422">
        <f t="shared" si="1118"/>
        <v>0</v>
      </c>
      <c r="FD234" s="422">
        <f t="shared" si="1118"/>
        <v>0</v>
      </c>
      <c r="FE234" s="422">
        <f t="shared" si="1118"/>
        <v>0</v>
      </c>
      <c r="FF234" s="422">
        <f t="shared" si="1118"/>
        <v>0</v>
      </c>
      <c r="FG234" s="422">
        <f t="shared" si="1118"/>
        <v>0</v>
      </c>
      <c r="FH234" s="422">
        <f t="shared" si="1118"/>
        <v>0</v>
      </c>
      <c r="FI234" s="422">
        <f t="shared" si="1118"/>
        <v>0</v>
      </c>
      <c r="FJ234" s="422">
        <f t="shared" si="1118"/>
        <v>0</v>
      </c>
      <c r="FK234" s="422">
        <f t="shared" si="1118"/>
        <v>0</v>
      </c>
      <c r="FL234" s="422">
        <f t="shared" si="1118"/>
        <v>0</v>
      </c>
      <c r="FM234" s="422">
        <f t="shared" si="1118"/>
        <v>0</v>
      </c>
      <c r="FN234" s="422">
        <f t="shared" si="1118"/>
        <v>0</v>
      </c>
      <c r="FO234" s="422">
        <f t="shared" si="1118"/>
        <v>0</v>
      </c>
      <c r="FP234" s="422">
        <f t="shared" si="1118"/>
        <v>0</v>
      </c>
      <c r="FQ234" s="422">
        <f t="shared" si="1118"/>
        <v>0</v>
      </c>
      <c r="FR234" s="422">
        <f t="shared" si="1118"/>
        <v>0</v>
      </c>
      <c r="FS234" s="422">
        <f t="shared" si="1118"/>
        <v>0</v>
      </c>
      <c r="FT234" s="422">
        <f t="shared" si="1118"/>
        <v>0</v>
      </c>
      <c r="FU234" s="422">
        <f t="shared" si="1118"/>
        <v>0</v>
      </c>
      <c r="FV234" s="422">
        <f t="shared" si="1118"/>
        <v>0</v>
      </c>
      <c r="FW234" s="422">
        <f t="shared" si="1118"/>
        <v>0</v>
      </c>
      <c r="FX234" s="422">
        <f t="shared" si="1118"/>
        <v>0</v>
      </c>
      <c r="FY234" s="422">
        <f t="shared" si="1118"/>
        <v>0</v>
      </c>
      <c r="FZ234" s="422">
        <f t="shared" si="1118"/>
        <v>0</v>
      </c>
      <c r="GA234" s="422">
        <f t="shared" si="1118"/>
        <v>0</v>
      </c>
      <c r="GB234" s="422" t="n">
        <f t="shared" ref="GB234:HG234" si="1119">GB$232*$H$236</f>
        <v>0</v>
      </c>
      <c r="GC234" s="422">
        <f t="shared" si="1119"/>
        <v>0</v>
      </c>
      <c r="GD234" s="422">
        <f t="shared" si="1119"/>
        <v>0</v>
      </c>
      <c r="GE234" s="422">
        <f t="shared" si="1119"/>
        <v>0</v>
      </c>
      <c r="GF234" s="422">
        <f t="shared" si="1119"/>
        <v>0</v>
      </c>
      <c r="GG234" s="422">
        <f t="shared" si="1119"/>
        <v>0</v>
      </c>
      <c r="GH234" s="422">
        <f t="shared" si="1119"/>
        <v>0</v>
      </c>
      <c r="GI234" s="422">
        <f t="shared" si="1119"/>
        <v>0</v>
      </c>
      <c r="GJ234" s="422">
        <f t="shared" si="1119"/>
        <v>0</v>
      </c>
      <c r="GK234" s="422">
        <f t="shared" si="1119"/>
        <v>0</v>
      </c>
      <c r="GL234" s="422">
        <f t="shared" si="1119"/>
        <v>0</v>
      </c>
      <c r="GM234" s="422">
        <f t="shared" si="1119"/>
        <v>0</v>
      </c>
      <c r="GN234" s="422">
        <f t="shared" si="1119"/>
        <v>0</v>
      </c>
      <c r="GO234" s="422">
        <f t="shared" si="1119"/>
        <v>0</v>
      </c>
      <c r="GP234" s="422">
        <f t="shared" si="1119"/>
        <v>0</v>
      </c>
      <c r="GQ234" s="422">
        <f t="shared" si="1119"/>
        <v>0</v>
      </c>
      <c r="GR234" s="422">
        <f t="shared" si="1119"/>
        <v>0</v>
      </c>
      <c r="GS234" s="422">
        <f t="shared" si="1119"/>
        <v>0</v>
      </c>
      <c r="GT234" s="422">
        <f t="shared" si="1119"/>
        <v>0</v>
      </c>
      <c r="GU234" s="422">
        <f t="shared" si="1119"/>
        <v>0</v>
      </c>
      <c r="GV234" s="422">
        <f t="shared" si="1119"/>
        <v>0</v>
      </c>
      <c r="GW234" s="422">
        <f t="shared" si="1119"/>
        <v>0</v>
      </c>
      <c r="GX234" s="422">
        <f t="shared" si="1119"/>
        <v>0</v>
      </c>
      <c r="GY234" s="422">
        <f t="shared" si="1119"/>
        <v>0</v>
      </c>
      <c r="GZ234" s="422">
        <f t="shared" si="1119"/>
        <v>0</v>
      </c>
      <c r="HA234" s="422">
        <f t="shared" si="1119"/>
        <v>0</v>
      </c>
      <c r="HB234" s="422">
        <f t="shared" si="1119"/>
        <v>0</v>
      </c>
      <c r="HC234" s="422">
        <f t="shared" si="1119"/>
        <v>0</v>
      </c>
      <c r="HD234" s="422">
        <f t="shared" si="1119"/>
        <v>0</v>
      </c>
      <c r="HE234" s="422">
        <f t="shared" si="1119"/>
        <v>281086446.71301842</v>
      </c>
      <c r="HF234" s="422">
        <f t="shared" si="1119"/>
        <v>0</v>
      </c>
      <c r="HG234" s="422">
        <f t="shared" si="1119"/>
        <v>0</v>
      </c>
      <c r="HH234" s="422" t="n">
        <f t="shared" ref="HH234:IM234" si="1120">HH$232*$H$236</f>
        <v>0</v>
      </c>
      <c r="HI234" s="422">
        <f t="shared" si="1120"/>
        <v>0</v>
      </c>
      <c r="HJ234" s="422">
        <f t="shared" si="1120"/>
        <v>0</v>
      </c>
      <c r="HK234" s="422">
        <f t="shared" si="1120"/>
        <v>0</v>
      </c>
      <c r="HL234" s="422">
        <f t="shared" si="1120"/>
        <v>0</v>
      </c>
      <c r="HM234" s="422">
        <f t="shared" si="1120"/>
        <v>0</v>
      </c>
      <c r="HN234" s="422">
        <f t="shared" si="1120"/>
        <v>0</v>
      </c>
      <c r="HO234" s="422">
        <f t="shared" si="1120"/>
        <v>0</v>
      </c>
      <c r="HP234" s="422">
        <f t="shared" si="1120"/>
        <v>0</v>
      </c>
      <c r="HQ234" s="422">
        <f t="shared" si="1120"/>
        <v>0</v>
      </c>
      <c r="HR234" s="422">
        <f t="shared" si="1120"/>
        <v>0</v>
      </c>
      <c r="HS234" s="422">
        <f t="shared" si="1120"/>
        <v>0</v>
      </c>
      <c r="HT234" s="422">
        <f t="shared" si="1120"/>
        <v>0</v>
      </c>
      <c r="HU234" s="422">
        <f t="shared" si="1120"/>
        <v>0</v>
      </c>
      <c r="HV234" s="422">
        <f t="shared" si="1120"/>
        <v>0</v>
      </c>
      <c r="HW234" s="422">
        <f t="shared" si="1120"/>
        <v>0</v>
      </c>
      <c r="HX234" s="422">
        <f t="shared" si="1120"/>
        <v>0</v>
      </c>
      <c r="HY234" s="422">
        <f t="shared" si="1120"/>
        <v>0</v>
      </c>
      <c r="HZ234" s="422">
        <f t="shared" si="1120"/>
        <v>0</v>
      </c>
      <c r="IA234" s="422">
        <f t="shared" si="1120"/>
        <v>0</v>
      </c>
      <c r="IB234" s="422">
        <f t="shared" si="1120"/>
        <v>0</v>
      </c>
      <c r="IC234" s="422">
        <f t="shared" si="1120"/>
        <v>0</v>
      </c>
      <c r="ID234" s="422">
        <f t="shared" si="1120"/>
        <v>0</v>
      </c>
      <c r="IE234" s="422">
        <f t="shared" si="1120"/>
        <v>0</v>
      </c>
      <c r="IF234" s="422">
        <f t="shared" si="1120"/>
        <v>0</v>
      </c>
      <c r="IG234" s="422">
        <f t="shared" si="1120"/>
        <v>0</v>
      </c>
      <c r="IH234" s="422">
        <f t="shared" si="1120"/>
        <v>0</v>
      </c>
      <c r="II234" s="422">
        <f t="shared" si="1120"/>
        <v>0</v>
      </c>
      <c r="IJ234" s="422">
        <f t="shared" si="1120"/>
        <v>0</v>
      </c>
      <c r="IK234" s="422">
        <f t="shared" si="1120"/>
        <v>0</v>
      </c>
      <c r="IL234" s="422">
        <f t="shared" si="1120"/>
        <v>0</v>
      </c>
      <c r="IM234" s="422">
        <f t="shared" si="1120"/>
        <v>0</v>
      </c>
      <c r="IN234" s="422" t="n">
        <f t="shared" ref="IN234:JX234" si="1121">IN$232*$H$236</f>
        <v>0</v>
      </c>
      <c r="IO234" s="422">
        <f t="shared" si="1121"/>
        <v>0</v>
      </c>
      <c r="IP234" s="422">
        <f t="shared" si="1121"/>
        <v>0</v>
      </c>
      <c r="IQ234" s="422">
        <f t="shared" si="1121"/>
        <v>0</v>
      </c>
      <c r="IR234" s="422">
        <f t="shared" si="1121"/>
        <v>0</v>
      </c>
      <c r="IS234" s="422">
        <f t="shared" si="1121"/>
        <v>0</v>
      </c>
      <c r="IT234" s="422">
        <f t="shared" si="1121"/>
        <v>0</v>
      </c>
      <c r="IU234" s="422">
        <f t="shared" si="1121"/>
        <v>0</v>
      </c>
      <c r="IV234" s="422">
        <f t="shared" si="1121"/>
        <v>0</v>
      </c>
      <c r="IW234" s="422">
        <f t="shared" si="1121"/>
        <v>0</v>
      </c>
      <c r="IX234" s="422">
        <f t="shared" si="1121"/>
        <v>0</v>
      </c>
      <c r="IY234" s="422">
        <f t="shared" si="1121"/>
        <v>0</v>
      </c>
      <c r="IZ234" s="422">
        <f t="shared" si="1121"/>
        <v>0</v>
      </c>
      <c r="JA234" s="422">
        <f t="shared" si="1121"/>
        <v>0</v>
      </c>
      <c r="JB234" s="422">
        <f t="shared" si="1121"/>
        <v>0</v>
      </c>
      <c r="JC234" s="422">
        <f t="shared" si="1121"/>
        <v>0</v>
      </c>
      <c r="JD234" s="422">
        <f t="shared" si="1121"/>
        <v>0</v>
      </c>
      <c r="JE234" s="422">
        <f t="shared" si="1121"/>
        <v>0</v>
      </c>
      <c r="JF234" s="422">
        <f t="shared" si="1121"/>
        <v>0</v>
      </c>
      <c r="JG234" s="422">
        <f t="shared" si="1121"/>
        <v>0</v>
      </c>
      <c r="JH234" s="422">
        <f t="shared" si="1121"/>
        <v>0</v>
      </c>
      <c r="JI234" s="422">
        <f t="shared" si="1121"/>
        <v>0</v>
      </c>
      <c r="JJ234" s="422">
        <f t="shared" si="1121"/>
        <v>0</v>
      </c>
      <c r="JK234" s="422">
        <f t="shared" si="1121"/>
        <v>0</v>
      </c>
      <c r="JL234" s="422">
        <f t="shared" si="1121"/>
        <v>0</v>
      </c>
      <c r="JM234" s="422">
        <f t="shared" si="1121"/>
        <v>0</v>
      </c>
      <c r="JN234" s="422">
        <f t="shared" si="1121"/>
        <v>0</v>
      </c>
      <c r="JO234" s="422">
        <f t="shared" si="1121"/>
        <v>0</v>
      </c>
      <c r="JP234" s="422">
        <f t="shared" si="1121"/>
        <v>0</v>
      </c>
      <c r="JQ234" s="422">
        <f t="shared" si="1121"/>
        <v>0</v>
      </c>
      <c r="JR234" s="422">
        <f t="shared" si="1121"/>
        <v>0</v>
      </c>
      <c r="JS234" s="422">
        <f t="shared" si="1121"/>
        <v>0</v>
      </c>
      <c r="JT234" s="422">
        <f t="shared" si="1121"/>
        <v>0</v>
      </c>
      <c r="JU234" s="422">
        <f t="shared" si="1121"/>
        <v>0</v>
      </c>
      <c r="JV234" s="422">
        <f t="shared" si="1121"/>
        <v>0</v>
      </c>
      <c r="JW234" s="422">
        <f t="shared" si="1121"/>
        <v>0</v>
      </c>
      <c r="JX234" s="422">
        <f t="shared" si="1121"/>
        <v>0</v>
      </c>
      <c r="JZ234" s="263"/>
      <c r="KA234" s="263"/>
      <c r="KB234" s="263"/>
      <c r="KC234" s="263"/>
      <c r="KD234" s="263"/>
      <c r="KE234" s="263"/>
      <c r="KF234" s="263"/>
      <c r="KG234" s="263"/>
      <c r="KH234" s="263"/>
      <c r="KI234" s="263"/>
      <c r="KJ234" s="263"/>
      <c r="KK234" s="263"/>
      <c r="KL234" s="263"/>
      <c r="KM234" s="263"/>
      <c r="KN234" s="263"/>
      <c r="KO234" s="263"/>
      <c r="KP234" s="263"/>
      <c r="KQ234" s="263"/>
      <c r="KR234" s="263"/>
      <c r="KS234" s="263"/>
      <c r="KT234" s="263"/>
      <c r="KU234" s="263"/>
      <c r="KV234" s="263"/>
      <c r="KW234" s="263"/>
      <c r="KX234" s="263"/>
      <c r="KY234" s="263"/>
      <c r="KZ234" s="263"/>
      <c r="LA234" s="263"/>
      <c r="LB234" s="263"/>
      <c r="LC234" s="263"/>
      <c r="LD234" s="263"/>
      <c r="LE234" s="263"/>
      <c r="LF234" s="263"/>
      <c r="LG234" s="263"/>
      <c r="LH234" s="263"/>
      <c r="LI234" s="263"/>
      <c r="LJ234" s="263"/>
      <c r="LK234" s="263"/>
      <c r="LL234" s="263"/>
      <c r="LM234" s="263"/>
      <c r="LN234" s="263"/>
      <c r="LO234" s="263"/>
      <c r="LP234" s="263"/>
      <c r="LQ234" s="263"/>
      <c r="LR234" s="263"/>
      <c r="LS234" s="263"/>
      <c r="LT234" s="263"/>
      <c r="LU234" s="263"/>
      <c r="LV234" s="263"/>
      <c r="LW234" s="263"/>
      <c r="LX234" s="263"/>
      <c r="LY234" s="263"/>
      <c r="LZ234" s="263"/>
      <c r="MA234" s="263"/>
      <c r="MB234" s="263"/>
      <c r="MC234" s="263"/>
      <c r="MD234" s="263"/>
      <c r="ME234" s="263"/>
      <c r="MF234" s="263"/>
      <c r="MG234" s="263"/>
      <c r="MH234" s="263"/>
      <c r="MI234" s="263"/>
      <c r="MJ234" s="263"/>
      <c r="MK234" s="263"/>
      <c r="ML234" s="263"/>
      <c r="MM234" s="263"/>
      <c r="MN234" s="263"/>
      <c r="MO234" s="263"/>
      <c r="MP234" s="263"/>
      <c r="MQ234" s="263"/>
      <c r="MR234" s="263"/>
      <c r="MS234" s="263"/>
      <c r="MT234" s="263"/>
      <c r="MU234" s="263"/>
      <c r="MV234" s="263"/>
      <c r="MW234" s="263"/>
      <c r="MX234" s="263"/>
      <c r="MY234" s="263"/>
      <c r="MZ234" s="263"/>
      <c r="NA234" s="263"/>
      <c r="NB234" s="263"/>
      <c r="NC234" s="263"/>
      <c r="ND234" s="263"/>
      <c r="NE234" s="263"/>
      <c r="NF234" s="263"/>
      <c r="NG234" s="263"/>
      <c r="NH234" s="263"/>
      <c r="NI234" s="263"/>
      <c r="NJ234" s="263"/>
      <c r="NK234" s="263"/>
      <c r="NL234" s="263"/>
      <c r="NM234" s="263"/>
      <c r="NN234" s="263"/>
      <c r="NO234" s="263"/>
      <c r="NP234" s="263"/>
      <c r="NQ234" s="263"/>
      <c r="NR234" s="263"/>
      <c r="NS234" s="263"/>
      <c r="NT234" s="263"/>
      <c r="NU234" s="263"/>
      <c r="NV234" s="263"/>
      <c r="NW234" s="263"/>
      <c r="NX234" s="263"/>
      <c r="NY234" s="263"/>
      <c r="NZ234" s="263"/>
      <c r="OA234" s="263"/>
      <c r="OB234" s="263"/>
      <c r="OC234" s="263"/>
      <c r="OD234" s="263"/>
      <c r="OE234" s="263"/>
      <c r="OF234" s="263"/>
      <c r="OG234" s="263"/>
      <c r="OH234" s="263"/>
      <c r="OI234" s="263"/>
      <c r="OJ234" s="263"/>
      <c r="OK234" s="263"/>
      <c r="OL234" s="263"/>
      <c r="OM234" s="263"/>
      <c r="ON234" s="263"/>
      <c r="OO234" s="263"/>
      <c r="OP234" s="263"/>
      <c r="OQ234" s="263"/>
      <c r="OR234" s="263"/>
      <c r="OS234" s="263"/>
      <c r="OT234" s="263"/>
      <c r="OU234" s="263"/>
      <c r="OV234" s="263"/>
      <c r="OW234" s="263"/>
      <c r="OX234" s="263"/>
      <c r="OY234" s="263"/>
      <c r="OZ234" s="263"/>
      <c r="PA234" s="263"/>
      <c r="PB234" s="263"/>
      <c r="PC234" s="263"/>
      <c r="PD234" s="263"/>
      <c r="PE234" s="263"/>
      <c r="PF234" s="263"/>
      <c r="PG234" s="263"/>
      <c r="PH234" s="263"/>
    </row>
    <row r="235">
      <c r="B235" s="34" t="s">
        <v>429</v>
      </c>
      <c r="C235" s="401"/>
      <c r="D235" s="404"/>
      <c r="E235" s="404" t="s">
        <v>425</v>
      </c>
      <c r="F235" s="87" t="n">
        <f>PROJECTS!$AP$126</f>
        <v>0.15</v>
      </c>
      <c r="G235" s="54" t="n">
        <f>30%+(70%*G$228)</f>
        <v>0.3</v>
      </c>
      <c r="H235" s="53">
        <f t="shared" si="1112"/>
        <v>0.33499999999999996</v>
      </c>
      <c r="I235" s="58" t="n">
        <f>1-H235</f>
        <v>0.665</v>
      </c>
      <c r="L235" s="421" t="str">
        <f t="shared" ref="L235:AQ235" si="1122">IF(L$227="","",EV231)</f>
      </c>
      <c r="M235" s="421">
        <f t="shared" si="1122"/>
        <v>0</v>
      </c>
      <c r="N235" s="421">
        <f t="shared" si="1122"/>
        <v>0</v>
      </c>
      <c r="O235" s="421">
        <f t="shared" si="1122"/>
        <v>0</v>
      </c>
      <c r="P235" s="421">
        <f t="shared" si="1122"/>
        <v>0</v>
      </c>
      <c r="Q235" s="421">
        <f t="shared" si="1122"/>
        <v>0</v>
      </c>
      <c r="R235" s="421">
        <f t="shared" si="1122"/>
        <v>0</v>
      </c>
      <c r="S235" s="421">
        <f t="shared" si="1122"/>
        <v>0</v>
      </c>
      <c r="T235" s="421">
        <f t="shared" si="1122"/>
        <v>0</v>
      </c>
      <c r="U235" s="421">
        <f t="shared" si="1122"/>
        <v>0</v>
      </c>
      <c r="V235" s="421">
        <f t="shared" si="1122"/>
        <v>0</v>
      </c>
      <c r="W235" s="421">
        <f t="shared" si="1122"/>
        <v>0</v>
      </c>
      <c r="X235" s="421">
        <f t="shared" si="1122"/>
        <v>0</v>
      </c>
      <c r="Y235" s="421">
        <f t="shared" si="1122"/>
        <v>0</v>
      </c>
      <c r="Z235" s="421">
        <f t="shared" si="1122"/>
        <v>0</v>
      </c>
      <c r="AA235" s="421">
        <f t="shared" si="1122"/>
        <v>0</v>
      </c>
      <c r="AB235" s="421">
        <f t="shared" si="1122"/>
        <v>0</v>
      </c>
      <c r="AC235" s="421">
        <f t="shared" si="1122"/>
        <v>0</v>
      </c>
      <c r="AD235" s="421">
        <f t="shared" si="1122"/>
        <v>0</v>
      </c>
      <c r="AE235" s="421">
        <f t="shared" si="1122"/>
        <v>0</v>
      </c>
      <c r="AF235" s="421">
        <f t="shared" si="1122"/>
        <v>0</v>
      </c>
      <c r="AG235" s="421">
        <f t="shared" si="1122"/>
        <v>0</v>
      </c>
      <c r="AH235" s="421">
        <f t="shared" si="1122"/>
        <v>0</v>
      </c>
      <c r="AI235" s="421">
        <f t="shared" si="1122"/>
        <v>0</v>
      </c>
      <c r="AJ235" s="421">
        <f t="shared" si="1122"/>
        <v>0</v>
      </c>
      <c r="AK235" s="421">
        <f t="shared" si="1122"/>
        <v>0</v>
      </c>
      <c r="AL235" s="421">
        <f t="shared" si="1122"/>
        <v>0</v>
      </c>
      <c r="AM235" s="421">
        <f t="shared" si="1122"/>
        <v>0</v>
      </c>
      <c r="AN235" s="421">
        <f t="shared" si="1122"/>
        <v>0</v>
      </c>
      <c r="AO235" s="421">
        <f t="shared" si="1122"/>
        <v>0</v>
      </c>
      <c r="AP235" s="421">
        <f t="shared" si="1122"/>
        <v>0</v>
      </c>
      <c r="AQ235" s="421">
        <f t="shared" si="1122"/>
        <v>0</v>
      </c>
      <c r="AR235" s="421" t="n">
        <f t="shared" ref="AR235:BW235" si="1123">IF(AR$227="","",GB231)</f>
        <v>0</v>
      </c>
      <c r="AS235" s="421">
        <f t="shared" si="1123"/>
        <v>0</v>
      </c>
      <c r="AT235" s="421">
        <f t="shared" si="1123"/>
        <v>0</v>
      </c>
      <c r="AU235" s="421">
        <f t="shared" si="1123"/>
        <v>0</v>
      </c>
      <c r="AV235" s="421">
        <f t="shared" si="1123"/>
        <v>0</v>
      </c>
      <c r="AW235" s="421">
        <f t="shared" si="1123"/>
        <v>0</v>
      </c>
      <c r="AX235" s="421">
        <f t="shared" si="1123"/>
        <v>0</v>
      </c>
      <c r="AY235" s="421">
        <f t="shared" si="1123"/>
        <v>0</v>
      </c>
      <c r="AZ235" s="421">
        <f t="shared" si="1123"/>
        <v>0</v>
      </c>
      <c r="BA235" s="421">
        <f t="shared" si="1123"/>
        <v>0</v>
      </c>
      <c r="BB235" s="421">
        <f t="shared" si="1123"/>
        <v>0</v>
      </c>
      <c r="BC235" s="421">
        <f t="shared" si="1123"/>
        <v>0</v>
      </c>
      <c r="BD235" s="76">
        <f t="shared" si="1123"/>
        <v>0</v>
      </c>
      <c r="BE235" s="76">
        <f t="shared" si="1123"/>
        <v>0</v>
      </c>
      <c r="BF235" s="76">
        <f t="shared" si="1123"/>
        <v>0</v>
      </c>
      <c r="BG235" s="76">
        <f t="shared" si="1123"/>
        <v>0</v>
      </c>
      <c r="BH235" s="76">
        <f t="shared" si="1123"/>
        <v>0</v>
      </c>
      <c r="BI235" s="76">
        <f t="shared" si="1123"/>
        <v>0</v>
      </c>
      <c r="BJ235" s="76">
        <f t="shared" si="1123"/>
        <v>0</v>
      </c>
      <c r="BK235" s="76">
        <f t="shared" si="1123"/>
        <v>0</v>
      </c>
      <c r="BL235" s="76">
        <f t="shared" si="1123"/>
        <v>0</v>
      </c>
      <c r="BM235" s="76">
        <f t="shared" si="1123"/>
        <v>0</v>
      </c>
      <c r="BN235" s="76">
        <f t="shared" si="1123"/>
        <v>0</v>
      </c>
      <c r="BO235" s="76">
        <f t="shared" si="1123"/>
        <v>0</v>
      </c>
      <c r="BP235" s="76">
        <f t="shared" si="1123"/>
        <v>0</v>
      </c>
      <c r="BQ235" s="76">
        <f t="shared" si="1123"/>
        <v>0</v>
      </c>
      <c r="BR235" s="76">
        <f t="shared" si="1123"/>
        <v>0</v>
      </c>
      <c r="BS235" s="76">
        <f t="shared" si="1123"/>
        <v>0</v>
      </c>
      <c r="BT235" s="76">
        <f t="shared" si="1123"/>
        <v>0</v>
      </c>
      <c r="BU235" s="76">
        <f t="shared" si="1123"/>
        <v>43377634.587617382</v>
      </c>
      <c r="BV235" s="76" t="str">
        <f t="shared" si="1123"/>
      </c>
      <c r="BW235" s="76" t="str">
        <f t="shared" si="1123"/>
      </c>
      <c r="BX235" s="76" t="str">
        <f t="shared" ref="BX235:DC235" si="1124">IF(BX$227="","",HH231)</f>
      </c>
      <c r="BY235" s="76" t="str">
        <f t="shared" si="1124"/>
      </c>
      <c r="BZ235" s="76" t="str">
        <f t="shared" si="1124"/>
      </c>
      <c r="CA235" s="76" t="str">
        <f t="shared" si="1124"/>
      </c>
      <c r="CB235" s="76" t="str">
        <f t="shared" si="1124"/>
      </c>
      <c r="CC235" s="76" t="str">
        <f t="shared" si="1124"/>
      </c>
      <c r="CD235" s="76" t="str">
        <f t="shared" si="1124"/>
      </c>
      <c r="CE235" s="76" t="str">
        <f t="shared" si="1124"/>
      </c>
      <c r="CF235" s="76" t="str">
        <f t="shared" si="1124"/>
      </c>
      <c r="CG235" s="76" t="str">
        <f t="shared" si="1124"/>
      </c>
      <c r="CH235" s="76" t="str">
        <f t="shared" si="1124"/>
      </c>
      <c r="CI235" s="76" t="str">
        <f t="shared" si="1124"/>
      </c>
      <c r="CJ235" s="76" t="str">
        <f t="shared" si="1124"/>
      </c>
      <c r="CK235" s="76" t="str">
        <f t="shared" si="1124"/>
      </c>
      <c r="CL235" s="76" t="str">
        <f t="shared" si="1124"/>
      </c>
      <c r="CM235" s="76" t="str">
        <f t="shared" si="1124"/>
      </c>
      <c r="CN235" s="76" t="str">
        <f t="shared" si="1124"/>
      </c>
      <c r="CO235" s="76" t="str">
        <f t="shared" si="1124"/>
      </c>
      <c r="CP235" s="76" t="str">
        <f t="shared" si="1124"/>
      </c>
      <c r="CQ235" s="76" t="str">
        <f t="shared" si="1124"/>
      </c>
      <c r="CR235" s="76" t="str">
        <f t="shared" si="1124"/>
      </c>
      <c r="CS235" s="76" t="str">
        <f t="shared" si="1124"/>
      </c>
      <c r="CT235" s="76" t="str">
        <f t="shared" si="1124"/>
      </c>
      <c r="CU235" s="76" t="str">
        <f t="shared" si="1124"/>
      </c>
      <c r="CV235" s="76" t="str">
        <f t="shared" si="1124"/>
      </c>
      <c r="CW235" s="76" t="str">
        <f t="shared" si="1124"/>
      </c>
      <c r="CX235" s="76" t="str">
        <f t="shared" si="1124"/>
      </c>
      <c r="CY235" s="76" t="str">
        <f t="shared" si="1124"/>
      </c>
      <c r="CZ235" s="76" t="str">
        <f t="shared" si="1124"/>
      </c>
      <c r="DA235" s="76" t="str">
        <f t="shared" si="1124"/>
      </c>
      <c r="DB235" s="76" t="str">
        <f t="shared" si="1124"/>
      </c>
      <c r="DC235" s="76" t="str">
        <f t="shared" si="1124"/>
      </c>
      <c r="DD235" s="76" t="str">
        <f t="shared" ref="DD235:EI235" si="1125">IF(DD$227="","",IN231)</f>
      </c>
      <c r="DE235" s="76" t="str">
        <f t="shared" si="1125"/>
      </c>
      <c r="DF235" s="76" t="str">
        <f t="shared" si="1125"/>
      </c>
      <c r="DG235" s="76" t="str">
        <f t="shared" si="1125"/>
      </c>
      <c r="DH235" s="76" t="str">
        <f t="shared" si="1125"/>
      </c>
      <c r="DI235" s="76" t="str">
        <f t="shared" si="1125"/>
      </c>
      <c r="DJ235" s="76" t="str">
        <f t="shared" si="1125"/>
      </c>
      <c r="DK235" s="76" t="str">
        <f t="shared" si="1125"/>
      </c>
      <c r="DL235" s="76" t="str">
        <f t="shared" si="1125"/>
      </c>
      <c r="DM235" s="76" t="str">
        <f t="shared" si="1125"/>
      </c>
      <c r="DN235" s="76" t="str">
        <f t="shared" si="1125"/>
      </c>
      <c r="DO235" s="76" t="str">
        <f t="shared" si="1125"/>
      </c>
      <c r="DP235" s="76" t="str">
        <f t="shared" si="1125"/>
      </c>
      <c r="DQ235" s="76" t="str">
        <f t="shared" si="1125"/>
      </c>
      <c r="DR235" s="76" t="str">
        <f t="shared" si="1125"/>
      </c>
      <c r="DS235" s="76" t="str">
        <f t="shared" si="1125"/>
      </c>
      <c r="DT235" s="76" t="str">
        <f t="shared" si="1125"/>
      </c>
      <c r="DU235" s="76" t="str">
        <f t="shared" si="1125"/>
      </c>
      <c r="DV235" s="76" t="str">
        <f t="shared" si="1125"/>
      </c>
      <c r="DW235" s="76" t="str">
        <f t="shared" si="1125"/>
      </c>
      <c r="DX235" s="76" t="str">
        <f t="shared" si="1125"/>
      </c>
      <c r="DY235" s="76" t="str">
        <f t="shared" si="1125"/>
      </c>
      <c r="DZ235" s="76" t="str">
        <f t="shared" si="1125"/>
      </c>
      <c r="EA235" s="76" t="str">
        <f t="shared" si="1125"/>
      </c>
      <c r="EB235" s="76" t="str">
        <f t="shared" si="1125"/>
      </c>
      <c r="EC235" s="76" t="str">
        <f t="shared" si="1125"/>
      </c>
      <c r="ED235" s="76" t="str">
        <f t="shared" si="1125"/>
      </c>
      <c r="EE235" s="76" t="str">
        <f t="shared" si="1125"/>
      </c>
      <c r="EF235" s="76" t="str">
        <f t="shared" si="1125"/>
      </c>
      <c r="EG235" s="76" t="str">
        <f t="shared" si="1125"/>
      </c>
      <c r="EH235" s="76" t="str">
        <f t="shared" si="1125"/>
      </c>
      <c r="EI235" s="76" t="str">
        <f t="shared" si="1125"/>
      </c>
      <c r="EJ235" s="76" t="str">
        <f t="shared" ref="EJ235:EN235" si="1126">IF(EJ$227="","",JT231)</f>
      </c>
      <c r="EK235" s="76" t="str">
        <f t="shared" si="1126"/>
      </c>
      <c r="EL235" s="76" t="str">
        <f t="shared" si="1126"/>
      </c>
      <c r="EM235" s="76" t="str">
        <f t="shared" si="1126"/>
      </c>
      <c r="EN235" s="76" t="str">
        <f t="shared" si="1126"/>
      </c>
      <c r="EP235" s="555"/>
      <c r="EQ235" s="394"/>
      <c r="ER235" s="394"/>
      <c r="ES235" s="394"/>
      <c r="ET235" s="394" t="s">
        <v>430</v>
      </c>
      <c r="EU235" s="394"/>
      <c r="EV235" s="534" t="n">
        <f>SUM(EV233:EV234)</f>
        <v>0</v>
      </c>
      <c r="EW235" s="534" t="n">
        <f t="shared" ref="EW235:HH235" si="1127">SUM(EW233:EW234)</f>
        <v>0</v>
      </c>
      <c r="EX235" s="534">
        <f t="shared" si="1127"/>
        <v>0</v>
      </c>
      <c r="EY235" s="534">
        <f t="shared" si="1127"/>
        <v>0</v>
      </c>
      <c r="EZ235" s="534">
        <f t="shared" si="1127"/>
        <v>0</v>
      </c>
      <c r="FA235" s="534">
        <f t="shared" si="1127"/>
        <v>0</v>
      </c>
      <c r="FB235" s="534">
        <f t="shared" si="1127"/>
        <v>0</v>
      </c>
      <c r="FC235" s="534">
        <f t="shared" si="1127"/>
        <v>0</v>
      </c>
      <c r="FD235" s="534">
        <f t="shared" si="1127"/>
        <v>0</v>
      </c>
      <c r="FE235" s="534">
        <f t="shared" si="1127"/>
        <v>0</v>
      </c>
      <c r="FF235" s="534">
        <f t="shared" si="1127"/>
        <v>0</v>
      </c>
      <c r="FG235" s="534">
        <f t="shared" si="1127"/>
        <v>0</v>
      </c>
      <c r="FH235" s="534">
        <f t="shared" si="1127"/>
        <v>0</v>
      </c>
      <c r="FI235" s="534">
        <f t="shared" si="1127"/>
        <v>0</v>
      </c>
      <c r="FJ235" s="534">
        <f t="shared" si="1127"/>
        <v>0</v>
      </c>
      <c r="FK235" s="534">
        <f t="shared" si="1127"/>
        <v>0</v>
      </c>
      <c r="FL235" s="534">
        <f t="shared" si="1127"/>
        <v>0</v>
      </c>
      <c r="FM235" s="534">
        <f t="shared" si="1127"/>
        <v>0</v>
      </c>
      <c r="FN235" s="534">
        <f t="shared" si="1127"/>
        <v>0</v>
      </c>
      <c r="FO235" s="534">
        <f t="shared" si="1127"/>
        <v>0</v>
      </c>
      <c r="FP235" s="534">
        <f t="shared" si="1127"/>
        <v>0</v>
      </c>
      <c r="FQ235" s="534">
        <f t="shared" si="1127"/>
        <v>0</v>
      </c>
      <c r="FR235" s="534">
        <f t="shared" si="1127"/>
        <v>0</v>
      </c>
      <c r="FS235" s="534">
        <f t="shared" si="1127"/>
        <v>0</v>
      </c>
      <c r="FT235" s="534">
        <f t="shared" si="1127"/>
        <v>0</v>
      </c>
      <c r="FU235" s="534">
        <f t="shared" si="1127"/>
        <v>0</v>
      </c>
      <c r="FV235" s="534">
        <f t="shared" si="1127"/>
        <v>0</v>
      </c>
      <c r="FW235" s="534">
        <f t="shared" si="1127"/>
        <v>0</v>
      </c>
      <c r="FX235" s="534">
        <f t="shared" si="1127"/>
        <v>0</v>
      </c>
      <c r="FY235" s="534">
        <f t="shared" si="1127"/>
        <v>0</v>
      </c>
      <c r="FZ235" s="534">
        <f t="shared" si="1127"/>
        <v>0</v>
      </c>
      <c r="GA235" s="534">
        <f t="shared" si="1127"/>
        <v>0</v>
      </c>
      <c r="GB235" s="534">
        <f t="shared" si="1127"/>
        <v>0</v>
      </c>
      <c r="GC235" s="534">
        <f t="shared" si="1127"/>
        <v>0</v>
      </c>
      <c r="GD235" s="534">
        <f t="shared" si="1127"/>
        <v>0</v>
      </c>
      <c r="GE235" s="534">
        <f t="shared" si="1127"/>
        <v>0</v>
      </c>
      <c r="GF235" s="534">
        <f t="shared" si="1127"/>
        <v>0</v>
      </c>
      <c r="GG235" s="534">
        <f t="shared" si="1127"/>
        <v>0</v>
      </c>
      <c r="GH235" s="534">
        <f t="shared" si="1127"/>
        <v>0</v>
      </c>
      <c r="GI235" s="534">
        <f t="shared" si="1127"/>
        <v>0</v>
      </c>
      <c r="GJ235" s="534">
        <f t="shared" si="1127"/>
        <v>0</v>
      </c>
      <c r="GK235" s="534">
        <f t="shared" si="1127"/>
        <v>0</v>
      </c>
      <c r="GL235" s="534">
        <f t="shared" si="1127"/>
        <v>0</v>
      </c>
      <c r="GM235" s="534">
        <f t="shared" si="1127"/>
        <v>0</v>
      </c>
      <c r="GN235" s="534">
        <f t="shared" si="1127"/>
        <v>0</v>
      </c>
      <c r="GO235" s="534">
        <f t="shared" si="1127"/>
        <v>0</v>
      </c>
      <c r="GP235" s="534">
        <f t="shared" si="1127"/>
        <v>0</v>
      </c>
      <c r="GQ235" s="534">
        <f t="shared" si="1127"/>
        <v>0</v>
      </c>
      <c r="GR235" s="534">
        <f t="shared" si="1127"/>
        <v>0</v>
      </c>
      <c r="GS235" s="534">
        <f t="shared" si="1127"/>
        <v>0</v>
      </c>
      <c r="GT235" s="534">
        <f t="shared" si="1127"/>
        <v>0</v>
      </c>
      <c r="GU235" s="534">
        <f t="shared" si="1127"/>
        <v>0</v>
      </c>
      <c r="GV235" s="534">
        <f t="shared" si="1127"/>
        <v>0</v>
      </c>
      <c r="GW235" s="534">
        <f t="shared" si="1127"/>
        <v>0</v>
      </c>
      <c r="GX235" s="534">
        <f t="shared" si="1127"/>
        <v>0</v>
      </c>
      <c r="GY235" s="534">
        <f t="shared" si="1127"/>
        <v>0</v>
      </c>
      <c r="GZ235" s="534">
        <f t="shared" si="1127"/>
        <v>0</v>
      </c>
      <c r="HA235" s="534">
        <f t="shared" si="1127"/>
        <v>0</v>
      </c>
      <c r="HB235" s="534">
        <f t="shared" si="1127"/>
        <v>0</v>
      </c>
      <c r="HC235" s="534">
        <f t="shared" si="1127"/>
        <v>0</v>
      </c>
      <c r="HD235" s="534">
        <f t="shared" si="1127"/>
        <v>0</v>
      </c>
      <c r="HE235" s="534">
        <f t="shared" si="1127"/>
        <v>653689410.96050787</v>
      </c>
      <c r="HF235" s="534">
        <f t="shared" si="1127"/>
        <v>0</v>
      </c>
      <c r="HG235" s="534">
        <f t="shared" si="1127"/>
        <v>0</v>
      </c>
      <c r="HH235" s="534">
        <f t="shared" si="1127"/>
        <v>0</v>
      </c>
      <c r="HI235" s="534" t="n">
        <f t="shared" ref="HI235:JT235" si="1128">SUM(HI233:HI234)</f>
        <v>0</v>
      </c>
      <c r="HJ235" s="534">
        <f t="shared" si="1128"/>
        <v>0</v>
      </c>
      <c r="HK235" s="534">
        <f t="shared" si="1128"/>
        <v>0</v>
      </c>
      <c r="HL235" s="534">
        <f t="shared" si="1128"/>
        <v>0</v>
      </c>
      <c r="HM235" s="534">
        <f t="shared" si="1128"/>
        <v>0</v>
      </c>
      <c r="HN235" s="534">
        <f t="shared" si="1128"/>
        <v>0</v>
      </c>
      <c r="HO235" s="534">
        <f t="shared" si="1128"/>
        <v>0</v>
      </c>
      <c r="HP235" s="534">
        <f t="shared" si="1128"/>
        <v>0</v>
      </c>
      <c r="HQ235" s="534">
        <f t="shared" si="1128"/>
        <v>0</v>
      </c>
      <c r="HR235" s="534">
        <f t="shared" si="1128"/>
        <v>0</v>
      </c>
      <c r="HS235" s="534">
        <f t="shared" si="1128"/>
        <v>0</v>
      </c>
      <c r="HT235" s="534">
        <f t="shared" si="1128"/>
        <v>0</v>
      </c>
      <c r="HU235" s="534">
        <f t="shared" si="1128"/>
        <v>0</v>
      </c>
      <c r="HV235" s="534">
        <f t="shared" si="1128"/>
        <v>0</v>
      </c>
      <c r="HW235" s="534">
        <f t="shared" si="1128"/>
        <v>0</v>
      </c>
      <c r="HX235" s="534">
        <f t="shared" si="1128"/>
        <v>0</v>
      </c>
      <c r="HY235" s="534">
        <f t="shared" si="1128"/>
        <v>0</v>
      </c>
      <c r="HZ235" s="534">
        <f t="shared" si="1128"/>
        <v>0</v>
      </c>
      <c r="IA235" s="534">
        <f t="shared" si="1128"/>
        <v>0</v>
      </c>
      <c r="IB235" s="534">
        <f t="shared" si="1128"/>
        <v>0</v>
      </c>
      <c r="IC235" s="534">
        <f t="shared" si="1128"/>
        <v>0</v>
      </c>
      <c r="ID235" s="534">
        <f t="shared" si="1128"/>
        <v>0</v>
      </c>
      <c r="IE235" s="534">
        <f t="shared" si="1128"/>
        <v>0</v>
      </c>
      <c r="IF235" s="534">
        <f t="shared" si="1128"/>
        <v>0</v>
      </c>
      <c r="IG235" s="534">
        <f t="shared" si="1128"/>
        <v>0</v>
      </c>
      <c r="IH235" s="534">
        <f t="shared" si="1128"/>
        <v>0</v>
      </c>
      <c r="II235" s="534">
        <f t="shared" si="1128"/>
        <v>0</v>
      </c>
      <c r="IJ235" s="534">
        <f t="shared" si="1128"/>
        <v>0</v>
      </c>
      <c r="IK235" s="534">
        <f t="shared" si="1128"/>
        <v>0</v>
      </c>
      <c r="IL235" s="534">
        <f t="shared" si="1128"/>
        <v>0</v>
      </c>
      <c r="IM235" s="534">
        <f t="shared" si="1128"/>
        <v>0</v>
      </c>
      <c r="IN235" s="534">
        <f t="shared" si="1128"/>
        <v>0</v>
      </c>
      <c r="IO235" s="534">
        <f t="shared" si="1128"/>
        <v>0</v>
      </c>
      <c r="IP235" s="534">
        <f t="shared" si="1128"/>
        <v>0</v>
      </c>
      <c r="IQ235" s="534">
        <f t="shared" si="1128"/>
        <v>0</v>
      </c>
      <c r="IR235" s="534">
        <f t="shared" si="1128"/>
        <v>0</v>
      </c>
      <c r="IS235" s="534">
        <f t="shared" si="1128"/>
        <v>0</v>
      </c>
      <c r="IT235" s="534">
        <f t="shared" si="1128"/>
        <v>0</v>
      </c>
      <c r="IU235" s="534">
        <f t="shared" si="1128"/>
        <v>0</v>
      </c>
      <c r="IV235" s="534">
        <f t="shared" si="1128"/>
        <v>0</v>
      </c>
      <c r="IW235" s="534">
        <f t="shared" si="1128"/>
        <v>0</v>
      </c>
      <c r="IX235" s="534">
        <f t="shared" si="1128"/>
        <v>0</v>
      </c>
      <c r="IY235" s="534">
        <f t="shared" si="1128"/>
        <v>0</v>
      </c>
      <c r="IZ235" s="534">
        <f t="shared" si="1128"/>
        <v>0</v>
      </c>
      <c r="JA235" s="534">
        <f t="shared" si="1128"/>
        <v>0</v>
      </c>
      <c r="JB235" s="534">
        <f t="shared" si="1128"/>
        <v>0</v>
      </c>
      <c r="JC235" s="534">
        <f t="shared" si="1128"/>
        <v>0</v>
      </c>
      <c r="JD235" s="534">
        <f t="shared" si="1128"/>
        <v>0</v>
      </c>
      <c r="JE235" s="534">
        <f t="shared" si="1128"/>
        <v>0</v>
      </c>
      <c r="JF235" s="534">
        <f t="shared" si="1128"/>
        <v>0</v>
      </c>
      <c r="JG235" s="534">
        <f t="shared" si="1128"/>
        <v>0</v>
      </c>
      <c r="JH235" s="534">
        <f t="shared" si="1128"/>
        <v>0</v>
      </c>
      <c r="JI235" s="534">
        <f t="shared" si="1128"/>
        <v>0</v>
      </c>
      <c r="JJ235" s="534">
        <f t="shared" si="1128"/>
        <v>0</v>
      </c>
      <c r="JK235" s="534">
        <f t="shared" si="1128"/>
        <v>0</v>
      </c>
      <c r="JL235" s="534">
        <f t="shared" si="1128"/>
        <v>0</v>
      </c>
      <c r="JM235" s="534">
        <f t="shared" si="1128"/>
        <v>0</v>
      </c>
      <c r="JN235" s="534">
        <f t="shared" si="1128"/>
        <v>0</v>
      </c>
      <c r="JO235" s="534">
        <f t="shared" si="1128"/>
        <v>0</v>
      </c>
      <c r="JP235" s="534">
        <f t="shared" si="1128"/>
        <v>0</v>
      </c>
      <c r="JQ235" s="534">
        <f t="shared" si="1128"/>
        <v>0</v>
      </c>
      <c r="JR235" s="534">
        <f t="shared" si="1128"/>
        <v>0</v>
      </c>
      <c r="JS235" s="534">
        <f t="shared" si="1128"/>
        <v>0</v>
      </c>
      <c r="JT235" s="534">
        <f t="shared" si="1128"/>
        <v>0</v>
      </c>
      <c r="JU235" s="534" t="n">
        <f>SUM(JU233:JU234)</f>
        <v>0</v>
      </c>
      <c r="JV235" s="534" t="n">
        <f>SUM(JV233:JV234)</f>
        <v>0</v>
      </c>
      <c r="JW235" s="534" t="n">
        <f>SUM(JW233:JW234)</f>
        <v>0</v>
      </c>
      <c r="JX235" s="534" t="n">
        <f>SUM(JX233:JX234)</f>
        <v>0</v>
      </c>
      <c r="JZ235" s="263"/>
      <c r="KA235" s="263"/>
      <c r="KB235" s="263"/>
      <c r="KC235" s="263"/>
      <c r="KD235" s="263"/>
      <c r="KE235" s="263"/>
      <c r="KF235" s="263"/>
      <c r="KG235" s="263"/>
      <c r="KH235" s="263"/>
      <c r="KI235" s="263"/>
      <c r="KJ235" s="263"/>
      <c r="KK235" s="263"/>
      <c r="KL235" s="263"/>
      <c r="KM235" s="263"/>
      <c r="KN235" s="263"/>
      <c r="KO235" s="263"/>
      <c r="KP235" s="263"/>
      <c r="KQ235" s="263"/>
      <c r="KR235" s="263"/>
      <c r="KS235" s="263"/>
      <c r="KT235" s="263"/>
      <c r="KU235" s="263"/>
      <c r="KV235" s="263"/>
      <c r="KW235" s="263"/>
      <c r="KX235" s="263"/>
      <c r="KY235" s="263"/>
      <c r="KZ235" s="263"/>
      <c r="LA235" s="263"/>
      <c r="LB235" s="263"/>
      <c r="LC235" s="263"/>
      <c r="LD235" s="263"/>
      <c r="LE235" s="263"/>
      <c r="LF235" s="263"/>
      <c r="LG235" s="263"/>
      <c r="LH235" s="263"/>
      <c r="LI235" s="263"/>
      <c r="LJ235" s="263"/>
      <c r="LK235" s="263"/>
      <c r="LL235" s="263"/>
      <c r="LM235" s="263"/>
      <c r="LN235" s="263"/>
      <c r="LO235" s="263"/>
      <c r="LP235" s="263"/>
      <c r="LQ235" s="263"/>
      <c r="LR235" s="263"/>
      <c r="LS235" s="263"/>
      <c r="LT235" s="263"/>
      <c r="LU235" s="263"/>
      <c r="LV235" s="263"/>
      <c r="LW235" s="263"/>
      <c r="LX235" s="263"/>
      <c r="LY235" s="263"/>
      <c r="LZ235" s="263"/>
      <c r="MA235" s="263"/>
      <c r="MB235" s="263"/>
      <c r="MC235" s="263"/>
      <c r="MD235" s="263"/>
      <c r="ME235" s="263"/>
      <c r="MF235" s="263"/>
      <c r="MG235" s="263"/>
      <c r="MH235" s="263"/>
      <c r="MI235" s="263"/>
      <c r="MJ235" s="263"/>
      <c r="MK235" s="263"/>
      <c r="ML235" s="263"/>
      <c r="MM235" s="263"/>
      <c r="MN235" s="263"/>
      <c r="MO235" s="263"/>
      <c r="MP235" s="263"/>
      <c r="MQ235" s="263"/>
      <c r="MR235" s="263"/>
      <c r="MS235" s="263"/>
      <c r="MT235" s="263"/>
      <c r="MU235" s="263"/>
      <c r="MV235" s="263"/>
      <c r="MW235" s="263"/>
      <c r="MX235" s="263"/>
      <c r="MY235" s="263"/>
      <c r="MZ235" s="263"/>
      <c r="NA235" s="263"/>
      <c r="NB235" s="263"/>
      <c r="NC235" s="263"/>
      <c r="ND235" s="263"/>
      <c r="NE235" s="263"/>
      <c r="NF235" s="263"/>
      <c r="NG235" s="263"/>
      <c r="NH235" s="263"/>
      <c r="NI235" s="263"/>
      <c r="NJ235" s="263"/>
      <c r="NK235" s="263"/>
      <c r="NL235" s="263"/>
      <c r="NM235" s="263"/>
      <c r="NN235" s="263"/>
      <c r="NO235" s="263"/>
      <c r="NP235" s="263"/>
      <c r="NQ235" s="263"/>
      <c r="NR235" s="263"/>
      <c r="NS235" s="263"/>
      <c r="NT235" s="263"/>
      <c r="NU235" s="263"/>
      <c r="NV235" s="263"/>
      <c r="NW235" s="263"/>
      <c r="NX235" s="263"/>
      <c r="NY235" s="263"/>
      <c r="NZ235" s="263"/>
      <c r="OA235" s="263"/>
      <c r="OB235" s="263"/>
      <c r="OC235" s="263"/>
      <c r="OD235" s="263"/>
      <c r="OE235" s="263"/>
      <c r="OF235" s="263"/>
      <c r="OG235" s="263"/>
      <c r="OH235" s="263"/>
      <c r="OI235" s="263"/>
      <c r="OJ235" s="263"/>
      <c r="OK235" s="263"/>
      <c r="OL235" s="263"/>
      <c r="OM235" s="263"/>
      <c r="ON235" s="263"/>
      <c r="OO235" s="263"/>
      <c r="OP235" s="263"/>
      <c r="OQ235" s="263"/>
      <c r="OR235" s="263"/>
      <c r="OS235" s="263"/>
      <c r="OT235" s="263"/>
      <c r="OU235" s="263"/>
      <c r="OV235" s="263"/>
      <c r="OW235" s="263"/>
      <c r="OX235" s="263"/>
      <c r="OY235" s="263"/>
      <c r="OZ235" s="263"/>
      <c r="PA235" s="263"/>
      <c r="PB235" s="263"/>
      <c r="PC235" s="263"/>
      <c r="PD235" s="263"/>
      <c r="PE235" s="263"/>
      <c r="PF235" s="263"/>
      <c r="PG235" s="263"/>
      <c r="PH235" s="263"/>
    </row>
    <row r="236">
      <c r="B236" s="34" t="s">
        <v>431</v>
      </c>
      <c r="C236" s="401"/>
      <c r="D236" s="404"/>
      <c r="E236" s="404" t="s">
        <v>432</v>
      </c>
      <c r="F236" s="88" t="n">
        <f>F235</f>
        <v>0.15</v>
      </c>
      <c r="G236" s="54" t="n">
        <f>40%+(60%*G$228)</f>
        <v>0.4</v>
      </c>
      <c r="H236" s="53">
        <f t="shared" si="1112"/>
        <v>0.43000000000000005</v>
      </c>
      <c r="I236" s="58" t="n">
        <f>1-H236</f>
        <v>0.57</v>
      </c>
      <c r="L236" s="421" t="str">
        <f t="shared" ref="L236:AQ236" si="1129">IF(L$227="","",EV235)</f>
      </c>
      <c r="M236" s="421">
        <f t="shared" si="1129"/>
        <v>0</v>
      </c>
      <c r="N236" s="421">
        <f t="shared" si="1129"/>
        <v>0</v>
      </c>
      <c r="O236" s="421">
        <f t="shared" si="1129"/>
        <v>0</v>
      </c>
      <c r="P236" s="421">
        <f t="shared" si="1129"/>
        <v>0</v>
      </c>
      <c r="Q236" s="421">
        <f t="shared" si="1129"/>
        <v>0</v>
      </c>
      <c r="R236" s="421">
        <f t="shared" si="1129"/>
        <v>0</v>
      </c>
      <c r="S236" s="421">
        <f t="shared" si="1129"/>
        <v>0</v>
      </c>
      <c r="T236" s="421">
        <f t="shared" si="1129"/>
        <v>0</v>
      </c>
      <c r="U236" s="421">
        <f t="shared" si="1129"/>
        <v>0</v>
      </c>
      <c r="V236" s="421">
        <f t="shared" si="1129"/>
        <v>0</v>
      </c>
      <c r="W236" s="421">
        <f t="shared" si="1129"/>
        <v>0</v>
      </c>
      <c r="X236" s="421">
        <f t="shared" si="1129"/>
        <v>0</v>
      </c>
      <c r="Y236" s="421">
        <f t="shared" si="1129"/>
        <v>0</v>
      </c>
      <c r="Z236" s="421">
        <f t="shared" si="1129"/>
        <v>0</v>
      </c>
      <c r="AA236" s="421">
        <f t="shared" si="1129"/>
        <v>0</v>
      </c>
      <c r="AB236" s="421">
        <f t="shared" si="1129"/>
        <v>0</v>
      </c>
      <c r="AC236" s="421">
        <f t="shared" si="1129"/>
        <v>0</v>
      </c>
      <c r="AD236" s="421">
        <f t="shared" si="1129"/>
        <v>0</v>
      </c>
      <c r="AE236" s="421">
        <f t="shared" si="1129"/>
        <v>0</v>
      </c>
      <c r="AF236" s="421">
        <f t="shared" si="1129"/>
        <v>0</v>
      </c>
      <c r="AG236" s="421">
        <f t="shared" si="1129"/>
        <v>0</v>
      </c>
      <c r="AH236" s="421">
        <f t="shared" si="1129"/>
        <v>0</v>
      </c>
      <c r="AI236" s="421">
        <f t="shared" si="1129"/>
        <v>0</v>
      </c>
      <c r="AJ236" s="421">
        <f t="shared" si="1129"/>
        <v>0</v>
      </c>
      <c r="AK236" s="421">
        <f t="shared" si="1129"/>
        <v>0</v>
      </c>
      <c r="AL236" s="421">
        <f t="shared" si="1129"/>
        <v>0</v>
      </c>
      <c r="AM236" s="421">
        <f t="shared" si="1129"/>
        <v>0</v>
      </c>
      <c r="AN236" s="421">
        <f t="shared" si="1129"/>
        <v>0</v>
      </c>
      <c r="AO236" s="421">
        <f t="shared" si="1129"/>
        <v>0</v>
      </c>
      <c r="AP236" s="421">
        <f t="shared" si="1129"/>
        <v>0</v>
      </c>
      <c r="AQ236" s="421">
        <f t="shared" si="1129"/>
        <v>0</v>
      </c>
      <c r="AR236" s="421" t="n">
        <f t="shared" ref="AR236:BW236" si="1130">IF(AR$227="","",GB235)</f>
        <v>0</v>
      </c>
      <c r="AS236" s="421">
        <f t="shared" si="1130"/>
        <v>0</v>
      </c>
      <c r="AT236" s="421">
        <f t="shared" si="1130"/>
        <v>0</v>
      </c>
      <c r="AU236" s="421">
        <f t="shared" si="1130"/>
        <v>0</v>
      </c>
      <c r="AV236" s="421">
        <f t="shared" si="1130"/>
        <v>0</v>
      </c>
      <c r="AW236" s="421">
        <f t="shared" si="1130"/>
        <v>0</v>
      </c>
      <c r="AX236" s="421">
        <f t="shared" si="1130"/>
        <v>0</v>
      </c>
      <c r="AY236" s="421">
        <f t="shared" si="1130"/>
        <v>0</v>
      </c>
      <c r="AZ236" s="421">
        <f t="shared" si="1130"/>
        <v>0</v>
      </c>
      <c r="BA236" s="421">
        <f t="shared" si="1130"/>
        <v>0</v>
      </c>
      <c r="BB236" s="421">
        <f t="shared" si="1130"/>
        <v>0</v>
      </c>
      <c r="BC236" s="421">
        <f t="shared" si="1130"/>
        <v>0</v>
      </c>
      <c r="BD236" s="76">
        <f t="shared" si="1130"/>
        <v>0</v>
      </c>
      <c r="BE236" s="76">
        <f t="shared" si="1130"/>
        <v>0</v>
      </c>
      <c r="BF236" s="76">
        <f t="shared" si="1130"/>
        <v>0</v>
      </c>
      <c r="BG236" s="76">
        <f t="shared" si="1130"/>
        <v>0</v>
      </c>
      <c r="BH236" s="76">
        <f t="shared" si="1130"/>
        <v>0</v>
      </c>
      <c r="BI236" s="76">
        <f t="shared" si="1130"/>
        <v>0</v>
      </c>
      <c r="BJ236" s="76">
        <f t="shared" si="1130"/>
        <v>0</v>
      </c>
      <c r="BK236" s="76">
        <f t="shared" si="1130"/>
        <v>0</v>
      </c>
      <c r="BL236" s="76">
        <f t="shared" si="1130"/>
        <v>0</v>
      </c>
      <c r="BM236" s="76">
        <f t="shared" si="1130"/>
        <v>0</v>
      </c>
      <c r="BN236" s="76">
        <f t="shared" si="1130"/>
        <v>0</v>
      </c>
      <c r="BO236" s="76">
        <f t="shared" si="1130"/>
        <v>0</v>
      </c>
      <c r="BP236" s="76">
        <f t="shared" si="1130"/>
        <v>0</v>
      </c>
      <c r="BQ236" s="76">
        <f t="shared" si="1130"/>
        <v>0</v>
      </c>
      <c r="BR236" s="76">
        <f t="shared" si="1130"/>
        <v>0</v>
      </c>
      <c r="BS236" s="76">
        <f t="shared" si="1130"/>
        <v>0</v>
      </c>
      <c r="BT236" s="76">
        <f t="shared" si="1130"/>
        <v>0</v>
      </c>
      <c r="BU236" s="76">
        <f t="shared" si="1130"/>
        <v>653689410.96050787</v>
      </c>
      <c r="BV236" s="76" t="str">
        <f t="shared" si="1130"/>
      </c>
      <c r="BW236" s="76" t="str">
        <f t="shared" si="1130"/>
      </c>
      <c r="BX236" s="76" t="str">
        <f t="shared" ref="BX236:DC236" si="1131">IF(BX$227="","",HH235)</f>
      </c>
      <c r="BY236" s="76" t="str">
        <f t="shared" si="1131"/>
      </c>
      <c r="BZ236" s="76" t="str">
        <f t="shared" si="1131"/>
      </c>
      <c r="CA236" s="76" t="str">
        <f t="shared" si="1131"/>
      </c>
      <c r="CB236" s="76" t="str">
        <f t="shared" si="1131"/>
      </c>
      <c r="CC236" s="76" t="str">
        <f t="shared" si="1131"/>
      </c>
      <c r="CD236" s="76" t="str">
        <f t="shared" si="1131"/>
      </c>
      <c r="CE236" s="76" t="str">
        <f t="shared" si="1131"/>
      </c>
      <c r="CF236" s="76" t="str">
        <f t="shared" si="1131"/>
      </c>
      <c r="CG236" s="76" t="str">
        <f t="shared" si="1131"/>
      </c>
      <c r="CH236" s="76" t="str">
        <f t="shared" si="1131"/>
      </c>
      <c r="CI236" s="76" t="str">
        <f t="shared" si="1131"/>
      </c>
      <c r="CJ236" s="76" t="str">
        <f t="shared" si="1131"/>
      </c>
      <c r="CK236" s="76" t="str">
        <f t="shared" si="1131"/>
      </c>
      <c r="CL236" s="76" t="str">
        <f t="shared" si="1131"/>
      </c>
      <c r="CM236" s="76" t="str">
        <f t="shared" si="1131"/>
      </c>
      <c r="CN236" s="76" t="str">
        <f t="shared" si="1131"/>
      </c>
      <c r="CO236" s="76" t="str">
        <f t="shared" si="1131"/>
      </c>
      <c r="CP236" s="76" t="str">
        <f t="shared" si="1131"/>
      </c>
      <c r="CQ236" s="76" t="str">
        <f t="shared" si="1131"/>
      </c>
      <c r="CR236" s="76" t="str">
        <f t="shared" si="1131"/>
      </c>
      <c r="CS236" s="76" t="str">
        <f t="shared" si="1131"/>
      </c>
      <c r="CT236" s="76" t="str">
        <f t="shared" si="1131"/>
      </c>
      <c r="CU236" s="76" t="str">
        <f t="shared" si="1131"/>
      </c>
      <c r="CV236" s="76" t="str">
        <f t="shared" si="1131"/>
      </c>
      <c r="CW236" s="76" t="str">
        <f t="shared" si="1131"/>
      </c>
      <c r="CX236" s="76" t="str">
        <f t="shared" si="1131"/>
      </c>
      <c r="CY236" s="76" t="str">
        <f t="shared" si="1131"/>
      </c>
      <c r="CZ236" s="76" t="str">
        <f t="shared" si="1131"/>
      </c>
      <c r="DA236" s="76" t="str">
        <f t="shared" si="1131"/>
      </c>
      <c r="DB236" s="76" t="str">
        <f t="shared" si="1131"/>
      </c>
      <c r="DC236" s="76" t="str">
        <f t="shared" si="1131"/>
      </c>
      <c r="DD236" s="76" t="str">
        <f t="shared" ref="DD236:EI236" si="1132">IF(DD$227="","",IN235)</f>
      </c>
      <c r="DE236" s="76" t="str">
        <f t="shared" si="1132"/>
      </c>
      <c r="DF236" s="76" t="str">
        <f t="shared" si="1132"/>
      </c>
      <c r="DG236" s="76" t="str">
        <f t="shared" si="1132"/>
      </c>
      <c r="DH236" s="76" t="str">
        <f t="shared" si="1132"/>
      </c>
      <c r="DI236" s="76" t="str">
        <f t="shared" si="1132"/>
      </c>
      <c r="DJ236" s="76" t="str">
        <f t="shared" si="1132"/>
      </c>
      <c r="DK236" s="76" t="str">
        <f t="shared" si="1132"/>
      </c>
      <c r="DL236" s="76" t="str">
        <f t="shared" si="1132"/>
      </c>
      <c r="DM236" s="76" t="str">
        <f t="shared" si="1132"/>
      </c>
      <c r="DN236" s="76" t="str">
        <f t="shared" si="1132"/>
      </c>
      <c r="DO236" s="76" t="str">
        <f t="shared" si="1132"/>
      </c>
      <c r="DP236" s="76" t="str">
        <f t="shared" si="1132"/>
      </c>
      <c r="DQ236" s="76" t="str">
        <f t="shared" si="1132"/>
      </c>
      <c r="DR236" s="76" t="str">
        <f t="shared" si="1132"/>
      </c>
      <c r="DS236" s="76" t="str">
        <f t="shared" si="1132"/>
      </c>
      <c r="DT236" s="76" t="str">
        <f t="shared" si="1132"/>
      </c>
      <c r="DU236" s="76" t="str">
        <f t="shared" si="1132"/>
      </c>
      <c r="DV236" s="76" t="str">
        <f t="shared" si="1132"/>
      </c>
      <c r="DW236" s="76" t="str">
        <f t="shared" si="1132"/>
      </c>
      <c r="DX236" s="76" t="str">
        <f t="shared" si="1132"/>
      </c>
      <c r="DY236" s="76" t="str">
        <f t="shared" si="1132"/>
      </c>
      <c r="DZ236" s="76" t="str">
        <f t="shared" si="1132"/>
      </c>
      <c r="EA236" s="76" t="str">
        <f t="shared" si="1132"/>
      </c>
      <c r="EB236" s="76" t="str">
        <f t="shared" si="1132"/>
      </c>
      <c r="EC236" s="76" t="str">
        <f t="shared" si="1132"/>
      </c>
      <c r="ED236" s="76" t="str">
        <f t="shared" si="1132"/>
      </c>
      <c r="EE236" s="76" t="str">
        <f t="shared" si="1132"/>
      </c>
      <c r="EF236" s="76" t="str">
        <f t="shared" si="1132"/>
      </c>
      <c r="EG236" s="76" t="str">
        <f t="shared" si="1132"/>
      </c>
      <c r="EH236" s="76" t="str">
        <f t="shared" si="1132"/>
      </c>
      <c r="EI236" s="76" t="str">
        <f t="shared" si="1132"/>
      </c>
      <c r="EJ236" s="76" t="str">
        <f t="shared" ref="EJ236:EN236" si="1133">IF(EJ$227="","",JT235)</f>
      </c>
      <c r="EK236" s="76" t="str">
        <f t="shared" si="1133"/>
      </c>
      <c r="EL236" s="76" t="str">
        <f t="shared" si="1133"/>
      </c>
      <c r="EM236" s="76" t="str">
        <f t="shared" si="1133"/>
      </c>
      <c r="EN236" s="76" t="str">
        <f t="shared" si="1133"/>
      </c>
      <c r="EP236" s="409"/>
      <c r="EQ236" s="530"/>
      <c r="ER236" s="530"/>
      <c r="ES236" s="530"/>
      <c r="ET236" s="18" t="s">
        <v>433</v>
      </c>
      <c r="EU236" s="306"/>
      <c r="EV236" s="422" t="n">
        <f>IF(L244="",0,L244-EV210)</f>
        <v>0</v>
      </c>
      <c r="EW236" s="422" t="n">
        <f t="shared" ref="EW236:GA236" si="1134">IF(M244="",0,M244-EW210)</f>
        <v>20697.41896456861</v>
      </c>
      <c r="EX236" s="422">
        <f t="shared" si="1134"/>
        <v>7136.8991101698402</v>
      </c>
      <c r="EY236" s="422">
        <f t="shared" si="1134"/>
        <v>-12229.754929718263</v>
      </c>
      <c r="EZ236" s="422">
        <f t="shared" si="1134"/>
        <v>-39061.596444356001</v>
      </c>
      <c r="FA236" s="422">
        <f t="shared" si="1134"/>
        <v>-80820.215286487393</v>
      </c>
      <c r="FB236" s="422">
        <f t="shared" si="1134"/>
        <v>-92758.630190187861</v>
      </c>
      <c r="FC236" s="422">
        <f t="shared" si="1134"/>
        <v>-151838.07389083391</v>
      </c>
      <c r="FD236" s="422">
        <f t="shared" si="1134"/>
        <v>-223783.60513408761</v>
      </c>
      <c r="FE236" s="422">
        <f t="shared" si="1134"/>
        <v>-308358.90125588689</v>
      </c>
      <c r="FF236" s="422">
        <f t="shared" si="1134"/>
        <v>-404138.64571131836</v>
      </c>
      <c r="FG236" s="422">
        <f t="shared" si="1134"/>
        <v>-508341.65915377199</v>
      </c>
      <c r="FH236" s="422">
        <f t="shared" si="1134"/>
        <v>-616815.76959860174</v>
      </c>
      <c r="FI236" s="422">
        <f t="shared" si="1134"/>
        <v>-724214.3746582889</v>
      </c>
      <c r="FJ236" s="422">
        <f t="shared" si="1134"/>
        <v>-824375.9619705918</v>
      </c>
      <c r="FK236" s="422">
        <f t="shared" si="1134"/>
        <v>-910880.5321552892</v>
      </c>
      <c r="FL236" s="422">
        <f t="shared" si="1134"/>
        <v>-170235.09548436865</v>
      </c>
      <c r="FM236" s="422">
        <f t="shared" si="1134"/>
        <v>42655.977640512116</v>
      </c>
      <c r="FN236" s="422">
        <f t="shared" si="1134"/>
        <v>183252.67770691717</v>
      </c>
      <c r="FO236" s="422">
        <f t="shared" si="1134"/>
        <v>170533.1050788837</v>
      </c>
      <c r="FP236" s="422">
        <f t="shared" si="1134"/>
        <v>162398.0719604654</v>
      </c>
      <c r="FQ236" s="422">
        <f t="shared" si="1134"/>
        <v>193957.07916015596</v>
      </c>
      <c r="FR236" s="422">
        <f t="shared" si="1134"/>
        <v>186520.1600444566</v>
      </c>
      <c r="FS236" s="422">
        <f t="shared" si="1134"/>
        <v>179676.24575137324</v>
      </c>
      <c r="FT236" s="422">
        <f t="shared" si="1134"/>
        <v>188808.64779545995</v>
      </c>
      <c r="FU236" s="422">
        <f t="shared" si="1134"/>
        <v>183424.02026705141</v>
      </c>
      <c r="FV236" s="422">
        <f t="shared" si="1134"/>
        <v>178812.56135686929</v>
      </c>
      <c r="FW236" s="422">
        <f t="shared" si="1134"/>
        <v>184352.17664984387</v>
      </c>
      <c r="FX236" s="422">
        <f t="shared" si="1134"/>
        <v>149768.51834205934</v>
      </c>
      <c r="FY236" s="422">
        <f t="shared" si="1134"/>
        <v>78828.170146339718</v>
      </c>
      <c r="FZ236" s="422">
        <f t="shared" si="1134"/>
        <v>132061.2559979037</v>
      </c>
      <c r="GA236" s="422">
        <f t="shared" si="1134"/>
        <v>151856.45630436513</v>
      </c>
      <c r="GB236" s="422" t="n">
        <f t="shared" ref="GB236:HG236" si="1135">IF(AR244="",0,AR244-GB210)</f>
        <v>166597.00149289376</v>
      </c>
      <c r="GC236" s="422">
        <f t="shared" si="1135"/>
        <v>177153.76001550633</v>
      </c>
      <c r="GD236" s="422">
        <f t="shared" si="1135"/>
        <v>197050.77611878637</v>
      </c>
      <c r="GE236" s="422">
        <f t="shared" si="1135"/>
        <v>201683.90638575447</v>
      </c>
      <c r="GF236" s="422">
        <f t="shared" si="1135"/>
        <v>205096.64132294507</v>
      </c>
      <c r="GG236" s="422">
        <f t="shared" si="1135"/>
        <v>183924.78347276739</v>
      </c>
      <c r="GH236" s="422">
        <f t="shared" si="1135"/>
        <v>183290.65247524926</v>
      </c>
      <c r="GI236" s="422">
        <f t="shared" si="1135"/>
        <v>182651.76549524977</v>
      </c>
      <c r="GJ236" s="422">
        <f t="shared" si="1135"/>
        <v>182324.07566466738</v>
      </c>
      <c r="GK236" s="422">
        <f t="shared" si="1135"/>
        <v>181675.56944257524</v>
      </c>
      <c r="GL236" s="422">
        <f t="shared" si="1135"/>
        <v>181022.19942381745</v>
      </c>
      <c r="GM236" s="422">
        <f t="shared" si="1135"/>
        <v>188570.02953404235</v>
      </c>
      <c r="GN236" s="422">
        <f t="shared" si="1135"/>
        <v>187906.82221293962</v>
      </c>
      <c r="GO236" s="422">
        <f t="shared" si="1135"/>
        <v>187238.64083692874</v>
      </c>
      <c r="GP236" s="422">
        <f t="shared" si="1135"/>
        <v>188022.46893393091</v>
      </c>
      <c r="GQ236" s="422">
        <f t="shared" si="1135"/>
        <v>187344.22725207737</v>
      </c>
      <c r="GR236" s="422">
        <f t="shared" si="1135"/>
        <v>186660.89875760989</v>
      </c>
      <c r="GS236" s="422">
        <f t="shared" si="1135"/>
        <v>179296.96047656561</v>
      </c>
      <c r="GT236" s="422">
        <f t="shared" si="1135"/>
        <v>178603.34361745333</v>
      </c>
      <c r="GU236" s="422">
        <f t="shared" si="1135"/>
        <v>177904.52463189766</v>
      </c>
      <c r="GV236" s="422">
        <f t="shared" si="1135"/>
        <v>177515.92387895039</v>
      </c>
      <c r="GW236" s="422">
        <f t="shared" si="1135"/>
        <v>176806.58330004357</v>
      </c>
      <c r="GX236" s="422">
        <f t="shared" si="1135"/>
        <v>176091.92266679488</v>
      </c>
      <c r="GY236" s="422">
        <f t="shared" si="1135"/>
        <v>182799.16487240975</v>
      </c>
      <c r="GZ236" s="422">
        <f t="shared" si="1135"/>
        <v>182073.74413000172</v>
      </c>
      <c r="HA236" s="422">
        <f t="shared" si="1135"/>
        <v>181342.88273202567</v>
      </c>
      <c r="HB236" s="422">
        <f t="shared" si="1135"/>
        <v>182114.55643606462</v>
      </c>
      <c r="HC236" s="422">
        <f t="shared" si="1135"/>
        <v>181372.69100616532</v>
      </c>
      <c r="HD236" s="422">
        <f t="shared" si="1135"/>
        <v>180625.26158554174</v>
      </c>
      <c r="HE236" s="422">
        <f t="shared" si="1135"/>
        <v>306603868.92611778</v>
      </c>
      <c r="HF236" s="422">
        <f t="shared" si="1135"/>
        <v>0</v>
      </c>
      <c r="HG236" s="422">
        <f t="shared" si="1135"/>
        <v>0</v>
      </c>
      <c r="HH236" s="422" t="n">
        <f t="shared" ref="HH236:IM236" si="1136">IF(BX244="",0,BX244-HH210)</f>
        <v>0</v>
      </c>
      <c r="HI236" s="422">
        <f t="shared" si="1136"/>
        <v>0</v>
      </c>
      <c r="HJ236" s="422">
        <f t="shared" si="1136"/>
        <v>0</v>
      </c>
      <c r="HK236" s="422">
        <f t="shared" si="1136"/>
        <v>0</v>
      </c>
      <c r="HL236" s="422">
        <f t="shared" si="1136"/>
        <v>0</v>
      </c>
      <c r="HM236" s="422">
        <f t="shared" si="1136"/>
        <v>0</v>
      </c>
      <c r="HN236" s="422">
        <f t="shared" si="1136"/>
        <v>0</v>
      </c>
      <c r="HO236" s="422">
        <f t="shared" si="1136"/>
        <v>0</v>
      </c>
      <c r="HP236" s="422">
        <f t="shared" si="1136"/>
        <v>0</v>
      </c>
      <c r="HQ236" s="422">
        <f t="shared" si="1136"/>
        <v>0</v>
      </c>
      <c r="HR236" s="422">
        <f t="shared" si="1136"/>
        <v>0</v>
      </c>
      <c r="HS236" s="422">
        <f t="shared" si="1136"/>
        <v>0</v>
      </c>
      <c r="HT236" s="422">
        <f t="shared" si="1136"/>
        <v>0</v>
      </c>
      <c r="HU236" s="422">
        <f t="shared" si="1136"/>
        <v>0</v>
      </c>
      <c r="HV236" s="422">
        <f t="shared" si="1136"/>
        <v>0</v>
      </c>
      <c r="HW236" s="422">
        <f t="shared" si="1136"/>
        <v>0</v>
      </c>
      <c r="HX236" s="422">
        <f t="shared" si="1136"/>
        <v>0</v>
      </c>
      <c r="HY236" s="422">
        <f t="shared" si="1136"/>
        <v>0</v>
      </c>
      <c r="HZ236" s="422">
        <f t="shared" si="1136"/>
        <v>0</v>
      </c>
      <c r="IA236" s="422">
        <f t="shared" si="1136"/>
        <v>0</v>
      </c>
      <c r="IB236" s="422">
        <f t="shared" si="1136"/>
        <v>0</v>
      </c>
      <c r="IC236" s="422">
        <f t="shared" si="1136"/>
        <v>0</v>
      </c>
      <c r="ID236" s="422">
        <f t="shared" si="1136"/>
        <v>0</v>
      </c>
      <c r="IE236" s="422">
        <f t="shared" si="1136"/>
        <v>0</v>
      </c>
      <c r="IF236" s="422">
        <f t="shared" si="1136"/>
        <v>0</v>
      </c>
      <c r="IG236" s="422">
        <f t="shared" si="1136"/>
        <v>0</v>
      </c>
      <c r="IH236" s="422">
        <f t="shared" si="1136"/>
        <v>0</v>
      </c>
      <c r="II236" s="422">
        <f t="shared" si="1136"/>
        <v>0</v>
      </c>
      <c r="IJ236" s="422">
        <f t="shared" si="1136"/>
        <v>0</v>
      </c>
      <c r="IK236" s="422">
        <f t="shared" si="1136"/>
        <v>0</v>
      </c>
      <c r="IL236" s="422">
        <f t="shared" si="1136"/>
        <v>0</v>
      </c>
      <c r="IM236" s="422">
        <f t="shared" si="1136"/>
        <v>0</v>
      </c>
      <c r="IN236" s="422" t="n">
        <f t="shared" ref="IN236:JS236" si="1137">IF(DD244="",0,DD244-IN210)</f>
        <v>0</v>
      </c>
      <c r="IO236" s="422">
        <f t="shared" si="1137"/>
        <v>0</v>
      </c>
      <c r="IP236" s="422">
        <f t="shared" si="1137"/>
        <v>0</v>
      </c>
      <c r="IQ236" s="422">
        <f t="shared" si="1137"/>
        <v>0</v>
      </c>
      <c r="IR236" s="422">
        <f t="shared" si="1137"/>
        <v>0</v>
      </c>
      <c r="IS236" s="422">
        <f t="shared" si="1137"/>
        <v>0</v>
      </c>
      <c r="IT236" s="422">
        <f t="shared" si="1137"/>
        <v>0</v>
      </c>
      <c r="IU236" s="422">
        <f t="shared" si="1137"/>
        <v>0</v>
      </c>
      <c r="IV236" s="422">
        <f t="shared" si="1137"/>
        <v>0</v>
      </c>
      <c r="IW236" s="422">
        <f t="shared" si="1137"/>
        <v>0</v>
      </c>
      <c r="IX236" s="422">
        <f t="shared" si="1137"/>
        <v>0</v>
      </c>
      <c r="IY236" s="422">
        <f t="shared" si="1137"/>
        <v>0</v>
      </c>
      <c r="IZ236" s="422">
        <f t="shared" si="1137"/>
        <v>0</v>
      </c>
      <c r="JA236" s="422">
        <f t="shared" si="1137"/>
        <v>0</v>
      </c>
      <c r="JB236" s="422">
        <f t="shared" si="1137"/>
        <v>0</v>
      </c>
      <c r="JC236" s="422">
        <f t="shared" si="1137"/>
        <v>0</v>
      </c>
      <c r="JD236" s="422">
        <f t="shared" si="1137"/>
        <v>0</v>
      </c>
      <c r="JE236" s="422">
        <f t="shared" si="1137"/>
        <v>0</v>
      </c>
      <c r="JF236" s="422">
        <f t="shared" si="1137"/>
        <v>0</v>
      </c>
      <c r="JG236" s="422">
        <f t="shared" si="1137"/>
        <v>0</v>
      </c>
      <c r="JH236" s="422">
        <f t="shared" si="1137"/>
        <v>0</v>
      </c>
      <c r="JI236" s="422">
        <f t="shared" si="1137"/>
        <v>0</v>
      </c>
      <c r="JJ236" s="422">
        <f t="shared" si="1137"/>
        <v>0</v>
      </c>
      <c r="JK236" s="422">
        <f t="shared" si="1137"/>
        <v>0</v>
      </c>
      <c r="JL236" s="422">
        <f t="shared" si="1137"/>
        <v>0</v>
      </c>
      <c r="JM236" s="422">
        <f t="shared" si="1137"/>
        <v>0</v>
      </c>
      <c r="JN236" s="422">
        <f t="shared" si="1137"/>
        <v>0</v>
      </c>
      <c r="JO236" s="422">
        <f t="shared" si="1137"/>
        <v>0</v>
      </c>
      <c r="JP236" s="422">
        <f t="shared" si="1137"/>
        <v>0</v>
      </c>
      <c r="JQ236" s="422">
        <f t="shared" si="1137"/>
        <v>0</v>
      </c>
      <c r="JR236" s="422">
        <f t="shared" si="1137"/>
        <v>0</v>
      </c>
      <c r="JS236" s="422">
        <f t="shared" si="1137"/>
        <v>0</v>
      </c>
      <c r="JT236" s="422" t="n">
        <f t="shared" ref="JT236:JX236" si="1138">IF(EJ244="",0,EJ244-JT210)</f>
        <v>0</v>
      </c>
      <c r="JU236" s="422">
        <f t="shared" si="1138"/>
        <v>0</v>
      </c>
      <c r="JV236" s="422">
        <f t="shared" si="1138"/>
        <v>0</v>
      </c>
      <c r="JW236" s="422">
        <f t="shared" si="1138"/>
        <v>0</v>
      </c>
      <c r="JX236" s="422">
        <f t="shared" si="1138"/>
        <v>0</v>
      </c>
      <c r="JZ236" s="263"/>
      <c r="KA236" s="263"/>
      <c r="KB236" s="263"/>
      <c r="KC236" s="263"/>
      <c r="KD236" s="263"/>
      <c r="KE236" s="263"/>
      <c r="KF236" s="263"/>
      <c r="KG236" s="263"/>
      <c r="KH236" s="263"/>
      <c r="KI236" s="263"/>
      <c r="KJ236" s="263"/>
      <c r="KK236" s="263"/>
      <c r="KL236" s="263"/>
      <c r="KM236" s="263"/>
      <c r="KN236" s="263"/>
      <c r="KO236" s="263"/>
      <c r="KP236" s="263"/>
      <c r="KQ236" s="263"/>
      <c r="KR236" s="263"/>
      <c r="KS236" s="263"/>
      <c r="KT236" s="263"/>
      <c r="KU236" s="263"/>
      <c r="KV236" s="263"/>
      <c r="KW236" s="263"/>
      <c r="KX236" s="263"/>
      <c r="KY236" s="263"/>
      <c r="KZ236" s="263"/>
      <c r="LA236" s="263"/>
      <c r="LB236" s="263"/>
      <c r="LC236" s="263"/>
      <c r="LD236" s="263"/>
      <c r="LE236" s="263"/>
      <c r="LF236" s="263"/>
      <c r="LG236" s="263"/>
      <c r="LH236" s="263"/>
      <c r="LI236" s="263"/>
      <c r="LJ236" s="263"/>
      <c r="LK236" s="263"/>
      <c r="LL236" s="263"/>
      <c r="LM236" s="263"/>
      <c r="LN236" s="263"/>
      <c r="LO236" s="263"/>
      <c r="LP236" s="263"/>
      <c r="LQ236" s="263"/>
      <c r="LR236" s="263"/>
      <c r="LS236" s="263"/>
      <c r="LT236" s="263"/>
      <c r="LU236" s="263"/>
      <c r="LV236" s="263"/>
      <c r="LW236" s="263"/>
      <c r="LX236" s="263"/>
      <c r="LY236" s="263"/>
      <c r="LZ236" s="263"/>
      <c r="MA236" s="263"/>
      <c r="MB236" s="263"/>
      <c r="MC236" s="263"/>
      <c r="MD236" s="263"/>
      <c r="ME236" s="263"/>
      <c r="MF236" s="263"/>
      <c r="MG236" s="263"/>
      <c r="MH236" s="263"/>
      <c r="MI236" s="263"/>
      <c r="MJ236" s="263"/>
      <c r="MK236" s="263"/>
      <c r="ML236" s="263"/>
      <c r="MM236" s="263"/>
      <c r="MN236" s="263"/>
      <c r="MO236" s="263"/>
      <c r="MP236" s="263"/>
      <c r="MQ236" s="263"/>
      <c r="MR236" s="263"/>
      <c r="MS236" s="263"/>
      <c r="MT236" s="263"/>
      <c r="MU236" s="263"/>
      <c r="MV236" s="263"/>
      <c r="MW236" s="263"/>
      <c r="MX236" s="263"/>
      <c r="MY236" s="263"/>
      <c r="MZ236" s="263"/>
      <c r="NA236" s="263"/>
      <c r="NB236" s="263"/>
      <c r="NC236" s="263"/>
      <c r="ND236" s="263"/>
      <c r="NE236" s="263"/>
      <c r="NF236" s="263"/>
      <c r="NG236" s="263"/>
      <c r="NH236" s="263"/>
      <c r="NI236" s="263"/>
      <c r="NJ236" s="263"/>
      <c r="NK236" s="263"/>
      <c r="NL236" s="263"/>
      <c r="NM236" s="263"/>
      <c r="NN236" s="263"/>
      <c r="NO236" s="263"/>
      <c r="NP236" s="263"/>
      <c r="NQ236" s="263"/>
      <c r="NR236" s="263"/>
      <c r="NS236" s="263"/>
      <c r="NT236" s="263"/>
      <c r="NU236" s="263"/>
      <c r="NV236" s="263"/>
      <c r="NW236" s="263"/>
      <c r="NX236" s="263"/>
      <c r="NY236" s="263"/>
      <c r="NZ236" s="263"/>
      <c r="OA236" s="263"/>
      <c r="OB236" s="263"/>
      <c r="OC236" s="263"/>
      <c r="OD236" s="263"/>
      <c r="OE236" s="263"/>
      <c r="OF236" s="263"/>
      <c r="OG236" s="263"/>
      <c r="OH236" s="263"/>
      <c r="OI236" s="263"/>
      <c r="OJ236" s="263"/>
      <c r="OK236" s="263"/>
      <c r="OL236" s="263"/>
      <c r="OM236" s="263"/>
      <c r="ON236" s="263"/>
      <c r="OO236" s="263"/>
      <c r="OP236" s="263"/>
      <c r="OQ236" s="263"/>
      <c r="OR236" s="263"/>
      <c r="OS236" s="263"/>
      <c r="OT236" s="263"/>
      <c r="OU236" s="263"/>
      <c r="OV236" s="263"/>
      <c r="OW236" s="263"/>
      <c r="OX236" s="263"/>
      <c r="OY236" s="263"/>
      <c r="OZ236" s="263"/>
      <c r="PA236" s="263"/>
      <c r="PB236" s="263"/>
      <c r="PC236" s="263"/>
      <c r="PD236" s="263"/>
      <c r="PE236" s="263"/>
      <c r="PF236" s="263"/>
      <c r="PG236" s="263"/>
      <c r="PH236" s="263"/>
    </row>
    <row r="237">
      <c r="B237" s="34"/>
      <c r="C237" s="401"/>
      <c r="D237" s="401"/>
      <c r="E237" s="401"/>
      <c r="F237" s="401"/>
      <c r="G237" s="401"/>
      <c r="H237" s="401"/>
      <c r="I237" s="401"/>
      <c r="EP237" s="533" t="s">
        <v>434</v>
      </c>
      <c r="EQ237" s="530"/>
      <c r="ER237" s="530"/>
      <c r="ES237" s="530"/>
      <c r="ET237" s="530"/>
      <c r="EU237" s="18"/>
      <c r="EV237" s="530"/>
      <c r="EW237" s="530"/>
      <c r="EX237" s="530"/>
      <c r="EY237" s="530"/>
      <c r="EZ237" s="530"/>
      <c r="FA237" s="530"/>
      <c r="FB237" s="530"/>
      <c r="FC237" s="530"/>
      <c r="FD237" s="530"/>
      <c r="FE237" s="530"/>
      <c r="FF237" s="530"/>
      <c r="FG237" s="530"/>
      <c r="FH237" s="530"/>
      <c r="FI237" s="530"/>
      <c r="FJ237" s="530"/>
      <c r="FK237" s="530"/>
      <c r="FL237" s="530"/>
      <c r="FM237" s="530"/>
      <c r="FN237" s="530"/>
      <c r="FO237" s="530"/>
      <c r="FP237" s="530"/>
      <c r="FQ237" s="530"/>
      <c r="FR237" s="530"/>
      <c r="FS237" s="530"/>
      <c r="FT237" s="530"/>
      <c r="FU237" s="530"/>
      <c r="FV237" s="530"/>
      <c r="FW237" s="530"/>
      <c r="FX237" s="530"/>
      <c r="FY237" s="530"/>
      <c r="FZ237" s="530"/>
      <c r="GA237" s="530"/>
      <c r="GB237" s="530"/>
      <c r="GC237" s="530"/>
      <c r="GD237" s="530"/>
      <c r="GE237" s="530"/>
      <c r="GF237" s="530"/>
      <c r="GG237" s="530"/>
      <c r="GH237" s="530"/>
      <c r="GI237" s="530"/>
      <c r="GJ237" s="530"/>
      <c r="GK237" s="530"/>
      <c r="GL237" s="530"/>
      <c r="GM237" s="530"/>
      <c r="GN237" s="530"/>
      <c r="GO237" s="530"/>
      <c r="GP237" s="530"/>
      <c r="GQ237" s="530"/>
      <c r="GR237" s="530"/>
      <c r="GS237" s="530"/>
      <c r="GT237" s="530"/>
      <c r="GU237" s="530"/>
      <c r="GV237" s="530"/>
      <c r="GW237" s="530"/>
      <c r="GX237" s="530"/>
      <c r="GY237" s="530"/>
      <c r="GZ237" s="530"/>
      <c r="HA237" s="530"/>
      <c r="HB237" s="530"/>
      <c r="HC237" s="530"/>
      <c r="HD237" s="530"/>
      <c r="HE237" s="530"/>
      <c r="HF237" s="530"/>
      <c r="HG237" s="530"/>
      <c r="HH237" s="530"/>
      <c r="HI237" s="530"/>
      <c r="HJ237" s="530"/>
      <c r="HK237" s="530"/>
      <c r="HL237" s="530"/>
      <c r="HM237" s="530"/>
      <c r="HN237" s="530"/>
      <c r="HO237" s="530"/>
      <c r="HP237" s="530"/>
      <c r="HQ237" s="530"/>
      <c r="HR237" s="530"/>
      <c r="HS237" s="530"/>
      <c r="HT237" s="530"/>
      <c r="HU237" s="530"/>
      <c r="HV237" s="530"/>
      <c r="HW237" s="530"/>
      <c r="HX237" s="530"/>
      <c r="HY237" s="530"/>
      <c r="HZ237" s="530"/>
      <c r="IA237" s="530"/>
      <c r="IB237" s="530"/>
      <c r="IC237" s="530"/>
      <c r="ID237" s="530"/>
      <c r="IE237" s="530"/>
      <c r="IF237" s="530"/>
      <c r="IG237" s="530"/>
      <c r="IH237" s="530"/>
      <c r="II237" s="530"/>
      <c r="IJ237" s="530"/>
      <c r="IK237" s="530"/>
      <c r="IL237" s="530"/>
      <c r="IM237" s="530"/>
      <c r="IN237" s="530"/>
      <c r="IO237" s="530"/>
      <c r="IP237" s="530"/>
      <c r="IQ237" s="530"/>
      <c r="IR237" s="530"/>
      <c r="IS237" s="530"/>
      <c r="IT237" s="530"/>
      <c r="IU237" s="530"/>
      <c r="IV237" s="530"/>
      <c r="IW237" s="530"/>
      <c r="IX237" s="530"/>
      <c r="IY237" s="530"/>
      <c r="IZ237" s="530"/>
      <c r="JA237" s="530"/>
      <c r="JB237" s="530"/>
      <c r="JC237" s="530"/>
      <c r="JD237" s="530"/>
      <c r="JE237" s="530"/>
      <c r="JF237" s="530"/>
      <c r="JG237" s="530"/>
      <c r="JH237" s="530"/>
      <c r="JI237" s="530"/>
      <c r="JJ237" s="530"/>
      <c r="JK237" s="530"/>
      <c r="JL237" s="530"/>
      <c r="JM237" s="530"/>
      <c r="JN237" s="530"/>
      <c r="JO237" s="530"/>
      <c r="JP237" s="530"/>
      <c r="JQ237" s="530"/>
      <c r="JR237" s="530"/>
      <c r="JS237" s="530"/>
      <c r="JT237" s="530"/>
      <c r="JU237" s="530"/>
      <c r="JV237" s="530"/>
      <c r="JW237" s="530"/>
      <c r="JX237" s="530"/>
      <c r="JZ237" s="263"/>
      <c r="KA237" s="263"/>
      <c r="KB237" s="263"/>
      <c r="KC237" s="263"/>
      <c r="KD237" s="263"/>
      <c r="KE237" s="263"/>
      <c r="KF237" s="263"/>
      <c r="KG237" s="263"/>
      <c r="KH237" s="263"/>
      <c r="KI237" s="263"/>
      <c r="KJ237" s="263"/>
      <c r="KK237" s="263"/>
      <c r="KL237" s="263"/>
      <c r="KM237" s="263"/>
      <c r="KN237" s="263"/>
      <c r="KO237" s="263"/>
      <c r="KP237" s="263"/>
      <c r="KQ237" s="263"/>
      <c r="KR237" s="263"/>
      <c r="KS237" s="263"/>
      <c r="KT237" s="263"/>
      <c r="KU237" s="263"/>
      <c r="KV237" s="263"/>
      <c r="KW237" s="263"/>
      <c r="KX237" s="263"/>
      <c r="KY237" s="263"/>
      <c r="KZ237" s="263"/>
      <c r="LA237" s="263"/>
      <c r="LB237" s="263"/>
      <c r="LC237" s="263"/>
      <c r="LD237" s="263"/>
      <c r="LE237" s="263"/>
      <c r="LF237" s="263"/>
      <c r="LG237" s="263"/>
      <c r="LH237" s="263"/>
      <c r="LI237" s="263"/>
      <c r="LJ237" s="263"/>
      <c r="LK237" s="263"/>
      <c r="LL237" s="263"/>
      <c r="LM237" s="263"/>
      <c r="LN237" s="263"/>
      <c r="LO237" s="263"/>
      <c r="LP237" s="263"/>
      <c r="LQ237" s="263"/>
      <c r="LR237" s="263"/>
      <c r="LS237" s="263"/>
      <c r="LT237" s="263"/>
      <c r="LU237" s="263"/>
      <c r="LV237" s="263"/>
      <c r="LW237" s="263"/>
      <c r="LX237" s="263"/>
      <c r="LY237" s="263"/>
      <c r="LZ237" s="263"/>
      <c r="MA237" s="263"/>
      <c r="MB237" s="263"/>
      <c r="MC237" s="263"/>
      <c r="MD237" s="263"/>
      <c r="ME237" s="263"/>
      <c r="MF237" s="263"/>
      <c r="MG237" s="263"/>
      <c r="MH237" s="263"/>
      <c r="MI237" s="263"/>
      <c r="MJ237" s="263"/>
      <c r="MK237" s="263"/>
      <c r="ML237" s="263"/>
      <c r="MM237" s="263"/>
      <c r="MN237" s="263"/>
      <c r="MO237" s="263"/>
      <c r="MP237" s="263"/>
      <c r="MQ237" s="263"/>
      <c r="MR237" s="263"/>
      <c r="MS237" s="263"/>
      <c r="MT237" s="263"/>
      <c r="MU237" s="263"/>
      <c r="MV237" s="263"/>
      <c r="MW237" s="263"/>
      <c r="MX237" s="263"/>
      <c r="MY237" s="263"/>
      <c r="MZ237" s="263"/>
      <c r="NA237" s="263"/>
      <c r="NB237" s="263"/>
      <c r="NC237" s="263"/>
      <c r="ND237" s="263"/>
      <c r="NE237" s="263"/>
      <c r="NF237" s="263"/>
      <c r="NG237" s="263"/>
      <c r="NH237" s="263"/>
      <c r="NI237" s="263"/>
      <c r="NJ237" s="263"/>
      <c r="NK237" s="263"/>
      <c r="NL237" s="263"/>
      <c r="NM237" s="263"/>
      <c r="NN237" s="263"/>
      <c r="NO237" s="263"/>
      <c r="NP237" s="263"/>
      <c r="NQ237" s="263"/>
      <c r="NR237" s="263"/>
      <c r="NS237" s="263"/>
      <c r="NT237" s="263"/>
      <c r="NU237" s="263"/>
      <c r="NV237" s="263"/>
      <c r="NW237" s="263"/>
      <c r="NX237" s="263"/>
      <c r="NY237" s="263"/>
      <c r="NZ237" s="263"/>
      <c r="OA237" s="263"/>
      <c r="OB237" s="263"/>
      <c r="OC237" s="263"/>
      <c r="OD237" s="263"/>
      <c r="OE237" s="263"/>
      <c r="OF237" s="263"/>
      <c r="OG237" s="263"/>
      <c r="OH237" s="263"/>
      <c r="OI237" s="263"/>
      <c r="OJ237" s="263"/>
      <c r="OK237" s="263"/>
      <c r="OL237" s="263"/>
      <c r="OM237" s="263"/>
      <c r="ON237" s="263"/>
      <c r="OO237" s="263"/>
      <c r="OP237" s="263"/>
      <c r="OQ237" s="263"/>
      <c r="OR237" s="263"/>
      <c r="OS237" s="263"/>
      <c r="OT237" s="263"/>
      <c r="OU237" s="263"/>
      <c r="OV237" s="263"/>
      <c r="OW237" s="263"/>
      <c r="OX237" s="263"/>
      <c r="OY237" s="263"/>
      <c r="OZ237" s="263"/>
      <c r="PA237" s="263"/>
      <c r="PB237" s="263"/>
      <c r="PC237" s="263"/>
      <c r="PD237" s="263"/>
      <c r="PE237" s="263"/>
      <c r="PF237" s="263"/>
      <c r="PG237" s="263"/>
      <c r="PH237" s="263"/>
    </row>
    <row r="238">
      <c r="B238" s="415" t="s">
        <v>435</v>
      </c>
      <c r="C238" s="401"/>
      <c r="D238" s="401"/>
      <c r="E238" s="401"/>
      <c r="F238" s="401"/>
      <c r="G238" s="401"/>
      <c r="H238" s="416" t="s">
        <v>209</v>
      </c>
      <c r="I238" s="416" t="s">
        <v>80</v>
      </c>
      <c r="EP238" s="409" t="s">
        <v>365</v>
      </c>
      <c r="EQ238" s="18"/>
      <c r="ER238" s="18"/>
      <c r="ES238" s="18"/>
      <c r="ET238" s="18" t="s">
        <v>436</v>
      </c>
      <c r="EU238" s="18"/>
      <c r="EV238" s="422" t="n">
        <f>(EV$197&lt;=Timing_Reversion_Month)*EU242</f>
        <v>0</v>
      </c>
      <c r="EW238" s="422" t="n">
        <f t="shared" ref="EW238:GA238" si="1139">(EW$197&lt;=Timing_Reversion_Month)*EV242</f>
        <v>4134152.6629957748</v>
      </c>
      <c r="EX238" s="422">
        <f t="shared" si="1139"/>
        <v>4144286.2898599128</v>
      </c>
      <c r="EY238" s="422">
        <f t="shared" si="1139"/>
        <v>4167375.4469109043</v>
      </c>
      <c r="EZ238" s="422">
        <f t="shared" si="1139"/>
        <v>4209029.336319753</v>
      </c>
      <c r="FA238" s="422">
        <f t="shared" si="1139"/>
        <v>4276473.6882158518</v>
      </c>
      <c r="FB238" s="422">
        <f t="shared" si="1139"/>
        <v>4384074.8212619377</v>
      </c>
      <c r="FC238" s="422">
        <f t="shared" si="1139"/>
        <v>4503792.9646215849</v>
      </c>
      <c r="FD238" s="422">
        <f t="shared" si="1139"/>
        <v>4680499.4268628461</v>
      </c>
      <c r="FE238" s="422">
        <f t="shared" si="1139"/>
        <v>4926827.7243906222</v>
      </c>
      <c r="FF238" s="422">
        <f t="shared" si="1139"/>
        <v>5255277.920916304</v>
      </c>
      <c r="FG238" s="422">
        <f t="shared" si="1139"/>
        <v>5677086.1214342555</v>
      </c>
      <c r="FH238" s="422">
        <f t="shared" si="1139"/>
        <v>6200927.2928010682</v>
      </c>
      <c r="FI238" s="422">
        <f t="shared" si="1139"/>
        <v>6831594.3617788134</v>
      </c>
      <c r="FJ238" s="422">
        <f t="shared" si="1139"/>
        <v>7568835.527034224</v>
      </c>
      <c r="FK238" s="422">
        <f t="shared" si="1139"/>
        <v>8406543.7356762849</v>
      </c>
      <c r="FL238" s="422">
        <f t="shared" si="1139"/>
        <v>9332468.9198980723</v>
      </c>
      <c r="FM238" s="422">
        <f t="shared" si="1139"/>
        <v>9561454.3814517241</v>
      </c>
      <c r="FN238" s="422">
        <f t="shared" si="1139"/>
        <v>9589843.695792852</v>
      </c>
      <c r="FO238" s="422">
        <f t="shared" si="1139"/>
        <v>9484870.7560380753</v>
      </c>
      <c r="FP238" s="422">
        <f t="shared" si="1139"/>
        <v>9391224.8363636713</v>
      </c>
      <c r="FQ238" s="422">
        <f t="shared" si="1139"/>
        <v>9304632.2617314346</v>
      </c>
      <c r="FR238" s="422">
        <f t="shared" si="1139"/>
        <v>9187434.5295773409</v>
      </c>
      <c r="FS238" s="422">
        <f t="shared" si="1139"/>
        <v>9076457.1886356082</v>
      </c>
      <c r="FT238" s="422">
        <f t="shared" si="1139"/>
        <v>8971181.7166953739</v>
      </c>
      <c r="FU238" s="422">
        <f t="shared" si="1139"/>
        <v>8856471.7084497251</v>
      </c>
      <c r="FV238" s="422">
        <f t="shared" si="1139"/>
        <v>8746050.3442390412</v>
      </c>
      <c r="FW238" s="422">
        <f t="shared" si="1139"/>
        <v>8639214.0235201567</v>
      </c>
      <c r="FX238" s="422">
        <f t="shared" si="1139"/>
        <v>8526345.0643676184</v>
      </c>
      <c r="FY238" s="422">
        <f t="shared" si="1139"/>
        <v>8445517.0975265056</v>
      </c>
      <c r="FZ238" s="422">
        <f t="shared" si="1139"/>
        <v>8431499.9081813172</v>
      </c>
      <c r="GA238" s="422">
        <f t="shared" si="1139"/>
        <v>8366810.2608615477</v>
      </c>
      <c r="GB238" s="422" t="n">
        <f t="shared" ref="GB238:HG238" si="1140">(GB$197&lt;=Timing_Reversion_Month)*GA242</f>
        <v>8282848.9340472</v>
      </c>
      <c r="GC238" s="422">
        <f t="shared" si="1140"/>
        <v>8184278.9528753469</v>
      </c>
      <c r="GD238" s="422">
        <f t="shared" si="1140"/>
        <v>8074969.6253834413</v>
      </c>
      <c r="GE238" s="422">
        <f t="shared" si="1140"/>
        <v>7945970.3049287163</v>
      </c>
      <c r="GF238" s="422">
        <f t="shared" si="1140"/>
        <v>7811639.7709102919</v>
      </c>
      <c r="GG238" s="422">
        <f t="shared" si="1140"/>
        <v>7673098.9751116373</v>
      </c>
      <c r="GH238" s="422">
        <f t="shared" si="1140"/>
        <v>7553672.9359628549</v>
      </c>
      <c r="GI238" s="422">
        <f t="shared" si="1140"/>
        <v>7433988.5791852036</v>
      </c>
      <c r="GJ238" s="422">
        <f t="shared" si="1140"/>
        <v>7314048.5611833725</v>
      </c>
      <c r="GK238" s="422">
        <f t="shared" si="1140"/>
        <v>7193555.402032312</v>
      </c>
      <c r="GL238" s="422">
        <f t="shared" si="1140"/>
        <v>7072809.8906368539</v>
      </c>
      <c r="GM238" s="422">
        <f t="shared" si="1140"/>
        <v>6951814.8288196167</v>
      </c>
      <c r="GN238" s="422">
        <f t="shared" si="1140"/>
        <v>6822777.2778674932</v>
      </c>
      <c r="GO238" s="422">
        <f t="shared" si="1140"/>
        <v>6693439.7585207829</v>
      </c>
      <c r="GP238" s="422">
        <f t="shared" si="1140"/>
        <v>6563804.8341624439</v>
      </c>
      <c r="GQ238" s="422">
        <f t="shared" si="1140"/>
        <v>6432490.9522990398</v>
      </c>
      <c r="GR238" s="422">
        <f t="shared" si="1140"/>
        <v>6300874.97843091</v>
      </c>
      <c r="GS238" s="422">
        <f t="shared" si="1140"/>
        <v>6168959.5677552875</v>
      </c>
      <c r="GT238" s="422">
        <f t="shared" si="1140"/>
        <v>6043089.1414315375</v>
      </c>
      <c r="GU238" s="422">
        <f t="shared" si="1140"/>
        <v>5916970.4622654887</v>
      </c>
      <c r="GV238" s="422">
        <f t="shared" si="1140"/>
        <v>5790606.6830387646</v>
      </c>
      <c r="GW238" s="422">
        <f t="shared" si="1140"/>
        <v>5663701.3299150039</v>
      </c>
      <c r="GX238" s="422">
        <f t="shared" si="1140"/>
        <v>5536555.2024306934</v>
      </c>
      <c r="GY238" s="422">
        <f t="shared" si="1140"/>
        <v>5409171.6192987952</v>
      </c>
      <c r="GZ238" s="422">
        <f t="shared" si="1140"/>
        <v>5274498.0614027632</v>
      </c>
      <c r="HA238" s="422">
        <f t="shared" si="1140"/>
        <v>5139543.0173381278</v>
      </c>
      <c r="HB238" s="422">
        <f t="shared" si="1140"/>
        <v>5004309.6269658525</v>
      </c>
      <c r="HC238" s="422">
        <f t="shared" si="1140"/>
        <v>4867368.4758071899</v>
      </c>
      <c r="HD238" s="422">
        <f t="shared" si="1140"/>
        <v>4730145.1176552465</v>
      </c>
      <c r="HE238" s="422">
        <f t="shared" si="1140"/>
        <v>4592642.8043441689</v>
      </c>
      <c r="HF238" s="422">
        <f t="shared" si="1140"/>
        <v>0</v>
      </c>
      <c r="HG238" s="422">
        <f t="shared" si="1140"/>
        <v>0</v>
      </c>
      <c r="HH238" s="422" t="n">
        <f t="shared" ref="HH238:IM238" si="1141">(HH$197&lt;=Timing_Reversion_Month)*HG242</f>
        <v>0</v>
      </c>
      <c r="HI238" s="422">
        <f t="shared" si="1141"/>
        <v>0</v>
      </c>
      <c r="HJ238" s="422">
        <f t="shared" si="1141"/>
        <v>0</v>
      </c>
      <c r="HK238" s="422">
        <f t="shared" si="1141"/>
        <v>0</v>
      </c>
      <c r="HL238" s="422">
        <f t="shared" si="1141"/>
        <v>0</v>
      </c>
      <c r="HM238" s="422">
        <f t="shared" si="1141"/>
        <v>0</v>
      </c>
      <c r="HN238" s="422">
        <f t="shared" si="1141"/>
        <v>0</v>
      </c>
      <c r="HO238" s="422">
        <f t="shared" si="1141"/>
        <v>0</v>
      </c>
      <c r="HP238" s="422">
        <f t="shared" si="1141"/>
        <v>0</v>
      </c>
      <c r="HQ238" s="422">
        <f t="shared" si="1141"/>
        <v>0</v>
      </c>
      <c r="HR238" s="422">
        <f t="shared" si="1141"/>
        <v>0</v>
      </c>
      <c r="HS238" s="422">
        <f t="shared" si="1141"/>
        <v>0</v>
      </c>
      <c r="HT238" s="422">
        <f t="shared" si="1141"/>
        <v>0</v>
      </c>
      <c r="HU238" s="422">
        <f t="shared" si="1141"/>
        <v>0</v>
      </c>
      <c r="HV238" s="422">
        <f t="shared" si="1141"/>
        <v>0</v>
      </c>
      <c r="HW238" s="422">
        <f t="shared" si="1141"/>
        <v>0</v>
      </c>
      <c r="HX238" s="422">
        <f t="shared" si="1141"/>
        <v>0</v>
      </c>
      <c r="HY238" s="422">
        <f t="shared" si="1141"/>
        <v>0</v>
      </c>
      <c r="HZ238" s="422">
        <f t="shared" si="1141"/>
        <v>0</v>
      </c>
      <c r="IA238" s="422">
        <f t="shared" si="1141"/>
        <v>0</v>
      </c>
      <c r="IB238" s="422">
        <f t="shared" si="1141"/>
        <v>0</v>
      </c>
      <c r="IC238" s="422">
        <f t="shared" si="1141"/>
        <v>0</v>
      </c>
      <c r="ID238" s="422">
        <f t="shared" si="1141"/>
        <v>0</v>
      </c>
      <c r="IE238" s="422">
        <f t="shared" si="1141"/>
        <v>0</v>
      </c>
      <c r="IF238" s="422">
        <f t="shared" si="1141"/>
        <v>0</v>
      </c>
      <c r="IG238" s="422">
        <f t="shared" si="1141"/>
        <v>0</v>
      </c>
      <c r="IH238" s="422">
        <f t="shared" si="1141"/>
        <v>0</v>
      </c>
      <c r="II238" s="422">
        <f t="shared" si="1141"/>
        <v>0</v>
      </c>
      <c r="IJ238" s="422">
        <f t="shared" si="1141"/>
        <v>0</v>
      </c>
      <c r="IK238" s="422">
        <f t="shared" si="1141"/>
        <v>0</v>
      </c>
      <c r="IL238" s="422">
        <f t="shared" si="1141"/>
        <v>0</v>
      </c>
      <c r="IM238" s="422">
        <f t="shared" si="1141"/>
        <v>0</v>
      </c>
      <c r="IN238" s="422" t="n">
        <f t="shared" ref="IN238:JX238" si="1142">(IN$197&lt;=Timing_Reversion_Month)*IM242</f>
        <v>0</v>
      </c>
      <c r="IO238" s="422">
        <f t="shared" si="1142"/>
        <v>0</v>
      </c>
      <c r="IP238" s="422">
        <f t="shared" si="1142"/>
        <v>0</v>
      </c>
      <c r="IQ238" s="422">
        <f t="shared" si="1142"/>
        <v>0</v>
      </c>
      <c r="IR238" s="422">
        <f t="shared" si="1142"/>
        <v>0</v>
      </c>
      <c r="IS238" s="422">
        <f t="shared" si="1142"/>
        <v>0</v>
      </c>
      <c r="IT238" s="422">
        <f t="shared" si="1142"/>
        <v>0</v>
      </c>
      <c r="IU238" s="422">
        <f t="shared" si="1142"/>
        <v>0</v>
      </c>
      <c r="IV238" s="422">
        <f t="shared" si="1142"/>
        <v>0</v>
      </c>
      <c r="IW238" s="422">
        <f t="shared" si="1142"/>
        <v>0</v>
      </c>
      <c r="IX238" s="422">
        <f t="shared" si="1142"/>
        <v>0</v>
      </c>
      <c r="IY238" s="422">
        <f t="shared" si="1142"/>
        <v>0</v>
      </c>
      <c r="IZ238" s="422">
        <f t="shared" si="1142"/>
        <v>0</v>
      </c>
      <c r="JA238" s="422">
        <f t="shared" si="1142"/>
        <v>0</v>
      </c>
      <c r="JB238" s="422">
        <f t="shared" si="1142"/>
        <v>0</v>
      </c>
      <c r="JC238" s="422">
        <f t="shared" si="1142"/>
        <v>0</v>
      </c>
      <c r="JD238" s="422">
        <f t="shared" si="1142"/>
        <v>0</v>
      </c>
      <c r="JE238" s="422">
        <f t="shared" si="1142"/>
        <v>0</v>
      </c>
      <c r="JF238" s="422">
        <f t="shared" si="1142"/>
        <v>0</v>
      </c>
      <c r="JG238" s="422">
        <f t="shared" si="1142"/>
        <v>0</v>
      </c>
      <c r="JH238" s="422">
        <f t="shared" si="1142"/>
        <v>0</v>
      </c>
      <c r="JI238" s="422">
        <f t="shared" si="1142"/>
        <v>0</v>
      </c>
      <c r="JJ238" s="422">
        <f t="shared" si="1142"/>
        <v>0</v>
      </c>
      <c r="JK238" s="422">
        <f t="shared" si="1142"/>
        <v>0</v>
      </c>
      <c r="JL238" s="422">
        <f t="shared" si="1142"/>
        <v>0</v>
      </c>
      <c r="JM238" s="422">
        <f t="shared" si="1142"/>
        <v>0</v>
      </c>
      <c r="JN238" s="422">
        <f t="shared" si="1142"/>
        <v>0</v>
      </c>
      <c r="JO238" s="422">
        <f t="shared" si="1142"/>
        <v>0</v>
      </c>
      <c r="JP238" s="422">
        <f t="shared" si="1142"/>
        <v>0</v>
      </c>
      <c r="JQ238" s="422">
        <f t="shared" si="1142"/>
        <v>0</v>
      </c>
      <c r="JR238" s="422">
        <f t="shared" si="1142"/>
        <v>0</v>
      </c>
      <c r="JS238" s="422">
        <f t="shared" si="1142"/>
        <v>0</v>
      </c>
      <c r="JT238" s="422">
        <f t="shared" si="1142"/>
        <v>0</v>
      </c>
      <c r="JU238" s="422">
        <f t="shared" si="1142"/>
        <v>0</v>
      </c>
      <c r="JV238" s="422">
        <f t="shared" si="1142"/>
        <v>0</v>
      </c>
      <c r="JW238" s="422">
        <f t="shared" si="1142"/>
        <v>0</v>
      </c>
      <c r="JX238" s="422">
        <f t="shared" si="1142"/>
        <v>0</v>
      </c>
      <c r="JZ238" s="263"/>
      <c r="KA238" s="263"/>
      <c r="KB238" s="263"/>
      <c r="KC238" s="263"/>
      <c r="KD238" s="263"/>
      <c r="KE238" s="263"/>
      <c r="KF238" s="263"/>
      <c r="KG238" s="263"/>
      <c r="KH238" s="263"/>
      <c r="KI238" s="263"/>
      <c r="KJ238" s="263"/>
      <c r="KK238" s="263"/>
      <c r="KL238" s="263"/>
      <c r="KM238" s="263"/>
      <c r="KN238" s="263"/>
      <c r="KO238" s="263"/>
      <c r="KP238" s="263"/>
      <c r="KQ238" s="263"/>
      <c r="KR238" s="263"/>
      <c r="KS238" s="263"/>
      <c r="KT238" s="263"/>
      <c r="KU238" s="263"/>
      <c r="KV238" s="263"/>
      <c r="KW238" s="263"/>
      <c r="KX238" s="263"/>
      <c r="KY238" s="263"/>
      <c r="KZ238" s="263"/>
      <c r="LA238" s="263"/>
      <c r="LB238" s="263"/>
      <c r="LC238" s="263"/>
      <c r="LD238" s="263"/>
      <c r="LE238" s="263"/>
      <c r="LF238" s="263"/>
      <c r="LG238" s="263"/>
      <c r="LH238" s="263"/>
      <c r="LI238" s="263"/>
      <c r="LJ238" s="263"/>
      <c r="LK238" s="263"/>
      <c r="LL238" s="263"/>
      <c r="LM238" s="263"/>
      <c r="LN238" s="263"/>
      <c r="LO238" s="263"/>
      <c r="LP238" s="263"/>
      <c r="LQ238" s="263"/>
      <c r="LR238" s="263"/>
      <c r="LS238" s="263"/>
      <c r="LT238" s="263"/>
      <c r="LU238" s="263"/>
      <c r="LV238" s="263"/>
      <c r="LW238" s="263"/>
      <c r="LX238" s="263"/>
      <c r="LY238" s="263"/>
      <c r="LZ238" s="263"/>
      <c r="MA238" s="263"/>
      <c r="MB238" s="263"/>
      <c r="MC238" s="263"/>
      <c r="MD238" s="263"/>
      <c r="ME238" s="263"/>
      <c r="MF238" s="263"/>
      <c r="MG238" s="263"/>
      <c r="MH238" s="263"/>
      <c r="MI238" s="263"/>
      <c r="MJ238" s="263"/>
      <c r="MK238" s="263"/>
      <c r="ML238" s="263"/>
      <c r="MM238" s="263"/>
      <c r="MN238" s="263"/>
      <c r="MO238" s="263"/>
      <c r="MP238" s="263"/>
      <c r="MQ238" s="263"/>
      <c r="MR238" s="263"/>
      <c r="MS238" s="263"/>
      <c r="MT238" s="263"/>
      <c r="MU238" s="263"/>
      <c r="MV238" s="263"/>
      <c r="MW238" s="263"/>
      <c r="MX238" s="263"/>
      <c r="MY238" s="263"/>
      <c r="MZ238" s="263"/>
      <c r="NA238" s="263"/>
      <c r="NB238" s="263"/>
      <c r="NC238" s="263"/>
      <c r="ND238" s="263"/>
      <c r="NE238" s="263"/>
      <c r="NF238" s="263"/>
      <c r="NG238" s="263"/>
      <c r="NH238" s="263"/>
      <c r="NI238" s="263"/>
      <c r="NJ238" s="263"/>
      <c r="NK238" s="263"/>
      <c r="NL238" s="263"/>
      <c r="NM238" s="263"/>
      <c r="NN238" s="263"/>
      <c r="NO238" s="263"/>
      <c r="NP238" s="263"/>
      <c r="NQ238" s="263"/>
      <c r="NR238" s="263"/>
      <c r="NS238" s="263"/>
      <c r="NT238" s="263"/>
      <c r="NU238" s="263"/>
      <c r="NV238" s="263"/>
      <c r="NW238" s="263"/>
      <c r="NX238" s="263"/>
      <c r="NY238" s="263"/>
      <c r="NZ238" s="263"/>
      <c r="OA238" s="263"/>
      <c r="OB238" s="263"/>
      <c r="OC238" s="263"/>
      <c r="OD238" s="263"/>
      <c r="OE238" s="263"/>
      <c r="OF238" s="263"/>
      <c r="OG238" s="263"/>
      <c r="OH238" s="263"/>
      <c r="OI238" s="263"/>
      <c r="OJ238" s="263"/>
      <c r="OK238" s="263"/>
      <c r="OL238" s="263"/>
      <c r="OM238" s="263"/>
      <c r="ON238" s="263"/>
      <c r="OO238" s="263"/>
      <c r="OP238" s="263"/>
      <c r="OQ238" s="263"/>
      <c r="OR238" s="263"/>
      <c r="OS238" s="263"/>
      <c r="OT238" s="263"/>
      <c r="OU238" s="263"/>
      <c r="OV238" s="263"/>
      <c r="OW238" s="263"/>
      <c r="OX238" s="263"/>
      <c r="OY238" s="263"/>
      <c r="OZ238" s="263"/>
      <c r="PA238" s="263"/>
      <c r="PB238" s="263"/>
      <c r="PC238" s="263"/>
      <c r="PD238" s="263"/>
      <c r="PE238" s="263"/>
      <c r="PF238" s="263"/>
      <c r="PG238" s="263"/>
      <c r="PH238" s="263"/>
    </row>
    <row r="239">
      <c r="B239" s="34" t="s">
        <v>415</v>
      </c>
      <c r="C239" s="548" t="str">
        <f>C228</f>
        <v>Sponsor / General Partner — illustrative waterfall</v>
      </c>
      <c r="D239" s="401"/>
      <c r="E239" s="401"/>
      <c r="F239" s="401"/>
      <c r="G239" s="86"/>
      <c r="H239" s="53" t="n">
        <f>I239/$I$241</f>
        <v>0.321791583788336</v>
      </c>
      <c r="I239" s="449" t="n">
        <f>SUM(L239:EN239)</f>
        <v>316137990.5354668</v>
      </c>
      <c r="L239" s="421" t="str">
        <f>IF(L$227="","",EV207+EV210+EV220+EV230+EV234)</f>
      </c>
      <c r="M239" s="421" t="n">
        <f t="shared" ref="M239:BX239" si="1143">IF(M$227="","",EW207+EW210+EW220+EW230+EW234)</f>
        <v>20697.41896456861</v>
      </c>
      <c r="N239" s="421">
        <f t="shared" si="1143"/>
        <v>7136.8991101698402</v>
      </c>
      <c r="O239" s="421">
        <f t="shared" si="1143"/>
        <v>0</v>
      </c>
      <c r="P239" s="421">
        <f t="shared" si="1143"/>
        <v>0</v>
      </c>
      <c r="Q239" s="421">
        <f t="shared" si="1143"/>
        <v>0</v>
      </c>
      <c r="R239" s="421">
        <f t="shared" si="1143"/>
        <v>0</v>
      </c>
      <c r="S239" s="421">
        <f t="shared" si="1143"/>
        <v>0</v>
      </c>
      <c r="T239" s="421">
        <f t="shared" si="1143"/>
        <v>0</v>
      </c>
      <c r="U239" s="421">
        <f t="shared" si="1143"/>
        <v>0</v>
      </c>
      <c r="V239" s="421">
        <f t="shared" si="1143"/>
        <v>0</v>
      </c>
      <c r="W239" s="421">
        <f t="shared" si="1143"/>
        <v>0</v>
      </c>
      <c r="X239" s="421">
        <f t="shared" si="1143"/>
        <v>0</v>
      </c>
      <c r="Y239" s="421">
        <f t="shared" si="1143"/>
        <v>0</v>
      </c>
      <c r="Z239" s="421">
        <f t="shared" si="1143"/>
        <v>0</v>
      </c>
      <c r="AA239" s="421">
        <f t="shared" si="1143"/>
        <v>0</v>
      </c>
      <c r="AB239" s="421">
        <f t="shared" si="1143"/>
        <v>0</v>
      </c>
      <c r="AC239" s="421">
        <f t="shared" si="1143"/>
        <v>42655.977640512116</v>
      </c>
      <c r="AD239" s="421">
        <f t="shared" si="1143"/>
        <v>183252.67770691717</v>
      </c>
      <c r="AE239" s="421">
        <f t="shared" si="1143"/>
        <v>170533.1050788837</v>
      </c>
      <c r="AF239" s="421">
        <f t="shared" si="1143"/>
        <v>162398.0719604654</v>
      </c>
      <c r="AG239" s="421">
        <f t="shared" si="1143"/>
        <v>193957.07916015596</v>
      </c>
      <c r="AH239" s="421">
        <f t="shared" si="1143"/>
        <v>186520.1600444566</v>
      </c>
      <c r="AI239" s="421">
        <f t="shared" si="1143"/>
        <v>179676.24575137324</v>
      </c>
      <c r="AJ239" s="421">
        <f t="shared" si="1143"/>
        <v>188808.64779545995</v>
      </c>
      <c r="AK239" s="421">
        <f t="shared" si="1143"/>
        <v>183424.02026705141</v>
      </c>
      <c r="AL239" s="421">
        <f t="shared" si="1143"/>
        <v>178812.56135686929</v>
      </c>
      <c r="AM239" s="421">
        <f t="shared" si="1143"/>
        <v>184352.17664984387</v>
      </c>
      <c r="AN239" s="421">
        <f t="shared" si="1143"/>
        <v>149768.51834205934</v>
      </c>
      <c r="AO239" s="421">
        <f t="shared" si="1143"/>
        <v>78828.170146339718</v>
      </c>
      <c r="AP239" s="421">
        <f t="shared" si="1143"/>
        <v>132061.2559979037</v>
      </c>
      <c r="AQ239" s="421">
        <f t="shared" si="1143"/>
        <v>151856.45630436513</v>
      </c>
      <c r="AR239" s="421">
        <f t="shared" si="1143"/>
        <v>166597.00149289376</v>
      </c>
      <c r="AS239" s="421">
        <f t="shared" si="1143"/>
        <v>177153.76001550633</v>
      </c>
      <c r="AT239" s="421">
        <f t="shared" si="1143"/>
        <v>197050.77611878637</v>
      </c>
      <c r="AU239" s="421">
        <f t="shared" si="1143"/>
        <v>201683.90638575447</v>
      </c>
      <c r="AV239" s="421">
        <f t="shared" si="1143"/>
        <v>205096.64132294507</v>
      </c>
      <c r="AW239" s="421">
        <f t="shared" si="1143"/>
        <v>183924.78347276739</v>
      </c>
      <c r="AX239" s="421">
        <f t="shared" si="1143"/>
        <v>183290.65247524926</v>
      </c>
      <c r="AY239" s="421">
        <f t="shared" si="1143"/>
        <v>182651.76549524977</v>
      </c>
      <c r="AZ239" s="421">
        <f t="shared" si="1143"/>
        <v>182324.07566466738</v>
      </c>
      <c r="BA239" s="421">
        <f t="shared" si="1143"/>
        <v>181675.56944257524</v>
      </c>
      <c r="BB239" s="421">
        <f t="shared" si="1143"/>
        <v>181022.19942381745</v>
      </c>
      <c r="BC239" s="421">
        <f t="shared" si="1143"/>
        <v>188570.02953404235</v>
      </c>
      <c r="BD239" s="76">
        <f t="shared" si="1143"/>
        <v>187906.82221293962</v>
      </c>
      <c r="BE239" s="76">
        <f t="shared" si="1143"/>
        <v>187238.64083692874</v>
      </c>
      <c r="BF239" s="76">
        <f t="shared" si="1143"/>
        <v>188022.46893393091</v>
      </c>
      <c r="BG239" s="76">
        <f t="shared" si="1143"/>
        <v>187344.22725207737</v>
      </c>
      <c r="BH239" s="76">
        <f t="shared" si="1143"/>
        <v>186660.89875760989</v>
      </c>
      <c r="BI239" s="76">
        <f t="shared" si="1143"/>
        <v>318883.14423809899</v>
      </c>
      <c r="BJ239" s="76">
        <f t="shared" si="1143"/>
        <v>318189.52737898671</v>
      </c>
      <c r="BK239" s="76">
        <f t="shared" si="1143"/>
        <v>317490.70839343104</v>
      </c>
      <c r="BL239" s="76">
        <f t="shared" si="1143"/>
        <v>317102.10764048377</v>
      </c>
      <c r="BM239" s="76">
        <f t="shared" si="1143"/>
        <v>316392.76706157695</v>
      </c>
      <c r="BN239" s="76">
        <f t="shared" si="1143"/>
        <v>315678.10642832826</v>
      </c>
      <c r="BO239" s="76">
        <f t="shared" si="1143"/>
        <v>322385.34863394313</v>
      </c>
      <c r="BP239" s="76">
        <f t="shared" si="1143"/>
        <v>321659.9278915351</v>
      </c>
      <c r="BQ239" s="76">
        <f t="shared" si="1143"/>
        <v>320929.06649355905</v>
      </c>
      <c r="BR239" s="76">
        <f t="shared" si="1143"/>
        <v>321700.740197598</v>
      </c>
      <c r="BS239" s="76">
        <f t="shared" si="1143"/>
        <v>320958.8747676987</v>
      </c>
      <c r="BT239" s="76">
        <f t="shared" si="1143"/>
        <v>320211.44534707512</v>
      </c>
      <c r="BU239" s="76">
        <f t="shared" si="1143"/>
        <v>306743455.10987931</v>
      </c>
      <c r="BV239" s="76" t="str">
        <f t="shared" si="1143"/>
      </c>
      <c r="BW239" s="76" t="str">
        <f t="shared" si="1143"/>
      </c>
      <c r="BX239" s="76" t="str">
        <f t="shared" si="1143"/>
      </c>
      <c r="BY239" s="76" t="str">
        <f t="shared" ref="BY239:EJ239" si="1144">IF(BY$227="","",HI207+HI210+HI220+HI230+HI234)</f>
      </c>
      <c r="BZ239" s="76" t="str">
        <f t="shared" si="1144"/>
      </c>
      <c r="CA239" s="76" t="str">
        <f t="shared" si="1144"/>
      </c>
      <c r="CB239" s="76" t="str">
        <f t="shared" si="1144"/>
      </c>
      <c r="CC239" s="76" t="str">
        <f t="shared" si="1144"/>
      </c>
      <c r="CD239" s="76" t="str">
        <f t="shared" si="1144"/>
      </c>
      <c r="CE239" s="76" t="str">
        <f t="shared" si="1144"/>
      </c>
      <c r="CF239" s="76" t="str">
        <f t="shared" si="1144"/>
      </c>
      <c r="CG239" s="76" t="str">
        <f t="shared" si="1144"/>
      </c>
      <c r="CH239" s="76" t="str">
        <f t="shared" si="1144"/>
      </c>
      <c r="CI239" s="76" t="str">
        <f t="shared" si="1144"/>
      </c>
      <c r="CJ239" s="76" t="str">
        <f t="shared" si="1144"/>
      </c>
      <c r="CK239" s="76" t="str">
        <f t="shared" si="1144"/>
      </c>
      <c r="CL239" s="76" t="str">
        <f t="shared" si="1144"/>
      </c>
      <c r="CM239" s="76" t="str">
        <f t="shared" si="1144"/>
      </c>
      <c r="CN239" s="76" t="str">
        <f t="shared" si="1144"/>
      </c>
      <c r="CO239" s="76" t="str">
        <f t="shared" si="1144"/>
      </c>
      <c r="CP239" s="76" t="str">
        <f t="shared" si="1144"/>
      </c>
      <c r="CQ239" s="76" t="str">
        <f t="shared" si="1144"/>
      </c>
      <c r="CR239" s="76" t="str">
        <f t="shared" si="1144"/>
      </c>
      <c r="CS239" s="76" t="str">
        <f t="shared" si="1144"/>
      </c>
      <c r="CT239" s="76" t="str">
        <f t="shared" si="1144"/>
      </c>
      <c r="CU239" s="76" t="str">
        <f t="shared" si="1144"/>
      </c>
      <c r="CV239" s="76" t="str">
        <f t="shared" si="1144"/>
      </c>
      <c r="CW239" s="76" t="str">
        <f t="shared" si="1144"/>
      </c>
      <c r="CX239" s="76" t="str">
        <f t="shared" si="1144"/>
      </c>
      <c r="CY239" s="76" t="str">
        <f t="shared" si="1144"/>
      </c>
      <c r="CZ239" s="76" t="str">
        <f t="shared" si="1144"/>
      </c>
      <c r="DA239" s="76" t="str">
        <f t="shared" si="1144"/>
      </c>
      <c r="DB239" s="76" t="str">
        <f t="shared" si="1144"/>
      </c>
      <c r="DC239" s="76" t="str">
        <f t="shared" si="1144"/>
      </c>
      <c r="DD239" s="76" t="str">
        <f t="shared" si="1144"/>
      </c>
      <c r="DE239" s="76" t="str">
        <f t="shared" si="1144"/>
      </c>
      <c r="DF239" s="76" t="str">
        <f t="shared" si="1144"/>
      </c>
      <c r="DG239" s="76" t="str">
        <f t="shared" si="1144"/>
      </c>
      <c r="DH239" s="76" t="str">
        <f t="shared" si="1144"/>
      </c>
      <c r="DI239" s="76" t="str">
        <f t="shared" si="1144"/>
      </c>
      <c r="DJ239" s="76" t="str">
        <f t="shared" si="1144"/>
      </c>
      <c r="DK239" s="76" t="str">
        <f t="shared" si="1144"/>
      </c>
      <c r="DL239" s="76" t="str">
        <f t="shared" si="1144"/>
      </c>
      <c r="DM239" s="76" t="str">
        <f t="shared" si="1144"/>
      </c>
      <c r="DN239" s="76" t="str">
        <f t="shared" si="1144"/>
      </c>
      <c r="DO239" s="76" t="str">
        <f t="shared" si="1144"/>
      </c>
      <c r="DP239" s="76" t="str">
        <f t="shared" si="1144"/>
      </c>
      <c r="DQ239" s="76" t="str">
        <f t="shared" si="1144"/>
      </c>
      <c r="DR239" s="76" t="str">
        <f t="shared" si="1144"/>
      </c>
      <c r="DS239" s="76" t="str">
        <f t="shared" si="1144"/>
      </c>
      <c r="DT239" s="76" t="str">
        <f t="shared" si="1144"/>
      </c>
      <c r="DU239" s="76" t="str">
        <f t="shared" si="1144"/>
      </c>
      <c r="DV239" s="76" t="str">
        <f t="shared" si="1144"/>
      </c>
      <c r="DW239" s="76" t="str">
        <f t="shared" si="1144"/>
      </c>
      <c r="DX239" s="76" t="str">
        <f t="shared" si="1144"/>
      </c>
      <c r="DY239" s="76" t="str">
        <f t="shared" si="1144"/>
      </c>
      <c r="DZ239" s="76" t="str">
        <f t="shared" si="1144"/>
      </c>
      <c r="EA239" s="76" t="str">
        <f t="shared" si="1144"/>
      </c>
      <c r="EB239" s="76" t="str">
        <f t="shared" si="1144"/>
      </c>
      <c r="EC239" s="76" t="str">
        <f t="shared" si="1144"/>
      </c>
      <c r="ED239" s="76" t="str">
        <f t="shared" si="1144"/>
      </c>
      <c r="EE239" s="76" t="str">
        <f t="shared" si="1144"/>
      </c>
      <c r="EF239" s="76" t="str">
        <f t="shared" si="1144"/>
      </c>
      <c r="EG239" s="76" t="str">
        <f t="shared" si="1144"/>
      </c>
      <c r="EH239" s="76" t="str">
        <f t="shared" si="1144"/>
      </c>
      <c r="EI239" s="76" t="str">
        <f t="shared" si="1144"/>
      </c>
      <c r="EJ239" s="76" t="str">
        <f t="shared" si="1144"/>
      </c>
      <c r="EK239" s="76" t="str">
        <f t="shared" ref="EK239:EN239" si="1145">IF(EK$227="","",JU207+JU210+JU220+JU230+JU234)</f>
      </c>
      <c r="EL239" s="76" t="str">
        <f t="shared" si="1145"/>
      </c>
      <c r="EM239" s="76" t="str">
        <f t="shared" si="1145"/>
      </c>
      <c r="EN239" s="76" t="str">
        <f t="shared" si="1145"/>
      </c>
      <c r="EP239" s="409" t="s">
        <v>368</v>
      </c>
      <c r="EQ239" s="18"/>
      <c r="ER239" s="18"/>
      <c r="ES239" s="18"/>
      <c r="ET239" s="18" t="s">
        <v>437</v>
      </c>
      <c r="EU239" s="18"/>
      <c r="EV239" s="422" t="n">
        <f>(EV$197&lt;=Timing_Reversion_Month)*(EV238*((1+$EP240)^(1/12)-1))</f>
        <v>0</v>
      </c>
      <c r="EW239" s="422" t="n">
        <f t="shared" ref="EW239:GA239" si="1146">(EW$197&lt;=Timing_Reversion_Month)*(EW238*((1+$EP240)^(1/12)-1))</f>
        <v>29796.174880478142</v>
      </c>
      <c r="EX239" s="422">
        <f t="shared" si="1146"/>
        <v>29869.211205653071</v>
      </c>
      <c r="EY239" s="422">
        <f t="shared" si="1146"/>
        <v>30035.622225616626</v>
      </c>
      <c r="EZ239" s="422">
        <f t="shared" si="1146"/>
        <v>30335.835273960802</v>
      </c>
      <c r="FA239" s="422">
        <f t="shared" si="1146"/>
        <v>30821.928523923285</v>
      </c>
      <c r="FB239" s="422">
        <f t="shared" si="1146"/>
        <v>31597.444678969066</v>
      </c>
      <c r="FC239" s="422">
        <f t="shared" si="1146"/>
        <v>32460.29204496965</v>
      </c>
      <c r="FD239" s="422">
        <f t="shared" si="1146"/>
        <v>33733.872650393125</v>
      </c>
      <c r="FE239" s="422">
        <f t="shared" si="1146"/>
        <v>35509.240332589325</v>
      </c>
      <c r="FF239" s="422">
        <f t="shared" si="1146"/>
        <v>37876.487092198564</v>
      </c>
      <c r="FG239" s="422">
        <f t="shared" si="1146"/>
        <v>40916.595170729262</v>
      </c>
      <c r="FH239" s="422">
        <f t="shared" si="1146"/>
        <v>44692.087859073661</v>
      </c>
      <c r="FI239" s="422">
        <f t="shared" si="1146"/>
        <v>49237.50933003657</v>
      </c>
      <c r="FJ239" s="422">
        <f t="shared" si="1146"/>
        <v>54551.044769997687</v>
      </c>
      <c r="FK239" s="422">
        <f t="shared" si="1146"/>
        <v>60588.678674262737</v>
      </c>
      <c r="FL239" s="422">
        <f t="shared" si="1146"/>
        <v>67262.120843502606</v>
      </c>
      <c r="FM239" s="422">
        <f t="shared" si="1146"/>
        <v>68912.49309961457</v>
      </c>
      <c r="FN239" s="422">
        <f t="shared" si="1146"/>
        <v>69117.10406679452</v>
      </c>
      <c r="FO239" s="422">
        <f t="shared" si="1146"/>
        <v>68360.530150536491</v>
      </c>
      <c r="FP239" s="422">
        <f t="shared" si="1146"/>
        <v>67685.593730206107</v>
      </c>
      <c r="FQ239" s="422">
        <f t="shared" si="1146"/>
        <v>67061.493048054865</v>
      </c>
      <c r="FR239" s="422">
        <f t="shared" si="1146"/>
        <v>66216.811100502324</v>
      </c>
      <c r="FS239" s="422">
        <f t="shared" si="1146"/>
        <v>65416.96152357012</v>
      </c>
      <c r="FT239" s="422">
        <f t="shared" si="1146"/>
        <v>64658.207160037979</v>
      </c>
      <c r="FU239" s="422">
        <f t="shared" si="1146"/>
        <v>63831.455043014874</v>
      </c>
      <c r="FV239" s="422">
        <f t="shared" si="1146"/>
        <v>63035.612570139587</v>
      </c>
      <c r="FW239" s="422">
        <f t="shared" si="1146"/>
        <v>62265.608664812113</v>
      </c>
      <c r="FX239" s="422">
        <f t="shared" si="1146"/>
        <v>61452.125583843939</v>
      </c>
      <c r="FY239" s="422">
        <f t="shared" si="1146"/>
        <v>60869.572293834062</v>
      </c>
      <c r="FZ239" s="422">
        <f t="shared" si="1146"/>
        <v>60768.545878239784</v>
      </c>
      <c r="GA239" s="422">
        <f t="shared" si="1146"/>
        <v>60302.306674799351</v>
      </c>
      <c r="GB239" s="422" t="n">
        <f t="shared" ref="GB239:HG239" si="1147">(GB$197&lt;=Timing_Reversion_Month)*(GB238*((1+$EP240)^(1/12)-1))</f>
        <v>59697.17024639653</v>
      </c>
      <c r="GC239" s="422">
        <f t="shared" si="1147"/>
        <v>58986.744522825473</v>
      </c>
      <c r="GD239" s="422">
        <f t="shared" si="1147"/>
        <v>58198.91685812184</v>
      </c>
      <c r="GE239" s="422">
        <f t="shared" si="1147"/>
        <v>57269.177048042708</v>
      </c>
      <c r="GF239" s="422">
        <f t="shared" si="1147"/>
        <v>56301.013458142617</v>
      </c>
      <c r="GG239" s="422">
        <f t="shared" si="1147"/>
        <v>55302.505150346842</v>
      </c>
      <c r="GH239" s="422">
        <f t="shared" si="1147"/>
        <v>54441.763073835966</v>
      </c>
      <c r="GI239" s="422">
        <f t="shared" si="1147"/>
        <v>53579.159218655572</v>
      </c>
      <c r="GJ239" s="422">
        <f t="shared" si="1147"/>
        <v>52714.712730373118</v>
      </c>
      <c r="GK239" s="422">
        <f t="shared" si="1147"/>
        <v>51846.279574988708</v>
      </c>
      <c r="GL239" s="422">
        <f t="shared" si="1147"/>
        <v>50976.027635389371</v>
      </c>
      <c r="GM239" s="422">
        <f t="shared" si="1147"/>
        <v>50103.977105216596</v>
      </c>
      <c r="GN239" s="422">
        <f t="shared" si="1147"/>
        <v>49173.961755582175</v>
      </c>
      <c r="GO239" s="422">
        <f t="shared" si="1147"/>
        <v>48241.784436743343</v>
      </c>
      <c r="GP239" s="422">
        <f t="shared" si="1147"/>
        <v>47307.46362382987</v>
      </c>
      <c r="GQ239" s="422">
        <f t="shared" si="1147"/>
        <v>46361.042021343339</v>
      </c>
      <c r="GR239" s="422">
        <f t="shared" si="1147"/>
        <v>45412.443144107521</v>
      </c>
      <c r="GS239" s="422">
        <f t="shared" si="1147"/>
        <v>44461.686128987356</v>
      </c>
      <c r="GT239" s="422">
        <f t="shared" si="1147"/>
        <v>43554.497270532127</v>
      </c>
      <c r="GU239" s="422">
        <f t="shared" si="1147"/>
        <v>42645.519173578294</v>
      </c>
      <c r="GV239" s="422">
        <f t="shared" si="1147"/>
        <v>41734.774561242375</v>
      </c>
      <c r="GW239" s="422">
        <f t="shared" si="1147"/>
        <v>40820.126650730934</v>
      </c>
      <c r="GX239" s="422">
        <f t="shared" si="1147"/>
        <v>39903.743401556771</v>
      </c>
      <c r="GY239" s="422">
        <f t="shared" si="1147"/>
        <v>38985.648732757203</v>
      </c>
      <c r="GZ239" s="422">
        <f t="shared" si="1147"/>
        <v>38015.012858866045</v>
      </c>
      <c r="HA239" s="422">
        <f t="shared" si="1147"/>
        <v>37042.348223148736</v>
      </c>
      <c r="HB239" s="422">
        <f t="shared" si="1147"/>
        <v>36067.677455598416</v>
      </c>
      <c r="HC239" s="422">
        <f t="shared" si="1147"/>
        <v>35080.698303913989</v>
      </c>
      <c r="HD239" s="422">
        <f t="shared" si="1147"/>
        <v>34091.685195186903</v>
      </c>
      <c r="HE239" s="422">
        <f t="shared" si="1147"/>
        <v>33100.661566437244</v>
      </c>
      <c r="HF239" s="422">
        <f t="shared" si="1147"/>
        <v>0</v>
      </c>
      <c r="HG239" s="422">
        <f t="shared" si="1147"/>
        <v>0</v>
      </c>
      <c r="HH239" s="422" t="n">
        <f t="shared" ref="HH239:IM239" si="1148">(HH$197&lt;=Timing_Reversion_Month)*(HH238*((1+$EP240)^(1/12)-1))</f>
        <v>0</v>
      </c>
      <c r="HI239" s="422">
        <f t="shared" si="1148"/>
        <v>0</v>
      </c>
      <c r="HJ239" s="422">
        <f t="shared" si="1148"/>
        <v>0</v>
      </c>
      <c r="HK239" s="422">
        <f t="shared" si="1148"/>
        <v>0</v>
      </c>
      <c r="HL239" s="422">
        <f t="shared" si="1148"/>
        <v>0</v>
      </c>
      <c r="HM239" s="422">
        <f t="shared" si="1148"/>
        <v>0</v>
      </c>
      <c r="HN239" s="422">
        <f t="shared" si="1148"/>
        <v>0</v>
      </c>
      <c r="HO239" s="422">
        <f t="shared" si="1148"/>
        <v>0</v>
      </c>
      <c r="HP239" s="422">
        <f t="shared" si="1148"/>
        <v>0</v>
      </c>
      <c r="HQ239" s="422">
        <f t="shared" si="1148"/>
        <v>0</v>
      </c>
      <c r="HR239" s="422">
        <f t="shared" si="1148"/>
        <v>0</v>
      </c>
      <c r="HS239" s="422">
        <f t="shared" si="1148"/>
        <v>0</v>
      </c>
      <c r="HT239" s="422">
        <f t="shared" si="1148"/>
        <v>0</v>
      </c>
      <c r="HU239" s="422">
        <f t="shared" si="1148"/>
        <v>0</v>
      </c>
      <c r="HV239" s="422">
        <f t="shared" si="1148"/>
        <v>0</v>
      </c>
      <c r="HW239" s="422">
        <f t="shared" si="1148"/>
        <v>0</v>
      </c>
      <c r="HX239" s="422">
        <f t="shared" si="1148"/>
        <v>0</v>
      </c>
      <c r="HY239" s="422">
        <f t="shared" si="1148"/>
        <v>0</v>
      </c>
      <c r="HZ239" s="422">
        <f t="shared" si="1148"/>
        <v>0</v>
      </c>
      <c r="IA239" s="422">
        <f t="shared" si="1148"/>
        <v>0</v>
      </c>
      <c r="IB239" s="422">
        <f t="shared" si="1148"/>
        <v>0</v>
      </c>
      <c r="IC239" s="422">
        <f t="shared" si="1148"/>
        <v>0</v>
      </c>
      <c r="ID239" s="422">
        <f t="shared" si="1148"/>
        <v>0</v>
      </c>
      <c r="IE239" s="422">
        <f t="shared" si="1148"/>
        <v>0</v>
      </c>
      <c r="IF239" s="422">
        <f t="shared" si="1148"/>
        <v>0</v>
      </c>
      <c r="IG239" s="422">
        <f t="shared" si="1148"/>
        <v>0</v>
      </c>
      <c r="IH239" s="422">
        <f t="shared" si="1148"/>
        <v>0</v>
      </c>
      <c r="II239" s="422">
        <f t="shared" si="1148"/>
        <v>0</v>
      </c>
      <c r="IJ239" s="422">
        <f t="shared" si="1148"/>
        <v>0</v>
      </c>
      <c r="IK239" s="422">
        <f t="shared" si="1148"/>
        <v>0</v>
      </c>
      <c r="IL239" s="422">
        <f t="shared" si="1148"/>
        <v>0</v>
      </c>
      <c r="IM239" s="422">
        <f t="shared" si="1148"/>
        <v>0</v>
      </c>
      <c r="IN239" s="422" t="n">
        <f t="shared" ref="IN239:JS239" si="1149">(IN$197&lt;=Timing_Reversion_Month)*(IN238*((1+$EP240)^(1/12)-1))</f>
        <v>0</v>
      </c>
      <c r="IO239" s="422">
        <f t="shared" si="1149"/>
        <v>0</v>
      </c>
      <c r="IP239" s="422">
        <f t="shared" si="1149"/>
        <v>0</v>
      </c>
      <c r="IQ239" s="422">
        <f t="shared" si="1149"/>
        <v>0</v>
      </c>
      <c r="IR239" s="422">
        <f t="shared" si="1149"/>
        <v>0</v>
      </c>
      <c r="IS239" s="422">
        <f t="shared" si="1149"/>
        <v>0</v>
      </c>
      <c r="IT239" s="422">
        <f t="shared" si="1149"/>
        <v>0</v>
      </c>
      <c r="IU239" s="422">
        <f t="shared" si="1149"/>
        <v>0</v>
      </c>
      <c r="IV239" s="422">
        <f t="shared" si="1149"/>
        <v>0</v>
      </c>
      <c r="IW239" s="422">
        <f t="shared" si="1149"/>
        <v>0</v>
      </c>
      <c r="IX239" s="422">
        <f t="shared" si="1149"/>
        <v>0</v>
      </c>
      <c r="IY239" s="422">
        <f t="shared" si="1149"/>
        <v>0</v>
      </c>
      <c r="IZ239" s="422">
        <f t="shared" si="1149"/>
        <v>0</v>
      </c>
      <c r="JA239" s="422">
        <f t="shared" si="1149"/>
        <v>0</v>
      </c>
      <c r="JB239" s="422">
        <f t="shared" si="1149"/>
        <v>0</v>
      </c>
      <c r="JC239" s="422">
        <f t="shared" si="1149"/>
        <v>0</v>
      </c>
      <c r="JD239" s="422">
        <f t="shared" si="1149"/>
        <v>0</v>
      </c>
      <c r="JE239" s="422">
        <f t="shared" si="1149"/>
        <v>0</v>
      </c>
      <c r="JF239" s="422">
        <f t="shared" si="1149"/>
        <v>0</v>
      </c>
      <c r="JG239" s="422">
        <f t="shared" si="1149"/>
        <v>0</v>
      </c>
      <c r="JH239" s="422">
        <f t="shared" si="1149"/>
        <v>0</v>
      </c>
      <c r="JI239" s="422">
        <f t="shared" si="1149"/>
        <v>0</v>
      </c>
      <c r="JJ239" s="422">
        <f t="shared" si="1149"/>
        <v>0</v>
      </c>
      <c r="JK239" s="422">
        <f t="shared" si="1149"/>
        <v>0</v>
      </c>
      <c r="JL239" s="422">
        <f t="shared" si="1149"/>
        <v>0</v>
      </c>
      <c r="JM239" s="422">
        <f t="shared" si="1149"/>
        <v>0</v>
      </c>
      <c r="JN239" s="422">
        <f t="shared" si="1149"/>
        <v>0</v>
      </c>
      <c r="JO239" s="422">
        <f t="shared" si="1149"/>
        <v>0</v>
      </c>
      <c r="JP239" s="422">
        <f t="shared" si="1149"/>
        <v>0</v>
      </c>
      <c r="JQ239" s="422">
        <f t="shared" si="1149"/>
        <v>0</v>
      </c>
      <c r="JR239" s="422">
        <f t="shared" si="1149"/>
        <v>0</v>
      </c>
      <c r="JS239" s="422">
        <f t="shared" si="1149"/>
        <v>0</v>
      </c>
      <c r="JT239" s="422" t="n">
        <f t="shared" ref="JT239:JX239" si="1150">(JT$197&lt;=Timing_Reversion_Month)*(JT238*((1+$EP240)^(1/12)-1))</f>
        <v>0</v>
      </c>
      <c r="JU239" s="422">
        <f t="shared" si="1150"/>
        <v>0</v>
      </c>
      <c r="JV239" s="422">
        <f t="shared" si="1150"/>
        <v>0</v>
      </c>
      <c r="JW239" s="422">
        <f t="shared" si="1150"/>
        <v>0</v>
      </c>
      <c r="JX239" s="422">
        <f t="shared" si="1150"/>
        <v>0</v>
      </c>
      <c r="JZ239" s="263"/>
      <c r="KA239" s="263"/>
      <c r="KB239" s="263"/>
      <c r="KC239" s="263"/>
      <c r="KD239" s="263"/>
      <c r="KE239" s="263"/>
      <c r="KF239" s="263"/>
      <c r="KG239" s="263"/>
      <c r="KH239" s="263"/>
      <c r="KI239" s="263"/>
      <c r="KJ239" s="263"/>
      <c r="KK239" s="263"/>
      <c r="KL239" s="263"/>
      <c r="KM239" s="263"/>
      <c r="KN239" s="263"/>
      <c r="KO239" s="263"/>
      <c r="KP239" s="263"/>
      <c r="KQ239" s="263"/>
      <c r="KR239" s="263"/>
      <c r="KS239" s="263"/>
      <c r="KT239" s="263"/>
      <c r="KU239" s="263"/>
      <c r="KV239" s="263"/>
      <c r="KW239" s="263"/>
      <c r="KX239" s="263"/>
      <c r="KY239" s="263"/>
      <c r="KZ239" s="263"/>
      <c r="LA239" s="263"/>
      <c r="LB239" s="263"/>
      <c r="LC239" s="263"/>
      <c r="LD239" s="263"/>
      <c r="LE239" s="263"/>
      <c r="LF239" s="263"/>
      <c r="LG239" s="263"/>
      <c r="LH239" s="263"/>
      <c r="LI239" s="263"/>
      <c r="LJ239" s="263"/>
      <c r="LK239" s="263"/>
      <c r="LL239" s="263"/>
      <c r="LM239" s="263"/>
      <c r="LN239" s="263"/>
      <c r="LO239" s="263"/>
      <c r="LP239" s="263"/>
      <c r="LQ239" s="263"/>
      <c r="LR239" s="263"/>
      <c r="LS239" s="263"/>
      <c r="LT239" s="263"/>
      <c r="LU239" s="263"/>
      <c r="LV239" s="263"/>
      <c r="LW239" s="263"/>
      <c r="LX239" s="263"/>
      <c r="LY239" s="263"/>
      <c r="LZ239" s="263"/>
      <c r="MA239" s="263"/>
      <c r="MB239" s="263"/>
      <c r="MC239" s="263"/>
      <c r="MD239" s="263"/>
      <c r="ME239" s="263"/>
      <c r="MF239" s="263"/>
      <c r="MG239" s="263"/>
      <c r="MH239" s="263"/>
      <c r="MI239" s="263"/>
      <c r="MJ239" s="263"/>
      <c r="MK239" s="263"/>
      <c r="ML239" s="263"/>
      <c r="MM239" s="263"/>
      <c r="MN239" s="263"/>
      <c r="MO239" s="263"/>
      <c r="MP239" s="263"/>
      <c r="MQ239" s="263"/>
      <c r="MR239" s="263"/>
      <c r="MS239" s="263"/>
      <c r="MT239" s="263"/>
      <c r="MU239" s="263"/>
      <c r="MV239" s="263"/>
      <c r="MW239" s="263"/>
      <c r="MX239" s="263"/>
      <c r="MY239" s="263"/>
      <c r="MZ239" s="263"/>
      <c r="NA239" s="263"/>
      <c r="NB239" s="263"/>
      <c r="NC239" s="263"/>
      <c r="ND239" s="263"/>
      <c r="NE239" s="263"/>
      <c r="NF239" s="263"/>
      <c r="NG239" s="263"/>
      <c r="NH239" s="263"/>
      <c r="NI239" s="263"/>
      <c r="NJ239" s="263"/>
      <c r="NK239" s="263"/>
      <c r="NL239" s="263"/>
      <c r="NM239" s="263"/>
      <c r="NN239" s="263"/>
      <c r="NO239" s="263"/>
      <c r="NP239" s="263"/>
      <c r="NQ239" s="263"/>
      <c r="NR239" s="263"/>
      <c r="NS239" s="263"/>
      <c r="NT239" s="263"/>
      <c r="NU239" s="263"/>
      <c r="NV239" s="263"/>
      <c r="NW239" s="263"/>
      <c r="NX239" s="263"/>
      <c r="NY239" s="263"/>
      <c r="NZ239" s="263"/>
      <c r="OA239" s="263"/>
      <c r="OB239" s="263"/>
      <c r="OC239" s="263"/>
      <c r="OD239" s="263"/>
      <c r="OE239" s="263"/>
      <c r="OF239" s="263"/>
      <c r="OG239" s="263"/>
      <c r="OH239" s="263"/>
      <c r="OI239" s="263"/>
      <c r="OJ239" s="263"/>
      <c r="OK239" s="263"/>
      <c r="OL239" s="263"/>
      <c r="OM239" s="263"/>
      <c r="ON239" s="263"/>
      <c r="OO239" s="263"/>
      <c r="OP239" s="263"/>
      <c r="OQ239" s="263"/>
      <c r="OR239" s="263"/>
      <c r="OS239" s="263"/>
      <c r="OT239" s="263"/>
      <c r="OU239" s="263"/>
      <c r="OV239" s="263"/>
      <c r="OW239" s="263"/>
      <c r="OX239" s="263"/>
      <c r="OY239" s="263"/>
      <c r="OZ239" s="263"/>
      <c r="PA239" s="263"/>
      <c r="PB239" s="263"/>
      <c r="PC239" s="263"/>
      <c r="PD239" s="263"/>
      <c r="PE239" s="263"/>
      <c r="PF239" s="263"/>
      <c r="PG239" s="263"/>
      <c r="PH239" s="263"/>
    </row>
    <row r="240">
      <c r="B240" s="415" t="s">
        <v>416</v>
      </c>
      <c r="C240" s="548" t="str">
        <f>C229</f>
        <v>External Equity / Limited Partner — illustrative waterfall</v>
      </c>
      <c r="D240" s="401"/>
      <c r="E240" s="401"/>
      <c r="F240" s="401"/>
      <c r="G240" s="86"/>
      <c r="H240" s="55" t="n">
        <f>I240/$I$241</f>
        <v>0.6782084162116641</v>
      </c>
      <c r="I240" s="424" t="n">
        <f>SUM(L240:EN240)</f>
        <v>666292894.7403024</v>
      </c>
      <c r="L240" s="426" t="str">
        <f>IF(L$227="","",EV201+EV217+EV227+EV233)</f>
      </c>
      <c r="M240" s="426" t="n">
        <f t="shared" ref="M240:AQ240" si="1151">IF(M$227="","",EW201+EW217+EW227+EW233)</f>
        <v>393250.9603268034</v>
      </c>
      <c r="N240" s="426">
        <f t="shared" si="1151"/>
        <v>135601.08309322695</v>
      </c>
      <c r="O240" s="426">
        <f t="shared" si="1151"/>
        <v>0</v>
      </c>
      <c r="P240" s="426">
        <f t="shared" si="1151"/>
        <v>0</v>
      </c>
      <c r="Q240" s="426">
        <f t="shared" si="1151"/>
        <v>0</v>
      </c>
      <c r="R240" s="426">
        <f t="shared" si="1151"/>
        <v>0</v>
      </c>
      <c r="S240" s="426">
        <f t="shared" si="1151"/>
        <v>0</v>
      </c>
      <c r="T240" s="426">
        <f t="shared" si="1151"/>
        <v>0</v>
      </c>
      <c r="U240" s="426">
        <f t="shared" si="1151"/>
        <v>0</v>
      </c>
      <c r="V240" s="426">
        <f t="shared" si="1151"/>
        <v>0</v>
      </c>
      <c r="W240" s="426">
        <f t="shared" si="1151"/>
        <v>0</v>
      </c>
      <c r="X240" s="426">
        <f t="shared" si="1151"/>
        <v>0</v>
      </c>
      <c r="Y240" s="426">
        <f t="shared" si="1151"/>
        <v>0</v>
      </c>
      <c r="Z240" s="426">
        <f t="shared" si="1151"/>
        <v>0</v>
      </c>
      <c r="AA240" s="426">
        <f t="shared" si="1151"/>
        <v>0</v>
      </c>
      <c r="AB240" s="426">
        <f t="shared" si="1151"/>
        <v>0</v>
      </c>
      <c r="AC240" s="426">
        <f t="shared" si="1151"/>
        <v>810463.57516973012</v>
      </c>
      <c r="AD240" s="426">
        <f t="shared" si="1151"/>
        <v>3481800.8764314256</v>
      </c>
      <c r="AE240" s="426">
        <f t="shared" si="1151"/>
        <v>3240128.9964987887</v>
      </c>
      <c r="AF240" s="426">
        <f t="shared" si="1151"/>
        <v>3085563.367248842</v>
      </c>
      <c r="AG240" s="426">
        <f t="shared" si="1151"/>
        <v>3685184.504042963</v>
      </c>
      <c r="AH240" s="426">
        <f t="shared" si="1151"/>
        <v>3543883.0408446738</v>
      </c>
      <c r="AI240" s="426">
        <f t="shared" si="1151"/>
        <v>3413848.6692760913</v>
      </c>
      <c r="AJ240" s="426">
        <f t="shared" si="1151"/>
        <v>3587364.3081137375</v>
      </c>
      <c r="AK240" s="426">
        <f t="shared" si="1151"/>
        <v>3485056.3850739766</v>
      </c>
      <c r="AL240" s="426">
        <f t="shared" si="1151"/>
        <v>3397438.6657805149</v>
      </c>
      <c r="AM240" s="426">
        <f t="shared" si="1151"/>
        <v>3502691.3563470333</v>
      </c>
      <c r="AN240" s="426">
        <f t="shared" si="1151"/>
        <v>2845601.8484991258</v>
      </c>
      <c r="AO240" s="426">
        <f t="shared" si="1151"/>
        <v>1497735.2327804544</v>
      </c>
      <c r="AP240" s="426">
        <f t="shared" si="1151"/>
        <v>2509163.8639601702</v>
      </c>
      <c r="AQ240" s="426">
        <f t="shared" si="1151"/>
        <v>2885272.669782937</v>
      </c>
      <c r="AR240" s="426" t="n">
        <f t="shared" ref="AR240:BW240" si="1152">IF(AR$227="","",GB201+GB217+GB227+GB233)</f>
        <v>3165343.028364981</v>
      </c>
      <c r="AS240" s="426">
        <f t="shared" si="1152"/>
        <v>3365921.4402946201</v>
      </c>
      <c r="AT240" s="426">
        <f t="shared" si="1152"/>
        <v>3743964.7462569405</v>
      </c>
      <c r="AU240" s="426">
        <f t="shared" si="1152"/>
        <v>3831994.2213293347</v>
      </c>
      <c r="AV240" s="426">
        <f t="shared" si="1152"/>
        <v>3896836.1851359545</v>
      </c>
      <c r="AW240" s="426">
        <f t="shared" si="1152"/>
        <v>3494570.8859825786</v>
      </c>
      <c r="AX240" s="426">
        <f t="shared" si="1152"/>
        <v>3482522.3970297342</v>
      </c>
      <c r="AY240" s="426">
        <f t="shared" si="1152"/>
        <v>3470383.544409744</v>
      </c>
      <c r="AZ240" s="426">
        <f t="shared" si="1152"/>
        <v>3464157.4376286799</v>
      </c>
      <c r="BA240" s="426">
        <f t="shared" si="1152"/>
        <v>3451835.8194089294</v>
      </c>
      <c r="BB240" s="426">
        <f t="shared" si="1152"/>
        <v>3439421.7890525316</v>
      </c>
      <c r="BC240" s="426">
        <f t="shared" si="1152"/>
        <v>3582830.5611468046</v>
      </c>
      <c r="BD240" s="203">
        <f t="shared" si="1152"/>
        <v>3570229.6220458527</v>
      </c>
      <c r="BE240" s="203">
        <f t="shared" si="1152"/>
        <v>3557534.1759016444</v>
      </c>
      <c r="BF240" s="203">
        <f t="shared" si="1152"/>
        <v>3572426.9097446869</v>
      </c>
      <c r="BG240" s="203">
        <f t="shared" si="1152"/>
        <v>3559540.3177894698</v>
      </c>
      <c r="BH240" s="203">
        <f t="shared" si="1152"/>
        <v>3546557.0763945873</v>
      </c>
      <c r="BI240" s="203">
        <f t="shared" si="1152"/>
        <v>3406642.2490547462</v>
      </c>
      <c r="BJ240" s="203">
        <f t="shared" si="1152"/>
        <v>3393463.5287316125</v>
      </c>
      <c r="BK240" s="203">
        <f t="shared" si="1152"/>
        <v>3380185.9680060558</v>
      </c>
      <c r="BL240" s="203">
        <f t="shared" si="1152"/>
        <v>3372802.5537000573</v>
      </c>
      <c r="BM240" s="203">
        <f t="shared" si="1152"/>
        <v>3359325.0827008258</v>
      </c>
      <c r="BN240" s="203">
        <f t="shared" si="1152"/>
        <v>3345746.5306691006</v>
      </c>
      <c r="BO240" s="203">
        <f t="shared" si="1152"/>
        <v>3473184.1325757857</v>
      </c>
      <c r="BP240" s="203">
        <f t="shared" si="1152"/>
        <v>3459401.1384700327</v>
      </c>
      <c r="BQ240" s="203">
        <f t="shared" si="1152"/>
        <v>3445514.7719084867</v>
      </c>
      <c r="BR240" s="203">
        <f t="shared" si="1152"/>
        <v>3460176.5722852284</v>
      </c>
      <c r="BS240" s="203">
        <f t="shared" si="1152"/>
        <v>3446081.1291171401</v>
      </c>
      <c r="BT240" s="203">
        <f t="shared" si="1152"/>
        <v>3431879.970125291</v>
      </c>
      <c r="BU240" s="203">
        <f t="shared" si="1152"/>
        <v>519622371.55177057</v>
      </c>
      <c r="BV240" s="203" t="str">
        <f t="shared" si="1152"/>
      </c>
      <c r="BW240" s="203" t="str">
        <f t="shared" si="1152"/>
      </c>
      <c r="BX240" s="203" t="str">
        <f t="shared" ref="BX240:DC240" si="1153">IF(BX$227="","",HH201+HH217+HH227+HH233)</f>
      </c>
      <c r="BY240" s="203" t="str">
        <f t="shared" si="1153"/>
      </c>
      <c r="BZ240" s="203" t="str">
        <f t="shared" si="1153"/>
      </c>
      <c r="CA240" s="203" t="str">
        <f t="shared" si="1153"/>
      </c>
      <c r="CB240" s="203" t="str">
        <f t="shared" si="1153"/>
      </c>
      <c r="CC240" s="203" t="str">
        <f t="shared" si="1153"/>
      </c>
      <c r="CD240" s="203" t="str">
        <f t="shared" si="1153"/>
      </c>
      <c r="CE240" s="203" t="str">
        <f t="shared" si="1153"/>
      </c>
      <c r="CF240" s="203" t="str">
        <f t="shared" si="1153"/>
      </c>
      <c r="CG240" s="203" t="str">
        <f t="shared" si="1153"/>
      </c>
      <c r="CH240" s="203" t="str">
        <f t="shared" si="1153"/>
      </c>
      <c r="CI240" s="203" t="str">
        <f t="shared" si="1153"/>
      </c>
      <c r="CJ240" s="203" t="str">
        <f t="shared" si="1153"/>
      </c>
      <c r="CK240" s="203" t="str">
        <f t="shared" si="1153"/>
      </c>
      <c r="CL240" s="203" t="str">
        <f t="shared" si="1153"/>
      </c>
      <c r="CM240" s="203" t="str">
        <f t="shared" si="1153"/>
      </c>
      <c r="CN240" s="203" t="str">
        <f t="shared" si="1153"/>
      </c>
      <c r="CO240" s="203" t="str">
        <f t="shared" si="1153"/>
      </c>
      <c r="CP240" s="203" t="str">
        <f t="shared" si="1153"/>
      </c>
      <c r="CQ240" s="203" t="str">
        <f t="shared" si="1153"/>
      </c>
      <c r="CR240" s="203" t="str">
        <f t="shared" si="1153"/>
      </c>
      <c r="CS240" s="203" t="str">
        <f t="shared" si="1153"/>
      </c>
      <c r="CT240" s="203" t="str">
        <f t="shared" si="1153"/>
      </c>
      <c r="CU240" s="203" t="str">
        <f t="shared" si="1153"/>
      </c>
      <c r="CV240" s="203" t="str">
        <f t="shared" si="1153"/>
      </c>
      <c r="CW240" s="203" t="str">
        <f t="shared" si="1153"/>
      </c>
      <c r="CX240" s="203" t="str">
        <f t="shared" si="1153"/>
      </c>
      <c r="CY240" s="203" t="str">
        <f t="shared" si="1153"/>
      </c>
      <c r="CZ240" s="203" t="str">
        <f t="shared" si="1153"/>
      </c>
      <c r="DA240" s="203" t="str">
        <f t="shared" si="1153"/>
      </c>
      <c r="DB240" s="203" t="str">
        <f t="shared" si="1153"/>
      </c>
      <c r="DC240" s="203" t="str">
        <f t="shared" si="1153"/>
      </c>
      <c r="DD240" s="203" t="str">
        <f t="shared" ref="DD240:EI240" si="1154">IF(DD$227="","",IN201+IN217+IN227+IN233)</f>
      </c>
      <c r="DE240" s="203" t="str">
        <f t="shared" si="1154"/>
      </c>
      <c r="DF240" s="203" t="str">
        <f t="shared" si="1154"/>
      </c>
      <c r="DG240" s="203" t="str">
        <f t="shared" si="1154"/>
      </c>
      <c r="DH240" s="203" t="str">
        <f t="shared" si="1154"/>
      </c>
      <c r="DI240" s="203" t="str">
        <f t="shared" si="1154"/>
      </c>
      <c r="DJ240" s="203" t="str">
        <f t="shared" si="1154"/>
      </c>
      <c r="DK240" s="203" t="str">
        <f t="shared" si="1154"/>
      </c>
      <c r="DL240" s="203" t="str">
        <f t="shared" si="1154"/>
      </c>
      <c r="DM240" s="203" t="str">
        <f t="shared" si="1154"/>
      </c>
      <c r="DN240" s="203" t="str">
        <f t="shared" si="1154"/>
      </c>
      <c r="DO240" s="203" t="str">
        <f t="shared" si="1154"/>
      </c>
      <c r="DP240" s="203" t="str">
        <f t="shared" si="1154"/>
      </c>
      <c r="DQ240" s="203" t="str">
        <f t="shared" si="1154"/>
      </c>
      <c r="DR240" s="203" t="str">
        <f t="shared" si="1154"/>
      </c>
      <c r="DS240" s="203" t="str">
        <f t="shared" si="1154"/>
      </c>
      <c r="DT240" s="203" t="str">
        <f t="shared" si="1154"/>
      </c>
      <c r="DU240" s="203" t="str">
        <f t="shared" si="1154"/>
      </c>
      <c r="DV240" s="203" t="str">
        <f t="shared" si="1154"/>
      </c>
      <c r="DW240" s="203" t="str">
        <f t="shared" si="1154"/>
      </c>
      <c r="DX240" s="203" t="str">
        <f t="shared" si="1154"/>
      </c>
      <c r="DY240" s="203" t="str">
        <f t="shared" si="1154"/>
      </c>
      <c r="DZ240" s="203" t="str">
        <f t="shared" si="1154"/>
      </c>
      <c r="EA240" s="203" t="str">
        <f t="shared" si="1154"/>
      </c>
      <c r="EB240" s="203" t="str">
        <f t="shared" si="1154"/>
      </c>
      <c r="EC240" s="203" t="str">
        <f t="shared" si="1154"/>
      </c>
      <c r="ED240" s="203" t="str">
        <f t="shared" si="1154"/>
      </c>
      <c r="EE240" s="203" t="str">
        <f t="shared" si="1154"/>
      </c>
      <c r="EF240" s="203" t="str">
        <f t="shared" si="1154"/>
      </c>
      <c r="EG240" s="203" t="str">
        <f t="shared" si="1154"/>
      </c>
      <c r="EH240" s="203" t="str">
        <f t="shared" si="1154"/>
      </c>
      <c r="EI240" s="203" t="str">
        <f t="shared" si="1154"/>
      </c>
      <c r="EJ240" s="203" t="str">
        <f t="shared" ref="EJ240:EN240" si="1155">IF(EJ$227="","",JT201+JT217+JT227+JT233)</f>
      </c>
      <c r="EK240" s="203" t="str">
        <f t="shared" si="1155"/>
      </c>
      <c r="EL240" s="203" t="str">
        <f t="shared" si="1155"/>
      </c>
      <c r="EM240" s="203" t="str">
        <f t="shared" si="1155"/>
      </c>
      <c r="EN240" s="203" t="str">
        <f t="shared" si="1155"/>
      </c>
      <c r="EP240" s="223" t="n">
        <f>F254</f>
        <v>0.09</v>
      </c>
      <c r="EQ240" s="18" t="s">
        <v>371</v>
      </c>
      <c r="ER240" s="18"/>
      <c r="ES240" s="18"/>
      <c r="ET240" s="18" t="s">
        <v>438</v>
      </c>
      <c r="EU240" s="18"/>
      <c r="EV240" s="422" t="n">
        <f>IF(L250="",0,L250)</f>
        <v>4134152.6629957748</v>
      </c>
      <c r="EW240" s="422" t="n">
        <f t="shared" ref="EW240:GA240" si="1156">IF(M250="",0,M250)</f>
        <v>0</v>
      </c>
      <c r="EX240" s="422">
        <f t="shared" si="1156"/>
        <v>0</v>
      </c>
      <c r="EY240" s="422">
        <f t="shared" si="1156"/>
        <v>11618.26718323235</v>
      </c>
      <c r="EZ240" s="422">
        <f t="shared" si="1156"/>
        <v>37108.516622138202</v>
      </c>
      <c r="FA240" s="422">
        <f t="shared" si="1156"/>
        <v>76779.204522163025</v>
      </c>
      <c r="FB240" s="422">
        <f t="shared" si="1156"/>
        <v>88120.69868067847</v>
      </c>
      <c r="FC240" s="422">
        <f t="shared" si="1156"/>
        <v>144246.17019629222</v>
      </c>
      <c r="FD240" s="422">
        <f t="shared" si="1156"/>
        <v>212594.42487738322</v>
      </c>
      <c r="FE240" s="422">
        <f t="shared" si="1156"/>
        <v>292940.95619309251</v>
      </c>
      <c r="FF240" s="422">
        <f t="shared" si="1156"/>
        <v>383931.71342575242</v>
      </c>
      <c r="FG240" s="422">
        <f t="shared" si="1156"/>
        <v>482924.57619608339</v>
      </c>
      <c r="FH240" s="422">
        <f t="shared" si="1156"/>
        <v>585974.9811186716</v>
      </c>
      <c r="FI240" s="422">
        <f t="shared" si="1156"/>
        <v>688003.65592537448</v>
      </c>
      <c r="FJ240" s="422">
        <f t="shared" si="1156"/>
        <v>783157.16387206223</v>
      </c>
      <c r="FK240" s="422">
        <f t="shared" si="1156"/>
        <v>865336.50554752466</v>
      </c>
      <c r="FL240" s="422">
        <f t="shared" si="1156"/>
        <v>161723.34071015019</v>
      </c>
      <c r="FM240" s="422">
        <f t="shared" si="1156"/>
        <v>0</v>
      </c>
      <c r="FN240" s="422">
        <f t="shared" si="1156"/>
        <v>0</v>
      </c>
      <c r="FO240" s="422">
        <f t="shared" si="1156"/>
        <v>0</v>
      </c>
      <c r="FP240" s="422">
        <f t="shared" si="1156"/>
        <v>0</v>
      </c>
      <c r="FQ240" s="422">
        <f t="shared" si="1156"/>
        <v>0</v>
      </c>
      <c r="FR240" s="422">
        <f t="shared" si="1156"/>
        <v>0</v>
      </c>
      <c r="FS240" s="422">
        <f t="shared" si="1156"/>
        <v>0</v>
      </c>
      <c r="FT240" s="422">
        <f t="shared" si="1156"/>
        <v>0</v>
      </c>
      <c r="FU240" s="422">
        <f t="shared" si="1156"/>
        <v>0</v>
      </c>
      <c r="FV240" s="422">
        <f t="shared" si="1156"/>
        <v>0</v>
      </c>
      <c r="FW240" s="422">
        <f t="shared" si="1156"/>
        <v>0</v>
      </c>
      <c r="FX240" s="422">
        <f t="shared" si="1156"/>
        <v>0</v>
      </c>
      <c r="FY240" s="422">
        <f t="shared" si="1156"/>
        <v>0</v>
      </c>
      <c r="FZ240" s="422">
        <f t="shared" si="1156"/>
        <v>0</v>
      </c>
      <c r="GA240" s="422">
        <f t="shared" si="1156"/>
        <v>0</v>
      </c>
      <c r="GB240" s="422" t="n">
        <f t="shared" ref="GB240:HG240" si="1157">IF(AR250="",0,AR250)</f>
        <v>0</v>
      </c>
      <c r="GC240" s="422">
        <f t="shared" si="1157"/>
        <v>0</v>
      </c>
      <c r="GD240" s="422">
        <f t="shared" si="1157"/>
        <v>0</v>
      </c>
      <c r="GE240" s="422">
        <f t="shared" si="1157"/>
        <v>0</v>
      </c>
      <c r="GF240" s="422">
        <f t="shared" si="1157"/>
        <v>0</v>
      </c>
      <c r="GG240" s="422">
        <f t="shared" si="1157"/>
        <v>0</v>
      </c>
      <c r="GH240" s="422">
        <f t="shared" si="1157"/>
        <v>0</v>
      </c>
      <c r="GI240" s="422">
        <f t="shared" si="1157"/>
        <v>0</v>
      </c>
      <c r="GJ240" s="422">
        <f t="shared" si="1157"/>
        <v>0</v>
      </c>
      <c r="GK240" s="422">
        <f t="shared" si="1157"/>
        <v>0</v>
      </c>
      <c r="GL240" s="422">
        <f t="shared" si="1157"/>
        <v>0</v>
      </c>
      <c r="GM240" s="422">
        <f t="shared" si="1157"/>
        <v>0</v>
      </c>
      <c r="GN240" s="422">
        <f t="shared" si="1157"/>
        <v>0</v>
      </c>
      <c r="GO240" s="422">
        <f t="shared" si="1157"/>
        <v>0</v>
      </c>
      <c r="GP240" s="422">
        <f t="shared" si="1157"/>
        <v>0</v>
      </c>
      <c r="GQ240" s="422">
        <f t="shared" si="1157"/>
        <v>0</v>
      </c>
      <c r="GR240" s="422">
        <f t="shared" si="1157"/>
        <v>0</v>
      </c>
      <c r="GS240" s="422">
        <f t="shared" si="1157"/>
        <v>0</v>
      </c>
      <c r="GT240" s="422">
        <f t="shared" si="1157"/>
        <v>0</v>
      </c>
      <c r="GU240" s="422">
        <f t="shared" si="1157"/>
        <v>0</v>
      </c>
      <c r="GV240" s="422">
        <f t="shared" si="1157"/>
        <v>0</v>
      </c>
      <c r="GW240" s="422">
        <f t="shared" si="1157"/>
        <v>0</v>
      </c>
      <c r="GX240" s="422">
        <f t="shared" si="1157"/>
        <v>0</v>
      </c>
      <c r="GY240" s="422">
        <f t="shared" si="1157"/>
        <v>0</v>
      </c>
      <c r="GZ240" s="422">
        <f t="shared" si="1157"/>
        <v>0</v>
      </c>
      <c r="HA240" s="422">
        <f t="shared" si="1157"/>
        <v>0</v>
      </c>
      <c r="HB240" s="422">
        <f t="shared" si="1157"/>
        <v>0</v>
      </c>
      <c r="HC240" s="422">
        <f t="shared" si="1157"/>
        <v>0</v>
      </c>
      <c r="HD240" s="422">
        <f t="shared" si="1157"/>
        <v>0</v>
      </c>
      <c r="HE240" s="422">
        <f t="shared" si="1157"/>
        <v>0</v>
      </c>
      <c r="HF240" s="422">
        <f t="shared" si="1157"/>
        <v>0</v>
      </c>
      <c r="HG240" s="422">
        <f t="shared" si="1157"/>
        <v>0</v>
      </c>
      <c r="HH240" s="422" t="n">
        <f t="shared" ref="HH240:IM240" si="1158">IF(BX250="",0,BX250)</f>
        <v>0</v>
      </c>
      <c r="HI240" s="422">
        <f t="shared" si="1158"/>
        <v>0</v>
      </c>
      <c r="HJ240" s="422">
        <f t="shared" si="1158"/>
        <v>0</v>
      </c>
      <c r="HK240" s="422">
        <f t="shared" si="1158"/>
        <v>0</v>
      </c>
      <c r="HL240" s="422">
        <f t="shared" si="1158"/>
        <v>0</v>
      </c>
      <c r="HM240" s="422">
        <f t="shared" si="1158"/>
        <v>0</v>
      </c>
      <c r="HN240" s="422">
        <f t="shared" si="1158"/>
        <v>0</v>
      </c>
      <c r="HO240" s="422">
        <f t="shared" si="1158"/>
        <v>0</v>
      </c>
      <c r="HP240" s="422">
        <f t="shared" si="1158"/>
        <v>0</v>
      </c>
      <c r="HQ240" s="422">
        <f t="shared" si="1158"/>
        <v>0</v>
      </c>
      <c r="HR240" s="422">
        <f t="shared" si="1158"/>
        <v>0</v>
      </c>
      <c r="HS240" s="422">
        <f t="shared" si="1158"/>
        <v>0</v>
      </c>
      <c r="HT240" s="422">
        <f t="shared" si="1158"/>
        <v>0</v>
      </c>
      <c r="HU240" s="422">
        <f t="shared" si="1158"/>
        <v>0</v>
      </c>
      <c r="HV240" s="422">
        <f t="shared" si="1158"/>
        <v>0</v>
      </c>
      <c r="HW240" s="422">
        <f t="shared" si="1158"/>
        <v>0</v>
      </c>
      <c r="HX240" s="422">
        <f t="shared" si="1158"/>
        <v>0</v>
      </c>
      <c r="HY240" s="422">
        <f t="shared" si="1158"/>
        <v>0</v>
      </c>
      <c r="HZ240" s="422">
        <f t="shared" si="1158"/>
        <v>0</v>
      </c>
      <c r="IA240" s="422">
        <f t="shared" si="1158"/>
        <v>0</v>
      </c>
      <c r="IB240" s="422">
        <f t="shared" si="1158"/>
        <v>0</v>
      </c>
      <c r="IC240" s="422">
        <f t="shared" si="1158"/>
        <v>0</v>
      </c>
      <c r="ID240" s="422">
        <f t="shared" si="1158"/>
        <v>0</v>
      </c>
      <c r="IE240" s="422">
        <f t="shared" si="1158"/>
        <v>0</v>
      </c>
      <c r="IF240" s="422">
        <f t="shared" si="1158"/>
        <v>0</v>
      </c>
      <c r="IG240" s="422">
        <f t="shared" si="1158"/>
        <v>0</v>
      </c>
      <c r="IH240" s="422">
        <f t="shared" si="1158"/>
        <v>0</v>
      </c>
      <c r="II240" s="422">
        <f t="shared" si="1158"/>
        <v>0</v>
      </c>
      <c r="IJ240" s="422">
        <f t="shared" si="1158"/>
        <v>0</v>
      </c>
      <c r="IK240" s="422">
        <f t="shared" si="1158"/>
        <v>0</v>
      </c>
      <c r="IL240" s="422">
        <f t="shared" si="1158"/>
        <v>0</v>
      </c>
      <c r="IM240" s="422">
        <f t="shared" si="1158"/>
        <v>0</v>
      </c>
      <c r="IN240" s="422" t="n">
        <f t="shared" ref="IN240:JS240" si="1159">IF(DD250="",0,DD250)</f>
        <v>0</v>
      </c>
      <c r="IO240" s="422">
        <f t="shared" si="1159"/>
        <v>0</v>
      </c>
      <c r="IP240" s="422">
        <f t="shared" si="1159"/>
        <v>0</v>
      </c>
      <c r="IQ240" s="422">
        <f t="shared" si="1159"/>
        <v>0</v>
      </c>
      <c r="IR240" s="422">
        <f t="shared" si="1159"/>
        <v>0</v>
      </c>
      <c r="IS240" s="422">
        <f t="shared" si="1159"/>
        <v>0</v>
      </c>
      <c r="IT240" s="422">
        <f t="shared" si="1159"/>
        <v>0</v>
      </c>
      <c r="IU240" s="422">
        <f t="shared" si="1159"/>
        <v>0</v>
      </c>
      <c r="IV240" s="422">
        <f t="shared" si="1159"/>
        <v>0</v>
      </c>
      <c r="IW240" s="422">
        <f t="shared" si="1159"/>
        <v>0</v>
      </c>
      <c r="IX240" s="422">
        <f t="shared" si="1159"/>
        <v>0</v>
      </c>
      <c r="IY240" s="422">
        <f t="shared" si="1159"/>
        <v>0</v>
      </c>
      <c r="IZ240" s="422">
        <f t="shared" si="1159"/>
        <v>0</v>
      </c>
      <c r="JA240" s="422">
        <f t="shared" si="1159"/>
        <v>0</v>
      </c>
      <c r="JB240" s="422">
        <f t="shared" si="1159"/>
        <v>0</v>
      </c>
      <c r="JC240" s="422">
        <f t="shared" si="1159"/>
        <v>0</v>
      </c>
      <c r="JD240" s="422">
        <f t="shared" si="1159"/>
        <v>0</v>
      </c>
      <c r="JE240" s="422">
        <f t="shared" si="1159"/>
        <v>0</v>
      </c>
      <c r="JF240" s="422">
        <f t="shared" si="1159"/>
        <v>0</v>
      </c>
      <c r="JG240" s="422">
        <f t="shared" si="1159"/>
        <v>0</v>
      </c>
      <c r="JH240" s="422">
        <f t="shared" si="1159"/>
        <v>0</v>
      </c>
      <c r="JI240" s="422">
        <f t="shared" si="1159"/>
        <v>0</v>
      </c>
      <c r="JJ240" s="422">
        <f t="shared" si="1159"/>
        <v>0</v>
      </c>
      <c r="JK240" s="422">
        <f t="shared" si="1159"/>
        <v>0</v>
      </c>
      <c r="JL240" s="422">
        <f t="shared" si="1159"/>
        <v>0</v>
      </c>
      <c r="JM240" s="422">
        <f t="shared" si="1159"/>
        <v>0</v>
      </c>
      <c r="JN240" s="422">
        <f t="shared" si="1159"/>
        <v>0</v>
      </c>
      <c r="JO240" s="422">
        <f t="shared" si="1159"/>
        <v>0</v>
      </c>
      <c r="JP240" s="422">
        <f t="shared" si="1159"/>
        <v>0</v>
      </c>
      <c r="JQ240" s="422">
        <f t="shared" si="1159"/>
        <v>0</v>
      </c>
      <c r="JR240" s="422">
        <f t="shared" si="1159"/>
        <v>0</v>
      </c>
      <c r="JS240" s="422">
        <f t="shared" si="1159"/>
        <v>0</v>
      </c>
      <c r="JT240" s="422" t="n">
        <f t="shared" ref="JT240:JX240" si="1160">IF(EJ250="",0,EJ250)</f>
        <v>0</v>
      </c>
      <c r="JU240" s="422">
        <f t="shared" si="1160"/>
        <v>0</v>
      </c>
      <c r="JV240" s="422">
        <f t="shared" si="1160"/>
        <v>0</v>
      </c>
      <c r="JW240" s="422">
        <f t="shared" si="1160"/>
        <v>0</v>
      </c>
      <c r="JX240" s="422">
        <f t="shared" si="1160"/>
        <v>0</v>
      </c>
      <c r="JZ240" s="263"/>
      <c r="KA240" s="263"/>
      <c r="KB240" s="263"/>
      <c r="KC240" s="263"/>
      <c r="KD240" s="263"/>
      <c r="KE240" s="263"/>
      <c r="KF240" s="263"/>
      <c r="KG240" s="263"/>
      <c r="KH240" s="263"/>
      <c r="KI240" s="263"/>
      <c r="KJ240" s="263"/>
      <c r="KK240" s="263"/>
      <c r="KL240" s="263"/>
      <c r="KM240" s="263"/>
      <c r="KN240" s="263"/>
      <c r="KO240" s="263"/>
      <c r="KP240" s="263"/>
      <c r="KQ240" s="263"/>
      <c r="KR240" s="263"/>
      <c r="KS240" s="263"/>
      <c r="KT240" s="263"/>
      <c r="KU240" s="263"/>
      <c r="KV240" s="263"/>
      <c r="KW240" s="263"/>
      <c r="KX240" s="263"/>
      <c r="KY240" s="263"/>
      <c r="KZ240" s="263"/>
      <c r="LA240" s="263"/>
      <c r="LB240" s="263"/>
      <c r="LC240" s="263"/>
      <c r="LD240" s="263"/>
      <c r="LE240" s="263"/>
      <c r="LF240" s="263"/>
      <c r="LG240" s="263"/>
      <c r="LH240" s="263"/>
      <c r="LI240" s="263"/>
      <c r="LJ240" s="263"/>
      <c r="LK240" s="263"/>
      <c r="LL240" s="263"/>
      <c r="LM240" s="263"/>
      <c r="LN240" s="263"/>
      <c r="LO240" s="263"/>
      <c r="LP240" s="263"/>
      <c r="LQ240" s="263"/>
      <c r="LR240" s="263"/>
      <c r="LS240" s="263"/>
      <c r="LT240" s="263"/>
      <c r="LU240" s="263"/>
      <c r="LV240" s="263"/>
      <c r="LW240" s="263"/>
      <c r="LX240" s="263"/>
      <c r="LY240" s="263"/>
      <c r="LZ240" s="263"/>
      <c r="MA240" s="263"/>
      <c r="MB240" s="263"/>
      <c r="MC240" s="263"/>
      <c r="MD240" s="263"/>
      <c r="ME240" s="263"/>
      <c r="MF240" s="263"/>
      <c r="MG240" s="263"/>
      <c r="MH240" s="263"/>
      <c r="MI240" s="263"/>
      <c r="MJ240" s="263"/>
      <c r="MK240" s="263"/>
      <c r="ML240" s="263"/>
      <c r="MM240" s="263"/>
      <c r="MN240" s="263"/>
      <c r="MO240" s="263"/>
      <c r="MP240" s="263"/>
      <c r="MQ240" s="263"/>
      <c r="MR240" s="263"/>
      <c r="MS240" s="263"/>
      <c r="MT240" s="263"/>
      <c r="MU240" s="263"/>
      <c r="MV240" s="263"/>
      <c r="MW240" s="263"/>
      <c r="MX240" s="263"/>
      <c r="MY240" s="263"/>
      <c r="MZ240" s="263"/>
      <c r="NA240" s="263"/>
      <c r="NB240" s="263"/>
      <c r="NC240" s="263"/>
      <c r="ND240" s="263"/>
      <c r="NE240" s="263"/>
      <c r="NF240" s="263"/>
      <c r="NG240" s="263"/>
      <c r="NH240" s="263"/>
      <c r="NI240" s="263"/>
      <c r="NJ240" s="263"/>
      <c r="NK240" s="263"/>
      <c r="NL240" s="263"/>
      <c r="NM240" s="263"/>
      <c r="NN240" s="263"/>
      <c r="NO240" s="263"/>
      <c r="NP240" s="263"/>
      <c r="NQ240" s="263"/>
      <c r="NR240" s="263"/>
      <c r="NS240" s="263"/>
      <c r="NT240" s="263"/>
      <c r="NU240" s="263"/>
      <c r="NV240" s="263"/>
      <c r="NW240" s="263"/>
      <c r="NX240" s="263"/>
      <c r="NY240" s="263"/>
      <c r="NZ240" s="263"/>
      <c r="OA240" s="263"/>
      <c r="OB240" s="263"/>
      <c r="OC240" s="263"/>
      <c r="OD240" s="263"/>
      <c r="OE240" s="263"/>
      <c r="OF240" s="263"/>
      <c r="OG240" s="263"/>
      <c r="OH240" s="263"/>
      <c r="OI240" s="263"/>
      <c r="OJ240" s="263"/>
      <c r="OK240" s="263"/>
      <c r="OL240" s="263"/>
      <c r="OM240" s="263"/>
      <c r="ON240" s="263"/>
      <c r="OO240" s="263"/>
      <c r="OP240" s="263"/>
      <c r="OQ240" s="263"/>
      <c r="OR240" s="263"/>
      <c r="OS240" s="263"/>
      <c r="OT240" s="263"/>
      <c r="OU240" s="263"/>
      <c r="OV240" s="263"/>
      <c r="OW240" s="263"/>
      <c r="OX240" s="263"/>
      <c r="OY240" s="263"/>
      <c r="OZ240" s="263"/>
      <c r="PA240" s="263"/>
      <c r="PB240" s="263"/>
      <c r="PC240" s="263"/>
      <c r="PD240" s="263"/>
      <c r="PE240" s="263"/>
      <c r="PF240" s="263"/>
      <c r="PG240" s="263"/>
      <c r="PH240" s="263"/>
    </row>
    <row r="241">
      <c r="B241" s="34" t="s">
        <v>153</v>
      </c>
      <c r="C241" s="401"/>
      <c r="D241" s="401"/>
      <c r="E241" s="401"/>
      <c r="F241" s="401"/>
      <c r="G241" s="86"/>
      <c r="H241" s="58" t="n">
        <f>I241/$I$241</f>
        <v>1</v>
      </c>
      <c r="I241" s="551" t="n">
        <f>SUM(I239:I240)</f>
        <v>982430885.2757692</v>
      </c>
      <c r="L241" s="421" t="str">
        <f t="shared" ref="L241:AQ241" si="1161">IF(L$227="","",SUM(L239:L240))</f>
      </c>
      <c r="M241" s="421">
        <f t="shared" si="1161"/>
        <v>413948.37929137197</v>
      </c>
      <c r="N241" s="421">
        <f t="shared" si="1161"/>
        <v>142737.98220339679</v>
      </c>
      <c r="O241" s="421">
        <f t="shared" si="1161"/>
        <v>0</v>
      </c>
      <c r="P241" s="421">
        <f t="shared" si="1161"/>
        <v>0</v>
      </c>
      <c r="Q241" s="421">
        <f t="shared" si="1161"/>
        <v>0</v>
      </c>
      <c r="R241" s="421">
        <f t="shared" si="1161"/>
        <v>0</v>
      </c>
      <c r="S241" s="421">
        <f t="shared" si="1161"/>
        <v>0</v>
      </c>
      <c r="T241" s="421">
        <f t="shared" si="1161"/>
        <v>0</v>
      </c>
      <c r="U241" s="421">
        <f t="shared" si="1161"/>
        <v>0</v>
      </c>
      <c r="V241" s="421">
        <f t="shared" si="1161"/>
        <v>0</v>
      </c>
      <c r="W241" s="421">
        <f t="shared" si="1161"/>
        <v>0</v>
      </c>
      <c r="X241" s="421">
        <f t="shared" si="1161"/>
        <v>0</v>
      </c>
      <c r="Y241" s="421">
        <f t="shared" si="1161"/>
        <v>0</v>
      </c>
      <c r="Z241" s="421">
        <f t="shared" si="1161"/>
        <v>0</v>
      </c>
      <c r="AA241" s="421">
        <f t="shared" si="1161"/>
        <v>0</v>
      </c>
      <c r="AB241" s="421">
        <f t="shared" si="1161"/>
        <v>0</v>
      </c>
      <c r="AC241" s="421">
        <f t="shared" si="1161"/>
        <v>853119.55281024228</v>
      </c>
      <c r="AD241" s="421">
        <f t="shared" si="1161"/>
        <v>3665053.5541383428</v>
      </c>
      <c r="AE241" s="421">
        <f t="shared" si="1161"/>
        <v>3410662.1015776722</v>
      </c>
      <c r="AF241" s="421">
        <f t="shared" si="1161"/>
        <v>3247961.4392093075</v>
      </c>
      <c r="AG241" s="421">
        <f t="shared" si="1161"/>
        <v>3879141.5832031192</v>
      </c>
      <c r="AH241" s="421">
        <f t="shared" si="1161"/>
        <v>3730403.2008891301</v>
      </c>
      <c r="AI241" s="421">
        <f t="shared" si="1161"/>
        <v>3593524.9150274647</v>
      </c>
      <c r="AJ241" s="421">
        <f t="shared" si="1161"/>
        <v>3776172.9559091972</v>
      </c>
      <c r="AK241" s="421">
        <f t="shared" si="1161"/>
        <v>3668480.4053410282</v>
      </c>
      <c r="AL241" s="421">
        <f t="shared" si="1161"/>
        <v>3576251.227137384</v>
      </c>
      <c r="AM241" s="421">
        <f t="shared" si="1161"/>
        <v>3687043.5329968771</v>
      </c>
      <c r="AN241" s="421">
        <f t="shared" si="1161"/>
        <v>2995370.3668411849</v>
      </c>
      <c r="AO241" s="421">
        <f t="shared" si="1161"/>
        <v>1576563.4029267943</v>
      </c>
      <c r="AP241" s="421">
        <f t="shared" si="1161"/>
        <v>2641225.1199580738</v>
      </c>
      <c r="AQ241" s="421">
        <f t="shared" si="1161"/>
        <v>3037129.1260873023</v>
      </c>
      <c r="AR241" s="421" t="n">
        <f t="shared" ref="AR241:BW241" si="1162">IF(AR$227="","",SUM(AR239:AR240))</f>
        <v>3331940.029857875</v>
      </c>
      <c r="AS241" s="421">
        <f t="shared" si="1162"/>
        <v>3543075.2003101264</v>
      </c>
      <c r="AT241" s="421">
        <f t="shared" si="1162"/>
        <v>3941015.5223757271</v>
      </c>
      <c r="AU241" s="421">
        <f t="shared" si="1162"/>
        <v>4033678.1277150894</v>
      </c>
      <c r="AV241" s="421">
        <f t="shared" si="1162"/>
        <v>4101932.8264588998</v>
      </c>
      <c r="AW241" s="421">
        <f t="shared" si="1162"/>
        <v>3678495.6694553462</v>
      </c>
      <c r="AX241" s="421">
        <f t="shared" si="1162"/>
        <v>3665813.0495049832</v>
      </c>
      <c r="AY241" s="421">
        <f t="shared" si="1162"/>
        <v>3653035.3099049935</v>
      </c>
      <c r="AZ241" s="421">
        <f t="shared" si="1162"/>
        <v>3646481.5132933473</v>
      </c>
      <c r="BA241" s="421">
        <f t="shared" si="1162"/>
        <v>3633511.3888515048</v>
      </c>
      <c r="BB241" s="421">
        <f t="shared" si="1162"/>
        <v>3620443.988476349</v>
      </c>
      <c r="BC241" s="421">
        <f t="shared" si="1162"/>
        <v>3771400.5906808469</v>
      </c>
      <c r="BD241" s="76">
        <f t="shared" si="1162"/>
        <v>3758136.4442587923</v>
      </c>
      <c r="BE241" s="76">
        <f t="shared" si="1162"/>
        <v>3744772.8167385729</v>
      </c>
      <c r="BF241" s="76">
        <f t="shared" si="1162"/>
        <v>3760449.378678618</v>
      </c>
      <c r="BG241" s="76">
        <f t="shared" si="1162"/>
        <v>3746884.5450415472</v>
      </c>
      <c r="BH241" s="76">
        <f t="shared" si="1162"/>
        <v>3733217.9751521973</v>
      </c>
      <c r="BI241" s="76">
        <f t="shared" si="1162"/>
        <v>3725525.3932928452</v>
      </c>
      <c r="BJ241" s="76">
        <f t="shared" si="1162"/>
        <v>3711653.0561105991</v>
      </c>
      <c r="BK241" s="76">
        <f t="shared" si="1162"/>
        <v>3697676.6763994871</v>
      </c>
      <c r="BL241" s="76">
        <f t="shared" si="1162"/>
        <v>3689904.6613405412</v>
      </c>
      <c r="BM241" s="76">
        <f t="shared" si="1162"/>
        <v>3675717.8497624025</v>
      </c>
      <c r="BN241" s="76">
        <f t="shared" si="1162"/>
        <v>3661424.637097429</v>
      </c>
      <c r="BO241" s="76">
        <f t="shared" si="1162"/>
        <v>3795569.4812097289</v>
      </c>
      <c r="BP241" s="76">
        <f t="shared" si="1162"/>
        <v>3781061.0663615679</v>
      </c>
      <c r="BQ241" s="76">
        <f t="shared" si="1162"/>
        <v>3766443.8384020459</v>
      </c>
      <c r="BR241" s="76">
        <f t="shared" si="1162"/>
        <v>3781877.3124828264</v>
      </c>
      <c r="BS241" s="76">
        <f t="shared" si="1162"/>
        <v>3767040.0038848389</v>
      </c>
      <c r="BT241" s="76">
        <f t="shared" si="1162"/>
        <v>3752091.4154723659</v>
      </c>
      <c r="BU241" s="76">
        <f t="shared" si="1162"/>
        <v>826365826.66164994</v>
      </c>
      <c r="BV241" s="76" t="str">
        <f t="shared" si="1162"/>
      </c>
      <c r="BW241" s="76" t="str">
        <f t="shared" si="1162"/>
      </c>
      <c r="BX241" s="76" t="str">
        <f t="shared" ref="BX241:DC241" si="1163">IF(BX$227="","",SUM(BX239:BX240))</f>
      </c>
      <c r="BY241" s="76" t="str">
        <f t="shared" si="1163"/>
      </c>
      <c r="BZ241" s="76" t="str">
        <f t="shared" si="1163"/>
      </c>
      <c r="CA241" s="76" t="str">
        <f t="shared" si="1163"/>
      </c>
      <c r="CB241" s="76" t="str">
        <f t="shared" si="1163"/>
      </c>
      <c r="CC241" s="76" t="str">
        <f t="shared" si="1163"/>
      </c>
      <c r="CD241" s="76" t="str">
        <f t="shared" si="1163"/>
      </c>
      <c r="CE241" s="76" t="str">
        <f t="shared" si="1163"/>
      </c>
      <c r="CF241" s="76" t="str">
        <f t="shared" si="1163"/>
      </c>
      <c r="CG241" s="76" t="str">
        <f t="shared" si="1163"/>
      </c>
      <c r="CH241" s="76" t="str">
        <f t="shared" si="1163"/>
      </c>
      <c r="CI241" s="76" t="str">
        <f t="shared" si="1163"/>
      </c>
      <c r="CJ241" s="76" t="str">
        <f t="shared" si="1163"/>
      </c>
      <c r="CK241" s="76" t="str">
        <f t="shared" si="1163"/>
      </c>
      <c r="CL241" s="76" t="str">
        <f t="shared" si="1163"/>
      </c>
      <c r="CM241" s="76" t="str">
        <f t="shared" si="1163"/>
      </c>
      <c r="CN241" s="76" t="str">
        <f t="shared" si="1163"/>
      </c>
      <c r="CO241" s="76" t="str">
        <f t="shared" si="1163"/>
      </c>
      <c r="CP241" s="76" t="str">
        <f t="shared" si="1163"/>
      </c>
      <c r="CQ241" s="76" t="str">
        <f t="shared" si="1163"/>
      </c>
      <c r="CR241" s="76" t="str">
        <f t="shared" si="1163"/>
      </c>
      <c r="CS241" s="76" t="str">
        <f t="shared" si="1163"/>
      </c>
      <c r="CT241" s="76" t="str">
        <f t="shared" si="1163"/>
      </c>
      <c r="CU241" s="76" t="str">
        <f t="shared" si="1163"/>
      </c>
      <c r="CV241" s="76" t="str">
        <f t="shared" si="1163"/>
      </c>
      <c r="CW241" s="76" t="str">
        <f t="shared" si="1163"/>
      </c>
      <c r="CX241" s="76" t="str">
        <f t="shared" si="1163"/>
      </c>
      <c r="CY241" s="76" t="str">
        <f t="shared" si="1163"/>
      </c>
      <c r="CZ241" s="76" t="str">
        <f t="shared" si="1163"/>
      </c>
      <c r="DA241" s="76" t="str">
        <f t="shared" si="1163"/>
      </c>
      <c r="DB241" s="76" t="str">
        <f t="shared" si="1163"/>
      </c>
      <c r="DC241" s="76" t="str">
        <f t="shared" si="1163"/>
      </c>
      <c r="DD241" s="76" t="str">
        <f t="shared" ref="DD241:EI241" si="1164">IF(DD$227="","",SUM(DD239:DD240))</f>
      </c>
      <c r="DE241" s="76" t="str">
        <f t="shared" si="1164"/>
      </c>
      <c r="DF241" s="76" t="str">
        <f t="shared" si="1164"/>
      </c>
      <c r="DG241" s="76" t="str">
        <f t="shared" si="1164"/>
      </c>
      <c r="DH241" s="76" t="str">
        <f t="shared" si="1164"/>
      </c>
      <c r="DI241" s="76" t="str">
        <f t="shared" si="1164"/>
      </c>
      <c r="DJ241" s="76" t="str">
        <f t="shared" si="1164"/>
      </c>
      <c r="DK241" s="76" t="str">
        <f t="shared" si="1164"/>
      </c>
      <c r="DL241" s="76" t="str">
        <f t="shared" si="1164"/>
      </c>
      <c r="DM241" s="76" t="str">
        <f t="shared" si="1164"/>
      </c>
      <c r="DN241" s="76" t="str">
        <f t="shared" si="1164"/>
      </c>
      <c r="DO241" s="76" t="str">
        <f t="shared" si="1164"/>
      </c>
      <c r="DP241" s="76" t="str">
        <f t="shared" si="1164"/>
      </c>
      <c r="DQ241" s="76" t="str">
        <f t="shared" si="1164"/>
      </c>
      <c r="DR241" s="76" t="str">
        <f t="shared" si="1164"/>
      </c>
      <c r="DS241" s="76" t="str">
        <f t="shared" si="1164"/>
      </c>
      <c r="DT241" s="76" t="str">
        <f t="shared" si="1164"/>
      </c>
      <c r="DU241" s="76" t="str">
        <f t="shared" si="1164"/>
      </c>
      <c r="DV241" s="76" t="str">
        <f t="shared" si="1164"/>
      </c>
      <c r="DW241" s="76" t="str">
        <f t="shared" si="1164"/>
      </c>
      <c r="DX241" s="76" t="str">
        <f t="shared" si="1164"/>
      </c>
      <c r="DY241" s="76" t="str">
        <f t="shared" si="1164"/>
      </c>
      <c r="DZ241" s="76" t="str">
        <f t="shared" si="1164"/>
      </c>
      <c r="EA241" s="76" t="str">
        <f t="shared" si="1164"/>
      </c>
      <c r="EB241" s="76" t="str">
        <f t="shared" si="1164"/>
      </c>
      <c r="EC241" s="76" t="str">
        <f t="shared" si="1164"/>
      </c>
      <c r="ED241" s="76" t="str">
        <f t="shared" si="1164"/>
      </c>
      <c r="EE241" s="76" t="str">
        <f t="shared" si="1164"/>
      </c>
      <c r="EF241" s="76" t="str">
        <f t="shared" si="1164"/>
      </c>
      <c r="EG241" s="76" t="str">
        <f t="shared" si="1164"/>
      </c>
      <c r="EH241" s="76" t="str">
        <f t="shared" si="1164"/>
      </c>
      <c r="EI241" s="76" t="str">
        <f t="shared" si="1164"/>
      </c>
      <c r="EJ241" s="76" t="str">
        <f>IF(EJ$227="","",SUM(EJ239:EJ240))</f>
      </c>
      <c r="EK241" s="76" t="str">
        <f>IF(EK$227="","",SUM(EK239:EK240))</f>
      </c>
      <c r="EL241" s="76" t="str">
        <f>IF(EL$227="","",SUM(EL239:EL240))</f>
      </c>
      <c r="EM241" s="76" t="str">
        <f>IF(EM$227="","",SUM(EM239:EM240))</f>
      </c>
      <c r="EN241" s="76" t="str">
        <f>IF(EN$227="","",SUM(EN239:EN240))</f>
      </c>
      <c r="EP241" s="409"/>
      <c r="EQ241" s="18"/>
      <c r="ER241" s="18"/>
      <c r="ES241" s="18"/>
      <c r="ET241" s="18" t="s">
        <v>439</v>
      </c>
      <c r="EU241" s="18"/>
      <c r="EV241" s="422" t="n">
        <f>(EV$197&lt;=Timing_Reversion_Month)*(MIN(EV238+EV239,MAX(EV236,0)*$I$254))</f>
        <v>0</v>
      </c>
      <c r="EW241" s="422" t="n">
        <f t="shared" ref="EW241:GA241" si="1165">(EW$197&lt;=Timing_Reversion_Month)*(MIN(EW238+EW239,MAX(EW236,0)*$I$254))</f>
        <v>19662.548016340177</v>
      </c>
      <c r="EX241" s="422">
        <f t="shared" si="1165"/>
        <v>6780.0541546613476</v>
      </c>
      <c r="EY241" s="422">
        <f t="shared" si="1165"/>
        <v>0</v>
      </c>
      <c r="EZ241" s="422">
        <f t="shared" si="1165"/>
        <v>0</v>
      </c>
      <c r="FA241" s="422">
        <f t="shared" si="1165"/>
        <v>0</v>
      </c>
      <c r="FB241" s="422">
        <f t="shared" si="1165"/>
        <v>0</v>
      </c>
      <c r="FC241" s="422">
        <f t="shared" si="1165"/>
        <v>0</v>
      </c>
      <c r="FD241" s="422">
        <f t="shared" si="1165"/>
        <v>0</v>
      </c>
      <c r="FE241" s="422">
        <f t="shared" si="1165"/>
        <v>0</v>
      </c>
      <c r="FF241" s="422">
        <f t="shared" si="1165"/>
        <v>0</v>
      </c>
      <c r="FG241" s="422">
        <f t="shared" si="1165"/>
        <v>0</v>
      </c>
      <c r="FH241" s="422">
        <f t="shared" si="1165"/>
        <v>0</v>
      </c>
      <c r="FI241" s="422">
        <f t="shared" si="1165"/>
        <v>0</v>
      </c>
      <c r="FJ241" s="422">
        <f t="shared" si="1165"/>
        <v>0</v>
      </c>
      <c r="FK241" s="422">
        <f t="shared" si="1165"/>
        <v>0</v>
      </c>
      <c r="FL241" s="422">
        <f t="shared" si="1165"/>
        <v>0</v>
      </c>
      <c r="FM241" s="422">
        <f t="shared" si="1165"/>
        <v>40523.178758486509</v>
      </c>
      <c r="FN241" s="422">
        <f t="shared" si="1165"/>
        <v>174090.04382157131</v>
      </c>
      <c r="FO241" s="422">
        <f t="shared" si="1165"/>
        <v>162006.44982493951</v>
      </c>
      <c r="FP241" s="422">
        <f t="shared" si="1165"/>
        <v>154278.16836244211</v>
      </c>
      <c r="FQ241" s="422">
        <f t="shared" si="1165"/>
        <v>184259.22520214817</v>
      </c>
      <c r="FR241" s="422">
        <f t="shared" si="1165"/>
        <v>177194.15204223376</v>
      </c>
      <c r="FS241" s="422">
        <f t="shared" si="1165"/>
        <v>170692.43346380457</v>
      </c>
      <c r="FT241" s="422">
        <f t="shared" si="1165"/>
        <v>179368.21540568696</v>
      </c>
      <c r="FU241" s="422">
        <f t="shared" si="1165"/>
        <v>174252.81925369884</v>
      </c>
      <c r="FV241" s="422">
        <f t="shared" si="1165"/>
        <v>169871.93328902582</v>
      </c>
      <c r="FW241" s="422">
        <f t="shared" si="1165"/>
        <v>175134.56781735166</v>
      </c>
      <c r="FX241" s="422">
        <f t="shared" si="1165"/>
        <v>142280.09242495635</v>
      </c>
      <c r="FY241" s="422">
        <f t="shared" si="1165"/>
        <v>74886.761639022734</v>
      </c>
      <c r="FZ241" s="422">
        <f t="shared" si="1165"/>
        <v>125458.19319800851</v>
      </c>
      <c r="GA241" s="422">
        <f t="shared" si="1165"/>
        <v>144263.63348914686</v>
      </c>
      <c r="GB241" s="422" t="n">
        <f t="shared" ref="GB241:HG241" si="1166">(GB$197&lt;=Timing_Reversion_Month)*(MIN(GB238+GB239,MAX(GB236,0)*$I$254))</f>
        <v>158267.15141824906</v>
      </c>
      <c r="GC241" s="422">
        <f t="shared" si="1166"/>
        <v>168296.07201473101</v>
      </c>
      <c r="GD241" s="422">
        <f t="shared" si="1166"/>
        <v>187198.23731284705</v>
      </c>
      <c r="GE241" s="422">
        <f t="shared" si="1166"/>
        <v>191599.71106646673</v>
      </c>
      <c r="GF241" s="422">
        <f t="shared" si="1166"/>
        <v>194841.8092567978</v>
      </c>
      <c r="GG241" s="422">
        <f t="shared" si="1166"/>
        <v>174728.54429912902</v>
      </c>
      <c r="GH241" s="422">
        <f t="shared" si="1166"/>
        <v>174126.11985148679</v>
      </c>
      <c r="GI241" s="422">
        <f t="shared" si="1166"/>
        <v>173519.17722048727</v>
      </c>
      <c r="GJ241" s="422">
        <f t="shared" si="1166"/>
        <v>173207.871881434</v>
      </c>
      <c r="GK241" s="422">
        <f t="shared" si="1166"/>
        <v>172591.79097044648</v>
      </c>
      <c r="GL241" s="422">
        <f t="shared" si="1166"/>
        <v>171971.08945262656</v>
      </c>
      <c r="GM241" s="422">
        <f t="shared" si="1166"/>
        <v>179141.52805734021</v>
      </c>
      <c r="GN241" s="422">
        <f t="shared" si="1166"/>
        <v>178511.48110229263</v>
      </c>
      <c r="GO241" s="422">
        <f t="shared" si="1166"/>
        <v>177876.70879508229</v>
      </c>
      <c r="GP241" s="422">
        <f t="shared" si="1166"/>
        <v>178621.34548723436</v>
      </c>
      <c r="GQ241" s="422">
        <f t="shared" si="1166"/>
        <v>177977.01588947349</v>
      </c>
      <c r="GR241" s="422">
        <f t="shared" si="1166"/>
        <v>177327.85381972938</v>
      </c>
      <c r="GS241" s="422">
        <f t="shared" si="1166"/>
        <v>170332.11245273732</v>
      </c>
      <c r="GT241" s="422">
        <f t="shared" si="1166"/>
        <v>169673.17643658066</v>
      </c>
      <c r="GU241" s="422">
        <f t="shared" si="1166"/>
        <v>169009.29840030277</v>
      </c>
      <c r="GV241" s="422">
        <f t="shared" si="1166"/>
        <v>168640.12768500287</v>
      </c>
      <c r="GW241" s="422">
        <f t="shared" si="1166"/>
        <v>167966.25413504138</v>
      </c>
      <c r="GX241" s="422">
        <f t="shared" si="1166"/>
        <v>167287.32653345514</v>
      </c>
      <c r="GY241" s="422">
        <f t="shared" si="1166"/>
        <v>173659.20662878925</v>
      </c>
      <c r="GZ241" s="422">
        <f t="shared" si="1166"/>
        <v>172970.05692350163</v>
      </c>
      <c r="HA241" s="422">
        <f t="shared" si="1166"/>
        <v>172275.73859542437</v>
      </c>
      <c r="HB241" s="422">
        <f t="shared" si="1166"/>
        <v>173008.82861426138</v>
      </c>
      <c r="HC241" s="422">
        <f t="shared" si="1166"/>
        <v>172304.05645585703</v>
      </c>
      <c r="HD241" s="422">
        <f t="shared" si="1166"/>
        <v>171593.99850626464</v>
      </c>
      <c r="HE241" s="422">
        <f t="shared" si="1166"/>
        <v>4625743.4659106061</v>
      </c>
      <c r="HF241" s="422">
        <f t="shared" si="1166"/>
        <v>0</v>
      </c>
      <c r="HG241" s="422">
        <f t="shared" si="1166"/>
        <v>0</v>
      </c>
      <c r="HH241" s="422" t="n">
        <f t="shared" ref="HH241:IM241" si="1167">(HH$197&lt;=Timing_Reversion_Month)*(MIN(HH238+HH239,MAX(HH236,0)*$I$254))</f>
        <v>0</v>
      </c>
      <c r="HI241" s="422">
        <f t="shared" si="1167"/>
        <v>0</v>
      </c>
      <c r="HJ241" s="422">
        <f t="shared" si="1167"/>
        <v>0</v>
      </c>
      <c r="HK241" s="422">
        <f t="shared" si="1167"/>
        <v>0</v>
      </c>
      <c r="HL241" s="422">
        <f t="shared" si="1167"/>
        <v>0</v>
      </c>
      <c r="HM241" s="422">
        <f t="shared" si="1167"/>
        <v>0</v>
      </c>
      <c r="HN241" s="422">
        <f t="shared" si="1167"/>
        <v>0</v>
      </c>
      <c r="HO241" s="422">
        <f t="shared" si="1167"/>
        <v>0</v>
      </c>
      <c r="HP241" s="422">
        <f t="shared" si="1167"/>
        <v>0</v>
      </c>
      <c r="HQ241" s="422">
        <f t="shared" si="1167"/>
        <v>0</v>
      </c>
      <c r="HR241" s="422">
        <f t="shared" si="1167"/>
        <v>0</v>
      </c>
      <c r="HS241" s="422">
        <f t="shared" si="1167"/>
        <v>0</v>
      </c>
      <c r="HT241" s="422">
        <f t="shared" si="1167"/>
        <v>0</v>
      </c>
      <c r="HU241" s="422">
        <f t="shared" si="1167"/>
        <v>0</v>
      </c>
      <c r="HV241" s="422">
        <f t="shared" si="1167"/>
        <v>0</v>
      </c>
      <c r="HW241" s="422">
        <f t="shared" si="1167"/>
        <v>0</v>
      </c>
      <c r="HX241" s="422">
        <f t="shared" si="1167"/>
        <v>0</v>
      </c>
      <c r="HY241" s="422">
        <f t="shared" si="1167"/>
        <v>0</v>
      </c>
      <c r="HZ241" s="422">
        <f t="shared" si="1167"/>
        <v>0</v>
      </c>
      <c r="IA241" s="422">
        <f t="shared" si="1167"/>
        <v>0</v>
      </c>
      <c r="IB241" s="422">
        <f t="shared" si="1167"/>
        <v>0</v>
      </c>
      <c r="IC241" s="422">
        <f t="shared" si="1167"/>
        <v>0</v>
      </c>
      <c r="ID241" s="422">
        <f t="shared" si="1167"/>
        <v>0</v>
      </c>
      <c r="IE241" s="422">
        <f t="shared" si="1167"/>
        <v>0</v>
      </c>
      <c r="IF241" s="422">
        <f t="shared" si="1167"/>
        <v>0</v>
      </c>
      <c r="IG241" s="422">
        <f t="shared" si="1167"/>
        <v>0</v>
      </c>
      <c r="IH241" s="422">
        <f t="shared" si="1167"/>
        <v>0</v>
      </c>
      <c r="II241" s="422">
        <f t="shared" si="1167"/>
        <v>0</v>
      </c>
      <c r="IJ241" s="422">
        <f t="shared" si="1167"/>
        <v>0</v>
      </c>
      <c r="IK241" s="422">
        <f t="shared" si="1167"/>
        <v>0</v>
      </c>
      <c r="IL241" s="422">
        <f t="shared" si="1167"/>
        <v>0</v>
      </c>
      <c r="IM241" s="422">
        <f t="shared" si="1167"/>
        <v>0</v>
      </c>
      <c r="IN241" s="422" t="n">
        <f t="shared" ref="IN241:JX241" si="1168">(IN$197&lt;=Timing_Reversion_Month)*(MIN(IN238+IN239,MAX(IN236,0)*$I$254))</f>
        <v>0</v>
      </c>
      <c r="IO241" s="422">
        <f t="shared" si="1168"/>
        <v>0</v>
      </c>
      <c r="IP241" s="422">
        <f t="shared" si="1168"/>
        <v>0</v>
      </c>
      <c r="IQ241" s="422">
        <f t="shared" si="1168"/>
        <v>0</v>
      </c>
      <c r="IR241" s="422">
        <f t="shared" si="1168"/>
        <v>0</v>
      </c>
      <c r="IS241" s="422">
        <f t="shared" si="1168"/>
        <v>0</v>
      </c>
      <c r="IT241" s="422">
        <f t="shared" si="1168"/>
        <v>0</v>
      </c>
      <c r="IU241" s="422">
        <f t="shared" si="1168"/>
        <v>0</v>
      </c>
      <c r="IV241" s="422">
        <f t="shared" si="1168"/>
        <v>0</v>
      </c>
      <c r="IW241" s="422">
        <f t="shared" si="1168"/>
        <v>0</v>
      </c>
      <c r="IX241" s="422">
        <f t="shared" si="1168"/>
        <v>0</v>
      </c>
      <c r="IY241" s="422">
        <f t="shared" si="1168"/>
        <v>0</v>
      </c>
      <c r="IZ241" s="422">
        <f t="shared" si="1168"/>
        <v>0</v>
      </c>
      <c r="JA241" s="422">
        <f t="shared" si="1168"/>
        <v>0</v>
      </c>
      <c r="JB241" s="422">
        <f t="shared" si="1168"/>
        <v>0</v>
      </c>
      <c r="JC241" s="422">
        <f t="shared" si="1168"/>
        <v>0</v>
      </c>
      <c r="JD241" s="422">
        <f t="shared" si="1168"/>
        <v>0</v>
      </c>
      <c r="JE241" s="422">
        <f t="shared" si="1168"/>
        <v>0</v>
      </c>
      <c r="JF241" s="422">
        <f t="shared" si="1168"/>
        <v>0</v>
      </c>
      <c r="JG241" s="422">
        <f t="shared" si="1168"/>
        <v>0</v>
      </c>
      <c r="JH241" s="422">
        <f t="shared" si="1168"/>
        <v>0</v>
      </c>
      <c r="JI241" s="422">
        <f t="shared" si="1168"/>
        <v>0</v>
      </c>
      <c r="JJ241" s="422">
        <f t="shared" si="1168"/>
        <v>0</v>
      </c>
      <c r="JK241" s="422">
        <f t="shared" si="1168"/>
        <v>0</v>
      </c>
      <c r="JL241" s="422">
        <f t="shared" si="1168"/>
        <v>0</v>
      </c>
      <c r="JM241" s="422">
        <f t="shared" si="1168"/>
        <v>0</v>
      </c>
      <c r="JN241" s="422">
        <f t="shared" si="1168"/>
        <v>0</v>
      </c>
      <c r="JO241" s="422">
        <f t="shared" si="1168"/>
        <v>0</v>
      </c>
      <c r="JP241" s="422">
        <f t="shared" si="1168"/>
        <v>0</v>
      </c>
      <c r="JQ241" s="422">
        <f t="shared" si="1168"/>
        <v>0</v>
      </c>
      <c r="JR241" s="422">
        <f t="shared" si="1168"/>
        <v>0</v>
      </c>
      <c r="JS241" s="422">
        <f t="shared" si="1168"/>
        <v>0</v>
      </c>
      <c r="JT241" s="422">
        <f t="shared" si="1168"/>
        <v>0</v>
      </c>
      <c r="JU241" s="422">
        <f t="shared" si="1168"/>
        <v>0</v>
      </c>
      <c r="JV241" s="422">
        <f t="shared" si="1168"/>
        <v>0</v>
      </c>
      <c r="JW241" s="422">
        <f t="shared" si="1168"/>
        <v>0</v>
      </c>
      <c r="JX241" s="422">
        <f t="shared" si="1168"/>
        <v>0</v>
      </c>
      <c r="JZ241" s="263"/>
      <c r="KA241" s="263"/>
      <c r="KB241" s="263"/>
      <c r="KC241" s="263"/>
      <c r="KD241" s="263"/>
      <c r="KE241" s="263"/>
      <c r="KF241" s="263"/>
      <c r="KG241" s="263"/>
      <c r="KH241" s="263"/>
      <c r="KI241" s="263"/>
      <c r="KJ241" s="263"/>
      <c r="KK241" s="263"/>
      <c r="KL241" s="263"/>
      <c r="KM241" s="263"/>
      <c r="KN241" s="263"/>
      <c r="KO241" s="263"/>
      <c r="KP241" s="263"/>
      <c r="KQ241" s="263"/>
      <c r="KR241" s="263"/>
      <c r="KS241" s="263"/>
      <c r="KT241" s="263"/>
      <c r="KU241" s="263"/>
      <c r="KV241" s="263"/>
      <c r="KW241" s="263"/>
      <c r="KX241" s="263"/>
      <c r="KY241" s="263"/>
      <c r="KZ241" s="263"/>
      <c r="LA241" s="263"/>
      <c r="LB241" s="263"/>
      <c r="LC241" s="263"/>
      <c r="LD241" s="263"/>
      <c r="LE241" s="263"/>
      <c r="LF241" s="263"/>
      <c r="LG241" s="263"/>
      <c r="LH241" s="263"/>
      <c r="LI241" s="263"/>
      <c r="LJ241" s="263"/>
      <c r="LK241" s="263"/>
      <c r="LL241" s="263"/>
      <c r="LM241" s="263"/>
      <c r="LN241" s="263"/>
      <c r="LO241" s="263"/>
      <c r="LP241" s="263"/>
      <c r="LQ241" s="263"/>
      <c r="LR241" s="263"/>
      <c r="LS241" s="263"/>
      <c r="LT241" s="263"/>
      <c r="LU241" s="263"/>
      <c r="LV241" s="263"/>
      <c r="LW241" s="263"/>
      <c r="LX241" s="263"/>
      <c r="LY241" s="263"/>
      <c r="LZ241" s="263"/>
      <c r="MA241" s="263"/>
      <c r="MB241" s="263"/>
      <c r="MC241" s="263"/>
      <c r="MD241" s="263"/>
      <c r="ME241" s="263"/>
      <c r="MF241" s="263"/>
      <c r="MG241" s="263"/>
      <c r="MH241" s="263"/>
      <c r="MI241" s="263"/>
      <c r="MJ241" s="263"/>
      <c r="MK241" s="263"/>
      <c r="ML241" s="263"/>
      <c r="MM241" s="263"/>
      <c r="MN241" s="263"/>
      <c r="MO241" s="263"/>
      <c r="MP241" s="263"/>
      <c r="MQ241" s="263"/>
      <c r="MR241" s="263"/>
      <c r="MS241" s="263"/>
      <c r="MT241" s="263"/>
      <c r="MU241" s="263"/>
      <c r="MV241" s="263"/>
      <c r="MW241" s="263"/>
      <c r="MX241" s="263"/>
      <c r="MY241" s="263"/>
      <c r="MZ241" s="263"/>
      <c r="NA241" s="263"/>
      <c r="NB241" s="263"/>
      <c r="NC241" s="263"/>
      <c r="ND241" s="263"/>
      <c r="NE241" s="263"/>
      <c r="NF241" s="263"/>
      <c r="NG241" s="263"/>
      <c r="NH241" s="263"/>
      <c r="NI241" s="263"/>
      <c r="NJ241" s="263"/>
      <c r="NK241" s="263"/>
      <c r="NL241" s="263"/>
      <c r="NM241" s="263"/>
      <c r="NN241" s="263"/>
      <c r="NO241" s="263"/>
      <c r="NP241" s="263"/>
      <c r="NQ241" s="263"/>
      <c r="NR241" s="263"/>
      <c r="NS241" s="263"/>
      <c r="NT241" s="263"/>
      <c r="NU241" s="263"/>
      <c r="NV241" s="263"/>
      <c r="NW241" s="263"/>
      <c r="NX241" s="263"/>
      <c r="NY241" s="263"/>
      <c r="NZ241" s="263"/>
      <c r="OA241" s="263"/>
      <c r="OB241" s="263"/>
      <c r="OC241" s="263"/>
      <c r="OD241" s="263"/>
      <c r="OE241" s="263"/>
      <c r="OF241" s="263"/>
      <c r="OG241" s="263"/>
      <c r="OH241" s="263"/>
      <c r="OI241" s="263"/>
      <c r="OJ241" s="263"/>
      <c r="OK241" s="263"/>
      <c r="OL241" s="263"/>
      <c r="OM241" s="263"/>
      <c r="ON241" s="263"/>
      <c r="OO241" s="263"/>
      <c r="OP241" s="263"/>
      <c r="OQ241" s="263"/>
      <c r="OR241" s="263"/>
      <c r="OS241" s="263"/>
      <c r="OT241" s="263"/>
      <c r="OU241" s="263"/>
      <c r="OV241" s="263"/>
      <c r="OW241" s="263"/>
      <c r="OX241" s="263"/>
      <c r="OY241" s="263"/>
      <c r="OZ241" s="263"/>
      <c r="PA241" s="263"/>
      <c r="PB241" s="263"/>
      <c r="PC241" s="263"/>
      <c r="PD241" s="263"/>
      <c r="PE241" s="263"/>
      <c r="PF241" s="263"/>
      <c r="PG241" s="263"/>
      <c r="PH241" s="263"/>
    </row>
    <row r="242">
      <c r="B242" s="34"/>
      <c r="C242" s="401"/>
      <c r="D242" s="401"/>
      <c r="E242" s="401"/>
      <c r="F242" s="401"/>
      <c r="G242" s="401"/>
      <c r="H242" s="401"/>
      <c r="I242" s="401"/>
      <c r="EP242" s="409"/>
      <c r="EQ242" s="18"/>
      <c r="ER242" s="18"/>
      <c r="ES242" s="18"/>
      <c r="ET242" s="18" t="s">
        <v>440</v>
      </c>
      <c r="EU242" s="18"/>
      <c r="EV242" s="422" t="n">
        <f>(EV$197&lt;=Timing_Reversion_Month)*(EV238+EV239+EV240-EV241)</f>
        <v>4134152.6629957748</v>
      </c>
      <c r="EW242" s="422" t="n">
        <f t="shared" ref="EW242:GA242" si="1169">(EW$197&lt;=Timing_Reversion_Month)*(EW238+EW239+EW240-EW241)</f>
        <v>4144286.289859913</v>
      </c>
      <c r="EX242" s="422">
        <f t="shared" si="1169"/>
        <v>4167375.4469109043</v>
      </c>
      <c r="EY242" s="422">
        <f t="shared" si="1169"/>
        <v>4209029.336319753</v>
      </c>
      <c r="EZ242" s="422">
        <f t="shared" si="1169"/>
        <v>4276473.6882158518</v>
      </c>
      <c r="FA242" s="422">
        <f t="shared" si="1169"/>
        <v>4384074.8212619377</v>
      </c>
      <c r="FB242" s="422">
        <f t="shared" si="1169"/>
        <v>4503792.9646215849</v>
      </c>
      <c r="FC242" s="422">
        <f t="shared" si="1169"/>
        <v>4680499.4268628461</v>
      </c>
      <c r="FD242" s="422">
        <f t="shared" si="1169"/>
        <v>4926827.7243906222</v>
      </c>
      <c r="FE242" s="422">
        <f t="shared" si="1169"/>
        <v>5255277.920916304</v>
      </c>
      <c r="FF242" s="422">
        <f t="shared" si="1169"/>
        <v>5677086.1214342555</v>
      </c>
      <c r="FG242" s="422">
        <f t="shared" si="1169"/>
        <v>6200927.2928010682</v>
      </c>
      <c r="FH242" s="422">
        <f t="shared" si="1169"/>
        <v>6831594.3617788134</v>
      </c>
      <c r="FI242" s="422">
        <f t="shared" si="1169"/>
        <v>7568835.527034224</v>
      </c>
      <c r="FJ242" s="422">
        <f t="shared" si="1169"/>
        <v>8406543.7356762849</v>
      </c>
      <c r="FK242" s="422">
        <f t="shared" si="1169"/>
        <v>9332468.9198980723</v>
      </c>
      <c r="FL242" s="422">
        <f t="shared" si="1169"/>
        <v>9561454.3814517241</v>
      </c>
      <c r="FM242" s="422">
        <f t="shared" si="1169"/>
        <v>9589843.695792852</v>
      </c>
      <c r="FN242" s="422">
        <f t="shared" si="1169"/>
        <v>9484870.7560380753</v>
      </c>
      <c r="FO242" s="422">
        <f t="shared" si="1169"/>
        <v>9391224.8363636713</v>
      </c>
      <c r="FP242" s="422">
        <f t="shared" si="1169"/>
        <v>9304632.2617314346</v>
      </c>
      <c r="FQ242" s="422">
        <f t="shared" si="1169"/>
        <v>9187434.5295773409</v>
      </c>
      <c r="FR242" s="422">
        <f t="shared" si="1169"/>
        <v>9076457.1886356082</v>
      </c>
      <c r="FS242" s="422">
        <f t="shared" si="1169"/>
        <v>8971181.7166953739</v>
      </c>
      <c r="FT242" s="422">
        <f t="shared" si="1169"/>
        <v>8856471.7084497251</v>
      </c>
      <c r="FU242" s="422">
        <f t="shared" si="1169"/>
        <v>8746050.3442390412</v>
      </c>
      <c r="FV242" s="422">
        <f t="shared" si="1169"/>
        <v>8639214.0235201567</v>
      </c>
      <c r="FW242" s="422">
        <f t="shared" si="1169"/>
        <v>8526345.0643676184</v>
      </c>
      <c r="FX242" s="422">
        <f t="shared" si="1169"/>
        <v>8445517.0975265056</v>
      </c>
      <c r="FY242" s="422">
        <f t="shared" si="1169"/>
        <v>8431499.9081813172</v>
      </c>
      <c r="FZ242" s="422">
        <f t="shared" si="1169"/>
        <v>8366810.2608615477</v>
      </c>
      <c r="GA242" s="422">
        <f t="shared" si="1169"/>
        <v>8282848.9340471998</v>
      </c>
      <c r="GB242" s="422" t="n">
        <f t="shared" ref="GB242:HG242" si="1170">(GB$197&lt;=Timing_Reversion_Month)*(GB238+GB239+GB240-GB241)</f>
        <v>8184278.952875347</v>
      </c>
      <c r="GC242" s="422">
        <f t="shared" si="1170"/>
        <v>8074969.6253834413</v>
      </c>
      <c r="GD242" s="422">
        <f t="shared" si="1170"/>
        <v>7945970.3049287163</v>
      </c>
      <c r="GE242" s="422">
        <f t="shared" si="1170"/>
        <v>7811639.7709102919</v>
      </c>
      <c r="GF242" s="422">
        <f t="shared" si="1170"/>
        <v>7673098.9751116373</v>
      </c>
      <c r="GG242" s="422">
        <f t="shared" si="1170"/>
        <v>7553672.9359628549</v>
      </c>
      <c r="GH242" s="422">
        <f t="shared" si="1170"/>
        <v>7433988.5791852036</v>
      </c>
      <c r="GI242" s="422">
        <f t="shared" si="1170"/>
        <v>7314048.5611833725</v>
      </c>
      <c r="GJ242" s="422">
        <f t="shared" si="1170"/>
        <v>7193555.402032312</v>
      </c>
      <c r="GK242" s="422">
        <f t="shared" si="1170"/>
        <v>7072809.8906368539</v>
      </c>
      <c r="GL242" s="422">
        <f t="shared" si="1170"/>
        <v>6951814.8288196167</v>
      </c>
      <c r="GM242" s="422">
        <f t="shared" si="1170"/>
        <v>6822777.2778674932</v>
      </c>
      <c r="GN242" s="422">
        <f t="shared" si="1170"/>
        <v>6693439.7585207829</v>
      </c>
      <c r="GO242" s="422">
        <f t="shared" si="1170"/>
        <v>6563804.8341624439</v>
      </c>
      <c r="GP242" s="422">
        <f t="shared" si="1170"/>
        <v>6432490.9522990398</v>
      </c>
      <c r="GQ242" s="422">
        <f t="shared" si="1170"/>
        <v>6300874.97843091</v>
      </c>
      <c r="GR242" s="422">
        <f t="shared" si="1170"/>
        <v>6168959.5677552875</v>
      </c>
      <c r="GS242" s="422">
        <f t="shared" si="1170"/>
        <v>6043089.1414315375</v>
      </c>
      <c r="GT242" s="422">
        <f t="shared" si="1170"/>
        <v>5916970.4622654887</v>
      </c>
      <c r="GU242" s="422">
        <f t="shared" si="1170"/>
        <v>5790606.6830387646</v>
      </c>
      <c r="GV242" s="422">
        <f t="shared" si="1170"/>
        <v>5663701.3299150039</v>
      </c>
      <c r="GW242" s="422">
        <f t="shared" si="1170"/>
        <v>5536555.2024306934</v>
      </c>
      <c r="GX242" s="422">
        <f t="shared" si="1170"/>
        <v>5409171.6192987952</v>
      </c>
      <c r="GY242" s="422">
        <f t="shared" si="1170"/>
        <v>5274498.0614027632</v>
      </c>
      <c r="GZ242" s="422">
        <f t="shared" si="1170"/>
        <v>5139543.0173381278</v>
      </c>
      <c r="HA242" s="422">
        <f t="shared" si="1170"/>
        <v>5004309.6269658525</v>
      </c>
      <c r="HB242" s="422">
        <f t="shared" si="1170"/>
        <v>4867368.4758071899</v>
      </c>
      <c r="HC242" s="422">
        <f t="shared" si="1170"/>
        <v>4730145.1176552465</v>
      </c>
      <c r="HD242" s="422">
        <f t="shared" si="1170"/>
        <v>4592642.8043441689</v>
      </c>
      <c r="HE242" s="422">
        <f t="shared" si="1170"/>
        <v>0</v>
      </c>
      <c r="HF242" s="422">
        <f t="shared" si="1170"/>
        <v>0</v>
      </c>
      <c r="HG242" s="422">
        <f t="shared" si="1170"/>
        <v>0</v>
      </c>
      <c r="HH242" s="422" t="n">
        <f t="shared" ref="HH242:IM242" si="1171">(HH$197&lt;=Timing_Reversion_Month)*(HH238+HH239+HH240-HH241)</f>
        <v>0</v>
      </c>
      <c r="HI242" s="422">
        <f t="shared" si="1171"/>
        <v>0</v>
      </c>
      <c r="HJ242" s="422">
        <f t="shared" si="1171"/>
        <v>0</v>
      </c>
      <c r="HK242" s="422">
        <f t="shared" si="1171"/>
        <v>0</v>
      </c>
      <c r="HL242" s="422">
        <f t="shared" si="1171"/>
        <v>0</v>
      </c>
      <c r="HM242" s="422">
        <f t="shared" si="1171"/>
        <v>0</v>
      </c>
      <c r="HN242" s="422">
        <f t="shared" si="1171"/>
        <v>0</v>
      </c>
      <c r="HO242" s="422">
        <f t="shared" si="1171"/>
        <v>0</v>
      </c>
      <c r="HP242" s="422">
        <f t="shared" si="1171"/>
        <v>0</v>
      </c>
      <c r="HQ242" s="422">
        <f t="shared" si="1171"/>
        <v>0</v>
      </c>
      <c r="HR242" s="422">
        <f t="shared" si="1171"/>
        <v>0</v>
      </c>
      <c r="HS242" s="422">
        <f t="shared" si="1171"/>
        <v>0</v>
      </c>
      <c r="HT242" s="422">
        <f t="shared" si="1171"/>
        <v>0</v>
      </c>
      <c r="HU242" s="422">
        <f t="shared" si="1171"/>
        <v>0</v>
      </c>
      <c r="HV242" s="422">
        <f t="shared" si="1171"/>
        <v>0</v>
      </c>
      <c r="HW242" s="422">
        <f t="shared" si="1171"/>
        <v>0</v>
      </c>
      <c r="HX242" s="422">
        <f t="shared" si="1171"/>
        <v>0</v>
      </c>
      <c r="HY242" s="422">
        <f t="shared" si="1171"/>
        <v>0</v>
      </c>
      <c r="HZ242" s="422">
        <f t="shared" si="1171"/>
        <v>0</v>
      </c>
      <c r="IA242" s="422">
        <f t="shared" si="1171"/>
        <v>0</v>
      </c>
      <c r="IB242" s="422">
        <f t="shared" si="1171"/>
        <v>0</v>
      </c>
      <c r="IC242" s="422">
        <f t="shared" si="1171"/>
        <v>0</v>
      </c>
      <c r="ID242" s="422">
        <f t="shared" si="1171"/>
        <v>0</v>
      </c>
      <c r="IE242" s="422">
        <f t="shared" si="1171"/>
        <v>0</v>
      </c>
      <c r="IF242" s="422">
        <f t="shared" si="1171"/>
        <v>0</v>
      </c>
      <c r="IG242" s="422">
        <f t="shared" si="1171"/>
        <v>0</v>
      </c>
      <c r="IH242" s="422">
        <f t="shared" si="1171"/>
        <v>0</v>
      </c>
      <c r="II242" s="422">
        <f t="shared" si="1171"/>
        <v>0</v>
      </c>
      <c r="IJ242" s="422">
        <f t="shared" si="1171"/>
        <v>0</v>
      </c>
      <c r="IK242" s="422">
        <f t="shared" si="1171"/>
        <v>0</v>
      </c>
      <c r="IL242" s="422">
        <f t="shared" si="1171"/>
        <v>0</v>
      </c>
      <c r="IM242" s="422">
        <f t="shared" si="1171"/>
        <v>0</v>
      </c>
      <c r="IN242" s="422" t="n">
        <f t="shared" ref="IN242:JS242" si="1172">(IN$197&lt;=Timing_Reversion_Month)*(IN238+IN239+IN240-IN241)</f>
        <v>0</v>
      </c>
      <c r="IO242" s="422">
        <f t="shared" si="1172"/>
        <v>0</v>
      </c>
      <c r="IP242" s="422">
        <f t="shared" si="1172"/>
        <v>0</v>
      </c>
      <c r="IQ242" s="422">
        <f t="shared" si="1172"/>
        <v>0</v>
      </c>
      <c r="IR242" s="422">
        <f t="shared" si="1172"/>
        <v>0</v>
      </c>
      <c r="IS242" s="422">
        <f t="shared" si="1172"/>
        <v>0</v>
      </c>
      <c r="IT242" s="422">
        <f t="shared" si="1172"/>
        <v>0</v>
      </c>
      <c r="IU242" s="422">
        <f t="shared" si="1172"/>
        <v>0</v>
      </c>
      <c r="IV242" s="422">
        <f t="shared" si="1172"/>
        <v>0</v>
      </c>
      <c r="IW242" s="422">
        <f t="shared" si="1172"/>
        <v>0</v>
      </c>
      <c r="IX242" s="422">
        <f t="shared" si="1172"/>
        <v>0</v>
      </c>
      <c r="IY242" s="422">
        <f t="shared" si="1172"/>
        <v>0</v>
      </c>
      <c r="IZ242" s="422">
        <f t="shared" si="1172"/>
        <v>0</v>
      </c>
      <c r="JA242" s="422">
        <f t="shared" si="1172"/>
        <v>0</v>
      </c>
      <c r="JB242" s="422">
        <f t="shared" si="1172"/>
        <v>0</v>
      </c>
      <c r="JC242" s="422">
        <f t="shared" si="1172"/>
        <v>0</v>
      </c>
      <c r="JD242" s="422">
        <f t="shared" si="1172"/>
        <v>0</v>
      </c>
      <c r="JE242" s="422">
        <f t="shared" si="1172"/>
        <v>0</v>
      </c>
      <c r="JF242" s="422">
        <f t="shared" si="1172"/>
        <v>0</v>
      </c>
      <c r="JG242" s="422">
        <f t="shared" si="1172"/>
        <v>0</v>
      </c>
      <c r="JH242" s="422">
        <f t="shared" si="1172"/>
        <v>0</v>
      </c>
      <c r="JI242" s="422">
        <f t="shared" si="1172"/>
        <v>0</v>
      </c>
      <c r="JJ242" s="422">
        <f t="shared" si="1172"/>
        <v>0</v>
      </c>
      <c r="JK242" s="422">
        <f t="shared" si="1172"/>
        <v>0</v>
      </c>
      <c r="JL242" s="422">
        <f t="shared" si="1172"/>
        <v>0</v>
      </c>
      <c r="JM242" s="422">
        <f t="shared" si="1172"/>
        <v>0</v>
      </c>
      <c r="JN242" s="422">
        <f t="shared" si="1172"/>
        <v>0</v>
      </c>
      <c r="JO242" s="422">
        <f t="shared" si="1172"/>
        <v>0</v>
      </c>
      <c r="JP242" s="422">
        <f t="shared" si="1172"/>
        <v>0</v>
      </c>
      <c r="JQ242" s="422">
        <f t="shared" si="1172"/>
        <v>0</v>
      </c>
      <c r="JR242" s="422">
        <f t="shared" si="1172"/>
        <v>0</v>
      </c>
      <c r="JS242" s="422">
        <f t="shared" si="1172"/>
        <v>0</v>
      </c>
      <c r="JT242" s="422" t="n">
        <f t="shared" ref="JT242:JX242" si="1173">(JT$197&lt;=Timing_Reversion_Month)*(JT238+JT239+JT240-JT241)</f>
        <v>0</v>
      </c>
      <c r="JU242" s="422">
        <f t="shared" si="1173"/>
        <v>0</v>
      </c>
      <c r="JV242" s="422">
        <f t="shared" si="1173"/>
        <v>0</v>
      </c>
      <c r="JW242" s="422">
        <f t="shared" si="1173"/>
        <v>0</v>
      </c>
      <c r="JX242" s="422">
        <f t="shared" si="1173"/>
        <v>0</v>
      </c>
      <c r="JZ242" s="263"/>
      <c r="KA242" s="263"/>
      <c r="KB242" s="263"/>
      <c r="KC242" s="263"/>
      <c r="KD242" s="263"/>
      <c r="KE242" s="263"/>
      <c r="KF242" s="263"/>
      <c r="KG242" s="263"/>
      <c r="KH242" s="263"/>
      <c r="KI242" s="263"/>
      <c r="KJ242" s="263"/>
      <c r="KK242" s="263"/>
      <c r="KL242" s="263"/>
      <c r="KM242" s="263"/>
      <c r="KN242" s="263"/>
      <c r="KO242" s="263"/>
      <c r="KP242" s="263"/>
      <c r="KQ242" s="263"/>
      <c r="KR242" s="263"/>
      <c r="KS242" s="263"/>
      <c r="KT242" s="263"/>
      <c r="KU242" s="263"/>
      <c r="KV242" s="263"/>
      <c r="KW242" s="263"/>
      <c r="KX242" s="263"/>
      <c r="KY242" s="263"/>
      <c r="KZ242" s="263"/>
      <c r="LA242" s="263"/>
      <c r="LB242" s="263"/>
      <c r="LC242" s="263"/>
      <c r="LD242" s="263"/>
      <c r="LE242" s="263"/>
      <c r="LF242" s="263"/>
      <c r="LG242" s="263"/>
      <c r="LH242" s="263"/>
      <c r="LI242" s="263"/>
      <c r="LJ242" s="263"/>
      <c r="LK242" s="263"/>
      <c r="LL242" s="263"/>
      <c r="LM242" s="263"/>
      <c r="LN242" s="263"/>
      <c r="LO242" s="263"/>
      <c r="LP242" s="263"/>
      <c r="LQ242" s="263"/>
      <c r="LR242" s="263"/>
      <c r="LS242" s="263"/>
      <c r="LT242" s="263"/>
      <c r="LU242" s="263"/>
      <c r="LV242" s="263"/>
      <c r="LW242" s="263"/>
      <c r="LX242" s="263"/>
      <c r="LY242" s="263"/>
      <c r="LZ242" s="263"/>
      <c r="MA242" s="263"/>
      <c r="MB242" s="263"/>
      <c r="MC242" s="263"/>
      <c r="MD242" s="263"/>
      <c r="ME242" s="263"/>
      <c r="MF242" s="263"/>
      <c r="MG242" s="263"/>
      <c r="MH242" s="263"/>
      <c r="MI242" s="263"/>
      <c r="MJ242" s="263"/>
      <c r="MK242" s="263"/>
      <c r="ML242" s="263"/>
      <c r="MM242" s="263"/>
      <c r="MN242" s="263"/>
      <c r="MO242" s="263"/>
      <c r="MP242" s="263"/>
      <c r="MQ242" s="263"/>
      <c r="MR242" s="263"/>
      <c r="MS242" s="263"/>
      <c r="MT242" s="263"/>
      <c r="MU242" s="263"/>
      <c r="MV242" s="263"/>
      <c r="MW242" s="263"/>
      <c r="MX242" s="263"/>
      <c r="MY242" s="263"/>
      <c r="MZ242" s="263"/>
      <c r="NA242" s="263"/>
      <c r="NB242" s="263"/>
      <c r="NC242" s="263"/>
      <c r="ND242" s="263"/>
      <c r="NE242" s="263"/>
      <c r="NF242" s="263"/>
      <c r="NG242" s="263"/>
      <c r="NH242" s="263"/>
      <c r="NI242" s="263"/>
      <c r="NJ242" s="263"/>
      <c r="NK242" s="263"/>
      <c r="NL242" s="263"/>
      <c r="NM242" s="263"/>
      <c r="NN242" s="263"/>
      <c r="NO242" s="263"/>
      <c r="NP242" s="263"/>
      <c r="NQ242" s="263"/>
      <c r="NR242" s="263"/>
      <c r="NS242" s="263"/>
      <c r="NT242" s="263"/>
      <c r="NU242" s="263"/>
      <c r="NV242" s="263"/>
      <c r="NW242" s="263"/>
      <c r="NX242" s="263"/>
      <c r="NY242" s="263"/>
      <c r="NZ242" s="263"/>
      <c r="OA242" s="263"/>
      <c r="OB242" s="263"/>
      <c r="OC242" s="263"/>
      <c r="OD242" s="263"/>
      <c r="OE242" s="263"/>
      <c r="OF242" s="263"/>
      <c r="OG242" s="263"/>
      <c r="OH242" s="263"/>
      <c r="OI242" s="263"/>
      <c r="OJ242" s="263"/>
      <c r="OK242" s="263"/>
      <c r="OL242" s="263"/>
      <c r="OM242" s="263"/>
      <c r="ON242" s="263"/>
      <c r="OO242" s="263"/>
      <c r="OP242" s="263"/>
      <c r="OQ242" s="263"/>
      <c r="OR242" s="263"/>
      <c r="OS242" s="263"/>
      <c r="OT242" s="263"/>
      <c r="OU242" s="263"/>
      <c r="OV242" s="263"/>
      <c r="OW242" s="263"/>
      <c r="OX242" s="263"/>
      <c r="OY242" s="263"/>
      <c r="OZ242" s="263"/>
      <c r="PA242" s="263"/>
      <c r="PB242" s="263"/>
      <c r="PC242" s="263"/>
      <c r="PD242" s="263"/>
      <c r="PE242" s="263"/>
      <c r="PF242" s="263"/>
      <c r="PG242" s="263"/>
      <c r="PH242" s="263"/>
    </row>
    <row r="243">
      <c r="B243" s="415" t="s">
        <v>441</v>
      </c>
      <c r="C243" s="401"/>
      <c r="D243" s="401"/>
      <c r="E243" s="401"/>
      <c r="F243" s="404" t="s">
        <v>56</v>
      </c>
      <c r="G243" s="404" t="s">
        <v>57</v>
      </c>
      <c r="H243" s="416" t="s">
        <v>209</v>
      </c>
      <c r="I243" s="416" t="s">
        <v>80</v>
      </c>
      <c r="EP243" s="409"/>
      <c r="EQ243" s="18"/>
      <c r="ER243" s="18"/>
      <c r="ES243" s="18" t="s">
        <v>376</v>
      </c>
      <c r="ET243" s="308" t="n">
        <f>XIRR($EV243:INDEX($EV243:$PH243,1,Timing_Reversion_Month+1),$EV$24:INDEX($EV$24:$PH$24,1,Timing_Reversion_Month+1))</f>
        <v>0.08990015767554844</v>
      </c>
      <c r="EU243" s="18"/>
      <c r="EV243" s="422" t="n">
        <f>+-EV240+EV241</f>
        <v>-4134152.6629957748</v>
      </c>
      <c r="EW243" s="422" t="n">
        <f t="shared" ref="EW243:HH243" si="1174">+-EW240+EW241</f>
        <v>19662.548016340177</v>
      </c>
      <c r="EX243" s="422">
        <f t="shared" si="1174"/>
        <v>6780.0541546613476</v>
      </c>
      <c r="EY243" s="422">
        <f t="shared" si="1174"/>
        <v>-11618.26718323235</v>
      </c>
      <c r="EZ243" s="422">
        <f t="shared" si="1174"/>
        <v>-37108.516622138202</v>
      </c>
      <c r="FA243" s="422">
        <f t="shared" si="1174"/>
        <v>-76779.204522163025</v>
      </c>
      <c r="FB243" s="422">
        <f t="shared" si="1174"/>
        <v>-88120.69868067847</v>
      </c>
      <c r="FC243" s="422">
        <f t="shared" si="1174"/>
        <v>-144246.17019629222</v>
      </c>
      <c r="FD243" s="422">
        <f t="shared" si="1174"/>
        <v>-212594.42487738322</v>
      </c>
      <c r="FE243" s="422">
        <f t="shared" si="1174"/>
        <v>-292940.95619309251</v>
      </c>
      <c r="FF243" s="422">
        <f t="shared" si="1174"/>
        <v>-383931.71342575242</v>
      </c>
      <c r="FG243" s="422">
        <f t="shared" si="1174"/>
        <v>-482924.57619608339</v>
      </c>
      <c r="FH243" s="422">
        <f t="shared" si="1174"/>
        <v>-585974.9811186716</v>
      </c>
      <c r="FI243" s="422">
        <f t="shared" si="1174"/>
        <v>-688003.65592537448</v>
      </c>
      <c r="FJ243" s="422">
        <f t="shared" si="1174"/>
        <v>-783157.16387206223</v>
      </c>
      <c r="FK243" s="422">
        <f t="shared" si="1174"/>
        <v>-865336.50554752466</v>
      </c>
      <c r="FL243" s="422">
        <f t="shared" si="1174"/>
        <v>-161723.34071015019</v>
      </c>
      <c r="FM243" s="422">
        <f t="shared" si="1174"/>
        <v>40523.178758486509</v>
      </c>
      <c r="FN243" s="422">
        <f t="shared" si="1174"/>
        <v>174090.04382157131</v>
      </c>
      <c r="FO243" s="422">
        <f t="shared" si="1174"/>
        <v>162006.44982493951</v>
      </c>
      <c r="FP243" s="422">
        <f t="shared" si="1174"/>
        <v>154278.16836244211</v>
      </c>
      <c r="FQ243" s="422">
        <f t="shared" si="1174"/>
        <v>184259.22520214817</v>
      </c>
      <c r="FR243" s="422">
        <f t="shared" si="1174"/>
        <v>177194.15204223376</v>
      </c>
      <c r="FS243" s="422">
        <f t="shared" si="1174"/>
        <v>170692.43346380457</v>
      </c>
      <c r="FT243" s="422">
        <f t="shared" si="1174"/>
        <v>179368.21540568696</v>
      </c>
      <c r="FU243" s="422">
        <f t="shared" si="1174"/>
        <v>174252.81925369884</v>
      </c>
      <c r="FV243" s="422">
        <f t="shared" si="1174"/>
        <v>169871.93328902582</v>
      </c>
      <c r="FW243" s="422">
        <f t="shared" si="1174"/>
        <v>175134.56781735166</v>
      </c>
      <c r="FX243" s="422">
        <f t="shared" si="1174"/>
        <v>142280.09242495635</v>
      </c>
      <c r="FY243" s="422">
        <f t="shared" si="1174"/>
        <v>74886.761639022734</v>
      </c>
      <c r="FZ243" s="422">
        <f t="shared" si="1174"/>
        <v>125458.19319800851</v>
      </c>
      <c r="GA243" s="422">
        <f t="shared" si="1174"/>
        <v>144263.63348914686</v>
      </c>
      <c r="GB243" s="422">
        <f t="shared" si="1174"/>
        <v>158267.15141824906</v>
      </c>
      <c r="GC243" s="422">
        <f t="shared" si="1174"/>
        <v>168296.07201473101</v>
      </c>
      <c r="GD243" s="422">
        <f t="shared" si="1174"/>
        <v>187198.23731284705</v>
      </c>
      <c r="GE243" s="422">
        <f t="shared" si="1174"/>
        <v>191599.71106646673</v>
      </c>
      <c r="GF243" s="422">
        <f t="shared" si="1174"/>
        <v>194841.8092567978</v>
      </c>
      <c r="GG243" s="422">
        <f t="shared" si="1174"/>
        <v>174728.54429912902</v>
      </c>
      <c r="GH243" s="422">
        <f t="shared" si="1174"/>
        <v>174126.11985148679</v>
      </c>
      <c r="GI243" s="422">
        <f t="shared" si="1174"/>
        <v>173519.17722048727</v>
      </c>
      <c r="GJ243" s="422">
        <f t="shared" si="1174"/>
        <v>173207.871881434</v>
      </c>
      <c r="GK243" s="422">
        <f t="shared" si="1174"/>
        <v>172591.79097044648</v>
      </c>
      <c r="GL243" s="422">
        <f t="shared" si="1174"/>
        <v>171971.08945262656</v>
      </c>
      <c r="GM243" s="422">
        <f t="shared" si="1174"/>
        <v>179141.52805734021</v>
      </c>
      <c r="GN243" s="422">
        <f t="shared" si="1174"/>
        <v>178511.48110229263</v>
      </c>
      <c r="GO243" s="422">
        <f t="shared" si="1174"/>
        <v>177876.70879508229</v>
      </c>
      <c r="GP243" s="422">
        <f t="shared" si="1174"/>
        <v>178621.34548723436</v>
      </c>
      <c r="GQ243" s="422">
        <f t="shared" si="1174"/>
        <v>177977.01588947349</v>
      </c>
      <c r="GR243" s="422">
        <f t="shared" si="1174"/>
        <v>177327.85381972938</v>
      </c>
      <c r="GS243" s="422">
        <f t="shared" si="1174"/>
        <v>170332.11245273732</v>
      </c>
      <c r="GT243" s="422">
        <f t="shared" si="1174"/>
        <v>169673.17643658066</v>
      </c>
      <c r="GU243" s="422">
        <f t="shared" si="1174"/>
        <v>169009.29840030277</v>
      </c>
      <c r="GV243" s="422">
        <f t="shared" si="1174"/>
        <v>168640.12768500287</v>
      </c>
      <c r="GW243" s="422">
        <f t="shared" si="1174"/>
        <v>167966.25413504138</v>
      </c>
      <c r="GX243" s="422">
        <f t="shared" si="1174"/>
        <v>167287.32653345514</v>
      </c>
      <c r="GY243" s="422">
        <f t="shared" si="1174"/>
        <v>173659.20662878925</v>
      </c>
      <c r="GZ243" s="422">
        <f t="shared" si="1174"/>
        <v>172970.05692350163</v>
      </c>
      <c r="HA243" s="422">
        <f t="shared" si="1174"/>
        <v>172275.73859542437</v>
      </c>
      <c r="HB243" s="422">
        <f t="shared" si="1174"/>
        <v>173008.82861426138</v>
      </c>
      <c r="HC243" s="422">
        <f t="shared" si="1174"/>
        <v>172304.05645585703</v>
      </c>
      <c r="HD243" s="422">
        <f t="shared" si="1174"/>
        <v>171593.99850626464</v>
      </c>
      <c r="HE243" s="422">
        <f t="shared" si="1174"/>
        <v>4625743.4659106061</v>
      </c>
      <c r="HF243" s="422">
        <f t="shared" si="1174"/>
        <v>0</v>
      </c>
      <c r="HG243" s="422">
        <f t="shared" si="1174"/>
        <v>0</v>
      </c>
      <c r="HH243" s="422">
        <f t="shared" si="1174"/>
        <v>0</v>
      </c>
      <c r="HI243" s="422" t="n">
        <f t="shared" ref="HI243:JT243" si="1175">+-HI240+HI241</f>
        <v>0</v>
      </c>
      <c r="HJ243" s="422">
        <f t="shared" si="1175"/>
        <v>0</v>
      </c>
      <c r="HK243" s="422">
        <f t="shared" si="1175"/>
        <v>0</v>
      </c>
      <c r="HL243" s="422">
        <f t="shared" si="1175"/>
        <v>0</v>
      </c>
      <c r="HM243" s="422">
        <f t="shared" si="1175"/>
        <v>0</v>
      </c>
      <c r="HN243" s="422">
        <f t="shared" si="1175"/>
        <v>0</v>
      </c>
      <c r="HO243" s="422">
        <f t="shared" si="1175"/>
        <v>0</v>
      </c>
      <c r="HP243" s="422">
        <f t="shared" si="1175"/>
        <v>0</v>
      </c>
      <c r="HQ243" s="422">
        <f t="shared" si="1175"/>
        <v>0</v>
      </c>
      <c r="HR243" s="422">
        <f t="shared" si="1175"/>
        <v>0</v>
      </c>
      <c r="HS243" s="422">
        <f t="shared" si="1175"/>
        <v>0</v>
      </c>
      <c r="HT243" s="422">
        <f t="shared" si="1175"/>
        <v>0</v>
      </c>
      <c r="HU243" s="422">
        <f t="shared" si="1175"/>
        <v>0</v>
      </c>
      <c r="HV243" s="422">
        <f t="shared" si="1175"/>
        <v>0</v>
      </c>
      <c r="HW243" s="422">
        <f t="shared" si="1175"/>
        <v>0</v>
      </c>
      <c r="HX243" s="422">
        <f t="shared" si="1175"/>
        <v>0</v>
      </c>
      <c r="HY243" s="422">
        <f t="shared" si="1175"/>
        <v>0</v>
      </c>
      <c r="HZ243" s="422">
        <f t="shared" si="1175"/>
        <v>0</v>
      </c>
      <c r="IA243" s="422">
        <f t="shared" si="1175"/>
        <v>0</v>
      </c>
      <c r="IB243" s="422">
        <f t="shared" si="1175"/>
        <v>0</v>
      </c>
      <c r="IC243" s="422">
        <f t="shared" si="1175"/>
        <v>0</v>
      </c>
      <c r="ID243" s="422">
        <f t="shared" si="1175"/>
        <v>0</v>
      </c>
      <c r="IE243" s="422">
        <f t="shared" si="1175"/>
        <v>0</v>
      </c>
      <c r="IF243" s="422">
        <f t="shared" si="1175"/>
        <v>0</v>
      </c>
      <c r="IG243" s="422">
        <f t="shared" si="1175"/>
        <v>0</v>
      </c>
      <c r="IH243" s="422">
        <f t="shared" si="1175"/>
        <v>0</v>
      </c>
      <c r="II243" s="422">
        <f t="shared" si="1175"/>
        <v>0</v>
      </c>
      <c r="IJ243" s="422">
        <f t="shared" si="1175"/>
        <v>0</v>
      </c>
      <c r="IK243" s="422">
        <f t="shared" si="1175"/>
        <v>0</v>
      </c>
      <c r="IL243" s="422">
        <f t="shared" si="1175"/>
        <v>0</v>
      </c>
      <c r="IM243" s="422">
        <f t="shared" si="1175"/>
        <v>0</v>
      </c>
      <c r="IN243" s="422">
        <f t="shared" si="1175"/>
        <v>0</v>
      </c>
      <c r="IO243" s="422">
        <f t="shared" si="1175"/>
        <v>0</v>
      </c>
      <c r="IP243" s="422">
        <f t="shared" si="1175"/>
        <v>0</v>
      </c>
      <c r="IQ243" s="422">
        <f t="shared" si="1175"/>
        <v>0</v>
      </c>
      <c r="IR243" s="422">
        <f t="shared" si="1175"/>
        <v>0</v>
      </c>
      <c r="IS243" s="422">
        <f t="shared" si="1175"/>
        <v>0</v>
      </c>
      <c r="IT243" s="422">
        <f t="shared" si="1175"/>
        <v>0</v>
      </c>
      <c r="IU243" s="422">
        <f t="shared" si="1175"/>
        <v>0</v>
      </c>
      <c r="IV243" s="422">
        <f t="shared" si="1175"/>
        <v>0</v>
      </c>
      <c r="IW243" s="422">
        <f t="shared" si="1175"/>
        <v>0</v>
      </c>
      <c r="IX243" s="422">
        <f t="shared" si="1175"/>
        <v>0</v>
      </c>
      <c r="IY243" s="422">
        <f t="shared" si="1175"/>
        <v>0</v>
      </c>
      <c r="IZ243" s="422">
        <f t="shared" si="1175"/>
        <v>0</v>
      </c>
      <c r="JA243" s="422">
        <f t="shared" si="1175"/>
        <v>0</v>
      </c>
      <c r="JB243" s="422">
        <f t="shared" si="1175"/>
        <v>0</v>
      </c>
      <c r="JC243" s="422">
        <f t="shared" si="1175"/>
        <v>0</v>
      </c>
      <c r="JD243" s="422">
        <f t="shared" si="1175"/>
        <v>0</v>
      </c>
      <c r="JE243" s="422">
        <f t="shared" si="1175"/>
        <v>0</v>
      </c>
      <c r="JF243" s="422">
        <f t="shared" si="1175"/>
        <v>0</v>
      </c>
      <c r="JG243" s="422">
        <f t="shared" si="1175"/>
        <v>0</v>
      </c>
      <c r="JH243" s="422">
        <f t="shared" si="1175"/>
        <v>0</v>
      </c>
      <c r="JI243" s="422">
        <f t="shared" si="1175"/>
        <v>0</v>
      </c>
      <c r="JJ243" s="422">
        <f t="shared" si="1175"/>
        <v>0</v>
      </c>
      <c r="JK243" s="422">
        <f t="shared" si="1175"/>
        <v>0</v>
      </c>
      <c r="JL243" s="422">
        <f t="shared" si="1175"/>
        <v>0</v>
      </c>
      <c r="JM243" s="422">
        <f t="shared" si="1175"/>
        <v>0</v>
      </c>
      <c r="JN243" s="422">
        <f t="shared" si="1175"/>
        <v>0</v>
      </c>
      <c r="JO243" s="422">
        <f t="shared" si="1175"/>
        <v>0</v>
      </c>
      <c r="JP243" s="422">
        <f t="shared" si="1175"/>
        <v>0</v>
      </c>
      <c r="JQ243" s="422">
        <f t="shared" si="1175"/>
        <v>0</v>
      </c>
      <c r="JR243" s="422">
        <f t="shared" si="1175"/>
        <v>0</v>
      </c>
      <c r="JS243" s="422">
        <f t="shared" si="1175"/>
        <v>0</v>
      </c>
      <c r="JT243" s="422">
        <f t="shared" si="1175"/>
        <v>0</v>
      </c>
      <c r="JU243" s="422" t="n">
        <f>+-JU240+JU241</f>
        <v>0</v>
      </c>
      <c r="JV243" s="422" t="n">
        <f>+-JV240+JV241</f>
        <v>0</v>
      </c>
      <c r="JW243" s="422" t="n">
        <f>+-JW240+JW241</f>
        <v>0</v>
      </c>
      <c r="JX243" s="422" t="n">
        <f>+-JX240+JX241</f>
        <v>0</v>
      </c>
      <c r="JZ243" s="263"/>
      <c r="KA243" s="263"/>
      <c r="KB243" s="263"/>
      <c r="KC243" s="263"/>
      <c r="KD243" s="263"/>
      <c r="KE243" s="263"/>
      <c r="KF243" s="263"/>
      <c r="KG243" s="263"/>
      <c r="KH243" s="263"/>
      <c r="KI243" s="263"/>
      <c r="KJ243" s="263"/>
      <c r="KK243" s="263"/>
      <c r="KL243" s="263"/>
      <c r="KM243" s="263"/>
      <c r="KN243" s="263"/>
      <c r="KO243" s="263"/>
      <c r="KP243" s="263"/>
      <c r="KQ243" s="263"/>
      <c r="KR243" s="263"/>
      <c r="KS243" s="263"/>
      <c r="KT243" s="263"/>
      <c r="KU243" s="263"/>
      <c r="KV243" s="263"/>
      <c r="KW243" s="263"/>
      <c r="KX243" s="263"/>
      <c r="KY243" s="263"/>
      <c r="KZ243" s="263"/>
      <c r="LA243" s="263"/>
      <c r="LB243" s="263"/>
      <c r="LC243" s="263"/>
      <c r="LD243" s="263"/>
      <c r="LE243" s="263"/>
      <c r="LF243" s="263"/>
      <c r="LG243" s="263"/>
      <c r="LH243" s="263"/>
      <c r="LI243" s="263"/>
      <c r="LJ243" s="263"/>
      <c r="LK243" s="263"/>
      <c r="LL243" s="263"/>
      <c r="LM243" s="263"/>
      <c r="LN243" s="263"/>
      <c r="LO243" s="263"/>
      <c r="LP243" s="263"/>
      <c r="LQ243" s="263"/>
      <c r="LR243" s="263"/>
      <c r="LS243" s="263"/>
      <c r="LT243" s="263"/>
      <c r="LU243" s="263"/>
      <c r="LV243" s="263"/>
      <c r="LW243" s="263"/>
      <c r="LX243" s="263"/>
      <c r="LY243" s="263"/>
      <c r="LZ243" s="263"/>
      <c r="MA243" s="263"/>
      <c r="MB243" s="263"/>
      <c r="MC243" s="263"/>
      <c r="MD243" s="263"/>
      <c r="ME243" s="263"/>
      <c r="MF243" s="263"/>
      <c r="MG243" s="263"/>
      <c r="MH243" s="263"/>
      <c r="MI243" s="263"/>
      <c r="MJ243" s="263"/>
      <c r="MK243" s="263"/>
      <c r="ML243" s="263"/>
      <c r="MM243" s="263"/>
      <c r="MN243" s="263"/>
      <c r="MO243" s="263"/>
      <c r="MP243" s="263"/>
      <c r="MQ243" s="263"/>
      <c r="MR243" s="263"/>
      <c r="MS243" s="263"/>
      <c r="MT243" s="263"/>
      <c r="MU243" s="263"/>
      <c r="MV243" s="263"/>
      <c r="MW243" s="263"/>
      <c r="MX243" s="263"/>
      <c r="MY243" s="263"/>
      <c r="MZ243" s="263"/>
      <c r="NA243" s="263"/>
      <c r="NB243" s="263"/>
      <c r="NC243" s="263"/>
      <c r="ND243" s="263"/>
      <c r="NE243" s="263"/>
      <c r="NF243" s="263"/>
      <c r="NG243" s="263"/>
      <c r="NH243" s="263"/>
      <c r="NI243" s="263"/>
      <c r="NJ243" s="263"/>
      <c r="NK243" s="263"/>
      <c r="NL243" s="263"/>
      <c r="NM243" s="263"/>
      <c r="NN243" s="263"/>
      <c r="NO243" s="263"/>
      <c r="NP243" s="263"/>
      <c r="NQ243" s="263"/>
      <c r="NR243" s="263"/>
      <c r="NS243" s="263"/>
      <c r="NT243" s="263"/>
      <c r="NU243" s="263"/>
      <c r="NV243" s="263"/>
      <c r="NW243" s="263"/>
      <c r="NX243" s="263"/>
      <c r="NY243" s="263"/>
      <c r="NZ243" s="263"/>
      <c r="OA243" s="263"/>
      <c r="OB243" s="263"/>
      <c r="OC243" s="263"/>
      <c r="OD243" s="263"/>
      <c r="OE243" s="263"/>
      <c r="OF243" s="263"/>
      <c r="OG243" s="263"/>
      <c r="OH243" s="263"/>
      <c r="OI243" s="263"/>
      <c r="OJ243" s="263"/>
      <c r="OK243" s="263"/>
      <c r="OL243" s="263"/>
      <c r="OM243" s="263"/>
      <c r="ON243" s="263"/>
      <c r="OO243" s="263"/>
      <c r="OP243" s="263"/>
      <c r="OQ243" s="263"/>
      <c r="OR243" s="263"/>
      <c r="OS243" s="263"/>
      <c r="OT243" s="263"/>
      <c r="OU243" s="263"/>
      <c r="OV243" s="263"/>
      <c r="OW243" s="263"/>
      <c r="OX243" s="263"/>
      <c r="OY243" s="263"/>
      <c r="OZ243" s="263"/>
      <c r="PA243" s="263"/>
      <c r="PB243" s="263"/>
      <c r="PC243" s="263"/>
      <c r="PD243" s="263"/>
      <c r="PE243" s="263"/>
      <c r="PF243" s="263"/>
      <c r="PG243" s="263"/>
      <c r="PH243" s="263"/>
    </row>
    <row r="244">
      <c r="B244" s="34" t="s">
        <v>415</v>
      </c>
      <c r="C244" s="548" t="str">
        <f>C239</f>
        <v>Sponsor / General Partner — illustrative waterfall</v>
      </c>
      <c r="D244" s="401"/>
      <c r="E244" s="401"/>
      <c r="F244" s="544" t="n">
        <f>IFERROR(I239/I228,"NA")</f>
        <v>62.38105209880346</v>
      </c>
      <c r="G244" s="40" t="str">
        <f>IFERROR(IF($L$57=0,XIRR($M$244:INDEX($M$244:$EN$244,1,Timing_Analysis_End_Month),$M$195:INDEX($M$195:$EN$195,1,Timing_Analysis_End_Month)),XIRR($L$244:INDEX($L$244:$EN$244,1,Timing_Analysis_End_Month+1),$L$195:INDEX($L$195:$EN$195,1,Timing_Analysis_End_Month+1))),"NA")</f>
        <v>NA</v>
      </c>
      <c r="H244" s="53" t="n">
        <f>I244/$I$246</f>
        <v>0.35305797028078245</v>
      </c>
      <c r="I244" s="449" t="n">
        <f>SUM(L244:EN244)</f>
        <v>311070137.719603</v>
      </c>
      <c r="L244" s="421" t="str">
        <f>IF(L$227="","",-L228+L239)</f>
      </c>
      <c r="M244" s="421" t="n">
        <f t="shared" ref="M244:AQ244" si="1176">IF(M$227="","",-M228+M239)</f>
        <v>20697.41896456861</v>
      </c>
      <c r="N244" s="421">
        <f t="shared" si="1176"/>
        <v>7136.8991101698402</v>
      </c>
      <c r="O244" s="421">
        <f t="shared" si="1176"/>
        <v>-12229.754929718263</v>
      </c>
      <c r="P244" s="421">
        <f t="shared" si="1176"/>
        <v>-39061.596444356001</v>
      </c>
      <c r="Q244" s="421">
        <f t="shared" si="1176"/>
        <v>-80820.215286487393</v>
      </c>
      <c r="R244" s="421">
        <f t="shared" si="1176"/>
        <v>-92758.630190187861</v>
      </c>
      <c r="S244" s="421">
        <f t="shared" si="1176"/>
        <v>-151838.07389083391</v>
      </c>
      <c r="T244" s="421">
        <f t="shared" si="1176"/>
        <v>-223783.60513408761</v>
      </c>
      <c r="U244" s="421">
        <f t="shared" si="1176"/>
        <v>-308358.90125588689</v>
      </c>
      <c r="V244" s="421">
        <f t="shared" si="1176"/>
        <v>-404138.64571131836</v>
      </c>
      <c r="W244" s="421">
        <f t="shared" si="1176"/>
        <v>-508341.65915377199</v>
      </c>
      <c r="X244" s="421">
        <f t="shared" si="1176"/>
        <v>-616815.76959860174</v>
      </c>
      <c r="Y244" s="421">
        <f t="shared" si="1176"/>
        <v>-724214.3746582889</v>
      </c>
      <c r="Z244" s="421">
        <f t="shared" si="1176"/>
        <v>-824375.9619705918</v>
      </c>
      <c r="AA244" s="421">
        <f t="shared" si="1176"/>
        <v>-910880.5321552892</v>
      </c>
      <c r="AB244" s="421">
        <f t="shared" si="1176"/>
        <v>-170235.09548436865</v>
      </c>
      <c r="AC244" s="421">
        <f t="shared" si="1176"/>
        <v>42655.977640512116</v>
      </c>
      <c r="AD244" s="421">
        <f t="shared" si="1176"/>
        <v>183252.67770691717</v>
      </c>
      <c r="AE244" s="421">
        <f t="shared" si="1176"/>
        <v>170533.1050788837</v>
      </c>
      <c r="AF244" s="421">
        <f t="shared" si="1176"/>
        <v>162398.0719604654</v>
      </c>
      <c r="AG244" s="421">
        <f t="shared" si="1176"/>
        <v>193957.07916015596</v>
      </c>
      <c r="AH244" s="421">
        <f t="shared" si="1176"/>
        <v>186520.1600444566</v>
      </c>
      <c r="AI244" s="421">
        <f t="shared" si="1176"/>
        <v>179676.24575137324</v>
      </c>
      <c r="AJ244" s="421">
        <f t="shared" si="1176"/>
        <v>188808.64779545995</v>
      </c>
      <c r="AK244" s="421">
        <f t="shared" si="1176"/>
        <v>183424.02026705141</v>
      </c>
      <c r="AL244" s="421">
        <f t="shared" si="1176"/>
        <v>178812.56135686929</v>
      </c>
      <c r="AM244" s="421">
        <f t="shared" si="1176"/>
        <v>184352.17664984387</v>
      </c>
      <c r="AN244" s="421">
        <f t="shared" si="1176"/>
        <v>149768.51834205934</v>
      </c>
      <c r="AO244" s="421">
        <f t="shared" si="1176"/>
        <v>78828.170146339718</v>
      </c>
      <c r="AP244" s="421">
        <f t="shared" si="1176"/>
        <v>132061.2559979037</v>
      </c>
      <c r="AQ244" s="421">
        <f t="shared" si="1176"/>
        <v>151856.45630436513</v>
      </c>
      <c r="AR244" s="421" t="n">
        <f t="shared" ref="AR244:BW244" si="1177">IF(AR$227="","",-AR228+AR239)</f>
        <v>166597.00149289376</v>
      </c>
      <c r="AS244" s="421">
        <f t="shared" si="1177"/>
        <v>177153.76001550633</v>
      </c>
      <c r="AT244" s="421">
        <f t="shared" si="1177"/>
        <v>197050.77611878637</v>
      </c>
      <c r="AU244" s="421">
        <f t="shared" si="1177"/>
        <v>201683.90638575447</v>
      </c>
      <c r="AV244" s="421">
        <f t="shared" si="1177"/>
        <v>205096.64132294507</v>
      </c>
      <c r="AW244" s="421">
        <f t="shared" si="1177"/>
        <v>183924.78347276739</v>
      </c>
      <c r="AX244" s="421">
        <f t="shared" si="1177"/>
        <v>183290.65247524926</v>
      </c>
      <c r="AY244" s="421">
        <f t="shared" si="1177"/>
        <v>182651.76549524977</v>
      </c>
      <c r="AZ244" s="421">
        <f t="shared" si="1177"/>
        <v>182324.07566466738</v>
      </c>
      <c r="BA244" s="421">
        <f t="shared" si="1177"/>
        <v>181675.56944257524</v>
      </c>
      <c r="BB244" s="421">
        <f t="shared" si="1177"/>
        <v>181022.19942381745</v>
      </c>
      <c r="BC244" s="421">
        <f t="shared" si="1177"/>
        <v>188570.02953404235</v>
      </c>
      <c r="BD244" s="76">
        <f t="shared" si="1177"/>
        <v>187906.82221293962</v>
      </c>
      <c r="BE244" s="76">
        <f t="shared" si="1177"/>
        <v>187238.64083692874</v>
      </c>
      <c r="BF244" s="76">
        <f t="shared" si="1177"/>
        <v>188022.46893393091</v>
      </c>
      <c r="BG244" s="76">
        <f t="shared" si="1177"/>
        <v>187344.22725207737</v>
      </c>
      <c r="BH244" s="76">
        <f t="shared" si="1177"/>
        <v>186660.89875760989</v>
      </c>
      <c r="BI244" s="76">
        <f t="shared" si="1177"/>
        <v>318883.14423809899</v>
      </c>
      <c r="BJ244" s="76">
        <f t="shared" si="1177"/>
        <v>318189.52737898671</v>
      </c>
      <c r="BK244" s="76">
        <f t="shared" si="1177"/>
        <v>317490.70839343104</v>
      </c>
      <c r="BL244" s="76">
        <f t="shared" si="1177"/>
        <v>317102.10764048377</v>
      </c>
      <c r="BM244" s="76">
        <f t="shared" si="1177"/>
        <v>316392.76706157695</v>
      </c>
      <c r="BN244" s="76">
        <f t="shared" si="1177"/>
        <v>315678.10642832826</v>
      </c>
      <c r="BO244" s="76">
        <f t="shared" si="1177"/>
        <v>322385.34863394313</v>
      </c>
      <c r="BP244" s="76">
        <f t="shared" si="1177"/>
        <v>321659.9278915351</v>
      </c>
      <c r="BQ244" s="76">
        <f t="shared" si="1177"/>
        <v>320929.06649355905</v>
      </c>
      <c r="BR244" s="76">
        <f t="shared" si="1177"/>
        <v>321700.740197598</v>
      </c>
      <c r="BS244" s="76">
        <f t="shared" si="1177"/>
        <v>320958.8747676987</v>
      </c>
      <c r="BT244" s="76">
        <f t="shared" si="1177"/>
        <v>320211.44534707512</v>
      </c>
      <c r="BU244" s="76">
        <f t="shared" si="1177"/>
        <v>306743455.10987931</v>
      </c>
      <c r="BV244" s="76" t="str">
        <f t="shared" si="1177"/>
      </c>
      <c r="BW244" s="76" t="str">
        <f t="shared" si="1177"/>
      </c>
      <c r="BX244" s="76" t="str">
        <f t="shared" ref="BX244:DC244" si="1178">IF(BX$227="","",-BX228+BX239)</f>
      </c>
      <c r="BY244" s="76" t="str">
        <f t="shared" si="1178"/>
      </c>
      <c r="BZ244" s="76" t="str">
        <f t="shared" si="1178"/>
      </c>
      <c r="CA244" s="76" t="str">
        <f t="shared" si="1178"/>
      </c>
      <c r="CB244" s="76" t="str">
        <f t="shared" si="1178"/>
      </c>
      <c r="CC244" s="76" t="str">
        <f t="shared" si="1178"/>
      </c>
      <c r="CD244" s="76" t="str">
        <f t="shared" si="1178"/>
      </c>
      <c r="CE244" s="76" t="str">
        <f t="shared" si="1178"/>
      </c>
      <c r="CF244" s="76" t="str">
        <f t="shared" si="1178"/>
      </c>
      <c r="CG244" s="76" t="str">
        <f t="shared" si="1178"/>
      </c>
      <c r="CH244" s="76" t="str">
        <f t="shared" si="1178"/>
      </c>
      <c r="CI244" s="76" t="str">
        <f t="shared" si="1178"/>
      </c>
      <c r="CJ244" s="76" t="str">
        <f t="shared" si="1178"/>
      </c>
      <c r="CK244" s="76" t="str">
        <f t="shared" si="1178"/>
      </c>
      <c r="CL244" s="76" t="str">
        <f t="shared" si="1178"/>
      </c>
      <c r="CM244" s="76" t="str">
        <f t="shared" si="1178"/>
      </c>
      <c r="CN244" s="76" t="str">
        <f t="shared" si="1178"/>
      </c>
      <c r="CO244" s="76" t="str">
        <f t="shared" si="1178"/>
      </c>
      <c r="CP244" s="76" t="str">
        <f t="shared" si="1178"/>
      </c>
      <c r="CQ244" s="76" t="str">
        <f t="shared" si="1178"/>
      </c>
      <c r="CR244" s="76" t="str">
        <f t="shared" si="1178"/>
      </c>
      <c r="CS244" s="76" t="str">
        <f t="shared" si="1178"/>
      </c>
      <c r="CT244" s="76" t="str">
        <f t="shared" si="1178"/>
      </c>
      <c r="CU244" s="76" t="str">
        <f t="shared" si="1178"/>
      </c>
      <c r="CV244" s="76" t="str">
        <f t="shared" si="1178"/>
      </c>
      <c r="CW244" s="76" t="str">
        <f t="shared" si="1178"/>
      </c>
      <c r="CX244" s="76" t="str">
        <f t="shared" si="1178"/>
      </c>
      <c r="CY244" s="76" t="str">
        <f t="shared" si="1178"/>
      </c>
      <c r="CZ244" s="76" t="str">
        <f t="shared" si="1178"/>
      </c>
      <c r="DA244" s="76" t="str">
        <f t="shared" si="1178"/>
      </c>
      <c r="DB244" s="76" t="str">
        <f t="shared" si="1178"/>
      </c>
      <c r="DC244" s="76" t="str">
        <f t="shared" si="1178"/>
      </c>
      <c r="DD244" s="76" t="str">
        <f t="shared" ref="DD244:EN244" si="1179">IF(DD$227="","",-DD228+DD239)</f>
      </c>
      <c r="DE244" s="76" t="str">
        <f t="shared" si="1179"/>
      </c>
      <c r="DF244" s="76" t="str">
        <f t="shared" si="1179"/>
      </c>
      <c r="DG244" s="76" t="str">
        <f t="shared" si="1179"/>
      </c>
      <c r="DH244" s="76" t="str">
        <f t="shared" si="1179"/>
      </c>
      <c r="DI244" s="76" t="str">
        <f t="shared" si="1179"/>
      </c>
      <c r="DJ244" s="76" t="str">
        <f t="shared" si="1179"/>
      </c>
      <c r="DK244" s="76" t="str">
        <f t="shared" si="1179"/>
      </c>
      <c r="DL244" s="76" t="str">
        <f t="shared" si="1179"/>
      </c>
      <c r="DM244" s="76" t="str">
        <f t="shared" si="1179"/>
      </c>
      <c r="DN244" s="76" t="str">
        <f t="shared" si="1179"/>
      </c>
      <c r="DO244" s="76" t="str">
        <f t="shared" si="1179"/>
      </c>
      <c r="DP244" s="76" t="str">
        <f t="shared" si="1179"/>
      </c>
      <c r="DQ244" s="76" t="str">
        <f t="shared" si="1179"/>
      </c>
      <c r="DR244" s="76" t="str">
        <f t="shared" si="1179"/>
      </c>
      <c r="DS244" s="76" t="str">
        <f t="shared" si="1179"/>
      </c>
      <c r="DT244" s="76" t="str">
        <f t="shared" si="1179"/>
      </c>
      <c r="DU244" s="76" t="str">
        <f t="shared" si="1179"/>
      </c>
      <c r="DV244" s="76" t="str">
        <f t="shared" si="1179"/>
      </c>
      <c r="DW244" s="76" t="str">
        <f t="shared" si="1179"/>
      </c>
      <c r="DX244" s="76" t="str">
        <f t="shared" si="1179"/>
      </c>
      <c r="DY244" s="76" t="str">
        <f t="shared" si="1179"/>
      </c>
      <c r="DZ244" s="76" t="str">
        <f t="shared" si="1179"/>
      </c>
      <c r="EA244" s="76" t="str">
        <f t="shared" si="1179"/>
      </c>
      <c r="EB244" s="76" t="str">
        <f t="shared" si="1179"/>
      </c>
      <c r="EC244" s="76" t="str">
        <f t="shared" si="1179"/>
      </c>
      <c r="ED244" s="76" t="str">
        <f t="shared" si="1179"/>
      </c>
      <c r="EE244" s="76" t="str">
        <f t="shared" si="1179"/>
      </c>
      <c r="EF244" s="76" t="str">
        <f t="shared" si="1179"/>
      </c>
      <c r="EG244" s="76" t="str">
        <f t="shared" si="1179"/>
      </c>
      <c r="EH244" s="76" t="str">
        <f t="shared" si="1179"/>
      </c>
      <c r="EI244" s="76" t="str">
        <f t="shared" si="1179"/>
      </c>
      <c r="EJ244" s="76" t="str">
        <f t="shared" si="1179"/>
      </c>
      <c r="EK244" s="76" t="str">
        <f t="shared" si="1179"/>
      </c>
      <c r="EL244" s="76" t="str">
        <f t="shared" si="1179"/>
      </c>
      <c r="EM244" s="76" t="str">
        <f t="shared" si="1179"/>
      </c>
      <c r="EN244" s="76" t="str">
        <f t="shared" si="1179"/>
      </c>
      <c r="EP244" s="409"/>
      <c r="EQ244" s="18"/>
      <c r="ER244" s="18"/>
      <c r="ES244" s="18"/>
      <c r="ET244" s="18" t="s">
        <v>442</v>
      </c>
      <c r="EU244" s="18"/>
      <c r="EV244" s="422" t="n">
        <f>(EV$197&lt;=Timing_Reversion_Month)*(EV241/$I$254*$H$254)</f>
        <v>0</v>
      </c>
      <c r="EW244" s="422" t="n">
        <f t="shared" ref="EW244:GA244" si="1180">(EW$197&lt;=Timing_Reversion_Month)*(EW241/$I$254*$H$254)</f>
        <v>1034.8709482284305</v>
      </c>
      <c r="EX244" s="422">
        <f t="shared" si="1180"/>
        <v>356.84495550849203</v>
      </c>
      <c r="EY244" s="422">
        <f t="shared" si="1180"/>
        <v>0</v>
      </c>
      <c r="EZ244" s="422">
        <f t="shared" si="1180"/>
        <v>0</v>
      </c>
      <c r="FA244" s="422">
        <f t="shared" si="1180"/>
        <v>0</v>
      </c>
      <c r="FB244" s="422">
        <f t="shared" si="1180"/>
        <v>0</v>
      </c>
      <c r="FC244" s="422">
        <f t="shared" si="1180"/>
        <v>0</v>
      </c>
      <c r="FD244" s="422">
        <f t="shared" si="1180"/>
        <v>0</v>
      </c>
      <c r="FE244" s="422">
        <f t="shared" si="1180"/>
        <v>0</v>
      </c>
      <c r="FF244" s="422">
        <f t="shared" si="1180"/>
        <v>0</v>
      </c>
      <c r="FG244" s="422">
        <f t="shared" si="1180"/>
        <v>0</v>
      </c>
      <c r="FH244" s="422">
        <f t="shared" si="1180"/>
        <v>0</v>
      </c>
      <c r="FI244" s="422">
        <f t="shared" si="1180"/>
        <v>0</v>
      </c>
      <c r="FJ244" s="422">
        <f t="shared" si="1180"/>
        <v>0</v>
      </c>
      <c r="FK244" s="422">
        <f t="shared" si="1180"/>
        <v>0</v>
      </c>
      <c r="FL244" s="422">
        <f t="shared" si="1180"/>
        <v>0</v>
      </c>
      <c r="FM244" s="422">
        <f t="shared" si="1180"/>
        <v>2132.798882025606</v>
      </c>
      <c r="FN244" s="422">
        <f t="shared" si="1180"/>
        <v>9162.6338853458583</v>
      </c>
      <c r="FO244" s="422">
        <f t="shared" si="1180"/>
        <v>8526.6552539441855</v>
      </c>
      <c r="FP244" s="422">
        <f t="shared" si="1180"/>
        <v>8119.9035980232702</v>
      </c>
      <c r="FQ244" s="422">
        <f t="shared" si="1180"/>
        <v>9697.8539580077995</v>
      </c>
      <c r="FR244" s="422">
        <f t="shared" si="1180"/>
        <v>9326.0080022228303</v>
      </c>
      <c r="FS244" s="422">
        <f t="shared" si="1180"/>
        <v>8983.8122875686622</v>
      </c>
      <c r="FT244" s="422">
        <f t="shared" si="1180"/>
        <v>9440.4323897729992</v>
      </c>
      <c r="FU244" s="422">
        <f t="shared" si="1180"/>
        <v>9171.201013352571</v>
      </c>
      <c r="FV244" s="422">
        <f t="shared" si="1180"/>
        <v>8940.628067843465</v>
      </c>
      <c r="FW244" s="422">
        <f t="shared" si="1180"/>
        <v>9217.608832492193</v>
      </c>
      <c r="FX244" s="422">
        <f t="shared" si="1180"/>
        <v>7488.4259171029671</v>
      </c>
      <c r="FY244" s="422">
        <f t="shared" si="1180"/>
        <v>3941.4085073169863</v>
      </c>
      <c r="FZ244" s="422">
        <f t="shared" si="1180"/>
        <v>6603.0627998951859</v>
      </c>
      <c r="GA244" s="422">
        <f t="shared" si="1180"/>
        <v>7592.8228152182564</v>
      </c>
      <c r="GB244" s="422" t="n">
        <f t="shared" ref="GB244:HG244" si="1181">(GB$197&lt;=Timing_Reversion_Month)*(GB241/$I$254*$H$254)</f>
        <v>8329.850074644688</v>
      </c>
      <c r="GC244" s="422">
        <f t="shared" si="1181"/>
        <v>8857.6880007753171</v>
      </c>
      <c r="GD244" s="422">
        <f t="shared" si="1181"/>
        <v>9852.538805939319</v>
      </c>
      <c r="GE244" s="422">
        <f t="shared" si="1181"/>
        <v>10084.195319287724</v>
      </c>
      <c r="GF244" s="422">
        <f t="shared" si="1181"/>
        <v>10254.832066147253</v>
      </c>
      <c r="GG244" s="422">
        <f t="shared" si="1181"/>
        <v>9196.2391736383706</v>
      </c>
      <c r="GH244" s="422">
        <f t="shared" si="1181"/>
        <v>9164.5326237624631</v>
      </c>
      <c r="GI244" s="422">
        <f t="shared" si="1181"/>
        <v>9132.5882747624892</v>
      </c>
      <c r="GJ244" s="422">
        <f t="shared" si="1181"/>
        <v>9116.2037832333699</v>
      </c>
      <c r="GK244" s="422">
        <f t="shared" si="1181"/>
        <v>9083.7784721287626</v>
      </c>
      <c r="GL244" s="422">
        <f t="shared" si="1181"/>
        <v>9051.1099711908737</v>
      </c>
      <c r="GM244" s="422">
        <f t="shared" si="1181"/>
        <v>9428.5014767021185</v>
      </c>
      <c r="GN244" s="422">
        <f t="shared" si="1181"/>
        <v>9395.3411106469812</v>
      </c>
      <c r="GO244" s="422">
        <f t="shared" si="1181"/>
        <v>9361.9320418464376</v>
      </c>
      <c r="GP244" s="422">
        <f t="shared" si="1181"/>
        <v>9401.1234466965452</v>
      </c>
      <c r="GQ244" s="422">
        <f t="shared" si="1181"/>
        <v>9367.2113626038681</v>
      </c>
      <c r="GR244" s="422">
        <f t="shared" si="1181"/>
        <v>9333.0449378804951</v>
      </c>
      <c r="GS244" s="422">
        <f t="shared" si="1181"/>
        <v>8964.8480238282809</v>
      </c>
      <c r="GT244" s="422">
        <f t="shared" si="1181"/>
        <v>8930.167180872666</v>
      </c>
      <c r="GU244" s="422">
        <f t="shared" si="1181"/>
        <v>8895.2262315948828</v>
      </c>
      <c r="GV244" s="422">
        <f t="shared" si="1181"/>
        <v>8875.796193947519</v>
      </c>
      <c r="GW244" s="422">
        <f t="shared" si="1181"/>
        <v>8840.3291650021783</v>
      </c>
      <c r="GX244" s="422">
        <f t="shared" si="1181"/>
        <v>8804.5961333397445</v>
      </c>
      <c r="GY244" s="422">
        <f t="shared" si="1181"/>
        <v>9139.9582436204873</v>
      </c>
      <c r="GZ244" s="422">
        <f t="shared" si="1181"/>
        <v>9103.6872065000862</v>
      </c>
      <c r="HA244" s="422">
        <f t="shared" si="1181"/>
        <v>9067.1441366012841</v>
      </c>
      <c r="HB244" s="422">
        <f t="shared" si="1181"/>
        <v>9105.7278218032316</v>
      </c>
      <c r="HC244" s="422">
        <f t="shared" si="1181"/>
        <v>9068.6345503082666</v>
      </c>
      <c r="HD244" s="422">
        <f t="shared" si="1181"/>
        <v>9031.2630792770869</v>
      </c>
      <c r="HE244" s="422">
        <f t="shared" si="1181"/>
        <v>243460.1824163477</v>
      </c>
      <c r="HF244" s="422">
        <f t="shared" si="1181"/>
        <v>0</v>
      </c>
      <c r="HG244" s="422">
        <f t="shared" si="1181"/>
        <v>0</v>
      </c>
      <c r="HH244" s="422" t="n">
        <f t="shared" ref="HH244:IM244" si="1182">(HH$197&lt;=Timing_Reversion_Month)*(HH241/$I$254*$H$254)</f>
        <v>0</v>
      </c>
      <c r="HI244" s="422">
        <f t="shared" si="1182"/>
        <v>0</v>
      </c>
      <c r="HJ244" s="422">
        <f t="shared" si="1182"/>
        <v>0</v>
      </c>
      <c r="HK244" s="422">
        <f t="shared" si="1182"/>
        <v>0</v>
      </c>
      <c r="HL244" s="422">
        <f t="shared" si="1182"/>
        <v>0</v>
      </c>
      <c r="HM244" s="422">
        <f t="shared" si="1182"/>
        <v>0</v>
      </c>
      <c r="HN244" s="422">
        <f t="shared" si="1182"/>
        <v>0</v>
      </c>
      <c r="HO244" s="422">
        <f t="shared" si="1182"/>
        <v>0</v>
      </c>
      <c r="HP244" s="422">
        <f t="shared" si="1182"/>
        <v>0</v>
      </c>
      <c r="HQ244" s="422">
        <f t="shared" si="1182"/>
        <v>0</v>
      </c>
      <c r="HR244" s="422">
        <f t="shared" si="1182"/>
        <v>0</v>
      </c>
      <c r="HS244" s="422">
        <f t="shared" si="1182"/>
        <v>0</v>
      </c>
      <c r="HT244" s="422">
        <f t="shared" si="1182"/>
        <v>0</v>
      </c>
      <c r="HU244" s="422">
        <f t="shared" si="1182"/>
        <v>0</v>
      </c>
      <c r="HV244" s="422">
        <f t="shared" si="1182"/>
        <v>0</v>
      </c>
      <c r="HW244" s="422">
        <f t="shared" si="1182"/>
        <v>0</v>
      </c>
      <c r="HX244" s="422">
        <f t="shared" si="1182"/>
        <v>0</v>
      </c>
      <c r="HY244" s="422">
        <f t="shared" si="1182"/>
        <v>0</v>
      </c>
      <c r="HZ244" s="422">
        <f t="shared" si="1182"/>
        <v>0</v>
      </c>
      <c r="IA244" s="422">
        <f t="shared" si="1182"/>
        <v>0</v>
      </c>
      <c r="IB244" s="422">
        <f t="shared" si="1182"/>
        <v>0</v>
      </c>
      <c r="IC244" s="422">
        <f t="shared" si="1182"/>
        <v>0</v>
      </c>
      <c r="ID244" s="422">
        <f t="shared" si="1182"/>
        <v>0</v>
      </c>
      <c r="IE244" s="422">
        <f t="shared" si="1182"/>
        <v>0</v>
      </c>
      <c r="IF244" s="422">
        <f t="shared" si="1182"/>
        <v>0</v>
      </c>
      <c r="IG244" s="422">
        <f t="shared" si="1182"/>
        <v>0</v>
      </c>
      <c r="IH244" s="422">
        <f t="shared" si="1182"/>
        <v>0</v>
      </c>
      <c r="II244" s="422">
        <f t="shared" si="1182"/>
        <v>0</v>
      </c>
      <c r="IJ244" s="422">
        <f t="shared" si="1182"/>
        <v>0</v>
      </c>
      <c r="IK244" s="422">
        <f t="shared" si="1182"/>
        <v>0</v>
      </c>
      <c r="IL244" s="422">
        <f t="shared" si="1182"/>
        <v>0</v>
      </c>
      <c r="IM244" s="422">
        <f t="shared" si="1182"/>
        <v>0</v>
      </c>
      <c r="IN244" s="422" t="n">
        <f t="shared" ref="IN244:JX244" si="1183">(IN$197&lt;=Timing_Reversion_Month)*(IN241/$I$254*$H$254)</f>
        <v>0</v>
      </c>
      <c r="IO244" s="422">
        <f t="shared" si="1183"/>
        <v>0</v>
      </c>
      <c r="IP244" s="422">
        <f t="shared" si="1183"/>
        <v>0</v>
      </c>
      <c r="IQ244" s="422">
        <f t="shared" si="1183"/>
        <v>0</v>
      </c>
      <c r="IR244" s="422">
        <f t="shared" si="1183"/>
        <v>0</v>
      </c>
      <c r="IS244" s="422">
        <f t="shared" si="1183"/>
        <v>0</v>
      </c>
      <c r="IT244" s="422">
        <f t="shared" si="1183"/>
        <v>0</v>
      </c>
      <c r="IU244" s="422">
        <f t="shared" si="1183"/>
        <v>0</v>
      </c>
      <c r="IV244" s="422">
        <f t="shared" si="1183"/>
        <v>0</v>
      </c>
      <c r="IW244" s="422">
        <f t="shared" si="1183"/>
        <v>0</v>
      </c>
      <c r="IX244" s="422">
        <f t="shared" si="1183"/>
        <v>0</v>
      </c>
      <c r="IY244" s="422">
        <f t="shared" si="1183"/>
        <v>0</v>
      </c>
      <c r="IZ244" s="422">
        <f t="shared" si="1183"/>
        <v>0</v>
      </c>
      <c r="JA244" s="422">
        <f t="shared" si="1183"/>
        <v>0</v>
      </c>
      <c r="JB244" s="422">
        <f t="shared" si="1183"/>
        <v>0</v>
      </c>
      <c r="JC244" s="422">
        <f t="shared" si="1183"/>
        <v>0</v>
      </c>
      <c r="JD244" s="422">
        <f t="shared" si="1183"/>
        <v>0</v>
      </c>
      <c r="JE244" s="422">
        <f t="shared" si="1183"/>
        <v>0</v>
      </c>
      <c r="JF244" s="422">
        <f t="shared" si="1183"/>
        <v>0</v>
      </c>
      <c r="JG244" s="422">
        <f t="shared" si="1183"/>
        <v>0</v>
      </c>
      <c r="JH244" s="422">
        <f t="shared" si="1183"/>
        <v>0</v>
      </c>
      <c r="JI244" s="422">
        <f t="shared" si="1183"/>
        <v>0</v>
      </c>
      <c r="JJ244" s="422">
        <f t="shared" si="1183"/>
        <v>0</v>
      </c>
      <c r="JK244" s="422">
        <f t="shared" si="1183"/>
        <v>0</v>
      </c>
      <c r="JL244" s="422">
        <f t="shared" si="1183"/>
        <v>0</v>
      </c>
      <c r="JM244" s="422">
        <f t="shared" si="1183"/>
        <v>0</v>
      </c>
      <c r="JN244" s="422">
        <f t="shared" si="1183"/>
        <v>0</v>
      </c>
      <c r="JO244" s="422">
        <f t="shared" si="1183"/>
        <v>0</v>
      </c>
      <c r="JP244" s="422">
        <f t="shared" si="1183"/>
        <v>0</v>
      </c>
      <c r="JQ244" s="422">
        <f t="shared" si="1183"/>
        <v>0</v>
      </c>
      <c r="JR244" s="422">
        <f t="shared" si="1183"/>
        <v>0</v>
      </c>
      <c r="JS244" s="422">
        <f t="shared" si="1183"/>
        <v>0</v>
      </c>
      <c r="JT244" s="422">
        <f t="shared" si="1183"/>
        <v>0</v>
      </c>
      <c r="JU244" s="422">
        <f t="shared" si="1183"/>
        <v>0</v>
      </c>
      <c r="JV244" s="422">
        <f t="shared" si="1183"/>
        <v>0</v>
      </c>
      <c r="JW244" s="422">
        <f t="shared" si="1183"/>
        <v>0</v>
      </c>
      <c r="JX244" s="422">
        <f t="shared" si="1183"/>
        <v>0</v>
      </c>
      <c r="JZ244" s="263"/>
      <c r="KA244" s="263"/>
      <c r="KB244" s="263"/>
      <c r="KC244" s="263"/>
      <c r="KD244" s="263"/>
      <c r="KE244" s="263"/>
      <c r="KF244" s="263"/>
      <c r="KG244" s="263"/>
      <c r="KH244" s="263"/>
      <c r="KI244" s="263"/>
      <c r="KJ244" s="263"/>
      <c r="KK244" s="263"/>
      <c r="KL244" s="263"/>
      <c r="KM244" s="263"/>
      <c r="KN244" s="263"/>
      <c r="KO244" s="263"/>
      <c r="KP244" s="263"/>
      <c r="KQ244" s="263"/>
      <c r="KR244" s="263"/>
      <c r="KS244" s="263"/>
      <c r="KT244" s="263"/>
      <c r="KU244" s="263"/>
      <c r="KV244" s="263"/>
      <c r="KW244" s="263"/>
      <c r="KX244" s="263"/>
      <c r="KY244" s="263"/>
      <c r="KZ244" s="263"/>
      <c r="LA244" s="263"/>
      <c r="LB244" s="263"/>
      <c r="LC244" s="263"/>
      <c r="LD244" s="263"/>
      <c r="LE244" s="263"/>
      <c r="LF244" s="263"/>
      <c r="LG244" s="263"/>
      <c r="LH244" s="263"/>
      <c r="LI244" s="263"/>
      <c r="LJ244" s="263"/>
      <c r="LK244" s="263"/>
      <c r="LL244" s="263"/>
      <c r="LM244" s="263"/>
      <c r="LN244" s="263"/>
      <c r="LO244" s="263"/>
      <c r="LP244" s="263"/>
      <c r="LQ244" s="263"/>
      <c r="LR244" s="263"/>
      <c r="LS244" s="263"/>
      <c r="LT244" s="263"/>
      <c r="LU244" s="263"/>
      <c r="LV244" s="263"/>
      <c r="LW244" s="263"/>
      <c r="LX244" s="263"/>
      <c r="LY244" s="263"/>
      <c r="LZ244" s="263"/>
      <c r="MA244" s="263"/>
      <c r="MB244" s="263"/>
      <c r="MC244" s="263"/>
      <c r="MD244" s="263"/>
      <c r="ME244" s="263"/>
      <c r="MF244" s="263"/>
      <c r="MG244" s="263"/>
      <c r="MH244" s="263"/>
      <c r="MI244" s="263"/>
      <c r="MJ244" s="263"/>
      <c r="MK244" s="263"/>
      <c r="ML244" s="263"/>
      <c r="MM244" s="263"/>
      <c r="MN244" s="263"/>
      <c r="MO244" s="263"/>
      <c r="MP244" s="263"/>
      <c r="MQ244" s="263"/>
      <c r="MR244" s="263"/>
      <c r="MS244" s="263"/>
      <c r="MT244" s="263"/>
      <c r="MU244" s="263"/>
      <c r="MV244" s="263"/>
      <c r="MW244" s="263"/>
      <c r="MX244" s="263"/>
      <c r="MY244" s="263"/>
      <c r="MZ244" s="263"/>
      <c r="NA244" s="263"/>
      <c r="NB244" s="263"/>
      <c r="NC244" s="263"/>
      <c r="ND244" s="263"/>
      <c r="NE244" s="263"/>
      <c r="NF244" s="263"/>
      <c r="NG244" s="263"/>
      <c r="NH244" s="263"/>
      <c r="NI244" s="263"/>
      <c r="NJ244" s="263"/>
      <c r="NK244" s="263"/>
      <c r="NL244" s="263"/>
      <c r="NM244" s="263"/>
      <c r="NN244" s="263"/>
      <c r="NO244" s="263"/>
      <c r="NP244" s="263"/>
      <c r="NQ244" s="263"/>
      <c r="NR244" s="263"/>
      <c r="NS244" s="263"/>
      <c r="NT244" s="263"/>
      <c r="NU244" s="263"/>
      <c r="NV244" s="263"/>
      <c r="NW244" s="263"/>
      <c r="NX244" s="263"/>
      <c r="NY244" s="263"/>
      <c r="NZ244" s="263"/>
      <c r="OA244" s="263"/>
      <c r="OB244" s="263"/>
      <c r="OC244" s="263"/>
      <c r="OD244" s="263"/>
      <c r="OE244" s="263"/>
      <c r="OF244" s="263"/>
      <c r="OG244" s="263"/>
      <c r="OH244" s="263"/>
      <c r="OI244" s="263"/>
      <c r="OJ244" s="263"/>
      <c r="OK244" s="263"/>
      <c r="OL244" s="263"/>
      <c r="OM244" s="263"/>
      <c r="ON244" s="263"/>
      <c r="OO244" s="263"/>
      <c r="OP244" s="263"/>
      <c r="OQ244" s="263"/>
      <c r="OR244" s="263"/>
      <c r="OS244" s="263"/>
      <c r="OT244" s="263"/>
      <c r="OU244" s="263"/>
      <c r="OV244" s="263"/>
      <c r="OW244" s="263"/>
      <c r="OX244" s="263"/>
      <c r="OY244" s="263"/>
      <c r="OZ244" s="263"/>
      <c r="PA244" s="263"/>
      <c r="PB244" s="263"/>
      <c r="PC244" s="263"/>
      <c r="PD244" s="263"/>
      <c r="PE244" s="263"/>
      <c r="PF244" s="263"/>
      <c r="PG244" s="263"/>
      <c r="PH244" s="263"/>
    </row>
    <row r="245">
      <c r="B245" s="415" t="s">
        <v>416</v>
      </c>
      <c r="C245" s="548" t="str">
        <f>C240</f>
        <v>External Equity / Limited Partner — illustrative waterfall</v>
      </c>
      <c r="D245" s="401"/>
      <c r="E245" s="401"/>
      <c r="F245" s="556" t="n">
        <f>IFERROR(SUMIF($M245:$BU245,"&gt;0",$M245:$BU245)/-SUMIF($M245:$BU245,"&lt;0",$M245:$BU245),0)</f>
        <v>6.919705122812984</v>
      </c>
      <c r="G245" s="305" t="n">
        <f>IFERROR(XIRR($M245:$BU245,$M$195:$BU$195,2%),0)</f>
        <v>0.7830743921338225</v>
      </c>
      <c r="H245" s="55" t="n">
        <f>I245/$I$246</f>
        <v>0.6469420297192175</v>
      </c>
      <c r="I245" s="424" t="n">
        <f>SUM(L245:EN245)</f>
        <v>570003691.2388905</v>
      </c>
      <c r="L245" s="426" t="str">
        <f t="shared" ref="L245:AQ245" si="1184">IF(L$227="","",-L229+L240)</f>
      </c>
      <c r="M245" s="426">
        <f t="shared" si="1184"/>
        <v>393250.96032680338</v>
      </c>
      <c r="N245" s="426">
        <f t="shared" si="1184"/>
        <v>135601.08309322695</v>
      </c>
      <c r="O245" s="426">
        <f t="shared" si="1184"/>
        <v>-232365.34366464696</v>
      </c>
      <c r="P245" s="426">
        <f t="shared" si="1184"/>
        <v>-742170.33244276396</v>
      </c>
      <c r="Q245" s="426">
        <f t="shared" si="1184"/>
        <v>-1535584.0904432603</v>
      </c>
      <c r="R245" s="426">
        <f t="shared" si="1184"/>
        <v>-1762413.9736135693</v>
      </c>
      <c r="S245" s="426">
        <f t="shared" si="1184"/>
        <v>-2884923.403925844</v>
      </c>
      <c r="T245" s="426">
        <f t="shared" si="1184"/>
        <v>-4251888.4975476647</v>
      </c>
      <c r="U245" s="426">
        <f t="shared" si="1184"/>
        <v>-5858819.1238618502</v>
      </c>
      <c r="V245" s="426">
        <f t="shared" si="1184"/>
        <v>-7678634.2685150485</v>
      </c>
      <c r="W245" s="426">
        <f t="shared" si="1184"/>
        <v>-9658491.5239216667</v>
      </c>
      <c r="X245" s="426">
        <f t="shared" si="1184"/>
        <v>-11719499.622373434</v>
      </c>
      <c r="Y245" s="426">
        <f t="shared" si="1184"/>
        <v>-13760073.118507486</v>
      </c>
      <c r="Z245" s="426">
        <f t="shared" si="1184"/>
        <v>-15663143.277441243</v>
      </c>
      <c r="AA245" s="426">
        <f t="shared" si="1184"/>
        <v>-17306730.110950492</v>
      </c>
      <c r="AB245" s="426">
        <f t="shared" si="1184"/>
        <v>-3234466.8142030039</v>
      </c>
      <c r="AC245" s="426">
        <f t="shared" si="1184"/>
        <v>810463.57516973012</v>
      </c>
      <c r="AD245" s="426">
        <f t="shared" si="1184"/>
        <v>3481800.8764314256</v>
      </c>
      <c r="AE245" s="426">
        <f t="shared" si="1184"/>
        <v>3240128.9964987887</v>
      </c>
      <c r="AF245" s="426">
        <f t="shared" si="1184"/>
        <v>3085563.367248842</v>
      </c>
      <c r="AG245" s="426">
        <f t="shared" si="1184"/>
        <v>3685184.504042963</v>
      </c>
      <c r="AH245" s="426">
        <f t="shared" si="1184"/>
        <v>3543883.0408446738</v>
      </c>
      <c r="AI245" s="426">
        <f t="shared" si="1184"/>
        <v>3413848.6692760913</v>
      </c>
      <c r="AJ245" s="426">
        <f t="shared" si="1184"/>
        <v>3587364.3081137375</v>
      </c>
      <c r="AK245" s="426">
        <f t="shared" si="1184"/>
        <v>3485056.3850739766</v>
      </c>
      <c r="AL245" s="426">
        <f t="shared" si="1184"/>
        <v>3397438.6657805149</v>
      </c>
      <c r="AM245" s="426">
        <f t="shared" si="1184"/>
        <v>3502691.3563470333</v>
      </c>
      <c r="AN245" s="426">
        <f t="shared" si="1184"/>
        <v>2845601.8484991258</v>
      </c>
      <c r="AO245" s="426">
        <f t="shared" si="1184"/>
        <v>1497735.2327804544</v>
      </c>
      <c r="AP245" s="426">
        <f t="shared" si="1184"/>
        <v>2509163.8639601702</v>
      </c>
      <c r="AQ245" s="426">
        <f t="shared" si="1184"/>
        <v>2885272.669782937</v>
      </c>
      <c r="AR245" s="426" t="n">
        <f t="shared" ref="AR245:BW245" si="1185">IF(AR$227="","",-AR229+AR240)</f>
        <v>3165343.028364981</v>
      </c>
      <c r="AS245" s="426">
        <f t="shared" si="1185"/>
        <v>3365921.4402946201</v>
      </c>
      <c r="AT245" s="426">
        <f t="shared" si="1185"/>
        <v>3743964.7462569405</v>
      </c>
      <c r="AU245" s="426">
        <f t="shared" si="1185"/>
        <v>3831994.2213293347</v>
      </c>
      <c r="AV245" s="426">
        <f t="shared" si="1185"/>
        <v>3896836.1851359545</v>
      </c>
      <c r="AW245" s="426">
        <f t="shared" si="1185"/>
        <v>3494570.8859825786</v>
      </c>
      <c r="AX245" s="426">
        <f t="shared" si="1185"/>
        <v>3482522.3970297342</v>
      </c>
      <c r="AY245" s="426">
        <f t="shared" si="1185"/>
        <v>3470383.544409744</v>
      </c>
      <c r="AZ245" s="426">
        <f t="shared" si="1185"/>
        <v>3464157.4376286799</v>
      </c>
      <c r="BA245" s="426">
        <f t="shared" si="1185"/>
        <v>3451835.8194089294</v>
      </c>
      <c r="BB245" s="426">
        <f t="shared" si="1185"/>
        <v>3439421.7890525316</v>
      </c>
      <c r="BC245" s="426">
        <f t="shared" si="1185"/>
        <v>3582830.5611468046</v>
      </c>
      <c r="BD245" s="203">
        <f t="shared" si="1185"/>
        <v>3570229.6220458527</v>
      </c>
      <c r="BE245" s="203">
        <f t="shared" si="1185"/>
        <v>3557534.1759016444</v>
      </c>
      <c r="BF245" s="203">
        <f t="shared" si="1185"/>
        <v>3572426.9097446869</v>
      </c>
      <c r="BG245" s="203">
        <f t="shared" si="1185"/>
        <v>3559540.3177894698</v>
      </c>
      <c r="BH245" s="203">
        <f t="shared" si="1185"/>
        <v>3546557.0763945873</v>
      </c>
      <c r="BI245" s="203">
        <f t="shared" si="1185"/>
        <v>3406642.2490547462</v>
      </c>
      <c r="BJ245" s="203">
        <f t="shared" si="1185"/>
        <v>3393463.5287316125</v>
      </c>
      <c r="BK245" s="203">
        <f t="shared" si="1185"/>
        <v>3380185.9680060558</v>
      </c>
      <c r="BL245" s="203">
        <f t="shared" si="1185"/>
        <v>3372802.5537000573</v>
      </c>
      <c r="BM245" s="203">
        <f t="shared" si="1185"/>
        <v>3359325.0827008258</v>
      </c>
      <c r="BN245" s="203">
        <f t="shared" si="1185"/>
        <v>3345746.5306691006</v>
      </c>
      <c r="BO245" s="203">
        <f t="shared" si="1185"/>
        <v>3473184.1325757857</v>
      </c>
      <c r="BP245" s="203">
        <f t="shared" si="1185"/>
        <v>3459401.1384700327</v>
      </c>
      <c r="BQ245" s="203">
        <f t="shared" si="1185"/>
        <v>3445514.7719084867</v>
      </c>
      <c r="BR245" s="203">
        <f t="shared" si="1185"/>
        <v>3460176.5722852284</v>
      </c>
      <c r="BS245" s="203">
        <f t="shared" si="1185"/>
        <v>3446081.1291171401</v>
      </c>
      <c r="BT245" s="203">
        <f t="shared" si="1185"/>
        <v>3431879.970125291</v>
      </c>
      <c r="BU245" s="203">
        <f t="shared" si="1185"/>
        <v>519622371.55177057</v>
      </c>
      <c r="BV245" s="203" t="str">
        <f t="shared" si="1185"/>
      </c>
      <c r="BW245" s="203" t="str">
        <f t="shared" si="1185"/>
      </c>
      <c r="BX245" s="203" t="str">
        <f t="shared" ref="BX245:DC245" si="1186">IF(BX$227="","",-BX229+BX240)</f>
      </c>
      <c r="BY245" s="203" t="str">
        <f t="shared" si="1186"/>
      </c>
      <c r="BZ245" s="203" t="str">
        <f t="shared" si="1186"/>
      </c>
      <c r="CA245" s="203" t="str">
        <f t="shared" si="1186"/>
      </c>
      <c r="CB245" s="203" t="str">
        <f t="shared" si="1186"/>
      </c>
      <c r="CC245" s="203" t="str">
        <f t="shared" si="1186"/>
      </c>
      <c r="CD245" s="203" t="str">
        <f t="shared" si="1186"/>
      </c>
      <c r="CE245" s="203" t="str">
        <f t="shared" si="1186"/>
      </c>
      <c r="CF245" s="203" t="str">
        <f t="shared" si="1186"/>
      </c>
      <c r="CG245" s="203" t="str">
        <f t="shared" si="1186"/>
      </c>
      <c r="CH245" s="203" t="str">
        <f t="shared" si="1186"/>
      </c>
      <c r="CI245" s="203" t="str">
        <f t="shared" si="1186"/>
      </c>
      <c r="CJ245" s="203" t="str">
        <f t="shared" si="1186"/>
      </c>
      <c r="CK245" s="203" t="str">
        <f t="shared" si="1186"/>
      </c>
      <c r="CL245" s="203" t="str">
        <f t="shared" si="1186"/>
      </c>
      <c r="CM245" s="203" t="str">
        <f t="shared" si="1186"/>
      </c>
      <c r="CN245" s="203" t="str">
        <f t="shared" si="1186"/>
      </c>
      <c r="CO245" s="203" t="str">
        <f t="shared" si="1186"/>
      </c>
      <c r="CP245" s="203" t="str">
        <f t="shared" si="1186"/>
      </c>
      <c r="CQ245" s="203" t="str">
        <f t="shared" si="1186"/>
      </c>
      <c r="CR245" s="203" t="str">
        <f t="shared" si="1186"/>
      </c>
      <c r="CS245" s="203" t="str">
        <f t="shared" si="1186"/>
      </c>
      <c r="CT245" s="203" t="str">
        <f t="shared" si="1186"/>
      </c>
      <c r="CU245" s="203" t="str">
        <f t="shared" si="1186"/>
      </c>
      <c r="CV245" s="203" t="str">
        <f t="shared" si="1186"/>
      </c>
      <c r="CW245" s="203" t="str">
        <f t="shared" si="1186"/>
      </c>
      <c r="CX245" s="203" t="str">
        <f t="shared" si="1186"/>
      </c>
      <c r="CY245" s="203" t="str">
        <f t="shared" si="1186"/>
      </c>
      <c r="CZ245" s="203" t="str">
        <f t="shared" si="1186"/>
      </c>
      <c r="DA245" s="203" t="str">
        <f t="shared" si="1186"/>
      </c>
      <c r="DB245" s="203" t="str">
        <f t="shared" si="1186"/>
      </c>
      <c r="DC245" s="203" t="str">
        <f t="shared" si="1186"/>
      </c>
      <c r="DD245" s="203" t="str">
        <f t="shared" ref="DD245:EN245" si="1187">IF(DD$227="","",-DD229+DD240)</f>
      </c>
      <c r="DE245" s="203" t="str">
        <f t="shared" si="1187"/>
      </c>
      <c r="DF245" s="203" t="str">
        <f t="shared" si="1187"/>
      </c>
      <c r="DG245" s="203" t="str">
        <f t="shared" si="1187"/>
      </c>
      <c r="DH245" s="203" t="str">
        <f t="shared" si="1187"/>
      </c>
      <c r="DI245" s="203" t="str">
        <f t="shared" si="1187"/>
      </c>
      <c r="DJ245" s="203" t="str">
        <f t="shared" si="1187"/>
      </c>
      <c r="DK245" s="203" t="str">
        <f t="shared" si="1187"/>
      </c>
      <c r="DL245" s="203" t="str">
        <f t="shared" si="1187"/>
      </c>
      <c r="DM245" s="203" t="str">
        <f t="shared" si="1187"/>
      </c>
      <c r="DN245" s="203" t="str">
        <f t="shared" si="1187"/>
      </c>
      <c r="DO245" s="203" t="str">
        <f t="shared" si="1187"/>
      </c>
      <c r="DP245" s="203" t="str">
        <f t="shared" si="1187"/>
      </c>
      <c r="DQ245" s="203" t="str">
        <f t="shared" si="1187"/>
      </c>
      <c r="DR245" s="203" t="str">
        <f t="shared" si="1187"/>
      </c>
      <c r="DS245" s="203" t="str">
        <f t="shared" si="1187"/>
      </c>
      <c r="DT245" s="203" t="str">
        <f t="shared" si="1187"/>
      </c>
      <c r="DU245" s="203" t="str">
        <f t="shared" si="1187"/>
      </c>
      <c r="DV245" s="203" t="str">
        <f t="shared" si="1187"/>
      </c>
      <c r="DW245" s="203" t="str">
        <f t="shared" si="1187"/>
      </c>
      <c r="DX245" s="203" t="str">
        <f t="shared" si="1187"/>
      </c>
      <c r="DY245" s="203" t="str">
        <f t="shared" si="1187"/>
      </c>
      <c r="DZ245" s="203" t="str">
        <f t="shared" si="1187"/>
      </c>
      <c r="EA245" s="203" t="str">
        <f t="shared" si="1187"/>
      </c>
      <c r="EB245" s="203" t="str">
        <f t="shared" si="1187"/>
      </c>
      <c r="EC245" s="203" t="str">
        <f t="shared" si="1187"/>
      </c>
      <c r="ED245" s="203" t="str">
        <f t="shared" si="1187"/>
      </c>
      <c r="EE245" s="203" t="str">
        <f t="shared" si="1187"/>
      </c>
      <c r="EF245" s="203" t="str">
        <f t="shared" si="1187"/>
      </c>
      <c r="EG245" s="203" t="str">
        <f t="shared" si="1187"/>
      </c>
      <c r="EH245" s="203" t="str">
        <f t="shared" si="1187"/>
      </c>
      <c r="EI245" s="203" t="str">
        <f t="shared" si="1187"/>
      </c>
      <c r="EJ245" s="203" t="str">
        <f t="shared" si="1187"/>
      </c>
      <c r="EK245" s="203" t="str">
        <f t="shared" si="1187"/>
      </c>
      <c r="EL245" s="203" t="str">
        <f t="shared" si="1187"/>
      </c>
      <c r="EM245" s="203" t="str">
        <f t="shared" si="1187"/>
      </c>
      <c r="EN245" s="203" t="str">
        <f t="shared" si="1187"/>
      </c>
      <c r="EP245" s="409"/>
      <c r="EQ245" s="18"/>
      <c r="ER245" s="18"/>
      <c r="ES245" s="18"/>
      <c r="ET245" s="18" t="s">
        <v>390</v>
      </c>
      <c r="EU245" s="18"/>
      <c r="EV245" s="422" t="n">
        <f>+EV244+EV241</f>
        <v>0</v>
      </c>
      <c r="EW245" s="422" t="n">
        <f t="shared" ref="EW245:HH245" si="1188">+EW244+EW241</f>
        <v>20697.41896456861</v>
      </c>
      <c r="EX245" s="422">
        <f t="shared" si="1188"/>
        <v>7136.8991101698393</v>
      </c>
      <c r="EY245" s="422">
        <f t="shared" si="1188"/>
        <v>0</v>
      </c>
      <c r="EZ245" s="422">
        <f t="shared" si="1188"/>
        <v>0</v>
      </c>
      <c r="FA245" s="422">
        <f t="shared" si="1188"/>
        <v>0</v>
      </c>
      <c r="FB245" s="422">
        <f t="shared" si="1188"/>
        <v>0</v>
      </c>
      <c r="FC245" s="422">
        <f t="shared" si="1188"/>
        <v>0</v>
      </c>
      <c r="FD245" s="422">
        <f t="shared" si="1188"/>
        <v>0</v>
      </c>
      <c r="FE245" s="422">
        <f t="shared" si="1188"/>
        <v>0</v>
      </c>
      <c r="FF245" s="422">
        <f t="shared" si="1188"/>
        <v>0</v>
      </c>
      <c r="FG245" s="422">
        <f t="shared" si="1188"/>
        <v>0</v>
      </c>
      <c r="FH245" s="422">
        <f t="shared" si="1188"/>
        <v>0</v>
      </c>
      <c r="FI245" s="422">
        <f t="shared" si="1188"/>
        <v>0</v>
      </c>
      <c r="FJ245" s="422">
        <f t="shared" si="1188"/>
        <v>0</v>
      </c>
      <c r="FK245" s="422">
        <f t="shared" si="1188"/>
        <v>0</v>
      </c>
      <c r="FL245" s="422">
        <f t="shared" si="1188"/>
        <v>0</v>
      </c>
      <c r="FM245" s="422">
        <f t="shared" si="1188"/>
        <v>42655.977640512116</v>
      </c>
      <c r="FN245" s="422">
        <f t="shared" si="1188"/>
        <v>183252.67770691717</v>
      </c>
      <c r="FO245" s="422">
        <f t="shared" si="1188"/>
        <v>170533.1050788837</v>
      </c>
      <c r="FP245" s="422">
        <f t="shared" si="1188"/>
        <v>162398.07196046537</v>
      </c>
      <c r="FQ245" s="422">
        <f t="shared" si="1188"/>
        <v>193957.07916015596</v>
      </c>
      <c r="FR245" s="422">
        <f t="shared" si="1188"/>
        <v>186520.1600444566</v>
      </c>
      <c r="FS245" s="422">
        <f t="shared" si="1188"/>
        <v>179676.24575137324</v>
      </c>
      <c r="FT245" s="422">
        <f t="shared" si="1188"/>
        <v>188808.64779545995</v>
      </c>
      <c r="FU245" s="422">
        <f t="shared" si="1188"/>
        <v>183424.02026705141</v>
      </c>
      <c r="FV245" s="422">
        <f t="shared" si="1188"/>
        <v>178812.56135686929</v>
      </c>
      <c r="FW245" s="422">
        <f t="shared" si="1188"/>
        <v>184352.17664984387</v>
      </c>
      <c r="FX245" s="422">
        <f t="shared" si="1188"/>
        <v>149768.51834205931</v>
      </c>
      <c r="FY245" s="422">
        <f t="shared" si="1188"/>
        <v>78828.170146339718</v>
      </c>
      <c r="FZ245" s="422">
        <f t="shared" si="1188"/>
        <v>132061.2559979037</v>
      </c>
      <c r="GA245" s="422">
        <f t="shared" si="1188"/>
        <v>151856.45630436513</v>
      </c>
      <c r="GB245" s="422">
        <f t="shared" si="1188"/>
        <v>166597.00149289376</v>
      </c>
      <c r="GC245" s="422">
        <f t="shared" si="1188"/>
        <v>177153.76001550633</v>
      </c>
      <c r="GD245" s="422">
        <f t="shared" si="1188"/>
        <v>197050.77611878637</v>
      </c>
      <c r="GE245" s="422">
        <f t="shared" si="1188"/>
        <v>201683.90638575444</v>
      </c>
      <c r="GF245" s="422">
        <f t="shared" si="1188"/>
        <v>205096.64132294507</v>
      </c>
      <c r="GG245" s="422">
        <f t="shared" si="1188"/>
        <v>183924.78347276739</v>
      </c>
      <c r="GH245" s="422">
        <f t="shared" si="1188"/>
        <v>183290.65247524926</v>
      </c>
      <c r="GI245" s="422">
        <f t="shared" si="1188"/>
        <v>182651.76549524977</v>
      </c>
      <c r="GJ245" s="422">
        <f t="shared" si="1188"/>
        <v>182324.07566466735</v>
      </c>
      <c r="GK245" s="422">
        <f t="shared" si="1188"/>
        <v>181675.56944257524</v>
      </c>
      <c r="GL245" s="422">
        <f t="shared" si="1188"/>
        <v>181022.19942381742</v>
      </c>
      <c r="GM245" s="422">
        <f t="shared" si="1188"/>
        <v>188570.02953404232</v>
      </c>
      <c r="GN245" s="422">
        <f t="shared" si="1188"/>
        <v>187906.82221293962</v>
      </c>
      <c r="GO245" s="422">
        <f t="shared" si="1188"/>
        <v>187238.64083692874</v>
      </c>
      <c r="GP245" s="422">
        <f t="shared" si="1188"/>
        <v>188022.46893393091</v>
      </c>
      <c r="GQ245" s="422">
        <f t="shared" si="1188"/>
        <v>187344.22725207737</v>
      </c>
      <c r="GR245" s="422">
        <f t="shared" si="1188"/>
        <v>186660.89875760989</v>
      </c>
      <c r="GS245" s="422">
        <f t="shared" si="1188"/>
        <v>179296.96047656561</v>
      </c>
      <c r="GT245" s="422">
        <f t="shared" si="1188"/>
        <v>178603.34361745333</v>
      </c>
      <c r="GU245" s="422">
        <f t="shared" si="1188"/>
        <v>177904.52463189766</v>
      </c>
      <c r="GV245" s="422">
        <f t="shared" si="1188"/>
        <v>177515.92387895039</v>
      </c>
      <c r="GW245" s="422">
        <f t="shared" si="1188"/>
        <v>176806.58330004357</v>
      </c>
      <c r="GX245" s="422">
        <f t="shared" si="1188"/>
        <v>176091.92266679488</v>
      </c>
      <c r="GY245" s="422">
        <f t="shared" si="1188"/>
        <v>182799.16487240975</v>
      </c>
      <c r="GZ245" s="422">
        <f t="shared" si="1188"/>
        <v>182073.74413000172</v>
      </c>
      <c r="HA245" s="422">
        <f t="shared" si="1188"/>
        <v>181342.88273202564</v>
      </c>
      <c r="HB245" s="422">
        <f t="shared" si="1188"/>
        <v>182114.55643606462</v>
      </c>
      <c r="HC245" s="422">
        <f t="shared" si="1188"/>
        <v>181372.69100616529</v>
      </c>
      <c r="HD245" s="422">
        <f t="shared" si="1188"/>
        <v>180625.26158554174</v>
      </c>
      <c r="HE245" s="422">
        <f t="shared" si="1188"/>
        <v>4869203.6483269539</v>
      </c>
      <c r="HF245" s="422">
        <f t="shared" si="1188"/>
        <v>0</v>
      </c>
      <c r="HG245" s="422">
        <f t="shared" si="1188"/>
        <v>0</v>
      </c>
      <c r="HH245" s="422">
        <f t="shared" si="1188"/>
        <v>0</v>
      </c>
      <c r="HI245" s="422" t="n">
        <f t="shared" ref="HI245:JT245" si="1189">+HI244+HI241</f>
        <v>0</v>
      </c>
      <c r="HJ245" s="422">
        <f t="shared" si="1189"/>
        <v>0</v>
      </c>
      <c r="HK245" s="422">
        <f t="shared" si="1189"/>
        <v>0</v>
      </c>
      <c r="HL245" s="422">
        <f t="shared" si="1189"/>
        <v>0</v>
      </c>
      <c r="HM245" s="422">
        <f t="shared" si="1189"/>
        <v>0</v>
      </c>
      <c r="HN245" s="422">
        <f t="shared" si="1189"/>
        <v>0</v>
      </c>
      <c r="HO245" s="422">
        <f t="shared" si="1189"/>
        <v>0</v>
      </c>
      <c r="HP245" s="422">
        <f t="shared" si="1189"/>
        <v>0</v>
      </c>
      <c r="HQ245" s="422">
        <f t="shared" si="1189"/>
        <v>0</v>
      </c>
      <c r="HR245" s="422">
        <f t="shared" si="1189"/>
        <v>0</v>
      </c>
      <c r="HS245" s="422">
        <f t="shared" si="1189"/>
        <v>0</v>
      </c>
      <c r="HT245" s="422">
        <f t="shared" si="1189"/>
        <v>0</v>
      </c>
      <c r="HU245" s="422">
        <f t="shared" si="1189"/>
        <v>0</v>
      </c>
      <c r="HV245" s="422">
        <f t="shared" si="1189"/>
        <v>0</v>
      </c>
      <c r="HW245" s="422">
        <f t="shared" si="1189"/>
        <v>0</v>
      </c>
      <c r="HX245" s="422">
        <f t="shared" si="1189"/>
        <v>0</v>
      </c>
      <c r="HY245" s="422">
        <f t="shared" si="1189"/>
        <v>0</v>
      </c>
      <c r="HZ245" s="422">
        <f t="shared" si="1189"/>
        <v>0</v>
      </c>
      <c r="IA245" s="422">
        <f t="shared" si="1189"/>
        <v>0</v>
      </c>
      <c r="IB245" s="422">
        <f t="shared" si="1189"/>
        <v>0</v>
      </c>
      <c r="IC245" s="422">
        <f t="shared" si="1189"/>
        <v>0</v>
      </c>
      <c r="ID245" s="422">
        <f t="shared" si="1189"/>
        <v>0</v>
      </c>
      <c r="IE245" s="422">
        <f t="shared" si="1189"/>
        <v>0</v>
      </c>
      <c r="IF245" s="422">
        <f t="shared" si="1189"/>
        <v>0</v>
      </c>
      <c r="IG245" s="422">
        <f t="shared" si="1189"/>
        <v>0</v>
      </c>
      <c r="IH245" s="422">
        <f t="shared" si="1189"/>
        <v>0</v>
      </c>
      <c r="II245" s="422">
        <f t="shared" si="1189"/>
        <v>0</v>
      </c>
      <c r="IJ245" s="422">
        <f t="shared" si="1189"/>
        <v>0</v>
      </c>
      <c r="IK245" s="422">
        <f t="shared" si="1189"/>
        <v>0</v>
      </c>
      <c r="IL245" s="422">
        <f t="shared" si="1189"/>
        <v>0</v>
      </c>
      <c r="IM245" s="422">
        <f t="shared" si="1189"/>
        <v>0</v>
      </c>
      <c r="IN245" s="422">
        <f t="shared" si="1189"/>
        <v>0</v>
      </c>
      <c r="IO245" s="422">
        <f t="shared" si="1189"/>
        <v>0</v>
      </c>
      <c r="IP245" s="422">
        <f t="shared" si="1189"/>
        <v>0</v>
      </c>
      <c r="IQ245" s="422">
        <f t="shared" si="1189"/>
        <v>0</v>
      </c>
      <c r="IR245" s="422">
        <f t="shared" si="1189"/>
        <v>0</v>
      </c>
      <c r="IS245" s="422">
        <f t="shared" si="1189"/>
        <v>0</v>
      </c>
      <c r="IT245" s="422">
        <f t="shared" si="1189"/>
        <v>0</v>
      </c>
      <c r="IU245" s="422">
        <f t="shared" si="1189"/>
        <v>0</v>
      </c>
      <c r="IV245" s="422">
        <f t="shared" si="1189"/>
        <v>0</v>
      </c>
      <c r="IW245" s="422">
        <f t="shared" si="1189"/>
        <v>0</v>
      </c>
      <c r="IX245" s="422">
        <f t="shared" si="1189"/>
        <v>0</v>
      </c>
      <c r="IY245" s="422">
        <f t="shared" si="1189"/>
        <v>0</v>
      </c>
      <c r="IZ245" s="422">
        <f t="shared" si="1189"/>
        <v>0</v>
      </c>
      <c r="JA245" s="422">
        <f t="shared" si="1189"/>
        <v>0</v>
      </c>
      <c r="JB245" s="422">
        <f t="shared" si="1189"/>
        <v>0</v>
      </c>
      <c r="JC245" s="422">
        <f t="shared" si="1189"/>
        <v>0</v>
      </c>
      <c r="JD245" s="422">
        <f t="shared" si="1189"/>
        <v>0</v>
      </c>
      <c r="JE245" s="422">
        <f t="shared" si="1189"/>
        <v>0</v>
      </c>
      <c r="JF245" s="422">
        <f t="shared" si="1189"/>
        <v>0</v>
      </c>
      <c r="JG245" s="422">
        <f t="shared" si="1189"/>
        <v>0</v>
      </c>
      <c r="JH245" s="422">
        <f t="shared" si="1189"/>
        <v>0</v>
      </c>
      <c r="JI245" s="422">
        <f t="shared" si="1189"/>
        <v>0</v>
      </c>
      <c r="JJ245" s="422">
        <f t="shared" si="1189"/>
        <v>0</v>
      </c>
      <c r="JK245" s="422">
        <f t="shared" si="1189"/>
        <v>0</v>
      </c>
      <c r="JL245" s="422">
        <f t="shared" si="1189"/>
        <v>0</v>
      </c>
      <c r="JM245" s="422">
        <f t="shared" si="1189"/>
        <v>0</v>
      </c>
      <c r="JN245" s="422">
        <f t="shared" si="1189"/>
        <v>0</v>
      </c>
      <c r="JO245" s="422">
        <f t="shared" si="1189"/>
        <v>0</v>
      </c>
      <c r="JP245" s="422">
        <f t="shared" si="1189"/>
        <v>0</v>
      </c>
      <c r="JQ245" s="422">
        <f t="shared" si="1189"/>
        <v>0</v>
      </c>
      <c r="JR245" s="422">
        <f t="shared" si="1189"/>
        <v>0</v>
      </c>
      <c r="JS245" s="422">
        <f t="shared" si="1189"/>
        <v>0</v>
      </c>
      <c r="JT245" s="422">
        <f t="shared" si="1189"/>
        <v>0</v>
      </c>
      <c r="JU245" s="422" t="n">
        <f>+JU244+JU241</f>
        <v>0</v>
      </c>
      <c r="JV245" s="422" t="n">
        <f>+JV244+JV241</f>
        <v>0</v>
      </c>
      <c r="JW245" s="422" t="n">
        <f>+JW244+JW241</f>
        <v>0</v>
      </c>
      <c r="JX245" s="422" t="n">
        <f>+JX244+JX241</f>
        <v>0</v>
      </c>
      <c r="JZ245" s="263"/>
      <c r="KA245" s="263"/>
      <c r="KB245" s="263"/>
      <c r="KC245" s="263"/>
      <c r="KD245" s="263"/>
      <c r="KE245" s="263"/>
      <c r="KF245" s="263"/>
      <c r="KG245" s="263"/>
      <c r="KH245" s="263"/>
      <c r="KI245" s="263"/>
      <c r="KJ245" s="263"/>
      <c r="KK245" s="263"/>
      <c r="KL245" s="263"/>
      <c r="KM245" s="263"/>
      <c r="KN245" s="263"/>
      <c r="KO245" s="263"/>
      <c r="KP245" s="263"/>
      <c r="KQ245" s="263"/>
      <c r="KR245" s="263"/>
      <c r="KS245" s="263"/>
      <c r="KT245" s="263"/>
      <c r="KU245" s="263"/>
      <c r="KV245" s="263"/>
      <c r="KW245" s="263"/>
      <c r="KX245" s="263"/>
      <c r="KY245" s="263"/>
      <c r="KZ245" s="263"/>
      <c r="LA245" s="263"/>
      <c r="LB245" s="263"/>
      <c r="LC245" s="263"/>
      <c r="LD245" s="263"/>
      <c r="LE245" s="263"/>
      <c r="LF245" s="263"/>
      <c r="LG245" s="263"/>
      <c r="LH245" s="263"/>
      <c r="LI245" s="263"/>
      <c r="LJ245" s="263"/>
      <c r="LK245" s="263"/>
      <c r="LL245" s="263"/>
      <c r="LM245" s="263"/>
      <c r="LN245" s="263"/>
      <c r="LO245" s="263"/>
      <c r="LP245" s="263"/>
      <c r="LQ245" s="263"/>
      <c r="LR245" s="263"/>
      <c r="LS245" s="263"/>
      <c r="LT245" s="263"/>
      <c r="LU245" s="263"/>
      <c r="LV245" s="263"/>
      <c r="LW245" s="263"/>
      <c r="LX245" s="263"/>
      <c r="LY245" s="263"/>
      <c r="LZ245" s="263"/>
      <c r="MA245" s="263"/>
      <c r="MB245" s="263"/>
      <c r="MC245" s="263"/>
      <c r="MD245" s="263"/>
      <c r="ME245" s="263"/>
      <c r="MF245" s="263"/>
      <c r="MG245" s="263"/>
      <c r="MH245" s="263"/>
      <c r="MI245" s="263"/>
      <c r="MJ245" s="263"/>
      <c r="MK245" s="263"/>
      <c r="ML245" s="263"/>
      <c r="MM245" s="263"/>
      <c r="MN245" s="263"/>
      <c r="MO245" s="263"/>
      <c r="MP245" s="263"/>
      <c r="MQ245" s="263"/>
      <c r="MR245" s="263"/>
      <c r="MS245" s="263"/>
      <c r="MT245" s="263"/>
      <c r="MU245" s="263"/>
      <c r="MV245" s="263"/>
      <c r="MW245" s="263"/>
      <c r="MX245" s="263"/>
      <c r="MY245" s="263"/>
      <c r="MZ245" s="263"/>
      <c r="NA245" s="263"/>
      <c r="NB245" s="263"/>
      <c r="NC245" s="263"/>
      <c r="ND245" s="263"/>
      <c r="NE245" s="263"/>
      <c r="NF245" s="263"/>
      <c r="NG245" s="263"/>
      <c r="NH245" s="263"/>
      <c r="NI245" s="263"/>
      <c r="NJ245" s="263"/>
      <c r="NK245" s="263"/>
      <c r="NL245" s="263"/>
      <c r="NM245" s="263"/>
      <c r="NN245" s="263"/>
      <c r="NO245" s="263"/>
      <c r="NP245" s="263"/>
      <c r="NQ245" s="263"/>
      <c r="NR245" s="263"/>
      <c r="NS245" s="263"/>
      <c r="NT245" s="263"/>
      <c r="NU245" s="263"/>
      <c r="NV245" s="263"/>
      <c r="NW245" s="263"/>
      <c r="NX245" s="263"/>
      <c r="NY245" s="263"/>
      <c r="NZ245" s="263"/>
      <c r="OA245" s="263"/>
      <c r="OB245" s="263"/>
      <c r="OC245" s="263"/>
      <c r="OD245" s="263"/>
      <c r="OE245" s="263"/>
      <c r="OF245" s="263"/>
      <c r="OG245" s="263"/>
      <c r="OH245" s="263"/>
      <c r="OI245" s="263"/>
      <c r="OJ245" s="263"/>
      <c r="OK245" s="263"/>
      <c r="OL245" s="263"/>
      <c r="OM245" s="263"/>
      <c r="ON245" s="263"/>
      <c r="OO245" s="263"/>
      <c r="OP245" s="263"/>
      <c r="OQ245" s="263"/>
      <c r="OR245" s="263"/>
      <c r="OS245" s="263"/>
      <c r="OT245" s="263"/>
      <c r="OU245" s="263"/>
      <c r="OV245" s="263"/>
      <c r="OW245" s="263"/>
      <c r="OX245" s="263"/>
      <c r="OY245" s="263"/>
      <c r="OZ245" s="263"/>
      <c r="PA245" s="263"/>
      <c r="PB245" s="263"/>
      <c r="PC245" s="263"/>
      <c r="PD245" s="263"/>
      <c r="PE245" s="263"/>
      <c r="PF245" s="263"/>
      <c r="PG245" s="263"/>
      <c r="PH245" s="263"/>
    </row>
    <row r="246">
      <c r="B246" s="557" t="s">
        <v>153</v>
      </c>
      <c r="C246" s="558"/>
      <c r="D246" s="558"/>
      <c r="E246" s="558"/>
      <c r="F246" s="559" t="n">
        <f>IFERROR(SUMIF($M246:$BU246,"&gt;0",$M246:$BU246)/-SUMIF($M246:$BU246,"&lt;0",$M246:$BU246),0)</f>
        <v>9.69277247161251</v>
      </c>
      <c r="G246" s="90" t="n">
        <f>IFERROR(XIRR($M246:$BU246,$M$195:$BU$195,2%),0)</f>
        <v>0.9223012260126724</v>
      </c>
      <c r="H246" s="560" t="n">
        <f>I246/$I$246</f>
        <v>1</v>
      </c>
      <c r="I246" s="561" t="n">
        <f>SUM(I244:I245)</f>
        <v>881073828.9584935</v>
      </c>
      <c r="J246" s="545"/>
      <c r="K246" s="546"/>
      <c r="L246" s="562" t="str">
        <f t="shared" ref="L246:AQ246" si="1190">IF(L$227="","",SUM(L244:L245))</f>
      </c>
      <c r="M246" s="562">
        <f t="shared" si="1190"/>
        <v>413948.37929137197</v>
      </c>
      <c r="N246" s="562">
        <f t="shared" si="1190"/>
        <v>142737.98220339679</v>
      </c>
      <c r="O246" s="562">
        <f t="shared" si="1190"/>
        <v>-244595.09859436523</v>
      </c>
      <c r="P246" s="562">
        <f t="shared" si="1190"/>
        <v>-781231.92888711998</v>
      </c>
      <c r="Q246" s="562">
        <f t="shared" si="1190"/>
        <v>-1616404.3057297477</v>
      </c>
      <c r="R246" s="562">
        <f t="shared" si="1190"/>
        <v>-1855172.6038037571</v>
      </c>
      <c r="S246" s="562">
        <f t="shared" si="1190"/>
        <v>-3036761.4778166781</v>
      </c>
      <c r="T246" s="562">
        <f t="shared" si="1190"/>
        <v>-4475672.1026817523</v>
      </c>
      <c r="U246" s="562">
        <f t="shared" si="1190"/>
        <v>-6167178.0251177372</v>
      </c>
      <c r="V246" s="562">
        <f t="shared" si="1190"/>
        <v>-8082772.9142263671</v>
      </c>
      <c r="W246" s="562">
        <f t="shared" si="1190"/>
        <v>-10166833.183075439</v>
      </c>
      <c r="X246" s="562">
        <f t="shared" si="1190"/>
        <v>-12336315.391972035</v>
      </c>
      <c r="Y246" s="562">
        <f t="shared" si="1190"/>
        <v>-14484287.493165774</v>
      </c>
      <c r="Z246" s="562">
        <f t="shared" si="1190"/>
        <v>-16487519.239411835</v>
      </c>
      <c r="AA246" s="562">
        <f t="shared" si="1190"/>
        <v>-18217610.643105783</v>
      </c>
      <c r="AB246" s="562">
        <f t="shared" si="1190"/>
        <v>-3404701.9096873724</v>
      </c>
      <c r="AC246" s="562">
        <f t="shared" si="1190"/>
        <v>853119.55281024228</v>
      </c>
      <c r="AD246" s="562">
        <f t="shared" si="1190"/>
        <v>3665053.5541383428</v>
      </c>
      <c r="AE246" s="562">
        <f t="shared" si="1190"/>
        <v>3410662.1015776722</v>
      </c>
      <c r="AF246" s="562">
        <f t="shared" si="1190"/>
        <v>3247961.4392093075</v>
      </c>
      <c r="AG246" s="562">
        <f t="shared" si="1190"/>
        <v>3879141.5832031192</v>
      </c>
      <c r="AH246" s="562">
        <f t="shared" si="1190"/>
        <v>3730403.2008891301</v>
      </c>
      <c r="AI246" s="562">
        <f t="shared" si="1190"/>
        <v>3593524.9150274647</v>
      </c>
      <c r="AJ246" s="562">
        <f t="shared" si="1190"/>
        <v>3776172.9559091972</v>
      </c>
      <c r="AK246" s="562">
        <f t="shared" si="1190"/>
        <v>3668480.4053410282</v>
      </c>
      <c r="AL246" s="562">
        <f t="shared" si="1190"/>
        <v>3576251.227137384</v>
      </c>
      <c r="AM246" s="562">
        <f t="shared" si="1190"/>
        <v>3687043.5329968771</v>
      </c>
      <c r="AN246" s="562">
        <f t="shared" si="1190"/>
        <v>2995370.3668411849</v>
      </c>
      <c r="AO246" s="562">
        <f t="shared" si="1190"/>
        <v>1576563.4029267943</v>
      </c>
      <c r="AP246" s="562">
        <f t="shared" si="1190"/>
        <v>2641225.1199580738</v>
      </c>
      <c r="AQ246" s="562">
        <f t="shared" si="1190"/>
        <v>3037129.1260873023</v>
      </c>
      <c r="AR246" s="562" t="n">
        <f t="shared" ref="AR246:BW246" si="1191">IF(AR$227="","",SUM(AR244:AR245))</f>
        <v>3331940.029857875</v>
      </c>
      <c r="AS246" s="562">
        <f t="shared" si="1191"/>
        <v>3543075.2003101264</v>
      </c>
      <c r="AT246" s="562">
        <f t="shared" si="1191"/>
        <v>3941015.5223757271</v>
      </c>
      <c r="AU246" s="562">
        <f t="shared" si="1191"/>
        <v>4033678.1277150894</v>
      </c>
      <c r="AV246" s="562">
        <f t="shared" si="1191"/>
        <v>4101932.8264588998</v>
      </c>
      <c r="AW246" s="562">
        <f t="shared" si="1191"/>
        <v>3678495.6694553462</v>
      </c>
      <c r="AX246" s="562">
        <f t="shared" si="1191"/>
        <v>3665813.0495049832</v>
      </c>
      <c r="AY246" s="562">
        <f t="shared" si="1191"/>
        <v>3653035.3099049935</v>
      </c>
      <c r="AZ246" s="562">
        <f t="shared" si="1191"/>
        <v>3646481.5132933473</v>
      </c>
      <c r="BA246" s="562">
        <f t="shared" si="1191"/>
        <v>3633511.3888515048</v>
      </c>
      <c r="BB246" s="562">
        <f t="shared" si="1191"/>
        <v>3620443.988476349</v>
      </c>
      <c r="BC246" s="562">
        <f t="shared" si="1191"/>
        <v>3771400.5906808469</v>
      </c>
      <c r="BD246" s="213">
        <f t="shared" si="1191"/>
        <v>3758136.4442587923</v>
      </c>
      <c r="BE246" s="213">
        <f t="shared" si="1191"/>
        <v>3744772.8167385729</v>
      </c>
      <c r="BF246" s="213">
        <f t="shared" si="1191"/>
        <v>3760449.378678618</v>
      </c>
      <c r="BG246" s="213">
        <f t="shared" si="1191"/>
        <v>3746884.5450415472</v>
      </c>
      <c r="BH246" s="213">
        <f t="shared" si="1191"/>
        <v>3733217.9751521973</v>
      </c>
      <c r="BI246" s="213">
        <f t="shared" si="1191"/>
        <v>3725525.3932928452</v>
      </c>
      <c r="BJ246" s="213">
        <f t="shared" si="1191"/>
        <v>3711653.0561105991</v>
      </c>
      <c r="BK246" s="213">
        <f t="shared" si="1191"/>
        <v>3697676.6763994871</v>
      </c>
      <c r="BL246" s="213">
        <f t="shared" si="1191"/>
        <v>3689904.6613405412</v>
      </c>
      <c r="BM246" s="213">
        <f t="shared" si="1191"/>
        <v>3675717.8497624025</v>
      </c>
      <c r="BN246" s="213">
        <f t="shared" si="1191"/>
        <v>3661424.637097429</v>
      </c>
      <c r="BO246" s="213">
        <f t="shared" si="1191"/>
        <v>3795569.4812097289</v>
      </c>
      <c r="BP246" s="213">
        <f t="shared" si="1191"/>
        <v>3781061.0663615679</v>
      </c>
      <c r="BQ246" s="213">
        <f t="shared" si="1191"/>
        <v>3766443.8384020459</v>
      </c>
      <c r="BR246" s="213">
        <f t="shared" si="1191"/>
        <v>3781877.3124828264</v>
      </c>
      <c r="BS246" s="213">
        <f t="shared" si="1191"/>
        <v>3767040.0038848389</v>
      </c>
      <c r="BT246" s="213">
        <f t="shared" si="1191"/>
        <v>3752091.4154723659</v>
      </c>
      <c r="BU246" s="213">
        <f t="shared" si="1191"/>
        <v>826365826.66164994</v>
      </c>
      <c r="BV246" s="213" t="str">
        <f t="shared" si="1191"/>
      </c>
      <c r="BW246" s="213" t="str">
        <f t="shared" si="1191"/>
      </c>
      <c r="BX246" s="213" t="str">
        <f t="shared" ref="BX246:DC246" si="1192">IF(BX$227="","",SUM(BX244:BX245))</f>
      </c>
      <c r="BY246" s="213" t="str">
        <f t="shared" si="1192"/>
      </c>
      <c r="BZ246" s="213" t="str">
        <f t="shared" si="1192"/>
      </c>
      <c r="CA246" s="213" t="str">
        <f t="shared" si="1192"/>
      </c>
      <c r="CB246" s="213" t="str">
        <f t="shared" si="1192"/>
      </c>
      <c r="CC246" s="213" t="str">
        <f t="shared" si="1192"/>
      </c>
      <c r="CD246" s="213" t="str">
        <f t="shared" si="1192"/>
      </c>
      <c r="CE246" s="213" t="str">
        <f t="shared" si="1192"/>
      </c>
      <c r="CF246" s="213" t="str">
        <f t="shared" si="1192"/>
      </c>
      <c r="CG246" s="213" t="str">
        <f t="shared" si="1192"/>
      </c>
      <c r="CH246" s="213" t="str">
        <f t="shared" si="1192"/>
      </c>
      <c r="CI246" s="213" t="str">
        <f t="shared" si="1192"/>
      </c>
      <c r="CJ246" s="213" t="str">
        <f t="shared" si="1192"/>
      </c>
      <c r="CK246" s="213" t="str">
        <f t="shared" si="1192"/>
      </c>
      <c r="CL246" s="213" t="str">
        <f t="shared" si="1192"/>
      </c>
      <c r="CM246" s="213" t="str">
        <f t="shared" si="1192"/>
      </c>
      <c r="CN246" s="213" t="str">
        <f t="shared" si="1192"/>
      </c>
      <c r="CO246" s="213" t="str">
        <f t="shared" si="1192"/>
      </c>
      <c r="CP246" s="213" t="str">
        <f t="shared" si="1192"/>
      </c>
      <c r="CQ246" s="213" t="str">
        <f t="shared" si="1192"/>
      </c>
      <c r="CR246" s="213" t="str">
        <f t="shared" si="1192"/>
      </c>
      <c r="CS246" s="213" t="str">
        <f t="shared" si="1192"/>
      </c>
      <c r="CT246" s="213" t="str">
        <f t="shared" si="1192"/>
      </c>
      <c r="CU246" s="213" t="str">
        <f t="shared" si="1192"/>
      </c>
      <c r="CV246" s="213" t="str">
        <f t="shared" si="1192"/>
      </c>
      <c r="CW246" s="213" t="str">
        <f t="shared" si="1192"/>
      </c>
      <c r="CX246" s="213" t="str">
        <f t="shared" si="1192"/>
      </c>
      <c r="CY246" s="213" t="str">
        <f t="shared" si="1192"/>
      </c>
      <c r="CZ246" s="213" t="str">
        <f t="shared" si="1192"/>
      </c>
      <c r="DA246" s="213" t="str">
        <f t="shared" si="1192"/>
      </c>
      <c r="DB246" s="213" t="str">
        <f t="shared" si="1192"/>
      </c>
      <c r="DC246" s="213" t="str">
        <f t="shared" si="1192"/>
      </c>
      <c r="DD246" s="213" t="str">
        <f t="shared" ref="DD246:EI246" si="1193">IF(DD$227="","",SUM(DD244:DD245))</f>
      </c>
      <c r="DE246" s="213" t="str">
        <f t="shared" si="1193"/>
      </c>
      <c r="DF246" s="213" t="str">
        <f t="shared" si="1193"/>
      </c>
      <c r="DG246" s="213" t="str">
        <f t="shared" si="1193"/>
      </c>
      <c r="DH246" s="213" t="str">
        <f t="shared" si="1193"/>
      </c>
      <c r="DI246" s="213" t="str">
        <f t="shared" si="1193"/>
      </c>
      <c r="DJ246" s="213" t="str">
        <f t="shared" si="1193"/>
      </c>
      <c r="DK246" s="213" t="str">
        <f t="shared" si="1193"/>
      </c>
      <c r="DL246" s="213" t="str">
        <f t="shared" si="1193"/>
      </c>
      <c r="DM246" s="213" t="str">
        <f t="shared" si="1193"/>
      </c>
      <c r="DN246" s="213" t="str">
        <f t="shared" si="1193"/>
      </c>
      <c r="DO246" s="213" t="str">
        <f t="shared" si="1193"/>
      </c>
      <c r="DP246" s="213" t="str">
        <f t="shared" si="1193"/>
      </c>
      <c r="DQ246" s="213" t="str">
        <f t="shared" si="1193"/>
      </c>
      <c r="DR246" s="213" t="str">
        <f t="shared" si="1193"/>
      </c>
      <c r="DS246" s="213" t="str">
        <f t="shared" si="1193"/>
      </c>
      <c r="DT246" s="213" t="str">
        <f t="shared" si="1193"/>
      </c>
      <c r="DU246" s="213" t="str">
        <f t="shared" si="1193"/>
      </c>
      <c r="DV246" s="213" t="str">
        <f t="shared" si="1193"/>
      </c>
      <c r="DW246" s="213" t="str">
        <f t="shared" si="1193"/>
      </c>
      <c r="DX246" s="213" t="str">
        <f t="shared" si="1193"/>
      </c>
      <c r="DY246" s="213" t="str">
        <f t="shared" si="1193"/>
      </c>
      <c r="DZ246" s="213" t="str">
        <f t="shared" si="1193"/>
      </c>
      <c r="EA246" s="213" t="str">
        <f t="shared" si="1193"/>
      </c>
      <c r="EB246" s="213" t="str">
        <f t="shared" si="1193"/>
      </c>
      <c r="EC246" s="213" t="str">
        <f t="shared" si="1193"/>
      </c>
      <c r="ED246" s="213" t="str">
        <f t="shared" si="1193"/>
      </c>
      <c r="EE246" s="213" t="str">
        <f t="shared" si="1193"/>
      </c>
      <c r="EF246" s="213" t="str">
        <f t="shared" si="1193"/>
      </c>
      <c r="EG246" s="213" t="str">
        <f t="shared" si="1193"/>
      </c>
      <c r="EH246" s="213" t="str">
        <f t="shared" si="1193"/>
      </c>
      <c r="EI246" s="213" t="str">
        <f t="shared" si="1193"/>
      </c>
      <c r="EJ246" s="213" t="str">
        <f>IF(EJ$227="","",SUM(EJ244:EJ245))</f>
      </c>
      <c r="EK246" s="213" t="str">
        <f>IF(EK$227="","",SUM(EK244:EK245))</f>
      </c>
      <c r="EL246" s="213" t="str">
        <f>IF(EL$227="","",SUM(EL244:EL245))</f>
      </c>
      <c r="EM246" s="213" t="str">
        <f>IF(EM$227="","",SUM(EM244:EM245))</f>
      </c>
      <c r="EN246" s="213" t="str">
        <f>IF(EN$227="","",SUM(EN244:EN245))</f>
      </c>
      <c r="EO246" s="546"/>
      <c r="EP246" s="538"/>
      <c r="EQ246" s="539"/>
      <c r="ER246" s="539"/>
      <c r="ES246" s="539"/>
      <c r="ET246" s="539" t="s">
        <v>392</v>
      </c>
      <c r="EU246" s="539"/>
      <c r="EV246" s="540" t="n">
        <f>IF(L244="",0,MAX(EV236-EV245,0))</f>
        <v>0</v>
      </c>
      <c r="EW246" s="540" t="n">
        <f t="shared" ref="EW246:GA246" si="1194">IF(M244="",0,MAX(EW236-EW245,0))</f>
        <v>0</v>
      </c>
      <c r="EX246" s="540">
        <f t="shared" si="1194"/>
        <v>9.0949470177292824E-13</v>
      </c>
      <c r="EY246" s="540">
        <f t="shared" si="1194"/>
        <v>0</v>
      </c>
      <c r="EZ246" s="540">
        <f t="shared" si="1194"/>
        <v>0</v>
      </c>
      <c r="FA246" s="540">
        <f t="shared" si="1194"/>
        <v>0</v>
      </c>
      <c r="FB246" s="540">
        <f t="shared" si="1194"/>
        <v>0</v>
      </c>
      <c r="FC246" s="540">
        <f t="shared" si="1194"/>
        <v>0</v>
      </c>
      <c r="FD246" s="540">
        <f t="shared" si="1194"/>
        <v>0</v>
      </c>
      <c r="FE246" s="540">
        <f t="shared" si="1194"/>
        <v>0</v>
      </c>
      <c r="FF246" s="540">
        <f t="shared" si="1194"/>
        <v>0</v>
      </c>
      <c r="FG246" s="540">
        <f t="shared" si="1194"/>
        <v>0</v>
      </c>
      <c r="FH246" s="540">
        <f t="shared" si="1194"/>
        <v>0</v>
      </c>
      <c r="FI246" s="540">
        <f t="shared" si="1194"/>
        <v>0</v>
      </c>
      <c r="FJ246" s="540">
        <f t="shared" si="1194"/>
        <v>0</v>
      </c>
      <c r="FK246" s="540">
        <f t="shared" si="1194"/>
        <v>0</v>
      </c>
      <c r="FL246" s="540">
        <f t="shared" si="1194"/>
        <v>0</v>
      </c>
      <c r="FM246" s="540">
        <f t="shared" si="1194"/>
        <v>0</v>
      </c>
      <c r="FN246" s="540">
        <f t="shared" si="1194"/>
        <v>0</v>
      </c>
      <c r="FO246" s="540">
        <f t="shared" si="1194"/>
        <v>0</v>
      </c>
      <c r="FP246" s="540">
        <f t="shared" si="1194"/>
        <v>2.9103830456733704E-11</v>
      </c>
      <c r="FQ246" s="540">
        <f t="shared" si="1194"/>
        <v>0</v>
      </c>
      <c r="FR246" s="540">
        <f t="shared" si="1194"/>
        <v>0</v>
      </c>
      <c r="FS246" s="540">
        <f t="shared" si="1194"/>
        <v>0</v>
      </c>
      <c r="FT246" s="540">
        <f t="shared" si="1194"/>
        <v>0</v>
      </c>
      <c r="FU246" s="540">
        <f t="shared" si="1194"/>
        <v>0</v>
      </c>
      <c r="FV246" s="540">
        <f t="shared" si="1194"/>
        <v>0</v>
      </c>
      <c r="FW246" s="540">
        <f t="shared" si="1194"/>
        <v>0</v>
      </c>
      <c r="FX246" s="540">
        <f t="shared" si="1194"/>
        <v>2.9103830456733704E-11</v>
      </c>
      <c r="FY246" s="540">
        <f t="shared" si="1194"/>
        <v>0</v>
      </c>
      <c r="FZ246" s="540">
        <f t="shared" si="1194"/>
        <v>0</v>
      </c>
      <c r="GA246" s="540">
        <f t="shared" si="1194"/>
        <v>0</v>
      </c>
      <c r="GB246" s="540" t="n">
        <f t="shared" ref="GB246:HG246" si="1195">IF(AR244="",0,MAX(GB236-GB245,0))</f>
        <v>0</v>
      </c>
      <c r="GC246" s="540">
        <f t="shared" si="1195"/>
        <v>0</v>
      </c>
      <c r="GD246" s="540">
        <f t="shared" si="1195"/>
        <v>0</v>
      </c>
      <c r="GE246" s="540">
        <f t="shared" si="1195"/>
        <v>2.9103830456733704E-11</v>
      </c>
      <c r="GF246" s="540">
        <f t="shared" si="1195"/>
        <v>0</v>
      </c>
      <c r="GG246" s="540">
        <f t="shared" si="1195"/>
        <v>0</v>
      </c>
      <c r="GH246" s="540">
        <f t="shared" si="1195"/>
        <v>0</v>
      </c>
      <c r="GI246" s="540">
        <f t="shared" si="1195"/>
        <v>0</v>
      </c>
      <c r="GJ246" s="540">
        <f t="shared" si="1195"/>
        <v>2.9103830456733704E-11</v>
      </c>
      <c r="GK246" s="540">
        <f t="shared" si="1195"/>
        <v>0</v>
      </c>
      <c r="GL246" s="540">
        <f t="shared" si="1195"/>
        <v>2.9103830456733704E-11</v>
      </c>
      <c r="GM246" s="540">
        <f t="shared" si="1195"/>
        <v>2.9103830456733704E-11</v>
      </c>
      <c r="GN246" s="540">
        <f t="shared" si="1195"/>
        <v>0</v>
      </c>
      <c r="GO246" s="540">
        <f t="shared" si="1195"/>
        <v>0</v>
      </c>
      <c r="GP246" s="540">
        <f t="shared" si="1195"/>
        <v>0</v>
      </c>
      <c r="GQ246" s="540">
        <f t="shared" si="1195"/>
        <v>0</v>
      </c>
      <c r="GR246" s="540">
        <f t="shared" si="1195"/>
        <v>0</v>
      </c>
      <c r="GS246" s="540">
        <f t="shared" si="1195"/>
        <v>0</v>
      </c>
      <c r="GT246" s="540">
        <f t="shared" si="1195"/>
        <v>0</v>
      </c>
      <c r="GU246" s="540">
        <f t="shared" si="1195"/>
        <v>0</v>
      </c>
      <c r="GV246" s="540">
        <f t="shared" si="1195"/>
        <v>0</v>
      </c>
      <c r="GW246" s="540">
        <f t="shared" si="1195"/>
        <v>0</v>
      </c>
      <c r="GX246" s="540">
        <f t="shared" si="1195"/>
        <v>0</v>
      </c>
      <c r="GY246" s="540">
        <f t="shared" si="1195"/>
        <v>0</v>
      </c>
      <c r="GZ246" s="540">
        <f t="shared" si="1195"/>
        <v>0</v>
      </c>
      <c r="HA246" s="540">
        <f t="shared" si="1195"/>
        <v>2.9103830456733704E-11</v>
      </c>
      <c r="HB246" s="540">
        <f t="shared" si="1195"/>
        <v>0</v>
      </c>
      <c r="HC246" s="540">
        <f t="shared" si="1195"/>
        <v>2.9103830456733704E-11</v>
      </c>
      <c r="HD246" s="540">
        <f t="shared" si="1195"/>
        <v>0</v>
      </c>
      <c r="HE246" s="540">
        <f t="shared" si="1195"/>
        <v>301734665.27779084</v>
      </c>
      <c r="HF246" s="540">
        <f t="shared" si="1195"/>
        <v>0</v>
      </c>
      <c r="HG246" s="540">
        <f t="shared" si="1195"/>
        <v>0</v>
      </c>
      <c r="HH246" s="540" t="n">
        <f t="shared" ref="HH246:IM246" si="1196">IF(BX244="",0,MAX(HH236-HH245,0))</f>
        <v>0</v>
      </c>
      <c r="HI246" s="540">
        <f t="shared" si="1196"/>
        <v>0</v>
      </c>
      <c r="HJ246" s="540">
        <f t="shared" si="1196"/>
        <v>0</v>
      </c>
      <c r="HK246" s="540">
        <f t="shared" si="1196"/>
        <v>0</v>
      </c>
      <c r="HL246" s="540">
        <f t="shared" si="1196"/>
        <v>0</v>
      </c>
      <c r="HM246" s="540">
        <f t="shared" si="1196"/>
        <v>0</v>
      </c>
      <c r="HN246" s="540">
        <f t="shared" si="1196"/>
        <v>0</v>
      </c>
      <c r="HO246" s="540">
        <f t="shared" si="1196"/>
        <v>0</v>
      </c>
      <c r="HP246" s="540">
        <f t="shared" si="1196"/>
        <v>0</v>
      </c>
      <c r="HQ246" s="540">
        <f t="shared" si="1196"/>
        <v>0</v>
      </c>
      <c r="HR246" s="540">
        <f t="shared" si="1196"/>
        <v>0</v>
      </c>
      <c r="HS246" s="540">
        <f t="shared" si="1196"/>
        <v>0</v>
      </c>
      <c r="HT246" s="540">
        <f t="shared" si="1196"/>
        <v>0</v>
      </c>
      <c r="HU246" s="540">
        <f t="shared" si="1196"/>
        <v>0</v>
      </c>
      <c r="HV246" s="540">
        <f t="shared" si="1196"/>
        <v>0</v>
      </c>
      <c r="HW246" s="540">
        <f t="shared" si="1196"/>
        <v>0</v>
      </c>
      <c r="HX246" s="540">
        <f t="shared" si="1196"/>
        <v>0</v>
      </c>
      <c r="HY246" s="540">
        <f t="shared" si="1196"/>
        <v>0</v>
      </c>
      <c r="HZ246" s="540">
        <f t="shared" si="1196"/>
        <v>0</v>
      </c>
      <c r="IA246" s="540">
        <f t="shared" si="1196"/>
        <v>0</v>
      </c>
      <c r="IB246" s="540">
        <f t="shared" si="1196"/>
        <v>0</v>
      </c>
      <c r="IC246" s="540">
        <f t="shared" si="1196"/>
        <v>0</v>
      </c>
      <c r="ID246" s="540">
        <f t="shared" si="1196"/>
        <v>0</v>
      </c>
      <c r="IE246" s="540">
        <f t="shared" si="1196"/>
        <v>0</v>
      </c>
      <c r="IF246" s="540">
        <f t="shared" si="1196"/>
        <v>0</v>
      </c>
      <c r="IG246" s="540">
        <f t="shared" si="1196"/>
        <v>0</v>
      </c>
      <c r="IH246" s="540">
        <f t="shared" si="1196"/>
        <v>0</v>
      </c>
      <c r="II246" s="540">
        <f t="shared" si="1196"/>
        <v>0</v>
      </c>
      <c r="IJ246" s="540">
        <f t="shared" si="1196"/>
        <v>0</v>
      </c>
      <c r="IK246" s="540">
        <f t="shared" si="1196"/>
        <v>0</v>
      </c>
      <c r="IL246" s="540">
        <f t="shared" si="1196"/>
        <v>0</v>
      </c>
      <c r="IM246" s="540">
        <f t="shared" si="1196"/>
        <v>0</v>
      </c>
      <c r="IN246" s="540" t="n">
        <f t="shared" ref="IN246:JS246" si="1197">IF(DD244="",0,MAX(IN236-IN245,0))</f>
        <v>0</v>
      </c>
      <c r="IO246" s="540">
        <f t="shared" si="1197"/>
        <v>0</v>
      </c>
      <c r="IP246" s="540">
        <f t="shared" si="1197"/>
        <v>0</v>
      </c>
      <c r="IQ246" s="540">
        <f t="shared" si="1197"/>
        <v>0</v>
      </c>
      <c r="IR246" s="540">
        <f t="shared" si="1197"/>
        <v>0</v>
      </c>
      <c r="IS246" s="540">
        <f t="shared" si="1197"/>
        <v>0</v>
      </c>
      <c r="IT246" s="540">
        <f t="shared" si="1197"/>
        <v>0</v>
      </c>
      <c r="IU246" s="540">
        <f t="shared" si="1197"/>
        <v>0</v>
      </c>
      <c r="IV246" s="540">
        <f t="shared" si="1197"/>
        <v>0</v>
      </c>
      <c r="IW246" s="540">
        <f t="shared" si="1197"/>
        <v>0</v>
      </c>
      <c r="IX246" s="540">
        <f t="shared" si="1197"/>
        <v>0</v>
      </c>
      <c r="IY246" s="540">
        <f t="shared" si="1197"/>
        <v>0</v>
      </c>
      <c r="IZ246" s="540">
        <f t="shared" si="1197"/>
        <v>0</v>
      </c>
      <c r="JA246" s="540">
        <f t="shared" si="1197"/>
        <v>0</v>
      </c>
      <c r="JB246" s="540">
        <f t="shared" si="1197"/>
        <v>0</v>
      </c>
      <c r="JC246" s="540">
        <f t="shared" si="1197"/>
        <v>0</v>
      </c>
      <c r="JD246" s="540">
        <f t="shared" si="1197"/>
        <v>0</v>
      </c>
      <c r="JE246" s="540">
        <f t="shared" si="1197"/>
        <v>0</v>
      </c>
      <c r="JF246" s="540">
        <f t="shared" si="1197"/>
        <v>0</v>
      </c>
      <c r="JG246" s="540">
        <f t="shared" si="1197"/>
        <v>0</v>
      </c>
      <c r="JH246" s="540">
        <f t="shared" si="1197"/>
        <v>0</v>
      </c>
      <c r="JI246" s="540">
        <f t="shared" si="1197"/>
        <v>0</v>
      </c>
      <c r="JJ246" s="540">
        <f t="shared" si="1197"/>
        <v>0</v>
      </c>
      <c r="JK246" s="540">
        <f t="shared" si="1197"/>
        <v>0</v>
      </c>
      <c r="JL246" s="540">
        <f t="shared" si="1197"/>
        <v>0</v>
      </c>
      <c r="JM246" s="540">
        <f t="shared" si="1197"/>
        <v>0</v>
      </c>
      <c r="JN246" s="540">
        <f t="shared" si="1197"/>
        <v>0</v>
      </c>
      <c r="JO246" s="540">
        <f t="shared" si="1197"/>
        <v>0</v>
      </c>
      <c r="JP246" s="540">
        <f t="shared" si="1197"/>
        <v>0</v>
      </c>
      <c r="JQ246" s="540">
        <f t="shared" si="1197"/>
        <v>0</v>
      </c>
      <c r="JR246" s="540">
        <f t="shared" si="1197"/>
        <v>0</v>
      </c>
      <c r="JS246" s="540">
        <f t="shared" si="1197"/>
        <v>0</v>
      </c>
      <c r="JT246" s="540" t="n">
        <f t="shared" ref="JT246:JX246" si="1198">IF(EJ244="",0,MAX(JT236-JT245,0))</f>
        <v>0</v>
      </c>
      <c r="JU246" s="540">
        <f t="shared" si="1198"/>
        <v>0</v>
      </c>
      <c r="JV246" s="540">
        <f t="shared" si="1198"/>
        <v>0</v>
      </c>
      <c r="JW246" s="540">
        <f t="shared" si="1198"/>
        <v>0</v>
      </c>
      <c r="JX246" s="540">
        <f t="shared" si="1198"/>
        <v>0</v>
      </c>
      <c r="JZ246" s="263"/>
      <c r="KA246" s="263"/>
      <c r="KB246" s="263"/>
      <c r="KC246" s="263"/>
      <c r="KD246" s="263"/>
      <c r="KE246" s="263"/>
      <c r="KF246" s="263"/>
      <c r="KG246" s="263"/>
      <c r="KH246" s="263"/>
      <c r="KI246" s="263"/>
      <c r="KJ246" s="263"/>
      <c r="KK246" s="263"/>
      <c r="KL246" s="263"/>
      <c r="KM246" s="263"/>
      <c r="KN246" s="263"/>
      <c r="KO246" s="263"/>
      <c r="KP246" s="263"/>
      <c r="KQ246" s="263"/>
      <c r="KR246" s="263"/>
      <c r="KS246" s="263"/>
      <c r="KT246" s="263"/>
      <c r="KU246" s="263"/>
      <c r="KV246" s="263"/>
      <c r="KW246" s="263"/>
      <c r="KX246" s="263"/>
      <c r="KY246" s="263"/>
      <c r="KZ246" s="263"/>
      <c r="LA246" s="263"/>
      <c r="LB246" s="263"/>
      <c r="LC246" s="263"/>
      <c r="LD246" s="263"/>
      <c r="LE246" s="263"/>
      <c r="LF246" s="263"/>
      <c r="LG246" s="263"/>
      <c r="LH246" s="263"/>
      <c r="LI246" s="263"/>
      <c r="LJ246" s="263"/>
      <c r="LK246" s="263"/>
      <c r="LL246" s="263"/>
      <c r="LM246" s="263"/>
      <c r="LN246" s="263"/>
      <c r="LO246" s="263"/>
      <c r="LP246" s="263"/>
      <c r="LQ246" s="263"/>
      <c r="LR246" s="263"/>
      <c r="LS246" s="263"/>
      <c r="LT246" s="263"/>
      <c r="LU246" s="263"/>
      <c r="LV246" s="263"/>
      <c r="LW246" s="263"/>
      <c r="LX246" s="263"/>
      <c r="LY246" s="263"/>
      <c r="LZ246" s="263"/>
      <c r="MA246" s="263"/>
      <c r="MB246" s="263"/>
      <c r="MC246" s="263"/>
      <c r="MD246" s="263"/>
      <c r="ME246" s="263"/>
      <c r="MF246" s="263"/>
      <c r="MG246" s="263"/>
      <c r="MH246" s="263"/>
      <c r="MI246" s="263"/>
      <c r="MJ246" s="263"/>
      <c r="MK246" s="263"/>
      <c r="ML246" s="263"/>
      <c r="MM246" s="263"/>
      <c r="MN246" s="263"/>
      <c r="MO246" s="263"/>
      <c r="MP246" s="263"/>
      <c r="MQ246" s="263"/>
      <c r="MR246" s="263"/>
      <c r="MS246" s="263"/>
      <c r="MT246" s="263"/>
      <c r="MU246" s="263"/>
      <c r="MV246" s="263"/>
      <c r="MW246" s="263"/>
      <c r="MX246" s="263"/>
      <c r="MY246" s="263"/>
      <c r="MZ246" s="263"/>
      <c r="NA246" s="263"/>
      <c r="NB246" s="263"/>
      <c r="NC246" s="263"/>
      <c r="ND246" s="263"/>
      <c r="NE246" s="263"/>
      <c r="NF246" s="263"/>
      <c r="NG246" s="263"/>
      <c r="NH246" s="263"/>
      <c r="NI246" s="263"/>
      <c r="NJ246" s="263"/>
      <c r="NK246" s="263"/>
      <c r="NL246" s="263"/>
      <c r="NM246" s="263"/>
      <c r="NN246" s="263"/>
      <c r="NO246" s="263"/>
      <c r="NP246" s="263"/>
      <c r="NQ246" s="263"/>
      <c r="NR246" s="263"/>
      <c r="NS246" s="263"/>
      <c r="NT246" s="263"/>
      <c r="NU246" s="263"/>
      <c r="NV246" s="263"/>
      <c r="NW246" s="263"/>
      <c r="NX246" s="263"/>
      <c r="NY246" s="263"/>
      <c r="NZ246" s="263"/>
      <c r="OA246" s="263"/>
      <c r="OB246" s="263"/>
      <c r="OC246" s="263"/>
      <c r="OD246" s="263"/>
      <c r="OE246" s="263"/>
      <c r="OF246" s="263"/>
      <c r="OG246" s="263"/>
      <c r="OH246" s="263"/>
      <c r="OI246" s="263"/>
      <c r="OJ246" s="263"/>
      <c r="OK246" s="263"/>
      <c r="OL246" s="263"/>
      <c r="OM246" s="263"/>
      <c r="ON246" s="263"/>
      <c r="OO246" s="263"/>
      <c r="OP246" s="263"/>
      <c r="OQ246" s="263"/>
      <c r="OR246" s="263"/>
      <c r="OS246" s="263"/>
      <c r="OT246" s="263"/>
      <c r="OU246" s="263"/>
      <c r="OV246" s="263"/>
      <c r="OW246" s="263"/>
      <c r="OX246" s="263"/>
      <c r="OY246" s="263"/>
      <c r="OZ246" s="263"/>
      <c r="PA246" s="263"/>
      <c r="PB246" s="263"/>
      <c r="PC246" s="263"/>
      <c r="PD246" s="263"/>
      <c r="PE246" s="263"/>
      <c r="PF246" s="263"/>
      <c r="PG246" s="263"/>
      <c r="PH246" s="263"/>
    </row>
    <row r="247">
      <c r="B247" s="547" t="s">
        <v>443</v>
      </c>
      <c r="C247" s="547"/>
      <c r="D247" s="547"/>
      <c r="E247" s="547"/>
      <c r="F247" s="547" t="n">
        <f>$G$212</f>
        <v>9.688789923849196</v>
      </c>
      <c r="G247" s="547" t="n">
        <f>$H$212</f>
        <v>0.9214507461435774</v>
      </c>
      <c r="H247" s="547"/>
      <c r="I247" s="547"/>
      <c r="EP247" s="409" t="s">
        <v>393</v>
      </c>
      <c r="EQ247" s="18"/>
      <c r="ER247" s="18"/>
      <c r="ES247" s="18"/>
      <c r="ET247" s="18" t="s">
        <v>436</v>
      </c>
      <c r="EU247" s="18"/>
      <c r="EV247" s="422" t="n">
        <f t="shared" ref="EV247:GA247" si="1199">(EV$197&lt;=Timing_Reversion_Month)*EU251</f>
        <v>0</v>
      </c>
      <c r="EW247" s="422">
        <f t="shared" si="1199"/>
        <v>4134152.6629957748</v>
      </c>
      <c r="EX247" s="422">
        <f t="shared" si="1199"/>
        <v>4153718.2335585565</v>
      </c>
      <c r="EY247" s="422">
        <f t="shared" si="1199"/>
        <v>4186351.9516307344</v>
      </c>
      <c r="EZ247" s="422">
        <f t="shared" si="1199"/>
        <v>4237693.6456342777</v>
      </c>
      <c r="FA247" s="422">
        <f t="shared" si="1199"/>
        <v>4315012.7597800381</v>
      </c>
      <c r="FB247" s="422">
        <f t="shared" si="1199"/>
        <v>4432736.2268898375</v>
      </c>
      <c r="FC247" s="422">
        <f t="shared" si="1199"/>
        <v>4562918.2417610986</v>
      </c>
      <c r="FD247" s="422">
        <f t="shared" si="1199"/>
        <v>4750460.998330893</v>
      </c>
      <c r="FE247" s="422">
        <f t="shared" si="1199"/>
        <v>5008131.5639652507</v>
      </c>
      <c r="FF247" s="422">
        <f t="shared" si="1199"/>
        <v>5348593.6435579592</v>
      </c>
      <c r="FG247" s="422">
        <f t="shared" si="1199"/>
        <v>5783277.0545586608</v>
      </c>
      <c r="FH247" s="422">
        <f t="shared" si="1199"/>
        <v>6321077.9492087774</v>
      </c>
      <c r="FI247" s="422">
        <f t="shared" si="1199"/>
        <v>6967032.3301108498</v>
      </c>
      <c r="FJ247" s="422">
        <f t="shared" si="1199"/>
        <v>7721144.7131851921</v>
      </c>
      <c r="FK247" s="422">
        <f t="shared" si="1199"/>
        <v>8577566.2204586193</v>
      </c>
      <c r="FL247" s="422">
        <f t="shared" si="1199"/>
        <v>9524293.4757547509</v>
      </c>
      <c r="FM247" s="422">
        <f t="shared" si="1199"/>
        <v>9776390.8651045375</v>
      </c>
      <c r="FN247" s="422">
        <f t="shared" si="1199"/>
        <v>9828633.8349125758</v>
      </c>
      <c r="FO247" s="422">
        <f t="shared" si="1199"/>
        <v>9747805.6623803265</v>
      </c>
      <c r="FP247" s="422">
        <f t="shared" si="1199"/>
        <v>9678294.1220522691</v>
      </c>
      <c r="FQ247" s="422">
        <f t="shared" si="1199"/>
        <v>9615851.2825739738</v>
      </c>
      <c r="FR247" s="422">
        <f t="shared" si="1199"/>
        <v>9522834.8790819142</v>
      </c>
      <c r="FS247" s="422">
        <f t="shared" si="1199"/>
        <v>9436000.9353575129</v>
      </c>
      <c r="FT247" s="422">
        <f t="shared" si="1199"/>
        <v>9354844.7608998474</v>
      </c>
      <c r="FU247" s="422">
        <f t="shared" si="1199"/>
        <v>9264242.7303655073</v>
      </c>
      <c r="FV247" s="422">
        <f t="shared" si="1199"/>
        <v>9177896.3920759633</v>
      </c>
      <c r="FW247" s="422">
        <f t="shared" si="1199"/>
        <v>9095111.6172264032</v>
      </c>
      <c r="FX247" s="422">
        <f t="shared" si="1199"/>
        <v>9006278.6802618336</v>
      </c>
      <c r="FY247" s="422">
        <f t="shared" si="1199"/>
        <v>8949457.3013450317</v>
      </c>
      <c r="FZ247" s="422">
        <f t="shared" si="1199"/>
        <v>8959490.0869153645</v>
      </c>
      <c r="GA247" s="422">
        <f t="shared" si="1199"/>
        <v>8919046.6399515457</v>
      </c>
      <c r="GB247" s="422" t="n">
        <f t="shared" ref="GB247:HG247" si="1200">(GB$197&lt;=Timing_Reversion_Month)*GA251</f>
        <v>8859413.993202787</v>
      </c>
      <c r="GC247" s="422">
        <f t="shared" si="1200"/>
        <v>8785211.9866877869</v>
      </c>
      <c r="GD247" s="422">
        <f t="shared" si="1200"/>
        <v>8700276.9721011538</v>
      </c>
      <c r="GE247" s="422">
        <f t="shared" si="1200"/>
        <v>8595633.8614500947</v>
      </c>
      <c r="GF247" s="422">
        <f t="shared" si="1200"/>
        <v>8485596.3402364198</v>
      </c>
      <c r="GG247" s="422">
        <f t="shared" si="1200"/>
        <v>8371272.5975785814</v>
      </c>
      <c r="GH247" s="422">
        <f t="shared" si="1200"/>
        <v>8275977.325556824</v>
      </c>
      <c r="GI247" s="422">
        <f t="shared" si="1200"/>
        <v>8180380.2408788502</v>
      </c>
      <c r="GJ247" s="422">
        <f t="shared" si="1200"/>
        <v>8084482.9978902172</v>
      </c>
      <c r="GK247" s="422">
        <f t="shared" si="1200"/>
        <v>7987987.1111589214</v>
      </c>
      <c r="GL247" s="422">
        <f t="shared" si="1200"/>
        <v>7891191.6758503802</v>
      </c>
      <c r="GM247" s="422">
        <f t="shared" si="1200"/>
        <v>7794098.4702170035</v>
      </c>
      <c r="GN247" s="422">
        <f t="shared" si="1200"/>
        <v>7688913.5286553027</v>
      </c>
      <c r="GO247" s="422">
        <f t="shared" si="1200"/>
        <v>7583360.555918335</v>
      </c>
      <c r="GP247" s="422">
        <f t="shared" si="1200"/>
        <v>7477440.7851866465</v>
      </c>
      <c r="GQ247" s="422">
        <f t="shared" si="1200"/>
        <v>7369771.3269906547</v>
      </c>
      <c r="GR247" s="422">
        <f t="shared" si="1200"/>
        <v>7261724.5451982226</v>
      </c>
      <c r="GS247" s="422">
        <f t="shared" si="1200"/>
        <v>7153301.6919358578</v>
      </c>
      <c r="GT247" s="422">
        <f t="shared" si="1200"/>
        <v>7050845.7780365022</v>
      </c>
      <c r="GU247" s="422">
        <f t="shared" si="1200"/>
        <v>6948076.6172013888</v>
      </c>
      <c r="GV247" s="422">
        <f t="shared" si="1200"/>
        <v>6844996.1791153289</v>
      </c>
      <c r="GW247" s="422">
        <f t="shared" si="1200"/>
        <v>6741306.8028119635</v>
      </c>
      <c r="GX247" s="422">
        <f t="shared" si="1200"/>
        <v>6637307.413037301</v>
      </c>
      <c r="GY247" s="422">
        <f t="shared" si="1200"/>
        <v>6533000.1221893299</v>
      </c>
      <c r="GZ247" s="422">
        <f t="shared" si="1200"/>
        <v>6421331.200961601</v>
      </c>
      <c r="HA247" s="422">
        <f t="shared" si="1200"/>
        <v>6309291.8261684021</v>
      </c>
      <c r="HB247" s="422">
        <f t="shared" si="1200"/>
        <v>6196883.651275347</v>
      </c>
      <c r="HC247" s="422">
        <f t="shared" si="1200"/>
        <v>6082675.7684677411</v>
      </c>
      <c r="HD247" s="422">
        <f t="shared" si="1200"/>
        <v>5968088.9628670802</v>
      </c>
      <c r="HE247" s="422">
        <f t="shared" si="1200"/>
        <v>5853124.9247446321</v>
      </c>
      <c r="HF247" s="422">
        <f t="shared" si="1200"/>
        <v>0</v>
      </c>
      <c r="HG247" s="422">
        <f t="shared" si="1200"/>
        <v>0</v>
      </c>
      <c r="HH247" s="422" t="n">
        <f t="shared" ref="HH247:IM247" si="1201">(HH$197&lt;=Timing_Reversion_Month)*HG251</f>
        <v>0</v>
      </c>
      <c r="HI247" s="422">
        <f t="shared" si="1201"/>
        <v>0</v>
      </c>
      <c r="HJ247" s="422">
        <f t="shared" si="1201"/>
        <v>0</v>
      </c>
      <c r="HK247" s="422">
        <f t="shared" si="1201"/>
        <v>0</v>
      </c>
      <c r="HL247" s="422">
        <f t="shared" si="1201"/>
        <v>0</v>
      </c>
      <c r="HM247" s="422">
        <f t="shared" si="1201"/>
        <v>0</v>
      </c>
      <c r="HN247" s="422">
        <f t="shared" si="1201"/>
        <v>0</v>
      </c>
      <c r="HO247" s="422">
        <f t="shared" si="1201"/>
        <v>0</v>
      </c>
      <c r="HP247" s="422">
        <f t="shared" si="1201"/>
        <v>0</v>
      </c>
      <c r="HQ247" s="422">
        <f t="shared" si="1201"/>
        <v>0</v>
      </c>
      <c r="HR247" s="422">
        <f t="shared" si="1201"/>
        <v>0</v>
      </c>
      <c r="HS247" s="422">
        <f t="shared" si="1201"/>
        <v>0</v>
      </c>
      <c r="HT247" s="422">
        <f t="shared" si="1201"/>
        <v>0</v>
      </c>
      <c r="HU247" s="422">
        <f t="shared" si="1201"/>
        <v>0</v>
      </c>
      <c r="HV247" s="422">
        <f t="shared" si="1201"/>
        <v>0</v>
      </c>
      <c r="HW247" s="422">
        <f t="shared" si="1201"/>
        <v>0</v>
      </c>
      <c r="HX247" s="422">
        <f t="shared" si="1201"/>
        <v>0</v>
      </c>
      <c r="HY247" s="422">
        <f t="shared" si="1201"/>
        <v>0</v>
      </c>
      <c r="HZ247" s="422">
        <f t="shared" si="1201"/>
        <v>0</v>
      </c>
      <c r="IA247" s="422">
        <f t="shared" si="1201"/>
        <v>0</v>
      </c>
      <c r="IB247" s="422">
        <f t="shared" si="1201"/>
        <v>0</v>
      </c>
      <c r="IC247" s="422">
        <f t="shared" si="1201"/>
        <v>0</v>
      </c>
      <c r="ID247" s="422">
        <f t="shared" si="1201"/>
        <v>0</v>
      </c>
      <c r="IE247" s="422">
        <f t="shared" si="1201"/>
        <v>0</v>
      </c>
      <c r="IF247" s="422">
        <f t="shared" si="1201"/>
        <v>0</v>
      </c>
      <c r="IG247" s="422">
        <f t="shared" si="1201"/>
        <v>0</v>
      </c>
      <c r="IH247" s="422">
        <f t="shared" si="1201"/>
        <v>0</v>
      </c>
      <c r="II247" s="422">
        <f t="shared" si="1201"/>
        <v>0</v>
      </c>
      <c r="IJ247" s="422">
        <f t="shared" si="1201"/>
        <v>0</v>
      </c>
      <c r="IK247" s="422">
        <f t="shared" si="1201"/>
        <v>0</v>
      </c>
      <c r="IL247" s="422">
        <f t="shared" si="1201"/>
        <v>0</v>
      </c>
      <c r="IM247" s="422">
        <f t="shared" si="1201"/>
        <v>0</v>
      </c>
      <c r="IN247" s="422" t="n">
        <f t="shared" ref="IN247:JX247" si="1202">(IN$197&lt;=Timing_Reversion_Month)*IM251</f>
        <v>0</v>
      </c>
      <c r="IO247" s="422">
        <f t="shared" si="1202"/>
        <v>0</v>
      </c>
      <c r="IP247" s="422">
        <f t="shared" si="1202"/>
        <v>0</v>
      </c>
      <c r="IQ247" s="422">
        <f t="shared" si="1202"/>
        <v>0</v>
      </c>
      <c r="IR247" s="422">
        <f t="shared" si="1202"/>
        <v>0</v>
      </c>
      <c r="IS247" s="422">
        <f t="shared" si="1202"/>
        <v>0</v>
      </c>
      <c r="IT247" s="422">
        <f t="shared" si="1202"/>
        <v>0</v>
      </c>
      <c r="IU247" s="422">
        <f t="shared" si="1202"/>
        <v>0</v>
      </c>
      <c r="IV247" s="422">
        <f t="shared" si="1202"/>
        <v>0</v>
      </c>
      <c r="IW247" s="422">
        <f t="shared" si="1202"/>
        <v>0</v>
      </c>
      <c r="IX247" s="422">
        <f t="shared" si="1202"/>
        <v>0</v>
      </c>
      <c r="IY247" s="422">
        <f t="shared" si="1202"/>
        <v>0</v>
      </c>
      <c r="IZ247" s="422">
        <f t="shared" si="1202"/>
        <v>0</v>
      </c>
      <c r="JA247" s="422">
        <f t="shared" si="1202"/>
        <v>0</v>
      </c>
      <c r="JB247" s="422">
        <f t="shared" si="1202"/>
        <v>0</v>
      </c>
      <c r="JC247" s="422">
        <f t="shared" si="1202"/>
        <v>0</v>
      </c>
      <c r="JD247" s="422">
        <f t="shared" si="1202"/>
        <v>0</v>
      </c>
      <c r="JE247" s="422">
        <f t="shared" si="1202"/>
        <v>0</v>
      </c>
      <c r="JF247" s="422">
        <f t="shared" si="1202"/>
        <v>0</v>
      </c>
      <c r="JG247" s="422">
        <f t="shared" si="1202"/>
        <v>0</v>
      </c>
      <c r="JH247" s="422">
        <f t="shared" si="1202"/>
        <v>0</v>
      </c>
      <c r="JI247" s="422">
        <f t="shared" si="1202"/>
        <v>0</v>
      </c>
      <c r="JJ247" s="422">
        <f t="shared" si="1202"/>
        <v>0</v>
      </c>
      <c r="JK247" s="422">
        <f t="shared" si="1202"/>
        <v>0</v>
      </c>
      <c r="JL247" s="422">
        <f t="shared" si="1202"/>
        <v>0</v>
      </c>
      <c r="JM247" s="422">
        <f t="shared" si="1202"/>
        <v>0</v>
      </c>
      <c r="JN247" s="422">
        <f t="shared" si="1202"/>
        <v>0</v>
      </c>
      <c r="JO247" s="422">
        <f t="shared" si="1202"/>
        <v>0</v>
      </c>
      <c r="JP247" s="422">
        <f t="shared" si="1202"/>
        <v>0</v>
      </c>
      <c r="JQ247" s="422">
        <f t="shared" si="1202"/>
        <v>0</v>
      </c>
      <c r="JR247" s="422">
        <f t="shared" si="1202"/>
        <v>0</v>
      </c>
      <c r="JS247" s="422">
        <f t="shared" si="1202"/>
        <v>0</v>
      </c>
      <c r="JT247" s="422">
        <f t="shared" si="1202"/>
        <v>0</v>
      </c>
      <c r="JU247" s="422">
        <f t="shared" si="1202"/>
        <v>0</v>
      </c>
      <c r="JV247" s="422">
        <f t="shared" si="1202"/>
        <v>0</v>
      </c>
      <c r="JW247" s="422">
        <f t="shared" si="1202"/>
        <v>0</v>
      </c>
      <c r="JX247" s="422">
        <f t="shared" si="1202"/>
        <v>0</v>
      </c>
      <c r="JZ247" s="263"/>
      <c r="KA247" s="263"/>
      <c r="KB247" s="263"/>
      <c r="KC247" s="263"/>
      <c r="KD247" s="263"/>
      <c r="KE247" s="263"/>
      <c r="KF247" s="263"/>
      <c r="KG247" s="263"/>
      <c r="KH247" s="263"/>
      <c r="KI247" s="263"/>
      <c r="KJ247" s="263"/>
      <c r="KK247" s="263"/>
      <c r="KL247" s="263"/>
      <c r="KM247" s="263"/>
      <c r="KN247" s="263"/>
      <c r="KO247" s="263"/>
      <c r="KP247" s="263"/>
      <c r="KQ247" s="263"/>
      <c r="KR247" s="263"/>
      <c r="KS247" s="263"/>
      <c r="KT247" s="263"/>
      <c r="KU247" s="263"/>
      <c r="KV247" s="263"/>
      <c r="KW247" s="263"/>
      <c r="KX247" s="263"/>
      <c r="KY247" s="263"/>
      <c r="KZ247" s="263"/>
      <c r="LA247" s="263"/>
      <c r="LB247" s="263"/>
      <c r="LC247" s="263"/>
      <c r="LD247" s="263"/>
      <c r="LE247" s="263"/>
      <c r="LF247" s="263"/>
      <c r="LG247" s="263"/>
      <c r="LH247" s="263"/>
      <c r="LI247" s="263"/>
      <c r="LJ247" s="263"/>
      <c r="LK247" s="263"/>
      <c r="LL247" s="263"/>
      <c r="LM247" s="263"/>
      <c r="LN247" s="263"/>
      <c r="LO247" s="263"/>
      <c r="LP247" s="263"/>
      <c r="LQ247" s="263"/>
      <c r="LR247" s="263"/>
      <c r="LS247" s="263"/>
      <c r="LT247" s="263"/>
      <c r="LU247" s="263"/>
      <c r="LV247" s="263"/>
      <c r="LW247" s="263"/>
      <c r="LX247" s="263"/>
      <c r="LY247" s="263"/>
      <c r="LZ247" s="263"/>
      <c r="MA247" s="263"/>
      <c r="MB247" s="263"/>
      <c r="MC247" s="263"/>
      <c r="MD247" s="263"/>
      <c r="ME247" s="263"/>
      <c r="MF247" s="263"/>
      <c r="MG247" s="263"/>
      <c r="MH247" s="263"/>
      <c r="MI247" s="263"/>
      <c r="MJ247" s="263"/>
      <c r="MK247" s="263"/>
      <c r="ML247" s="263"/>
      <c r="MM247" s="263"/>
      <c r="MN247" s="263"/>
      <c r="MO247" s="263"/>
      <c r="MP247" s="263"/>
      <c r="MQ247" s="263"/>
      <c r="MR247" s="263"/>
      <c r="MS247" s="263"/>
      <c r="MT247" s="263"/>
      <c r="MU247" s="263"/>
      <c r="MV247" s="263"/>
      <c r="MW247" s="263"/>
      <c r="MX247" s="263"/>
      <c r="MY247" s="263"/>
      <c r="MZ247" s="263"/>
      <c r="NA247" s="263"/>
      <c r="NB247" s="263"/>
      <c r="NC247" s="263"/>
      <c r="ND247" s="263"/>
      <c r="NE247" s="263"/>
      <c r="NF247" s="263"/>
      <c r="NG247" s="263"/>
      <c r="NH247" s="263"/>
      <c r="NI247" s="263"/>
      <c r="NJ247" s="263"/>
      <c r="NK247" s="263"/>
      <c r="NL247" s="263"/>
      <c r="NM247" s="263"/>
      <c r="NN247" s="263"/>
      <c r="NO247" s="263"/>
      <c r="NP247" s="263"/>
      <c r="NQ247" s="263"/>
      <c r="NR247" s="263"/>
      <c r="NS247" s="263"/>
      <c r="NT247" s="263"/>
      <c r="NU247" s="263"/>
      <c r="NV247" s="263"/>
      <c r="NW247" s="263"/>
      <c r="NX247" s="263"/>
      <c r="NY247" s="263"/>
      <c r="NZ247" s="263"/>
      <c r="OA247" s="263"/>
      <c r="OB247" s="263"/>
      <c r="OC247" s="263"/>
      <c r="OD247" s="263"/>
      <c r="OE247" s="263"/>
      <c r="OF247" s="263"/>
      <c r="OG247" s="263"/>
      <c r="OH247" s="263"/>
      <c r="OI247" s="263"/>
      <c r="OJ247" s="263"/>
      <c r="OK247" s="263"/>
      <c r="OL247" s="263"/>
      <c r="OM247" s="263"/>
      <c r="ON247" s="263"/>
      <c r="OO247" s="263"/>
      <c r="OP247" s="263"/>
      <c r="OQ247" s="263"/>
      <c r="OR247" s="263"/>
      <c r="OS247" s="263"/>
      <c r="OT247" s="263"/>
      <c r="OU247" s="263"/>
      <c r="OV247" s="263"/>
      <c r="OW247" s="263"/>
      <c r="OX247" s="263"/>
      <c r="OY247" s="263"/>
      <c r="OZ247" s="263"/>
      <c r="PA247" s="263"/>
      <c r="PB247" s="263"/>
      <c r="PC247" s="263"/>
      <c r="PD247" s="263"/>
      <c r="PE247" s="263"/>
      <c r="PF247" s="263"/>
      <c r="PG247" s="263"/>
      <c r="PH247" s="263"/>
    </row>
    <row r="248">
      <c r="B248" s="415" t="s">
        <v>444</v>
      </c>
      <c r="C248" s="401"/>
      <c r="D248" s="401"/>
      <c r="E248" s="472" t="s">
        <v>445</v>
      </c>
      <c r="F248" s="472"/>
      <c r="G248" s="401"/>
      <c r="H248" s="416" t="s">
        <v>446</v>
      </c>
      <c r="I248" s="416" t="s">
        <v>447</v>
      </c>
      <c r="L248" s="197" t="n">
        <f>L227</f>
        <v>0</v>
      </c>
      <c r="M248" s="197" t="n">
        <f t="shared" ref="M248:BX248" si="1203">M227</f>
        <v>1</v>
      </c>
      <c r="N248" s="197">
        <f t="shared" si="1203"/>
        <v>2</v>
      </c>
      <c r="O248" s="197">
        <f t="shared" si="1203"/>
        <v>3</v>
      </c>
      <c r="P248" s="197">
        <f t="shared" si="1203"/>
        <v>4</v>
      </c>
      <c r="Q248" s="197">
        <f t="shared" si="1203"/>
        <v>5</v>
      </c>
      <c r="R248" s="197">
        <f t="shared" si="1203"/>
        <v>6</v>
      </c>
      <c r="S248" s="197">
        <f t="shared" si="1203"/>
        <v>7</v>
      </c>
      <c r="T248" s="197">
        <f t="shared" si="1203"/>
        <v>8</v>
      </c>
      <c r="U248" s="197">
        <f t="shared" si="1203"/>
        <v>9</v>
      </c>
      <c r="V248" s="197">
        <f t="shared" si="1203"/>
        <v>10</v>
      </c>
      <c r="W248" s="197">
        <f t="shared" si="1203"/>
        <v>11</v>
      </c>
      <c r="X248" s="197">
        <f t="shared" si="1203"/>
        <v>12</v>
      </c>
      <c r="Y248" s="197">
        <f t="shared" si="1203"/>
        <v>13</v>
      </c>
      <c r="Z248" s="197">
        <f t="shared" si="1203"/>
        <v>14</v>
      </c>
      <c r="AA248" s="197">
        <f t="shared" si="1203"/>
        <v>15</v>
      </c>
      <c r="AB248" s="197">
        <f t="shared" si="1203"/>
        <v>16</v>
      </c>
      <c r="AC248" s="197">
        <f t="shared" si="1203"/>
        <v>17</v>
      </c>
      <c r="AD248" s="197">
        <f t="shared" si="1203"/>
        <v>18</v>
      </c>
      <c r="AE248" s="197">
        <f t="shared" si="1203"/>
        <v>19</v>
      </c>
      <c r="AF248" s="197">
        <f t="shared" si="1203"/>
        <v>20</v>
      </c>
      <c r="AG248" s="197">
        <f t="shared" si="1203"/>
        <v>21</v>
      </c>
      <c r="AH248" s="197">
        <f t="shared" si="1203"/>
        <v>22</v>
      </c>
      <c r="AI248" s="197">
        <f t="shared" si="1203"/>
        <v>23</v>
      </c>
      <c r="AJ248" s="197">
        <f t="shared" si="1203"/>
        <v>24</v>
      </c>
      <c r="AK248" s="197">
        <f t="shared" si="1203"/>
        <v>25</v>
      </c>
      <c r="AL248" s="197">
        <f t="shared" si="1203"/>
        <v>26</v>
      </c>
      <c r="AM248" s="197">
        <f t="shared" si="1203"/>
        <v>27</v>
      </c>
      <c r="AN248" s="197">
        <f t="shared" si="1203"/>
        <v>28</v>
      </c>
      <c r="AO248" s="197">
        <f t="shared" si="1203"/>
        <v>29</v>
      </c>
      <c r="AP248" s="197">
        <f t="shared" si="1203"/>
        <v>30</v>
      </c>
      <c r="AQ248" s="197">
        <f t="shared" si="1203"/>
        <v>31</v>
      </c>
      <c r="AR248" s="197">
        <f t="shared" si="1203"/>
        <v>32</v>
      </c>
      <c r="AS248" s="197">
        <f t="shared" si="1203"/>
        <v>33</v>
      </c>
      <c r="AT248" s="197">
        <f t="shared" si="1203"/>
        <v>34</v>
      </c>
      <c r="AU248" s="197">
        <f t="shared" si="1203"/>
        <v>35</v>
      </c>
      <c r="AV248" s="197">
        <f t="shared" si="1203"/>
        <v>36</v>
      </c>
      <c r="AW248" s="197">
        <f t="shared" si="1203"/>
        <v>37</v>
      </c>
      <c r="AX248" s="197">
        <f t="shared" si="1203"/>
        <v>38</v>
      </c>
      <c r="AY248" s="197">
        <f t="shared" si="1203"/>
        <v>39</v>
      </c>
      <c r="AZ248" s="197">
        <f t="shared" si="1203"/>
        <v>40</v>
      </c>
      <c r="BA248" s="197">
        <f t="shared" si="1203"/>
        <v>41</v>
      </c>
      <c r="BB248" s="197">
        <f t="shared" si="1203"/>
        <v>42</v>
      </c>
      <c r="BC248" s="197">
        <f t="shared" si="1203"/>
        <v>43</v>
      </c>
      <c r="BD248" s="197">
        <f t="shared" si="1203"/>
        <v>44</v>
      </c>
      <c r="BE248" s="197">
        <f t="shared" si="1203"/>
        <v>45</v>
      </c>
      <c r="BF248" s="197">
        <f t="shared" si="1203"/>
        <v>46</v>
      </c>
      <c r="BG248" s="197">
        <f t="shared" si="1203"/>
        <v>47</v>
      </c>
      <c r="BH248" s="197">
        <f t="shared" si="1203"/>
        <v>48</v>
      </c>
      <c r="BI248" s="197">
        <f t="shared" si="1203"/>
        <v>49</v>
      </c>
      <c r="BJ248" s="197">
        <f t="shared" si="1203"/>
        <v>50</v>
      </c>
      <c r="BK248" s="197">
        <f t="shared" si="1203"/>
        <v>51</v>
      </c>
      <c r="BL248" s="197">
        <f t="shared" si="1203"/>
        <v>52</v>
      </c>
      <c r="BM248" s="197">
        <f t="shared" si="1203"/>
        <v>53</v>
      </c>
      <c r="BN248" s="197">
        <f t="shared" si="1203"/>
        <v>54</v>
      </c>
      <c r="BO248" s="197">
        <f t="shared" si="1203"/>
        <v>55</v>
      </c>
      <c r="BP248" s="197">
        <f t="shared" si="1203"/>
        <v>56</v>
      </c>
      <c r="BQ248" s="197">
        <f t="shared" si="1203"/>
        <v>57</v>
      </c>
      <c r="BR248" s="197">
        <f t="shared" si="1203"/>
        <v>58</v>
      </c>
      <c r="BS248" s="197">
        <f t="shared" si="1203"/>
        <v>59</v>
      </c>
      <c r="BT248" s="197">
        <f t="shared" si="1203"/>
        <v>60</v>
      </c>
      <c r="BU248" s="197">
        <f t="shared" si="1203"/>
        <v>61</v>
      </c>
      <c r="BV248" s="197" t="str">
        <f t="shared" si="1203"/>
      </c>
      <c r="BW248" s="197" t="str">
        <f t="shared" si="1203"/>
      </c>
      <c r="BX248" s="197" t="str">
        <f t="shared" si="1203"/>
      </c>
      <c r="BY248" s="197" t="n">
        <f t="shared" ref="BY248:EJ248" si="1204">BY227</f>
        <v>0</v>
      </c>
      <c r="BZ248" s="197" t="str">
        <f t="shared" si="1204"/>
      </c>
      <c r="CA248" s="197" t="str">
        <f t="shared" si="1204"/>
      </c>
      <c r="CB248" s="197" t="str">
        <f t="shared" si="1204"/>
      </c>
      <c r="CC248" s="197" t="str">
        <f t="shared" si="1204"/>
      </c>
      <c r="CD248" s="197" t="str">
        <f t="shared" si="1204"/>
      </c>
      <c r="CE248" s="197" t="str">
        <f t="shared" si="1204"/>
      </c>
      <c r="CF248" s="197" t="str">
        <f t="shared" si="1204"/>
      </c>
      <c r="CG248" s="197" t="str">
        <f t="shared" si="1204"/>
      </c>
      <c r="CH248" s="197" t="str">
        <f t="shared" si="1204"/>
      </c>
      <c r="CI248" s="197" t="str">
        <f t="shared" si="1204"/>
      </c>
      <c r="CJ248" s="197" t="str">
        <f t="shared" si="1204"/>
      </c>
      <c r="CK248" s="197" t="str">
        <f t="shared" si="1204"/>
      </c>
      <c r="CL248" s="197" t="str">
        <f t="shared" si="1204"/>
      </c>
      <c r="CM248" s="197" t="str">
        <f t="shared" si="1204"/>
      </c>
      <c r="CN248" s="197" t="str">
        <f t="shared" si="1204"/>
      </c>
      <c r="CO248" s="197" t="str">
        <f t="shared" si="1204"/>
      </c>
      <c r="CP248" s="197" t="str">
        <f t="shared" si="1204"/>
      </c>
      <c r="CQ248" s="197" t="str">
        <f t="shared" si="1204"/>
      </c>
      <c r="CR248" s="197" t="str">
        <f t="shared" si="1204"/>
      </c>
      <c r="CS248" s="197" t="str">
        <f t="shared" si="1204"/>
      </c>
      <c r="CT248" s="197" t="str">
        <f t="shared" si="1204"/>
      </c>
      <c r="CU248" s="197" t="str">
        <f t="shared" si="1204"/>
      </c>
      <c r="CV248" s="197" t="str">
        <f t="shared" si="1204"/>
      </c>
      <c r="CW248" s="197" t="str">
        <f t="shared" si="1204"/>
      </c>
      <c r="CX248" s="197" t="str">
        <f t="shared" si="1204"/>
      </c>
      <c r="CY248" s="197" t="str">
        <f t="shared" si="1204"/>
      </c>
      <c r="CZ248" s="197" t="str">
        <f t="shared" si="1204"/>
      </c>
      <c r="DA248" s="197" t="str">
        <f t="shared" si="1204"/>
      </c>
      <c r="DB248" s="197" t="str">
        <f t="shared" si="1204"/>
      </c>
      <c r="DC248" s="197" t="str">
        <f t="shared" si="1204"/>
      </c>
      <c r="DD248" s="197" t="str">
        <f t="shared" si="1204"/>
      </c>
      <c r="DE248" s="197" t="str">
        <f t="shared" si="1204"/>
      </c>
      <c r="DF248" s="197" t="str">
        <f t="shared" si="1204"/>
      </c>
      <c r="DG248" s="197" t="str">
        <f t="shared" si="1204"/>
      </c>
      <c r="DH248" s="197" t="str">
        <f t="shared" si="1204"/>
      </c>
      <c r="DI248" s="197" t="str">
        <f t="shared" si="1204"/>
      </c>
      <c r="DJ248" s="197" t="str">
        <f t="shared" si="1204"/>
      </c>
      <c r="DK248" s="197" t="str">
        <f t="shared" si="1204"/>
      </c>
      <c r="DL248" s="197" t="str">
        <f t="shared" si="1204"/>
      </c>
      <c r="DM248" s="197" t="str">
        <f t="shared" si="1204"/>
      </c>
      <c r="DN248" s="197" t="str">
        <f t="shared" si="1204"/>
      </c>
      <c r="DO248" s="197" t="str">
        <f t="shared" si="1204"/>
      </c>
      <c r="DP248" s="197" t="str">
        <f t="shared" si="1204"/>
      </c>
      <c r="DQ248" s="197" t="str">
        <f t="shared" si="1204"/>
      </c>
      <c r="DR248" s="197" t="str">
        <f t="shared" si="1204"/>
      </c>
      <c r="DS248" s="197" t="str">
        <f t="shared" si="1204"/>
      </c>
      <c r="DT248" s="197" t="str">
        <f t="shared" si="1204"/>
      </c>
      <c r="DU248" s="197" t="str">
        <f t="shared" si="1204"/>
      </c>
      <c r="DV248" s="197" t="str">
        <f t="shared" si="1204"/>
      </c>
      <c r="DW248" s="197" t="str">
        <f t="shared" si="1204"/>
      </c>
      <c r="DX248" s="197" t="str">
        <f t="shared" si="1204"/>
      </c>
      <c r="DY248" s="197" t="str">
        <f t="shared" si="1204"/>
      </c>
      <c r="DZ248" s="197" t="str">
        <f t="shared" si="1204"/>
      </c>
      <c r="EA248" s="197" t="str">
        <f t="shared" si="1204"/>
      </c>
      <c r="EB248" s="197" t="str">
        <f t="shared" si="1204"/>
      </c>
      <c r="EC248" s="197" t="str">
        <f t="shared" si="1204"/>
      </c>
      <c r="ED248" s="197" t="str">
        <f t="shared" si="1204"/>
      </c>
      <c r="EE248" s="197" t="str">
        <f t="shared" si="1204"/>
      </c>
      <c r="EF248" s="197" t="str">
        <f t="shared" si="1204"/>
      </c>
      <c r="EG248" s="197" t="str">
        <f t="shared" si="1204"/>
      </c>
      <c r="EH248" s="197" t="str">
        <f t="shared" si="1204"/>
      </c>
      <c r="EI248" s="197" t="str">
        <f t="shared" si="1204"/>
      </c>
      <c r="EJ248" s="197" t="str">
        <f t="shared" si="1204"/>
      </c>
      <c r="EK248" s="197" t="n">
        <f>EK227</f>
        <v>0</v>
      </c>
      <c r="EL248" s="197" t="n">
        <f>EL227</f>
        <v>0</v>
      </c>
      <c r="EM248" s="197" t="n">
        <f>EM227</f>
        <v>0</v>
      </c>
      <c r="EN248" s="197" t="n">
        <f>EN227</f>
        <v>0</v>
      </c>
      <c r="EP248" s="409"/>
      <c r="EQ248" s="18"/>
      <c r="ER248" s="18"/>
      <c r="ES248" s="18"/>
      <c r="ET248" s="18" t="s">
        <v>437</v>
      </c>
      <c r="EU248" s="18"/>
      <c r="EV248" s="422" t="n">
        <f t="shared" ref="EV248:GA248" si="1205">(EV$197&lt;=Timing_Reversion_Month)*(EV247*((1+$EP249)^(1/12)-1))</f>
        <v>0</v>
      </c>
      <c r="EW248" s="422">
        <f t="shared" si="1205"/>
        <v>39228.11857912199</v>
      </c>
      <c r="EX248" s="422">
        <f t="shared" si="1205"/>
        <v>39413.772226839203</v>
      </c>
      <c r="EY248" s="422">
        <f t="shared" si="1205"/>
        <v>39723.426820311659</v>
      </c>
      <c r="EZ248" s="422">
        <f t="shared" si="1205"/>
        <v>40210.597523622004</v>
      </c>
      <c r="FA248" s="422">
        <f t="shared" si="1205"/>
        <v>40944.262587636513</v>
      </c>
      <c r="FB248" s="422">
        <f t="shared" si="1205"/>
        <v>42061.316190582598</v>
      </c>
      <c r="FC248" s="422">
        <f t="shared" si="1205"/>
        <v>43296.586373502803</v>
      </c>
      <c r="FD248" s="422">
        <f t="shared" si="1205"/>
        <v>45076.140756974499</v>
      </c>
      <c r="FE248" s="422">
        <f t="shared" si="1205"/>
        <v>47521.123399615812</v>
      </c>
      <c r="FF248" s="422">
        <f t="shared" si="1205"/>
        <v>50751.69757494855</v>
      </c>
      <c r="FG248" s="422">
        <f t="shared" si="1205"/>
        <v>54876.318454032466</v>
      </c>
      <c r="FH248" s="422">
        <f t="shared" si="1205"/>
        <v>59979.399783400935</v>
      </c>
      <c r="FI248" s="422">
        <f t="shared" si="1205"/>
        <v>66108.727148967489</v>
      </c>
      <c r="FJ248" s="422">
        <f t="shared" si="1205"/>
        <v>73264.343401364895</v>
      </c>
      <c r="FK248" s="422">
        <f t="shared" si="1205"/>
        <v>81390.749748605944</v>
      </c>
      <c r="FL248" s="422">
        <f t="shared" si="1205"/>
        <v>90374.048639637083</v>
      </c>
      <c r="FM248" s="422">
        <f t="shared" si="1205"/>
        <v>92766.148566526172</v>
      </c>
      <c r="FN248" s="422">
        <f t="shared" si="1205"/>
        <v>93261.871289322313</v>
      </c>
      <c r="FO248" s="422">
        <f t="shared" si="1205"/>
        <v>92494.909496883047</v>
      </c>
      <c r="FP248" s="422">
        <f t="shared" si="1205"/>
        <v>91835.328884146191</v>
      </c>
      <c r="FQ248" s="422">
        <f t="shared" si="1205"/>
        <v>91242.821710089236</v>
      </c>
      <c r="FR248" s="422">
        <f t="shared" si="1205"/>
        <v>90360.208317833458</v>
      </c>
      <c r="FS248" s="422">
        <f t="shared" si="1205"/>
        <v>89536.259006139386</v>
      </c>
      <c r="FT248" s="422">
        <f t="shared" si="1205"/>
        <v>88766.184871347694</v>
      </c>
      <c r="FU248" s="422">
        <f t="shared" si="1205"/>
        <v>87906.480964154573</v>
      </c>
      <c r="FV248" s="422">
        <f t="shared" si="1205"/>
        <v>87087.158439465624</v>
      </c>
      <c r="FW248" s="422">
        <f t="shared" si="1205"/>
        <v>86301.63085278208</v>
      </c>
      <c r="FX248" s="422">
        <f t="shared" si="1205"/>
        <v>85458.713508154411</v>
      </c>
      <c r="FY248" s="422">
        <f t="shared" si="1205"/>
        <v>84919.547209355384</v>
      </c>
      <c r="FZ248" s="422">
        <f t="shared" si="1205"/>
        <v>85014.746234189355</v>
      </c>
      <c r="GA248" s="422">
        <f t="shared" si="1205"/>
        <v>84630.986740388878</v>
      </c>
      <c r="GB248" s="422" t="n">
        <f t="shared" ref="GB248:HG248" si="1206">(GB$197&lt;=Timing_Reversion_Month)*(GB247*((1+$EP249)^(1/12)-1))</f>
        <v>84065.14490324877</v>
      </c>
      <c r="GC248" s="422">
        <f t="shared" si="1206"/>
        <v>83361.057428097352</v>
      </c>
      <c r="GD248" s="422">
        <f t="shared" si="1206"/>
        <v>82555.126661789007</v>
      </c>
      <c r="GE248" s="422">
        <f t="shared" si="1206"/>
        <v>81562.189852790441</v>
      </c>
      <c r="GF248" s="422">
        <f t="shared" si="1206"/>
        <v>80518.066598959093</v>
      </c>
      <c r="GG248" s="422">
        <f t="shared" si="1206"/>
        <v>79433.272277372307</v>
      </c>
      <c r="GH248" s="422">
        <f t="shared" si="1206"/>
        <v>78529.035173513083</v>
      </c>
      <c r="GI248" s="422">
        <f t="shared" si="1206"/>
        <v>77621.934231853986</v>
      </c>
      <c r="GJ248" s="422">
        <f t="shared" si="1206"/>
        <v>76711.985150137451</v>
      </c>
      <c r="GK248" s="422">
        <f t="shared" si="1206"/>
        <v>75796.355661905211</v>
      </c>
      <c r="GL248" s="422">
        <f t="shared" si="1206"/>
        <v>74877.883819249633</v>
      </c>
      <c r="GM248" s="422">
        <f t="shared" si="1206"/>
        <v>73956.586495639625</v>
      </c>
      <c r="GN248" s="422">
        <f t="shared" si="1206"/>
        <v>72958.508365324436</v>
      </c>
      <c r="GO248" s="422">
        <f t="shared" si="1206"/>
        <v>71956.938063393653</v>
      </c>
      <c r="GP248" s="422">
        <f t="shared" si="1206"/>
        <v>70951.88729124215</v>
      </c>
      <c r="GQ248" s="422">
        <f t="shared" si="1206"/>
        <v>69930.234097041641</v>
      </c>
      <c r="GR248" s="422">
        <f t="shared" si="1206"/>
        <v>68905.000557365172</v>
      </c>
      <c r="GS248" s="422">
        <f t="shared" si="1206"/>
        <v>67876.19855338191</v>
      </c>
      <c r="GT248" s="422">
        <f t="shared" si="1206"/>
        <v>66904.015601467458</v>
      </c>
      <c r="GU248" s="422">
        <f t="shared" si="1206"/>
        <v>65928.860314242207</v>
      </c>
      <c r="GV248" s="422">
        <f t="shared" si="1206"/>
        <v>64950.751381637478</v>
      </c>
      <c r="GW248" s="422">
        <f t="shared" si="1206"/>
        <v>63966.864360378779</v>
      </c>
      <c r="GX248" s="422">
        <f t="shared" si="1206"/>
        <v>62980.035685484014</v>
      </c>
      <c r="GY248" s="422">
        <f t="shared" si="1206"/>
        <v>61990.28540106029</v>
      </c>
      <c r="GZ248" s="422">
        <f t="shared" si="1206"/>
        <v>60930.682130302106</v>
      </c>
      <c r="HA248" s="422">
        <f t="shared" si="1206"/>
        <v>59867.563702369298</v>
      </c>
      <c r="HB248" s="422">
        <f t="shared" si="1206"/>
        <v>58800.945806654701</v>
      </c>
      <c r="HC248" s="422">
        <f t="shared" si="1206"/>
        <v>57717.250855196202</v>
      </c>
      <c r="HD248" s="422">
        <f t="shared" si="1206"/>
        <v>56629.960383816207</v>
      </c>
      <c r="HE248" s="422">
        <f t="shared" si="1206"/>
        <v>55539.090431148783</v>
      </c>
      <c r="HF248" s="422">
        <f t="shared" si="1206"/>
        <v>0</v>
      </c>
      <c r="HG248" s="422">
        <f t="shared" si="1206"/>
        <v>0</v>
      </c>
      <c r="HH248" s="422" t="n">
        <f t="shared" ref="HH248:IM248" si="1207">(HH$197&lt;=Timing_Reversion_Month)*(HH247*((1+$EP249)^(1/12)-1))</f>
        <v>0</v>
      </c>
      <c r="HI248" s="422">
        <f t="shared" si="1207"/>
        <v>0</v>
      </c>
      <c r="HJ248" s="422">
        <f t="shared" si="1207"/>
        <v>0</v>
      </c>
      <c r="HK248" s="422">
        <f t="shared" si="1207"/>
        <v>0</v>
      </c>
      <c r="HL248" s="422">
        <f t="shared" si="1207"/>
        <v>0</v>
      </c>
      <c r="HM248" s="422">
        <f t="shared" si="1207"/>
        <v>0</v>
      </c>
      <c r="HN248" s="422">
        <f t="shared" si="1207"/>
        <v>0</v>
      </c>
      <c r="HO248" s="422">
        <f t="shared" si="1207"/>
        <v>0</v>
      </c>
      <c r="HP248" s="422">
        <f t="shared" si="1207"/>
        <v>0</v>
      </c>
      <c r="HQ248" s="422">
        <f t="shared" si="1207"/>
        <v>0</v>
      </c>
      <c r="HR248" s="422">
        <f t="shared" si="1207"/>
        <v>0</v>
      </c>
      <c r="HS248" s="422">
        <f t="shared" si="1207"/>
        <v>0</v>
      </c>
      <c r="HT248" s="422">
        <f t="shared" si="1207"/>
        <v>0</v>
      </c>
      <c r="HU248" s="422">
        <f t="shared" si="1207"/>
        <v>0</v>
      </c>
      <c r="HV248" s="422">
        <f t="shared" si="1207"/>
        <v>0</v>
      </c>
      <c r="HW248" s="422">
        <f t="shared" si="1207"/>
        <v>0</v>
      </c>
      <c r="HX248" s="422">
        <f t="shared" si="1207"/>
        <v>0</v>
      </c>
      <c r="HY248" s="422">
        <f t="shared" si="1207"/>
        <v>0</v>
      </c>
      <c r="HZ248" s="422">
        <f t="shared" si="1207"/>
        <v>0</v>
      </c>
      <c r="IA248" s="422">
        <f t="shared" si="1207"/>
        <v>0</v>
      </c>
      <c r="IB248" s="422">
        <f t="shared" si="1207"/>
        <v>0</v>
      </c>
      <c r="IC248" s="422">
        <f t="shared" si="1207"/>
        <v>0</v>
      </c>
      <c r="ID248" s="422">
        <f t="shared" si="1207"/>
        <v>0</v>
      </c>
      <c r="IE248" s="422">
        <f t="shared" si="1207"/>
        <v>0</v>
      </c>
      <c r="IF248" s="422">
        <f t="shared" si="1207"/>
        <v>0</v>
      </c>
      <c r="IG248" s="422">
        <f t="shared" si="1207"/>
        <v>0</v>
      </c>
      <c r="IH248" s="422">
        <f t="shared" si="1207"/>
        <v>0</v>
      </c>
      <c r="II248" s="422">
        <f t="shared" si="1207"/>
        <v>0</v>
      </c>
      <c r="IJ248" s="422">
        <f t="shared" si="1207"/>
        <v>0</v>
      </c>
      <c r="IK248" s="422">
        <f t="shared" si="1207"/>
        <v>0</v>
      </c>
      <c r="IL248" s="422">
        <f t="shared" si="1207"/>
        <v>0</v>
      </c>
      <c r="IM248" s="422">
        <f t="shared" si="1207"/>
        <v>0</v>
      </c>
      <c r="IN248" s="422" t="n">
        <f t="shared" ref="IN248:JS248" si="1208">(IN$197&lt;=Timing_Reversion_Month)*(IN247*((1+$EP249)^(1/12)-1))</f>
        <v>0</v>
      </c>
      <c r="IO248" s="422">
        <f t="shared" si="1208"/>
        <v>0</v>
      </c>
      <c r="IP248" s="422">
        <f t="shared" si="1208"/>
        <v>0</v>
      </c>
      <c r="IQ248" s="422">
        <f t="shared" si="1208"/>
        <v>0</v>
      </c>
      <c r="IR248" s="422">
        <f t="shared" si="1208"/>
        <v>0</v>
      </c>
      <c r="IS248" s="422">
        <f t="shared" si="1208"/>
        <v>0</v>
      </c>
      <c r="IT248" s="422">
        <f t="shared" si="1208"/>
        <v>0</v>
      </c>
      <c r="IU248" s="422">
        <f t="shared" si="1208"/>
        <v>0</v>
      </c>
      <c r="IV248" s="422">
        <f t="shared" si="1208"/>
        <v>0</v>
      </c>
      <c r="IW248" s="422">
        <f t="shared" si="1208"/>
        <v>0</v>
      </c>
      <c r="IX248" s="422">
        <f t="shared" si="1208"/>
        <v>0</v>
      </c>
      <c r="IY248" s="422">
        <f t="shared" si="1208"/>
        <v>0</v>
      </c>
      <c r="IZ248" s="422">
        <f t="shared" si="1208"/>
        <v>0</v>
      </c>
      <c r="JA248" s="422">
        <f t="shared" si="1208"/>
        <v>0</v>
      </c>
      <c r="JB248" s="422">
        <f t="shared" si="1208"/>
        <v>0</v>
      </c>
      <c r="JC248" s="422">
        <f t="shared" si="1208"/>
        <v>0</v>
      </c>
      <c r="JD248" s="422">
        <f t="shared" si="1208"/>
        <v>0</v>
      </c>
      <c r="JE248" s="422">
        <f t="shared" si="1208"/>
        <v>0</v>
      </c>
      <c r="JF248" s="422">
        <f t="shared" si="1208"/>
        <v>0</v>
      </c>
      <c r="JG248" s="422">
        <f t="shared" si="1208"/>
        <v>0</v>
      </c>
      <c r="JH248" s="422">
        <f t="shared" si="1208"/>
        <v>0</v>
      </c>
      <c r="JI248" s="422">
        <f t="shared" si="1208"/>
        <v>0</v>
      </c>
      <c r="JJ248" s="422">
        <f t="shared" si="1208"/>
        <v>0</v>
      </c>
      <c r="JK248" s="422">
        <f t="shared" si="1208"/>
        <v>0</v>
      </c>
      <c r="JL248" s="422">
        <f t="shared" si="1208"/>
        <v>0</v>
      </c>
      <c r="JM248" s="422">
        <f t="shared" si="1208"/>
        <v>0</v>
      </c>
      <c r="JN248" s="422">
        <f t="shared" si="1208"/>
        <v>0</v>
      </c>
      <c r="JO248" s="422">
        <f t="shared" si="1208"/>
        <v>0</v>
      </c>
      <c r="JP248" s="422">
        <f t="shared" si="1208"/>
        <v>0</v>
      </c>
      <c r="JQ248" s="422">
        <f t="shared" si="1208"/>
        <v>0</v>
      </c>
      <c r="JR248" s="422">
        <f t="shared" si="1208"/>
        <v>0</v>
      </c>
      <c r="JS248" s="422">
        <f t="shared" si="1208"/>
        <v>0</v>
      </c>
      <c r="JT248" s="422" t="n">
        <f t="shared" ref="JT248:JX248" si="1209">(JT$197&lt;=Timing_Reversion_Month)*(JT247*((1+$EP249)^(1/12)-1))</f>
        <v>0</v>
      </c>
      <c r="JU248" s="422">
        <f t="shared" si="1209"/>
        <v>0</v>
      </c>
      <c r="JV248" s="422">
        <f t="shared" si="1209"/>
        <v>0</v>
      </c>
      <c r="JW248" s="422">
        <f t="shared" si="1209"/>
        <v>0</v>
      </c>
      <c r="JX248" s="422">
        <f t="shared" si="1209"/>
        <v>0</v>
      </c>
      <c r="JZ248" s="263"/>
      <c r="KA248" s="263"/>
      <c r="KB248" s="263"/>
      <c r="KC248" s="263"/>
      <c r="KD248" s="263"/>
      <c r="KE248" s="263"/>
      <c r="KF248" s="263"/>
      <c r="KG248" s="263"/>
      <c r="KH248" s="263"/>
      <c r="KI248" s="263"/>
      <c r="KJ248" s="263"/>
      <c r="KK248" s="263"/>
      <c r="KL248" s="263"/>
      <c r="KM248" s="263"/>
      <c r="KN248" s="263"/>
      <c r="KO248" s="263"/>
      <c r="KP248" s="263"/>
      <c r="KQ248" s="263"/>
      <c r="KR248" s="263"/>
      <c r="KS248" s="263"/>
      <c r="KT248" s="263"/>
      <c r="KU248" s="263"/>
      <c r="KV248" s="263"/>
      <c r="KW248" s="263"/>
      <c r="KX248" s="263"/>
      <c r="KY248" s="263"/>
      <c r="KZ248" s="263"/>
      <c r="LA248" s="263"/>
      <c r="LB248" s="263"/>
      <c r="LC248" s="263"/>
      <c r="LD248" s="263"/>
      <c r="LE248" s="263"/>
      <c r="LF248" s="263"/>
      <c r="LG248" s="263"/>
      <c r="LH248" s="263"/>
      <c r="LI248" s="263"/>
      <c r="LJ248" s="263"/>
      <c r="LK248" s="263"/>
      <c r="LL248" s="263"/>
      <c r="LM248" s="263"/>
      <c r="LN248" s="263"/>
      <c r="LO248" s="263"/>
      <c r="LP248" s="263"/>
      <c r="LQ248" s="263"/>
      <c r="LR248" s="263"/>
      <c r="LS248" s="263"/>
      <c r="LT248" s="263"/>
      <c r="LU248" s="263"/>
      <c r="LV248" s="263"/>
      <c r="LW248" s="263"/>
      <c r="LX248" s="263"/>
      <c r="LY248" s="263"/>
      <c r="LZ248" s="263"/>
      <c r="MA248" s="263"/>
      <c r="MB248" s="263"/>
      <c r="MC248" s="263"/>
      <c r="MD248" s="263"/>
      <c r="ME248" s="263"/>
      <c r="MF248" s="263"/>
      <c r="MG248" s="263"/>
      <c r="MH248" s="263"/>
      <c r="MI248" s="263"/>
      <c r="MJ248" s="263"/>
      <c r="MK248" s="263"/>
      <c r="ML248" s="263"/>
      <c r="MM248" s="263"/>
      <c r="MN248" s="263"/>
      <c r="MO248" s="263"/>
      <c r="MP248" s="263"/>
      <c r="MQ248" s="263"/>
      <c r="MR248" s="263"/>
      <c r="MS248" s="263"/>
      <c r="MT248" s="263"/>
      <c r="MU248" s="263"/>
      <c r="MV248" s="263"/>
      <c r="MW248" s="263"/>
      <c r="MX248" s="263"/>
      <c r="MY248" s="263"/>
      <c r="MZ248" s="263"/>
      <c r="NA248" s="263"/>
      <c r="NB248" s="263"/>
      <c r="NC248" s="263"/>
      <c r="ND248" s="263"/>
      <c r="NE248" s="263"/>
      <c r="NF248" s="263"/>
      <c r="NG248" s="263"/>
      <c r="NH248" s="263"/>
      <c r="NI248" s="263"/>
      <c r="NJ248" s="263"/>
      <c r="NK248" s="263"/>
      <c r="NL248" s="263"/>
      <c r="NM248" s="263"/>
      <c r="NN248" s="263"/>
      <c r="NO248" s="263"/>
      <c r="NP248" s="263"/>
      <c r="NQ248" s="263"/>
      <c r="NR248" s="263"/>
      <c r="NS248" s="263"/>
      <c r="NT248" s="263"/>
      <c r="NU248" s="263"/>
      <c r="NV248" s="263"/>
      <c r="NW248" s="263"/>
      <c r="NX248" s="263"/>
      <c r="NY248" s="263"/>
      <c r="NZ248" s="263"/>
      <c r="OA248" s="263"/>
      <c r="OB248" s="263"/>
      <c r="OC248" s="263"/>
      <c r="OD248" s="263"/>
      <c r="OE248" s="263"/>
      <c r="OF248" s="263"/>
      <c r="OG248" s="263"/>
      <c r="OH248" s="263"/>
      <c r="OI248" s="263"/>
      <c r="OJ248" s="263"/>
      <c r="OK248" s="263"/>
      <c r="OL248" s="263"/>
      <c r="OM248" s="263"/>
      <c r="ON248" s="263"/>
      <c r="OO248" s="263"/>
      <c r="OP248" s="263"/>
      <c r="OQ248" s="263"/>
      <c r="OR248" s="263"/>
      <c r="OS248" s="263"/>
      <c r="OT248" s="263"/>
      <c r="OU248" s="263"/>
      <c r="OV248" s="263"/>
      <c r="OW248" s="263"/>
      <c r="OX248" s="263"/>
      <c r="OY248" s="263"/>
      <c r="OZ248" s="263"/>
      <c r="PA248" s="263"/>
      <c r="PB248" s="263"/>
      <c r="PC248" s="263"/>
      <c r="PD248" s="263"/>
      <c r="PE248" s="263"/>
      <c r="PF248" s="263"/>
      <c r="PG248" s="263"/>
      <c r="PH248" s="263"/>
    </row>
    <row r="249">
      <c r="B249" s="34" t="s">
        <v>448</v>
      </c>
      <c r="C249" s="549" t="s">
        <v>449</v>
      </c>
      <c r="D249" s="401"/>
      <c r="E249" s="53" t="n">
        <f>H249</f>
        <v>0.05</v>
      </c>
      <c r="F249" s="89"/>
      <c r="G249" s="401"/>
      <c r="H249" s="54">
        <v>0.05</v>
      </c>
      <c r="I249" s="449" t="n">
        <f>SUM(L249:EN249)</f>
        <v>253392.64079318946</v>
      </c>
      <c r="L249" s="421" t="str">
        <f t="shared" ref="L249:U250" si="1210">IF(L$227="","",L$228*$H249)</f>
      </c>
      <c r="M249" s="421">
        <f t="shared" si="1210"/>
        <v>0</v>
      </c>
      <c r="N249" s="421">
        <f t="shared" si="1210"/>
        <v>0</v>
      </c>
      <c r="O249" s="421">
        <f t="shared" si="1210"/>
        <v>611.48774648591314</v>
      </c>
      <c r="P249" s="421">
        <f t="shared" si="1210"/>
        <v>1953.0798222178</v>
      </c>
      <c r="Q249" s="421">
        <f t="shared" si="1210"/>
        <v>4041.01076432437</v>
      </c>
      <c r="R249" s="421">
        <f t="shared" si="1210"/>
        <v>4637.9315095093934</v>
      </c>
      <c r="S249" s="421">
        <f t="shared" si="1210"/>
        <v>7591.9036945416956</v>
      </c>
      <c r="T249" s="421">
        <f t="shared" si="1210"/>
        <v>11189.180256704381</v>
      </c>
      <c r="U249" s="421">
        <f t="shared" si="1210"/>
        <v>15417.945062794344</v>
      </c>
      <c r="V249" s="421" t="n">
        <f t="shared" ref="V249:AE250" si="1211">IF(V$227="","",V$228*$H249)</f>
        <v>20206.93228556592</v>
      </c>
      <c r="W249" s="421">
        <f t="shared" si="1211"/>
        <v>25417.082957688603</v>
      </c>
      <c r="X249" s="421">
        <f t="shared" si="1211"/>
        <v>30840.788479930088</v>
      </c>
      <c r="Y249" s="421">
        <f t="shared" si="1211"/>
        <v>36210.718732914444</v>
      </c>
      <c r="Z249" s="421">
        <f t="shared" si="1211"/>
        <v>41218.798098529594</v>
      </c>
      <c r="AA249" s="421">
        <f t="shared" si="1211"/>
        <v>45544.026607764463</v>
      </c>
      <c r="AB249" s="421">
        <f t="shared" si="1211"/>
        <v>8511.7547742184324</v>
      </c>
      <c r="AC249" s="421">
        <f t="shared" si="1211"/>
        <v>0</v>
      </c>
      <c r="AD249" s="421">
        <f t="shared" si="1211"/>
        <v>0</v>
      </c>
      <c r="AE249" s="421">
        <f t="shared" si="1211"/>
        <v>0</v>
      </c>
      <c r="AF249" s="421" t="n">
        <f t="shared" ref="AF249:AO250" si="1212">IF(AF$227="","",AF$228*$H249)</f>
        <v>0</v>
      </c>
      <c r="AG249" s="421">
        <f t="shared" si="1212"/>
        <v>0</v>
      </c>
      <c r="AH249" s="421">
        <f t="shared" si="1212"/>
        <v>0</v>
      </c>
      <c r="AI249" s="421">
        <f t="shared" si="1212"/>
        <v>0</v>
      </c>
      <c r="AJ249" s="421">
        <f t="shared" si="1212"/>
        <v>0</v>
      </c>
      <c r="AK249" s="421">
        <f t="shared" si="1212"/>
        <v>0</v>
      </c>
      <c r="AL249" s="421">
        <f t="shared" si="1212"/>
        <v>0</v>
      </c>
      <c r="AM249" s="421">
        <f t="shared" si="1212"/>
        <v>0</v>
      </c>
      <c r="AN249" s="421">
        <f t="shared" si="1212"/>
        <v>0</v>
      </c>
      <c r="AO249" s="421">
        <f t="shared" si="1212"/>
        <v>0</v>
      </c>
      <c r="AP249" s="421" t="n">
        <f t="shared" ref="AP249:AY250" si="1213">IF(AP$227="","",AP$228*$H249)</f>
        <v>0</v>
      </c>
      <c r="AQ249" s="421">
        <f t="shared" si="1213"/>
        <v>0</v>
      </c>
      <c r="AR249" s="421">
        <f t="shared" si="1213"/>
        <v>0</v>
      </c>
      <c r="AS249" s="421">
        <f t="shared" si="1213"/>
        <v>0</v>
      </c>
      <c r="AT249" s="421">
        <f t="shared" si="1213"/>
        <v>0</v>
      </c>
      <c r="AU249" s="421">
        <f t="shared" si="1213"/>
        <v>0</v>
      </c>
      <c r="AV249" s="421">
        <f t="shared" si="1213"/>
        <v>0</v>
      </c>
      <c r="AW249" s="421">
        <f t="shared" si="1213"/>
        <v>0</v>
      </c>
      <c r="AX249" s="421">
        <f t="shared" si="1213"/>
        <v>0</v>
      </c>
      <c r="AY249" s="421">
        <f t="shared" si="1213"/>
        <v>0</v>
      </c>
      <c r="AZ249" s="421" t="n">
        <f t="shared" ref="AZ249:BI250" si="1214">IF(AZ$227="","",AZ$228*$H249)</f>
        <v>0</v>
      </c>
      <c r="BA249" s="421">
        <f t="shared" si="1214"/>
        <v>0</v>
      </c>
      <c r="BB249" s="421">
        <f t="shared" si="1214"/>
        <v>0</v>
      </c>
      <c r="BC249" s="421">
        <f t="shared" si="1214"/>
        <v>0</v>
      </c>
      <c r="BD249" s="76">
        <f t="shared" si="1214"/>
        <v>0</v>
      </c>
      <c r="BE249" s="76">
        <f t="shared" si="1214"/>
        <v>0</v>
      </c>
      <c r="BF249" s="76">
        <f t="shared" si="1214"/>
        <v>0</v>
      </c>
      <c r="BG249" s="76">
        <f t="shared" si="1214"/>
        <v>0</v>
      </c>
      <c r="BH249" s="76">
        <f t="shared" si="1214"/>
        <v>0</v>
      </c>
      <c r="BI249" s="76">
        <f t="shared" si="1214"/>
        <v>0</v>
      </c>
      <c r="BJ249" s="76" t="n">
        <f t="shared" ref="BJ249:BS250" si="1215">IF(BJ$227="","",BJ$228*$H249)</f>
        <v>0</v>
      </c>
      <c r="BK249" s="76">
        <f t="shared" si="1215"/>
        <v>0</v>
      </c>
      <c r="BL249" s="76">
        <f t="shared" si="1215"/>
        <v>0</v>
      </c>
      <c r="BM249" s="76">
        <f t="shared" si="1215"/>
        <v>0</v>
      </c>
      <c r="BN249" s="76">
        <f t="shared" si="1215"/>
        <v>0</v>
      </c>
      <c r="BO249" s="76">
        <f t="shared" si="1215"/>
        <v>0</v>
      </c>
      <c r="BP249" s="76">
        <f t="shared" si="1215"/>
        <v>0</v>
      </c>
      <c r="BQ249" s="76">
        <f t="shared" si="1215"/>
        <v>0</v>
      </c>
      <c r="BR249" s="76">
        <f t="shared" si="1215"/>
        <v>0</v>
      </c>
      <c r="BS249" s="76">
        <f t="shared" si="1215"/>
        <v>0</v>
      </c>
      <c r="BT249" s="76" t="n">
        <f t="shared" ref="BT249:CC250" si="1216">IF(BT$227="","",BT$228*$H249)</f>
        <v>0</v>
      </c>
      <c r="BU249" s="76">
        <f t="shared" si="1216"/>
        <v>0</v>
      </c>
      <c r="BV249" s="76" t="str">
        <f t="shared" si="1216"/>
      </c>
      <c r="BW249" s="76" t="str">
        <f t="shared" si="1216"/>
      </c>
      <c r="BX249" s="76" t="str">
        <f t="shared" si="1216"/>
      </c>
      <c r="BY249" s="76" t="str">
        <f t="shared" si="1216"/>
      </c>
      <c r="BZ249" s="76" t="str">
        <f t="shared" si="1216"/>
      </c>
      <c r="CA249" s="76" t="str">
        <f t="shared" si="1216"/>
      </c>
      <c r="CB249" s="76" t="str">
        <f t="shared" si="1216"/>
      </c>
      <c r="CC249" s="76" t="str">
        <f t="shared" si="1216"/>
      </c>
      <c r="CD249" s="76" t="str">
        <f t="shared" ref="CD249:CM250" si="1217">IF(CD$227="","",CD$228*$H249)</f>
      </c>
      <c r="CE249" s="76" t="str">
        <f t="shared" si="1217"/>
      </c>
      <c r="CF249" s="76" t="str">
        <f t="shared" si="1217"/>
      </c>
      <c r="CG249" s="76" t="str">
        <f t="shared" si="1217"/>
      </c>
      <c r="CH249" s="76" t="str">
        <f t="shared" si="1217"/>
      </c>
      <c r="CI249" s="76" t="str">
        <f t="shared" si="1217"/>
      </c>
      <c r="CJ249" s="76" t="str">
        <f t="shared" si="1217"/>
      </c>
      <c r="CK249" s="76" t="str">
        <f t="shared" si="1217"/>
      </c>
      <c r="CL249" s="76" t="str">
        <f t="shared" si="1217"/>
      </c>
      <c r="CM249" s="76" t="str">
        <f t="shared" si="1217"/>
      </c>
      <c r="CN249" s="76" t="str">
        <f t="shared" ref="CN249:CW250" si="1218">IF(CN$227="","",CN$228*$H249)</f>
      </c>
      <c r="CO249" s="76" t="str">
        <f t="shared" si="1218"/>
      </c>
      <c r="CP249" s="76" t="str">
        <f t="shared" si="1218"/>
      </c>
      <c r="CQ249" s="76" t="str">
        <f t="shared" si="1218"/>
      </c>
      <c r="CR249" s="76" t="str">
        <f t="shared" si="1218"/>
      </c>
      <c r="CS249" s="76" t="str">
        <f t="shared" si="1218"/>
      </c>
      <c r="CT249" s="76" t="str">
        <f t="shared" si="1218"/>
      </c>
      <c r="CU249" s="76" t="str">
        <f t="shared" si="1218"/>
      </c>
      <c r="CV249" s="76" t="str">
        <f t="shared" si="1218"/>
      </c>
      <c r="CW249" s="76" t="str">
        <f t="shared" si="1218"/>
      </c>
      <c r="CX249" s="76" t="str">
        <f t="shared" ref="CX249:DG250" si="1219">IF(CX$227="","",CX$228*$H249)</f>
      </c>
      <c r="CY249" s="76" t="str">
        <f t="shared" si="1219"/>
      </c>
      <c r="CZ249" s="76" t="str">
        <f t="shared" si="1219"/>
      </c>
      <c r="DA249" s="76" t="str">
        <f t="shared" si="1219"/>
      </c>
      <c r="DB249" s="76" t="str">
        <f t="shared" si="1219"/>
      </c>
      <c r="DC249" s="76" t="str">
        <f t="shared" si="1219"/>
      </c>
      <c r="DD249" s="76" t="str">
        <f t="shared" si="1219"/>
      </c>
      <c r="DE249" s="76" t="str">
        <f t="shared" si="1219"/>
      </c>
      <c r="DF249" s="76" t="str">
        <f t="shared" si="1219"/>
      </c>
      <c r="DG249" s="76" t="str">
        <f t="shared" si="1219"/>
      </c>
      <c r="DH249" s="76" t="str">
        <f t="shared" ref="DH249:DQ250" si="1220">IF(DH$227="","",DH$228*$H249)</f>
      </c>
      <c r="DI249" s="76" t="str">
        <f t="shared" si="1220"/>
      </c>
      <c r="DJ249" s="76" t="str">
        <f t="shared" si="1220"/>
      </c>
      <c r="DK249" s="76" t="str">
        <f t="shared" si="1220"/>
      </c>
      <c r="DL249" s="76" t="str">
        <f t="shared" si="1220"/>
      </c>
      <c r="DM249" s="76" t="str">
        <f t="shared" si="1220"/>
      </c>
      <c r="DN249" s="76" t="str">
        <f t="shared" si="1220"/>
      </c>
      <c r="DO249" s="76" t="str">
        <f t="shared" si="1220"/>
      </c>
      <c r="DP249" s="76" t="str">
        <f t="shared" si="1220"/>
      </c>
      <c r="DQ249" s="76" t="str">
        <f t="shared" si="1220"/>
      </c>
      <c r="DR249" s="76" t="str">
        <f t="shared" ref="DR249:EA250" si="1221">IF(DR$227="","",DR$228*$H249)</f>
      </c>
      <c r="DS249" s="76" t="str">
        <f t="shared" si="1221"/>
      </c>
      <c r="DT249" s="76" t="str">
        <f t="shared" si="1221"/>
      </c>
      <c r="DU249" s="76" t="str">
        <f t="shared" si="1221"/>
      </c>
      <c r="DV249" s="76" t="str">
        <f t="shared" si="1221"/>
      </c>
      <c r="DW249" s="76" t="str">
        <f t="shared" si="1221"/>
      </c>
      <c r="DX249" s="76" t="str">
        <f t="shared" si="1221"/>
      </c>
      <c r="DY249" s="76" t="str">
        <f t="shared" si="1221"/>
      </c>
      <c r="DZ249" s="76" t="str">
        <f t="shared" si="1221"/>
      </c>
      <c r="EA249" s="76" t="str">
        <f t="shared" si="1221"/>
      </c>
      <c r="EB249" s="76" t="str">
        <f t="shared" ref="EB249:EN250" si="1222">IF(EB$227="","",EB$228*$H249)</f>
      </c>
      <c r="EC249" s="76" t="str">
        <f t="shared" si="1222"/>
      </c>
      <c r="ED249" s="76" t="str">
        <f t="shared" si="1222"/>
      </c>
      <c r="EE249" s="76" t="str">
        <f t="shared" si="1222"/>
      </c>
      <c r="EF249" s="76" t="str">
        <f t="shared" si="1222"/>
      </c>
      <c r="EG249" s="76" t="str">
        <f t="shared" si="1222"/>
      </c>
      <c r="EH249" s="76" t="str">
        <f t="shared" si="1222"/>
      </c>
      <c r="EI249" s="76" t="str">
        <f t="shared" si="1222"/>
      </c>
      <c r="EJ249" s="76" t="str">
        <f t="shared" si="1222"/>
      </c>
      <c r="EK249" s="76" t="str">
        <f t="shared" si="1222"/>
      </c>
      <c r="EL249" s="76" t="str">
        <f t="shared" si="1222"/>
      </c>
      <c r="EM249" s="76" t="str">
        <f t="shared" si="1222"/>
      </c>
      <c r="EN249" s="76" t="str">
        <f t="shared" si="1222"/>
      </c>
      <c r="EP249" s="223" t="n">
        <f>F255</f>
        <v>0.12</v>
      </c>
      <c r="EQ249" s="18" t="s">
        <v>371</v>
      </c>
      <c r="ER249" s="18"/>
      <c r="ES249" s="18"/>
      <c r="ET249" s="18" t="s">
        <v>396</v>
      </c>
      <c r="EU249" s="18"/>
      <c r="EV249" s="422" t="n">
        <f t="shared" ref="EV249:GA249" si="1223">EV241</f>
        <v>0</v>
      </c>
      <c r="EW249" s="422">
        <f t="shared" si="1223"/>
        <v>19662.548016340177</v>
      </c>
      <c r="EX249" s="422">
        <f t="shared" si="1223"/>
        <v>6780.0541546613476</v>
      </c>
      <c r="EY249" s="422">
        <f t="shared" si="1223"/>
        <v>0</v>
      </c>
      <c r="EZ249" s="422">
        <f t="shared" si="1223"/>
        <v>0</v>
      </c>
      <c r="FA249" s="422">
        <f t="shared" si="1223"/>
        <v>0</v>
      </c>
      <c r="FB249" s="422">
        <f t="shared" si="1223"/>
        <v>0</v>
      </c>
      <c r="FC249" s="422">
        <f t="shared" si="1223"/>
        <v>0</v>
      </c>
      <c r="FD249" s="422">
        <f t="shared" si="1223"/>
        <v>0</v>
      </c>
      <c r="FE249" s="422">
        <f t="shared" si="1223"/>
        <v>0</v>
      </c>
      <c r="FF249" s="422">
        <f t="shared" si="1223"/>
        <v>0</v>
      </c>
      <c r="FG249" s="422">
        <f t="shared" si="1223"/>
        <v>0</v>
      </c>
      <c r="FH249" s="422">
        <f t="shared" si="1223"/>
        <v>0</v>
      </c>
      <c r="FI249" s="422">
        <f t="shared" si="1223"/>
        <v>0</v>
      </c>
      <c r="FJ249" s="422">
        <f t="shared" si="1223"/>
        <v>0</v>
      </c>
      <c r="FK249" s="422">
        <f t="shared" si="1223"/>
        <v>0</v>
      </c>
      <c r="FL249" s="422">
        <f t="shared" si="1223"/>
        <v>0</v>
      </c>
      <c r="FM249" s="422">
        <f t="shared" si="1223"/>
        <v>40523.178758486509</v>
      </c>
      <c r="FN249" s="422">
        <f t="shared" si="1223"/>
        <v>174090.04382157131</v>
      </c>
      <c r="FO249" s="422">
        <f t="shared" si="1223"/>
        <v>162006.44982493951</v>
      </c>
      <c r="FP249" s="422">
        <f t="shared" si="1223"/>
        <v>154278.16836244211</v>
      </c>
      <c r="FQ249" s="422">
        <f t="shared" si="1223"/>
        <v>184259.22520214817</v>
      </c>
      <c r="FR249" s="422">
        <f t="shared" si="1223"/>
        <v>177194.15204223376</v>
      </c>
      <c r="FS249" s="422">
        <f t="shared" si="1223"/>
        <v>170692.43346380457</v>
      </c>
      <c r="FT249" s="422">
        <f t="shared" si="1223"/>
        <v>179368.21540568696</v>
      </c>
      <c r="FU249" s="422">
        <f t="shared" si="1223"/>
        <v>174252.81925369884</v>
      </c>
      <c r="FV249" s="422">
        <f t="shared" si="1223"/>
        <v>169871.93328902582</v>
      </c>
      <c r="FW249" s="422">
        <f t="shared" si="1223"/>
        <v>175134.56781735166</v>
      </c>
      <c r="FX249" s="422">
        <f t="shared" si="1223"/>
        <v>142280.09242495635</v>
      </c>
      <c r="FY249" s="422">
        <f t="shared" si="1223"/>
        <v>74886.761639022734</v>
      </c>
      <c r="FZ249" s="422">
        <f t="shared" si="1223"/>
        <v>125458.19319800851</v>
      </c>
      <c r="GA249" s="422">
        <f t="shared" si="1223"/>
        <v>144263.63348914686</v>
      </c>
      <c r="GB249" s="422" t="n">
        <f t="shared" ref="GB249:HG249" si="1224">GB241</f>
        <v>158267.15141824906</v>
      </c>
      <c r="GC249" s="422">
        <f t="shared" si="1224"/>
        <v>168296.07201473101</v>
      </c>
      <c r="GD249" s="422">
        <f t="shared" si="1224"/>
        <v>187198.23731284705</v>
      </c>
      <c r="GE249" s="422">
        <f t="shared" si="1224"/>
        <v>191599.71106646673</v>
      </c>
      <c r="GF249" s="422">
        <f t="shared" si="1224"/>
        <v>194841.8092567978</v>
      </c>
      <c r="GG249" s="422">
        <f t="shared" si="1224"/>
        <v>174728.54429912902</v>
      </c>
      <c r="GH249" s="422">
        <f t="shared" si="1224"/>
        <v>174126.11985148679</v>
      </c>
      <c r="GI249" s="422">
        <f t="shared" si="1224"/>
        <v>173519.17722048727</v>
      </c>
      <c r="GJ249" s="422">
        <f t="shared" si="1224"/>
        <v>173207.871881434</v>
      </c>
      <c r="GK249" s="422">
        <f t="shared" si="1224"/>
        <v>172591.79097044648</v>
      </c>
      <c r="GL249" s="422">
        <f t="shared" si="1224"/>
        <v>171971.08945262656</v>
      </c>
      <c r="GM249" s="422">
        <f t="shared" si="1224"/>
        <v>179141.52805734021</v>
      </c>
      <c r="GN249" s="422">
        <f t="shared" si="1224"/>
        <v>178511.48110229263</v>
      </c>
      <c r="GO249" s="422">
        <f t="shared" si="1224"/>
        <v>177876.70879508229</v>
      </c>
      <c r="GP249" s="422">
        <f t="shared" si="1224"/>
        <v>178621.34548723436</v>
      </c>
      <c r="GQ249" s="422">
        <f t="shared" si="1224"/>
        <v>177977.01588947349</v>
      </c>
      <c r="GR249" s="422">
        <f t="shared" si="1224"/>
        <v>177327.85381972938</v>
      </c>
      <c r="GS249" s="422">
        <f t="shared" si="1224"/>
        <v>170332.11245273732</v>
      </c>
      <c r="GT249" s="422">
        <f t="shared" si="1224"/>
        <v>169673.17643658066</v>
      </c>
      <c r="GU249" s="422">
        <f t="shared" si="1224"/>
        <v>169009.29840030277</v>
      </c>
      <c r="GV249" s="422">
        <f t="shared" si="1224"/>
        <v>168640.12768500287</v>
      </c>
      <c r="GW249" s="422">
        <f t="shared" si="1224"/>
        <v>167966.25413504138</v>
      </c>
      <c r="GX249" s="422">
        <f t="shared" si="1224"/>
        <v>167287.32653345514</v>
      </c>
      <c r="GY249" s="422">
        <f t="shared" si="1224"/>
        <v>173659.20662878925</v>
      </c>
      <c r="GZ249" s="422">
        <f t="shared" si="1224"/>
        <v>172970.05692350163</v>
      </c>
      <c r="HA249" s="422">
        <f t="shared" si="1224"/>
        <v>172275.73859542437</v>
      </c>
      <c r="HB249" s="422">
        <f t="shared" si="1224"/>
        <v>173008.82861426138</v>
      </c>
      <c r="HC249" s="422">
        <f t="shared" si="1224"/>
        <v>172304.05645585703</v>
      </c>
      <c r="HD249" s="422">
        <f t="shared" si="1224"/>
        <v>171593.99850626464</v>
      </c>
      <c r="HE249" s="422">
        <f t="shared" si="1224"/>
        <v>4625743.4659106061</v>
      </c>
      <c r="HF249" s="422">
        <f t="shared" si="1224"/>
        <v>0</v>
      </c>
      <c r="HG249" s="422">
        <f t="shared" si="1224"/>
        <v>0</v>
      </c>
      <c r="HH249" s="422" t="n">
        <f t="shared" ref="HH249:IM249" si="1225">HH241</f>
        <v>0</v>
      </c>
      <c r="HI249" s="422">
        <f t="shared" si="1225"/>
        <v>0</v>
      </c>
      <c r="HJ249" s="422">
        <f t="shared" si="1225"/>
        <v>0</v>
      </c>
      <c r="HK249" s="422">
        <f t="shared" si="1225"/>
        <v>0</v>
      </c>
      <c r="HL249" s="422">
        <f t="shared" si="1225"/>
        <v>0</v>
      </c>
      <c r="HM249" s="422">
        <f t="shared" si="1225"/>
        <v>0</v>
      </c>
      <c r="HN249" s="422">
        <f t="shared" si="1225"/>
        <v>0</v>
      </c>
      <c r="HO249" s="422">
        <f t="shared" si="1225"/>
        <v>0</v>
      </c>
      <c r="HP249" s="422">
        <f t="shared" si="1225"/>
        <v>0</v>
      </c>
      <c r="HQ249" s="422">
        <f t="shared" si="1225"/>
        <v>0</v>
      </c>
      <c r="HR249" s="422">
        <f t="shared" si="1225"/>
        <v>0</v>
      </c>
      <c r="HS249" s="422">
        <f t="shared" si="1225"/>
        <v>0</v>
      </c>
      <c r="HT249" s="422">
        <f t="shared" si="1225"/>
        <v>0</v>
      </c>
      <c r="HU249" s="422">
        <f t="shared" si="1225"/>
        <v>0</v>
      </c>
      <c r="HV249" s="422">
        <f t="shared" si="1225"/>
        <v>0</v>
      </c>
      <c r="HW249" s="422">
        <f t="shared" si="1225"/>
        <v>0</v>
      </c>
      <c r="HX249" s="422">
        <f t="shared" si="1225"/>
        <v>0</v>
      </c>
      <c r="HY249" s="422">
        <f t="shared" si="1225"/>
        <v>0</v>
      </c>
      <c r="HZ249" s="422">
        <f t="shared" si="1225"/>
        <v>0</v>
      </c>
      <c r="IA249" s="422">
        <f t="shared" si="1225"/>
        <v>0</v>
      </c>
      <c r="IB249" s="422">
        <f t="shared" si="1225"/>
        <v>0</v>
      </c>
      <c r="IC249" s="422">
        <f t="shared" si="1225"/>
        <v>0</v>
      </c>
      <c r="ID249" s="422">
        <f t="shared" si="1225"/>
        <v>0</v>
      </c>
      <c r="IE249" s="422">
        <f t="shared" si="1225"/>
        <v>0</v>
      </c>
      <c r="IF249" s="422">
        <f t="shared" si="1225"/>
        <v>0</v>
      </c>
      <c r="IG249" s="422">
        <f t="shared" si="1225"/>
        <v>0</v>
      </c>
      <c r="IH249" s="422">
        <f t="shared" si="1225"/>
        <v>0</v>
      </c>
      <c r="II249" s="422">
        <f t="shared" si="1225"/>
        <v>0</v>
      </c>
      <c r="IJ249" s="422">
        <f t="shared" si="1225"/>
        <v>0</v>
      </c>
      <c r="IK249" s="422">
        <f t="shared" si="1225"/>
        <v>0</v>
      </c>
      <c r="IL249" s="422">
        <f t="shared" si="1225"/>
        <v>0</v>
      </c>
      <c r="IM249" s="422">
        <f t="shared" si="1225"/>
        <v>0</v>
      </c>
      <c r="IN249" s="422" t="n">
        <f t="shared" ref="IN249:JX249" si="1226">IN241</f>
        <v>0</v>
      </c>
      <c r="IO249" s="422">
        <f t="shared" si="1226"/>
        <v>0</v>
      </c>
      <c r="IP249" s="422">
        <f t="shared" si="1226"/>
        <v>0</v>
      </c>
      <c r="IQ249" s="422">
        <f t="shared" si="1226"/>
        <v>0</v>
      </c>
      <c r="IR249" s="422">
        <f t="shared" si="1226"/>
        <v>0</v>
      </c>
      <c r="IS249" s="422">
        <f t="shared" si="1226"/>
        <v>0</v>
      </c>
      <c r="IT249" s="422">
        <f t="shared" si="1226"/>
        <v>0</v>
      </c>
      <c r="IU249" s="422">
        <f t="shared" si="1226"/>
        <v>0</v>
      </c>
      <c r="IV249" s="422">
        <f t="shared" si="1226"/>
        <v>0</v>
      </c>
      <c r="IW249" s="422">
        <f t="shared" si="1226"/>
        <v>0</v>
      </c>
      <c r="IX249" s="422">
        <f t="shared" si="1226"/>
        <v>0</v>
      </c>
      <c r="IY249" s="422">
        <f t="shared" si="1226"/>
        <v>0</v>
      </c>
      <c r="IZ249" s="422">
        <f t="shared" si="1226"/>
        <v>0</v>
      </c>
      <c r="JA249" s="422">
        <f t="shared" si="1226"/>
        <v>0</v>
      </c>
      <c r="JB249" s="422">
        <f t="shared" si="1226"/>
        <v>0</v>
      </c>
      <c r="JC249" s="422">
        <f t="shared" si="1226"/>
        <v>0</v>
      </c>
      <c r="JD249" s="422">
        <f t="shared" si="1226"/>
        <v>0</v>
      </c>
      <c r="JE249" s="422">
        <f t="shared" si="1226"/>
        <v>0</v>
      </c>
      <c r="JF249" s="422">
        <f t="shared" si="1226"/>
        <v>0</v>
      </c>
      <c r="JG249" s="422">
        <f t="shared" si="1226"/>
        <v>0</v>
      </c>
      <c r="JH249" s="422">
        <f t="shared" si="1226"/>
        <v>0</v>
      </c>
      <c r="JI249" s="422">
        <f t="shared" si="1226"/>
        <v>0</v>
      </c>
      <c r="JJ249" s="422">
        <f t="shared" si="1226"/>
        <v>0</v>
      </c>
      <c r="JK249" s="422">
        <f t="shared" si="1226"/>
        <v>0</v>
      </c>
      <c r="JL249" s="422">
        <f t="shared" si="1226"/>
        <v>0</v>
      </c>
      <c r="JM249" s="422">
        <f t="shared" si="1226"/>
        <v>0</v>
      </c>
      <c r="JN249" s="422">
        <f t="shared" si="1226"/>
        <v>0</v>
      </c>
      <c r="JO249" s="422">
        <f t="shared" si="1226"/>
        <v>0</v>
      </c>
      <c r="JP249" s="422">
        <f t="shared" si="1226"/>
        <v>0</v>
      </c>
      <c r="JQ249" s="422">
        <f t="shared" si="1226"/>
        <v>0</v>
      </c>
      <c r="JR249" s="422">
        <f t="shared" si="1226"/>
        <v>0</v>
      </c>
      <c r="JS249" s="422">
        <f t="shared" si="1226"/>
        <v>0</v>
      </c>
      <c r="JT249" s="422">
        <f t="shared" si="1226"/>
        <v>0</v>
      </c>
      <c r="JU249" s="422">
        <f t="shared" si="1226"/>
        <v>0</v>
      </c>
      <c r="JV249" s="422">
        <f t="shared" si="1226"/>
        <v>0</v>
      </c>
      <c r="JW249" s="422">
        <f t="shared" si="1226"/>
        <v>0</v>
      </c>
      <c r="JX249" s="422">
        <f t="shared" si="1226"/>
        <v>0</v>
      </c>
      <c r="JZ249" s="263"/>
      <c r="KA249" s="263"/>
      <c r="KB249" s="263"/>
      <c r="KC249" s="263"/>
      <c r="KD249" s="263"/>
      <c r="KE249" s="263"/>
      <c r="KF249" s="263"/>
      <c r="KG249" s="263"/>
      <c r="KH249" s="263"/>
      <c r="KI249" s="263"/>
      <c r="KJ249" s="263"/>
      <c r="KK249" s="263"/>
      <c r="KL249" s="263"/>
      <c r="KM249" s="263"/>
      <c r="KN249" s="263"/>
      <c r="KO249" s="263"/>
      <c r="KP249" s="263"/>
      <c r="KQ249" s="263"/>
      <c r="KR249" s="263"/>
      <c r="KS249" s="263"/>
      <c r="KT249" s="263"/>
      <c r="KU249" s="263"/>
      <c r="KV249" s="263"/>
      <c r="KW249" s="263"/>
      <c r="KX249" s="263"/>
      <c r="KY249" s="263"/>
      <c r="KZ249" s="263"/>
      <c r="LA249" s="263"/>
      <c r="LB249" s="263"/>
      <c r="LC249" s="263"/>
      <c r="LD249" s="263"/>
      <c r="LE249" s="263"/>
      <c r="LF249" s="263"/>
      <c r="LG249" s="263"/>
      <c r="LH249" s="263"/>
      <c r="LI249" s="263"/>
      <c r="LJ249" s="263"/>
      <c r="LK249" s="263"/>
      <c r="LL249" s="263"/>
      <c r="LM249" s="263"/>
      <c r="LN249" s="263"/>
      <c r="LO249" s="263"/>
      <c r="LP249" s="263"/>
      <c r="LQ249" s="263"/>
      <c r="LR249" s="263"/>
      <c r="LS249" s="263"/>
      <c r="LT249" s="263"/>
      <c r="LU249" s="263"/>
      <c r="LV249" s="263"/>
      <c r="LW249" s="263"/>
      <c r="LX249" s="263"/>
      <c r="LY249" s="263"/>
      <c r="LZ249" s="263"/>
      <c r="MA249" s="263"/>
      <c r="MB249" s="263"/>
      <c r="MC249" s="263"/>
      <c r="MD249" s="263"/>
      <c r="ME249" s="263"/>
      <c r="MF249" s="263"/>
      <c r="MG249" s="263"/>
      <c r="MH249" s="263"/>
      <c r="MI249" s="263"/>
      <c r="MJ249" s="263"/>
      <c r="MK249" s="263"/>
      <c r="ML249" s="263"/>
      <c r="MM249" s="263"/>
      <c r="MN249" s="263"/>
      <c r="MO249" s="263"/>
      <c r="MP249" s="263"/>
      <c r="MQ249" s="263"/>
      <c r="MR249" s="263"/>
      <c r="MS249" s="263"/>
      <c r="MT249" s="263"/>
      <c r="MU249" s="263"/>
      <c r="MV249" s="263"/>
      <c r="MW249" s="263"/>
      <c r="MX249" s="263"/>
      <c r="MY249" s="263"/>
      <c r="MZ249" s="263"/>
      <c r="NA249" s="263"/>
      <c r="NB249" s="263"/>
      <c r="NC249" s="263"/>
      <c r="ND249" s="263"/>
      <c r="NE249" s="263"/>
      <c r="NF249" s="263"/>
      <c r="NG249" s="263"/>
      <c r="NH249" s="263"/>
      <c r="NI249" s="263"/>
      <c r="NJ249" s="263"/>
      <c r="NK249" s="263"/>
      <c r="NL249" s="263"/>
      <c r="NM249" s="263"/>
      <c r="NN249" s="263"/>
      <c r="NO249" s="263"/>
      <c r="NP249" s="263"/>
      <c r="NQ249" s="263"/>
      <c r="NR249" s="263"/>
      <c r="NS249" s="263"/>
      <c r="NT249" s="263"/>
      <c r="NU249" s="263"/>
      <c r="NV249" s="263"/>
      <c r="NW249" s="263"/>
      <c r="NX249" s="263"/>
      <c r="NY249" s="263"/>
      <c r="NZ249" s="263"/>
      <c r="OA249" s="263"/>
      <c r="OB249" s="263"/>
      <c r="OC249" s="263"/>
      <c r="OD249" s="263"/>
      <c r="OE249" s="263"/>
      <c r="OF249" s="263"/>
      <c r="OG249" s="263"/>
      <c r="OH249" s="263"/>
      <c r="OI249" s="263"/>
      <c r="OJ249" s="263"/>
      <c r="OK249" s="263"/>
      <c r="OL249" s="263"/>
      <c r="OM249" s="263"/>
      <c r="ON249" s="263"/>
      <c r="OO249" s="263"/>
      <c r="OP249" s="263"/>
      <c r="OQ249" s="263"/>
      <c r="OR249" s="263"/>
      <c r="OS249" s="263"/>
      <c r="OT249" s="263"/>
      <c r="OU249" s="263"/>
      <c r="OV249" s="263"/>
      <c r="OW249" s="263"/>
      <c r="OX249" s="263"/>
      <c r="OY249" s="263"/>
      <c r="OZ249" s="263"/>
      <c r="PA249" s="263"/>
      <c r="PB249" s="263"/>
      <c r="PC249" s="263"/>
      <c r="PD249" s="263"/>
      <c r="PE249" s="263"/>
      <c r="PF249" s="263"/>
      <c r="PG249" s="263"/>
      <c r="PH249" s="263"/>
    </row>
    <row r="250">
      <c r="B250" s="415" t="s">
        <v>450</v>
      </c>
      <c r="C250" s="549" t="s">
        <v>451</v>
      </c>
      <c r="D250" s="401"/>
      <c r="E250" s="55" t="n">
        <f>1-E249</f>
        <v>0.95</v>
      </c>
      <c r="F250" s="84"/>
      <c r="G250" s="401"/>
      <c r="H250" s="55" t="n">
        <f>1-H249</f>
        <v>0.95</v>
      </c>
      <c r="I250" s="424" t="n">
        <f>SUM(L250:EN250)</f>
        <v>8948612.838066373</v>
      </c>
      <c r="L250" s="426">
        <f t="shared" si="1210"/>
        <v>4134152.6629957748</v>
      </c>
      <c r="M250" s="426">
        <f t="shared" si="1210"/>
        <v>0</v>
      </c>
      <c r="N250" s="426">
        <f t="shared" si="1210"/>
        <v>0</v>
      </c>
      <c r="O250" s="426">
        <f t="shared" si="1210"/>
        <v>11618.26718323235</v>
      </c>
      <c r="P250" s="426">
        <f t="shared" si="1210"/>
        <v>37108.516622138202</v>
      </c>
      <c r="Q250" s="426">
        <f t="shared" si="1210"/>
        <v>76779.204522163025</v>
      </c>
      <c r="R250" s="426">
        <f t="shared" si="1210"/>
        <v>88120.69868067847</v>
      </c>
      <c r="S250" s="426">
        <f t="shared" si="1210"/>
        <v>144246.17019629222</v>
      </c>
      <c r="T250" s="426">
        <f t="shared" si="1210"/>
        <v>212594.42487738322</v>
      </c>
      <c r="U250" s="426">
        <f t="shared" si="1210"/>
        <v>292940.95619309251</v>
      </c>
      <c r="V250" s="426">
        <f t="shared" si="1211"/>
        <v>383931.71342575242</v>
      </c>
      <c r="W250" s="426">
        <f t="shared" si="1211"/>
        <v>482924.57619608339</v>
      </c>
      <c r="X250" s="426">
        <f t="shared" si="1211"/>
        <v>585974.9811186716</v>
      </c>
      <c r="Y250" s="426">
        <f t="shared" si="1211"/>
        <v>688003.65592537448</v>
      </c>
      <c r="Z250" s="426">
        <f t="shared" si="1211"/>
        <v>783157.16387206223</v>
      </c>
      <c r="AA250" s="426">
        <f t="shared" si="1211"/>
        <v>865336.50554752466</v>
      </c>
      <c r="AB250" s="426">
        <f t="shared" si="1211"/>
        <v>161723.34071015019</v>
      </c>
      <c r="AC250" s="426">
        <f t="shared" si="1211"/>
        <v>0</v>
      </c>
      <c r="AD250" s="426">
        <f t="shared" si="1211"/>
        <v>0</v>
      </c>
      <c r="AE250" s="426">
        <f t="shared" si="1211"/>
        <v>0</v>
      </c>
      <c r="AF250" s="426">
        <f t="shared" si="1212"/>
        <v>0</v>
      </c>
      <c r="AG250" s="426">
        <f t="shared" si="1212"/>
        <v>0</v>
      </c>
      <c r="AH250" s="426">
        <f t="shared" si="1212"/>
        <v>0</v>
      </c>
      <c r="AI250" s="426">
        <f t="shared" si="1212"/>
        <v>0</v>
      </c>
      <c r="AJ250" s="426">
        <f t="shared" si="1212"/>
        <v>0</v>
      </c>
      <c r="AK250" s="426">
        <f t="shared" si="1212"/>
        <v>0</v>
      </c>
      <c r="AL250" s="426">
        <f t="shared" si="1212"/>
        <v>0</v>
      </c>
      <c r="AM250" s="426">
        <f t="shared" si="1212"/>
        <v>0</v>
      </c>
      <c r="AN250" s="426">
        <f t="shared" si="1212"/>
        <v>0</v>
      </c>
      <c r="AO250" s="426">
        <f t="shared" si="1212"/>
        <v>0</v>
      </c>
      <c r="AP250" s="426">
        <f t="shared" si="1213"/>
        <v>0</v>
      </c>
      <c r="AQ250" s="426">
        <f t="shared" si="1213"/>
        <v>0</v>
      </c>
      <c r="AR250" s="426">
        <f t="shared" si="1213"/>
        <v>0</v>
      </c>
      <c r="AS250" s="426">
        <f t="shared" si="1213"/>
        <v>0</v>
      </c>
      <c r="AT250" s="426">
        <f t="shared" si="1213"/>
        <v>0</v>
      </c>
      <c r="AU250" s="426">
        <f t="shared" si="1213"/>
        <v>0</v>
      </c>
      <c r="AV250" s="426">
        <f t="shared" si="1213"/>
        <v>0</v>
      </c>
      <c r="AW250" s="426">
        <f t="shared" si="1213"/>
        <v>0</v>
      </c>
      <c r="AX250" s="426">
        <f t="shared" si="1213"/>
        <v>0</v>
      </c>
      <c r="AY250" s="426">
        <f t="shared" si="1213"/>
        <v>0</v>
      </c>
      <c r="AZ250" s="426">
        <f t="shared" si="1214"/>
        <v>0</v>
      </c>
      <c r="BA250" s="426">
        <f t="shared" si="1214"/>
        <v>0</v>
      </c>
      <c r="BB250" s="426">
        <f t="shared" si="1214"/>
        <v>0</v>
      </c>
      <c r="BC250" s="426">
        <f t="shared" si="1214"/>
        <v>0</v>
      </c>
      <c r="BD250" s="203">
        <f t="shared" si="1214"/>
        <v>0</v>
      </c>
      <c r="BE250" s="203">
        <f t="shared" si="1214"/>
        <v>0</v>
      </c>
      <c r="BF250" s="203">
        <f t="shared" si="1214"/>
        <v>0</v>
      </c>
      <c r="BG250" s="203">
        <f t="shared" si="1214"/>
        <v>0</v>
      </c>
      <c r="BH250" s="203">
        <f t="shared" si="1214"/>
        <v>0</v>
      </c>
      <c r="BI250" s="203">
        <f t="shared" si="1214"/>
        <v>0</v>
      </c>
      <c r="BJ250" s="203">
        <f t="shared" si="1215"/>
        <v>0</v>
      </c>
      <c r="BK250" s="203">
        <f t="shared" si="1215"/>
        <v>0</v>
      </c>
      <c r="BL250" s="203">
        <f t="shared" si="1215"/>
        <v>0</v>
      </c>
      <c r="BM250" s="203">
        <f t="shared" si="1215"/>
        <v>0</v>
      </c>
      <c r="BN250" s="203">
        <f t="shared" si="1215"/>
        <v>0</v>
      </c>
      <c r="BO250" s="203">
        <f t="shared" si="1215"/>
        <v>0</v>
      </c>
      <c r="BP250" s="203">
        <f t="shared" si="1215"/>
        <v>0</v>
      </c>
      <c r="BQ250" s="203">
        <f t="shared" si="1215"/>
        <v>0</v>
      </c>
      <c r="BR250" s="203">
        <f t="shared" si="1215"/>
        <v>0</v>
      </c>
      <c r="BS250" s="203">
        <f t="shared" si="1215"/>
        <v>0</v>
      </c>
      <c r="BT250" s="203">
        <f t="shared" si="1216"/>
        <v>0</v>
      </c>
      <c r="BU250" s="203">
        <f t="shared" si="1216"/>
        <v>0</v>
      </c>
      <c r="BV250" s="203" t="str">
        <f t="shared" si="1216"/>
      </c>
      <c r="BW250" s="203" t="str">
        <f t="shared" si="1216"/>
      </c>
      <c r="BX250" s="203" t="str">
        <f t="shared" si="1216"/>
      </c>
      <c r="BY250" s="203" t="str">
        <f t="shared" si="1216"/>
      </c>
      <c r="BZ250" s="203" t="str">
        <f t="shared" si="1216"/>
      </c>
      <c r="CA250" s="203" t="str">
        <f t="shared" si="1216"/>
      </c>
      <c r="CB250" s="203" t="str">
        <f t="shared" si="1216"/>
      </c>
      <c r="CC250" s="203" t="str">
        <f t="shared" si="1216"/>
      </c>
      <c r="CD250" s="203" t="str">
        <f t="shared" si="1217"/>
      </c>
      <c r="CE250" s="203" t="str">
        <f t="shared" si="1217"/>
      </c>
      <c r="CF250" s="203" t="str">
        <f t="shared" si="1217"/>
      </c>
      <c r="CG250" s="203" t="str">
        <f t="shared" si="1217"/>
      </c>
      <c r="CH250" s="203" t="str">
        <f t="shared" si="1217"/>
      </c>
      <c r="CI250" s="203" t="str">
        <f t="shared" si="1217"/>
      </c>
      <c r="CJ250" s="203" t="str">
        <f t="shared" si="1217"/>
      </c>
      <c r="CK250" s="203" t="str">
        <f t="shared" si="1217"/>
      </c>
      <c r="CL250" s="203" t="str">
        <f t="shared" si="1217"/>
      </c>
      <c r="CM250" s="203" t="str">
        <f t="shared" si="1217"/>
      </c>
      <c r="CN250" s="203" t="str">
        <f t="shared" si="1218"/>
      </c>
      <c r="CO250" s="203" t="str">
        <f t="shared" si="1218"/>
      </c>
      <c r="CP250" s="203" t="str">
        <f t="shared" si="1218"/>
      </c>
      <c r="CQ250" s="203" t="str">
        <f t="shared" si="1218"/>
      </c>
      <c r="CR250" s="203" t="str">
        <f t="shared" si="1218"/>
      </c>
      <c r="CS250" s="203" t="str">
        <f t="shared" si="1218"/>
      </c>
      <c r="CT250" s="203" t="str">
        <f t="shared" si="1218"/>
      </c>
      <c r="CU250" s="203" t="str">
        <f t="shared" si="1218"/>
      </c>
      <c r="CV250" s="203" t="str">
        <f t="shared" si="1218"/>
      </c>
      <c r="CW250" s="203" t="str">
        <f t="shared" si="1218"/>
      </c>
      <c r="CX250" s="203" t="str">
        <f t="shared" si="1219"/>
      </c>
      <c r="CY250" s="203" t="str">
        <f t="shared" si="1219"/>
      </c>
      <c r="CZ250" s="203" t="str">
        <f t="shared" si="1219"/>
      </c>
      <c r="DA250" s="203" t="str">
        <f t="shared" si="1219"/>
      </c>
      <c r="DB250" s="203" t="str">
        <f t="shared" si="1219"/>
      </c>
      <c r="DC250" s="203" t="str">
        <f t="shared" si="1219"/>
      </c>
      <c r="DD250" s="203" t="str">
        <f t="shared" si="1219"/>
      </c>
      <c r="DE250" s="203" t="str">
        <f t="shared" si="1219"/>
      </c>
      <c r="DF250" s="203" t="str">
        <f t="shared" si="1219"/>
      </c>
      <c r="DG250" s="203" t="str">
        <f t="shared" si="1219"/>
      </c>
      <c r="DH250" s="203" t="str">
        <f t="shared" si="1220"/>
      </c>
      <c r="DI250" s="203" t="str">
        <f t="shared" si="1220"/>
      </c>
      <c r="DJ250" s="203" t="str">
        <f t="shared" si="1220"/>
      </c>
      <c r="DK250" s="203" t="str">
        <f t="shared" si="1220"/>
      </c>
      <c r="DL250" s="203" t="str">
        <f t="shared" si="1220"/>
      </c>
      <c r="DM250" s="203" t="str">
        <f t="shared" si="1220"/>
      </c>
      <c r="DN250" s="203" t="str">
        <f t="shared" si="1220"/>
      </c>
      <c r="DO250" s="203" t="str">
        <f t="shared" si="1220"/>
      </c>
      <c r="DP250" s="203" t="str">
        <f t="shared" si="1220"/>
      </c>
      <c r="DQ250" s="203" t="str">
        <f t="shared" si="1220"/>
      </c>
      <c r="DR250" s="203" t="str">
        <f t="shared" si="1221"/>
      </c>
      <c r="DS250" s="203" t="str">
        <f t="shared" si="1221"/>
      </c>
      <c r="DT250" s="203" t="str">
        <f t="shared" si="1221"/>
      </c>
      <c r="DU250" s="203" t="str">
        <f t="shared" si="1221"/>
      </c>
      <c r="DV250" s="203" t="str">
        <f t="shared" si="1221"/>
      </c>
      <c r="DW250" s="203" t="str">
        <f t="shared" si="1221"/>
      </c>
      <c r="DX250" s="203" t="str">
        <f t="shared" si="1221"/>
      </c>
      <c r="DY250" s="203" t="str">
        <f t="shared" si="1221"/>
      </c>
      <c r="DZ250" s="203" t="str">
        <f t="shared" si="1221"/>
      </c>
      <c r="EA250" s="203" t="str">
        <f t="shared" si="1221"/>
      </c>
      <c r="EB250" s="203" t="str">
        <f t="shared" si="1222"/>
      </c>
      <c r="EC250" s="203" t="str">
        <f t="shared" si="1222"/>
      </c>
      <c r="ED250" s="203" t="str">
        <f t="shared" si="1222"/>
      </c>
      <c r="EE250" s="203" t="str">
        <f t="shared" si="1222"/>
      </c>
      <c r="EF250" s="203" t="str">
        <f t="shared" si="1222"/>
      </c>
      <c r="EG250" s="203" t="str">
        <f t="shared" si="1222"/>
      </c>
      <c r="EH250" s="203" t="str">
        <f t="shared" si="1222"/>
      </c>
      <c r="EI250" s="203" t="str">
        <f t="shared" si="1222"/>
      </c>
      <c r="EJ250" s="203" t="str">
        <f t="shared" si="1222"/>
      </c>
      <c r="EK250" s="203" t="str">
        <f t="shared" si="1222"/>
      </c>
      <c r="EL250" s="203" t="str">
        <f t="shared" si="1222"/>
      </c>
      <c r="EM250" s="203" t="str">
        <f t="shared" si="1222"/>
      </c>
      <c r="EN250" s="203" t="str">
        <f t="shared" si="1222"/>
      </c>
      <c r="EP250" s="409"/>
      <c r="EQ250" s="18"/>
      <c r="ER250" s="18"/>
      <c r="ES250" s="18"/>
      <c r="ET250" s="18" t="s">
        <v>452</v>
      </c>
      <c r="EU250" s="18"/>
      <c r="EV250" s="422" t="n">
        <f t="shared" ref="EV250:GA250" si="1227">(EV$197&lt;=Timing_Reversion_Month)*(MIN(EV247+EV248-EV249,MAX(EV246,0)*$I$255))</f>
        <v>0</v>
      </c>
      <c r="EW250" s="422">
        <f t="shared" si="1227"/>
        <v>0</v>
      </c>
      <c r="EX250" s="422">
        <f t="shared" si="1227"/>
        <v>7.3441697168163955E-13</v>
      </c>
      <c r="EY250" s="422">
        <f t="shared" si="1227"/>
        <v>0</v>
      </c>
      <c r="EZ250" s="422">
        <f t="shared" si="1227"/>
        <v>0</v>
      </c>
      <c r="FA250" s="422">
        <f t="shared" si="1227"/>
        <v>0</v>
      </c>
      <c r="FB250" s="422">
        <f t="shared" si="1227"/>
        <v>0</v>
      </c>
      <c r="FC250" s="422">
        <f t="shared" si="1227"/>
        <v>0</v>
      </c>
      <c r="FD250" s="422">
        <f t="shared" si="1227"/>
        <v>0</v>
      </c>
      <c r="FE250" s="422">
        <f t="shared" si="1227"/>
        <v>0</v>
      </c>
      <c r="FF250" s="422">
        <f t="shared" si="1227"/>
        <v>0</v>
      </c>
      <c r="FG250" s="422">
        <f t="shared" si="1227"/>
        <v>0</v>
      </c>
      <c r="FH250" s="422">
        <f t="shared" si="1227"/>
        <v>0</v>
      </c>
      <c r="FI250" s="422">
        <f t="shared" si="1227"/>
        <v>0</v>
      </c>
      <c r="FJ250" s="422">
        <f t="shared" si="1227"/>
        <v>0</v>
      </c>
      <c r="FK250" s="422">
        <f t="shared" si="1227"/>
        <v>0</v>
      </c>
      <c r="FL250" s="422">
        <f t="shared" si="1227"/>
        <v>0</v>
      </c>
      <c r="FM250" s="422">
        <f t="shared" si="1227"/>
        <v>0</v>
      </c>
      <c r="FN250" s="422">
        <f t="shared" si="1227"/>
        <v>0</v>
      </c>
      <c r="FO250" s="422">
        <f t="shared" si="1227"/>
        <v>0</v>
      </c>
      <c r="FP250" s="422">
        <f t="shared" si="1227"/>
        <v>2.3501343093812466E-11</v>
      </c>
      <c r="FQ250" s="422">
        <f t="shared" si="1227"/>
        <v>0</v>
      </c>
      <c r="FR250" s="422">
        <f t="shared" si="1227"/>
        <v>0</v>
      </c>
      <c r="FS250" s="422">
        <f t="shared" si="1227"/>
        <v>0</v>
      </c>
      <c r="FT250" s="422">
        <f t="shared" si="1227"/>
        <v>0</v>
      </c>
      <c r="FU250" s="422">
        <f t="shared" si="1227"/>
        <v>0</v>
      </c>
      <c r="FV250" s="422">
        <f t="shared" si="1227"/>
        <v>0</v>
      </c>
      <c r="FW250" s="422">
        <f t="shared" si="1227"/>
        <v>0</v>
      </c>
      <c r="FX250" s="422">
        <f t="shared" si="1227"/>
        <v>2.3501343093812466E-11</v>
      </c>
      <c r="FY250" s="422">
        <f t="shared" si="1227"/>
        <v>0</v>
      </c>
      <c r="FZ250" s="422">
        <f t="shared" si="1227"/>
        <v>0</v>
      </c>
      <c r="GA250" s="422">
        <f t="shared" si="1227"/>
        <v>0</v>
      </c>
      <c r="GB250" s="422" t="n">
        <f t="shared" ref="GB250:HG250" si="1228">(GB$197&lt;=Timing_Reversion_Month)*(MIN(GB247+GB248-GB249,MAX(GB246,0)*$I$255))</f>
        <v>0</v>
      </c>
      <c r="GC250" s="422">
        <f t="shared" si="1228"/>
        <v>0</v>
      </c>
      <c r="GD250" s="422">
        <f t="shared" si="1228"/>
        <v>0</v>
      </c>
      <c r="GE250" s="422">
        <f t="shared" si="1228"/>
        <v>2.3501343093812466E-11</v>
      </c>
      <c r="GF250" s="422">
        <f t="shared" si="1228"/>
        <v>0</v>
      </c>
      <c r="GG250" s="422">
        <f t="shared" si="1228"/>
        <v>0</v>
      </c>
      <c r="GH250" s="422">
        <f t="shared" si="1228"/>
        <v>0</v>
      </c>
      <c r="GI250" s="422">
        <f t="shared" si="1228"/>
        <v>0</v>
      </c>
      <c r="GJ250" s="422">
        <f t="shared" si="1228"/>
        <v>2.3501343093812466E-11</v>
      </c>
      <c r="GK250" s="422">
        <f t="shared" si="1228"/>
        <v>0</v>
      </c>
      <c r="GL250" s="422">
        <f t="shared" si="1228"/>
        <v>2.3501343093812466E-11</v>
      </c>
      <c r="GM250" s="422">
        <f t="shared" si="1228"/>
        <v>2.3501343093812466E-11</v>
      </c>
      <c r="GN250" s="422">
        <f t="shared" si="1228"/>
        <v>0</v>
      </c>
      <c r="GO250" s="422">
        <f t="shared" si="1228"/>
        <v>0</v>
      </c>
      <c r="GP250" s="422">
        <f t="shared" si="1228"/>
        <v>0</v>
      </c>
      <c r="GQ250" s="422">
        <f t="shared" si="1228"/>
        <v>0</v>
      </c>
      <c r="GR250" s="422">
        <f t="shared" si="1228"/>
        <v>0</v>
      </c>
      <c r="GS250" s="422">
        <f t="shared" si="1228"/>
        <v>0</v>
      </c>
      <c r="GT250" s="422">
        <f t="shared" si="1228"/>
        <v>0</v>
      </c>
      <c r="GU250" s="422">
        <f t="shared" si="1228"/>
        <v>0</v>
      </c>
      <c r="GV250" s="422">
        <f t="shared" si="1228"/>
        <v>0</v>
      </c>
      <c r="GW250" s="422">
        <f t="shared" si="1228"/>
        <v>0</v>
      </c>
      <c r="GX250" s="422">
        <f t="shared" si="1228"/>
        <v>0</v>
      </c>
      <c r="GY250" s="422">
        <f t="shared" si="1228"/>
        <v>0</v>
      </c>
      <c r="GZ250" s="422">
        <f t="shared" si="1228"/>
        <v>0</v>
      </c>
      <c r="HA250" s="422">
        <f t="shared" si="1228"/>
        <v>2.3501343093812466E-11</v>
      </c>
      <c r="HB250" s="422">
        <f t="shared" si="1228"/>
        <v>0</v>
      </c>
      <c r="HC250" s="422">
        <f t="shared" si="1228"/>
        <v>2.3501343093812466E-11</v>
      </c>
      <c r="HD250" s="422">
        <f t="shared" si="1228"/>
        <v>0</v>
      </c>
      <c r="HE250" s="422">
        <f t="shared" si="1228"/>
        <v>1282920.5492651751</v>
      </c>
      <c r="HF250" s="422">
        <f t="shared" si="1228"/>
        <v>0</v>
      </c>
      <c r="HG250" s="422">
        <f t="shared" si="1228"/>
        <v>0</v>
      </c>
      <c r="HH250" s="422" t="n">
        <f t="shared" ref="HH250:IM250" si="1229">(HH$197&lt;=Timing_Reversion_Month)*(MIN(HH247+HH248-HH249,MAX(HH246,0)*$I$255))</f>
        <v>0</v>
      </c>
      <c r="HI250" s="422">
        <f t="shared" si="1229"/>
        <v>0</v>
      </c>
      <c r="HJ250" s="422">
        <f t="shared" si="1229"/>
        <v>0</v>
      </c>
      <c r="HK250" s="422">
        <f t="shared" si="1229"/>
        <v>0</v>
      </c>
      <c r="HL250" s="422">
        <f t="shared" si="1229"/>
        <v>0</v>
      </c>
      <c r="HM250" s="422">
        <f t="shared" si="1229"/>
        <v>0</v>
      </c>
      <c r="HN250" s="422">
        <f t="shared" si="1229"/>
        <v>0</v>
      </c>
      <c r="HO250" s="422">
        <f t="shared" si="1229"/>
        <v>0</v>
      </c>
      <c r="HP250" s="422">
        <f t="shared" si="1229"/>
        <v>0</v>
      </c>
      <c r="HQ250" s="422">
        <f t="shared" si="1229"/>
        <v>0</v>
      </c>
      <c r="HR250" s="422">
        <f t="shared" si="1229"/>
        <v>0</v>
      </c>
      <c r="HS250" s="422">
        <f t="shared" si="1229"/>
        <v>0</v>
      </c>
      <c r="HT250" s="422">
        <f t="shared" si="1229"/>
        <v>0</v>
      </c>
      <c r="HU250" s="422">
        <f t="shared" si="1229"/>
        <v>0</v>
      </c>
      <c r="HV250" s="422">
        <f t="shared" si="1229"/>
        <v>0</v>
      </c>
      <c r="HW250" s="422">
        <f t="shared" si="1229"/>
        <v>0</v>
      </c>
      <c r="HX250" s="422">
        <f t="shared" si="1229"/>
        <v>0</v>
      </c>
      <c r="HY250" s="422">
        <f t="shared" si="1229"/>
        <v>0</v>
      </c>
      <c r="HZ250" s="422">
        <f t="shared" si="1229"/>
        <v>0</v>
      </c>
      <c r="IA250" s="422">
        <f t="shared" si="1229"/>
        <v>0</v>
      </c>
      <c r="IB250" s="422">
        <f t="shared" si="1229"/>
        <v>0</v>
      </c>
      <c r="IC250" s="422">
        <f t="shared" si="1229"/>
        <v>0</v>
      </c>
      <c r="ID250" s="422">
        <f t="shared" si="1229"/>
        <v>0</v>
      </c>
      <c r="IE250" s="422">
        <f t="shared" si="1229"/>
        <v>0</v>
      </c>
      <c r="IF250" s="422">
        <f t="shared" si="1229"/>
        <v>0</v>
      </c>
      <c r="IG250" s="422">
        <f t="shared" si="1229"/>
        <v>0</v>
      </c>
      <c r="IH250" s="422">
        <f t="shared" si="1229"/>
        <v>0</v>
      </c>
      <c r="II250" s="422">
        <f t="shared" si="1229"/>
        <v>0</v>
      </c>
      <c r="IJ250" s="422">
        <f t="shared" si="1229"/>
        <v>0</v>
      </c>
      <c r="IK250" s="422">
        <f t="shared" si="1229"/>
        <v>0</v>
      </c>
      <c r="IL250" s="422">
        <f t="shared" si="1229"/>
        <v>0</v>
      </c>
      <c r="IM250" s="422">
        <f t="shared" si="1229"/>
        <v>0</v>
      </c>
      <c r="IN250" s="422" t="n">
        <f t="shared" ref="IN250:JS250" si="1230">(IN$197&lt;=Timing_Reversion_Month)*(MIN(IN247+IN248-IN249,MAX(IN246,0)*$I$255))</f>
        <v>0</v>
      </c>
      <c r="IO250" s="422">
        <f t="shared" si="1230"/>
        <v>0</v>
      </c>
      <c r="IP250" s="422">
        <f t="shared" si="1230"/>
        <v>0</v>
      </c>
      <c r="IQ250" s="422">
        <f t="shared" si="1230"/>
        <v>0</v>
      </c>
      <c r="IR250" s="422">
        <f t="shared" si="1230"/>
        <v>0</v>
      </c>
      <c r="IS250" s="422">
        <f t="shared" si="1230"/>
        <v>0</v>
      </c>
      <c r="IT250" s="422">
        <f t="shared" si="1230"/>
        <v>0</v>
      </c>
      <c r="IU250" s="422">
        <f t="shared" si="1230"/>
        <v>0</v>
      </c>
      <c r="IV250" s="422">
        <f t="shared" si="1230"/>
        <v>0</v>
      </c>
      <c r="IW250" s="422">
        <f t="shared" si="1230"/>
        <v>0</v>
      </c>
      <c r="IX250" s="422">
        <f t="shared" si="1230"/>
        <v>0</v>
      </c>
      <c r="IY250" s="422">
        <f t="shared" si="1230"/>
        <v>0</v>
      </c>
      <c r="IZ250" s="422">
        <f t="shared" si="1230"/>
        <v>0</v>
      </c>
      <c r="JA250" s="422">
        <f t="shared" si="1230"/>
        <v>0</v>
      </c>
      <c r="JB250" s="422">
        <f t="shared" si="1230"/>
        <v>0</v>
      </c>
      <c r="JC250" s="422">
        <f t="shared" si="1230"/>
        <v>0</v>
      </c>
      <c r="JD250" s="422">
        <f t="shared" si="1230"/>
        <v>0</v>
      </c>
      <c r="JE250" s="422">
        <f t="shared" si="1230"/>
        <v>0</v>
      </c>
      <c r="JF250" s="422">
        <f t="shared" si="1230"/>
        <v>0</v>
      </c>
      <c r="JG250" s="422">
        <f t="shared" si="1230"/>
        <v>0</v>
      </c>
      <c r="JH250" s="422">
        <f t="shared" si="1230"/>
        <v>0</v>
      </c>
      <c r="JI250" s="422">
        <f t="shared" si="1230"/>
        <v>0</v>
      </c>
      <c r="JJ250" s="422">
        <f t="shared" si="1230"/>
        <v>0</v>
      </c>
      <c r="JK250" s="422">
        <f t="shared" si="1230"/>
        <v>0</v>
      </c>
      <c r="JL250" s="422">
        <f t="shared" si="1230"/>
        <v>0</v>
      </c>
      <c r="JM250" s="422">
        <f t="shared" si="1230"/>
        <v>0</v>
      </c>
      <c r="JN250" s="422">
        <f t="shared" si="1230"/>
        <v>0</v>
      </c>
      <c r="JO250" s="422">
        <f t="shared" si="1230"/>
        <v>0</v>
      </c>
      <c r="JP250" s="422">
        <f t="shared" si="1230"/>
        <v>0</v>
      </c>
      <c r="JQ250" s="422">
        <f t="shared" si="1230"/>
        <v>0</v>
      </c>
      <c r="JR250" s="422">
        <f t="shared" si="1230"/>
        <v>0</v>
      </c>
      <c r="JS250" s="422">
        <f t="shared" si="1230"/>
        <v>0</v>
      </c>
      <c r="JT250" s="422" t="n">
        <f t="shared" ref="JT250:JX250" si="1231">(JT$197&lt;=Timing_Reversion_Month)*(MIN(JT247+JT248-JT249,MAX(JT246,0)*$I$255))</f>
        <v>0</v>
      </c>
      <c r="JU250" s="422">
        <f t="shared" si="1231"/>
        <v>0</v>
      </c>
      <c r="JV250" s="422">
        <f t="shared" si="1231"/>
        <v>0</v>
      </c>
      <c r="JW250" s="422">
        <f t="shared" si="1231"/>
        <v>0</v>
      </c>
      <c r="JX250" s="422">
        <f t="shared" si="1231"/>
        <v>0</v>
      </c>
      <c r="JZ250" s="263"/>
      <c r="KA250" s="263"/>
      <c r="KB250" s="263"/>
      <c r="KC250" s="263"/>
      <c r="KD250" s="263"/>
      <c r="KE250" s="263"/>
      <c r="KF250" s="263"/>
      <c r="KG250" s="263"/>
      <c r="KH250" s="263"/>
      <c r="KI250" s="263"/>
      <c r="KJ250" s="263"/>
      <c r="KK250" s="263"/>
      <c r="KL250" s="263"/>
      <c r="KM250" s="263"/>
      <c r="KN250" s="263"/>
      <c r="KO250" s="263"/>
      <c r="KP250" s="263"/>
      <c r="KQ250" s="263"/>
      <c r="KR250" s="263"/>
      <c r="KS250" s="263"/>
      <c r="KT250" s="263"/>
      <c r="KU250" s="263"/>
      <c r="KV250" s="263"/>
      <c r="KW250" s="263"/>
      <c r="KX250" s="263"/>
      <c r="KY250" s="263"/>
      <c r="KZ250" s="263"/>
      <c r="LA250" s="263"/>
      <c r="LB250" s="263"/>
      <c r="LC250" s="263"/>
      <c r="LD250" s="263"/>
      <c r="LE250" s="263"/>
      <c r="LF250" s="263"/>
      <c r="LG250" s="263"/>
      <c r="LH250" s="263"/>
      <c r="LI250" s="263"/>
      <c r="LJ250" s="263"/>
      <c r="LK250" s="263"/>
      <c r="LL250" s="263"/>
      <c r="LM250" s="263"/>
      <c r="LN250" s="263"/>
      <c r="LO250" s="263"/>
      <c r="LP250" s="263"/>
      <c r="LQ250" s="263"/>
      <c r="LR250" s="263"/>
      <c r="LS250" s="263"/>
      <c r="LT250" s="263"/>
      <c r="LU250" s="263"/>
      <c r="LV250" s="263"/>
      <c r="LW250" s="263"/>
      <c r="LX250" s="263"/>
      <c r="LY250" s="263"/>
      <c r="LZ250" s="263"/>
      <c r="MA250" s="263"/>
      <c r="MB250" s="263"/>
      <c r="MC250" s="263"/>
      <c r="MD250" s="263"/>
      <c r="ME250" s="263"/>
      <c r="MF250" s="263"/>
      <c r="MG250" s="263"/>
      <c r="MH250" s="263"/>
      <c r="MI250" s="263"/>
      <c r="MJ250" s="263"/>
      <c r="MK250" s="263"/>
      <c r="ML250" s="263"/>
      <c r="MM250" s="263"/>
      <c r="MN250" s="263"/>
      <c r="MO250" s="263"/>
      <c r="MP250" s="263"/>
      <c r="MQ250" s="263"/>
      <c r="MR250" s="263"/>
      <c r="MS250" s="263"/>
      <c r="MT250" s="263"/>
      <c r="MU250" s="263"/>
      <c r="MV250" s="263"/>
      <c r="MW250" s="263"/>
      <c r="MX250" s="263"/>
      <c r="MY250" s="263"/>
      <c r="MZ250" s="263"/>
      <c r="NA250" s="263"/>
      <c r="NB250" s="263"/>
      <c r="NC250" s="263"/>
      <c r="ND250" s="263"/>
      <c r="NE250" s="263"/>
      <c r="NF250" s="263"/>
      <c r="NG250" s="263"/>
      <c r="NH250" s="263"/>
      <c r="NI250" s="263"/>
      <c r="NJ250" s="263"/>
      <c r="NK250" s="263"/>
      <c r="NL250" s="263"/>
      <c r="NM250" s="263"/>
      <c r="NN250" s="263"/>
      <c r="NO250" s="263"/>
      <c r="NP250" s="263"/>
      <c r="NQ250" s="263"/>
      <c r="NR250" s="263"/>
      <c r="NS250" s="263"/>
      <c r="NT250" s="263"/>
      <c r="NU250" s="263"/>
      <c r="NV250" s="263"/>
      <c r="NW250" s="263"/>
      <c r="NX250" s="263"/>
      <c r="NY250" s="263"/>
      <c r="NZ250" s="263"/>
      <c r="OA250" s="263"/>
      <c r="OB250" s="263"/>
      <c r="OC250" s="263"/>
      <c r="OD250" s="263"/>
      <c r="OE250" s="263"/>
      <c r="OF250" s="263"/>
      <c r="OG250" s="263"/>
      <c r="OH250" s="263"/>
      <c r="OI250" s="263"/>
      <c r="OJ250" s="263"/>
      <c r="OK250" s="263"/>
      <c r="OL250" s="263"/>
      <c r="OM250" s="263"/>
      <c r="ON250" s="263"/>
      <c r="OO250" s="263"/>
      <c r="OP250" s="263"/>
      <c r="OQ250" s="263"/>
      <c r="OR250" s="263"/>
      <c r="OS250" s="263"/>
      <c r="OT250" s="263"/>
      <c r="OU250" s="263"/>
      <c r="OV250" s="263"/>
      <c r="OW250" s="263"/>
      <c r="OX250" s="263"/>
      <c r="OY250" s="263"/>
      <c r="OZ250" s="263"/>
      <c r="PA250" s="263"/>
      <c r="PB250" s="263"/>
      <c r="PC250" s="263"/>
      <c r="PD250" s="263"/>
      <c r="PE250" s="263"/>
      <c r="PF250" s="263"/>
      <c r="PG250" s="263"/>
      <c r="PH250" s="263"/>
    </row>
    <row r="251">
      <c r="B251" s="34" t="s">
        <v>153</v>
      </c>
      <c r="C251" s="401"/>
      <c r="D251" s="401"/>
      <c r="E251" s="550" t="n">
        <f>SUM(E249:E250)</f>
        <v>1</v>
      </c>
      <c r="F251" s="85"/>
      <c r="G251" s="401"/>
      <c r="H251" s="550" t="n">
        <f>SUM(H249:H250)</f>
        <v>1</v>
      </c>
      <c r="I251" s="551" t="n">
        <f>SUM(I249:I250)</f>
        <v>9202005.478859562</v>
      </c>
      <c r="L251" s="421" t="str">
        <f t="shared" ref="L251:AQ251" si="1232">IF(L227="","",SUM(L249:L250))</f>
      </c>
      <c r="M251" s="421">
        <f t="shared" si="1232"/>
        <v>0</v>
      </c>
      <c r="N251" s="421">
        <f t="shared" si="1232"/>
        <v>0</v>
      </c>
      <c r="O251" s="421">
        <f t="shared" si="1232"/>
        <v>12229.754929718263</v>
      </c>
      <c r="P251" s="421">
        <f t="shared" si="1232"/>
        <v>39061.596444356001</v>
      </c>
      <c r="Q251" s="421">
        <f t="shared" si="1232"/>
        <v>80820.215286487393</v>
      </c>
      <c r="R251" s="421">
        <f t="shared" si="1232"/>
        <v>92758.630190187861</v>
      </c>
      <c r="S251" s="421">
        <f t="shared" si="1232"/>
        <v>151838.07389083391</v>
      </c>
      <c r="T251" s="421">
        <f t="shared" si="1232"/>
        <v>223783.60513408761</v>
      </c>
      <c r="U251" s="421">
        <f t="shared" si="1232"/>
        <v>308358.90125588689</v>
      </c>
      <c r="V251" s="421">
        <f t="shared" si="1232"/>
        <v>404138.64571131836</v>
      </c>
      <c r="W251" s="421">
        <f t="shared" si="1232"/>
        <v>508341.65915377199</v>
      </c>
      <c r="X251" s="421">
        <f t="shared" si="1232"/>
        <v>616815.76959860174</v>
      </c>
      <c r="Y251" s="421">
        <f t="shared" si="1232"/>
        <v>724214.3746582889</v>
      </c>
      <c r="Z251" s="421">
        <f t="shared" si="1232"/>
        <v>824375.9619705918</v>
      </c>
      <c r="AA251" s="421">
        <f t="shared" si="1232"/>
        <v>910880.53215528908</v>
      </c>
      <c r="AB251" s="421">
        <f t="shared" si="1232"/>
        <v>170235.09548436862</v>
      </c>
      <c r="AC251" s="421">
        <f t="shared" si="1232"/>
        <v>0</v>
      </c>
      <c r="AD251" s="421">
        <f t="shared" si="1232"/>
        <v>0</v>
      </c>
      <c r="AE251" s="421">
        <f t="shared" si="1232"/>
        <v>0</v>
      </c>
      <c r="AF251" s="421">
        <f t="shared" si="1232"/>
        <v>0</v>
      </c>
      <c r="AG251" s="421">
        <f t="shared" si="1232"/>
        <v>0</v>
      </c>
      <c r="AH251" s="421">
        <f t="shared" si="1232"/>
        <v>0</v>
      </c>
      <c r="AI251" s="421">
        <f t="shared" si="1232"/>
        <v>0</v>
      </c>
      <c r="AJ251" s="421">
        <f t="shared" si="1232"/>
        <v>0</v>
      </c>
      <c r="AK251" s="421">
        <f t="shared" si="1232"/>
        <v>0</v>
      </c>
      <c r="AL251" s="421">
        <f t="shared" si="1232"/>
        <v>0</v>
      </c>
      <c r="AM251" s="421">
        <f t="shared" si="1232"/>
        <v>0</v>
      </c>
      <c r="AN251" s="421">
        <f t="shared" si="1232"/>
        <v>0</v>
      </c>
      <c r="AO251" s="421">
        <f t="shared" si="1232"/>
        <v>0</v>
      </c>
      <c r="AP251" s="421">
        <f t="shared" si="1232"/>
        <v>0</v>
      </c>
      <c r="AQ251" s="421">
        <f t="shared" si="1232"/>
        <v>0</v>
      </c>
      <c r="AR251" s="421" t="n">
        <f t="shared" ref="AR251:BW251" si="1233">IF(AR227="","",SUM(AR249:AR250))</f>
        <v>0</v>
      </c>
      <c r="AS251" s="421">
        <f t="shared" si="1233"/>
        <v>0</v>
      </c>
      <c r="AT251" s="421">
        <f t="shared" si="1233"/>
        <v>0</v>
      </c>
      <c r="AU251" s="421">
        <f t="shared" si="1233"/>
        <v>0</v>
      </c>
      <c r="AV251" s="421">
        <f t="shared" si="1233"/>
        <v>0</v>
      </c>
      <c r="AW251" s="421">
        <f t="shared" si="1233"/>
        <v>0</v>
      </c>
      <c r="AX251" s="421">
        <f t="shared" si="1233"/>
        <v>0</v>
      </c>
      <c r="AY251" s="421">
        <f t="shared" si="1233"/>
        <v>0</v>
      </c>
      <c r="AZ251" s="421">
        <f t="shared" si="1233"/>
        <v>0</v>
      </c>
      <c r="BA251" s="421">
        <f t="shared" si="1233"/>
        <v>0</v>
      </c>
      <c r="BB251" s="421">
        <f t="shared" si="1233"/>
        <v>0</v>
      </c>
      <c r="BC251" s="421">
        <f t="shared" si="1233"/>
        <v>0</v>
      </c>
      <c r="BD251" s="76">
        <f t="shared" si="1233"/>
        <v>0</v>
      </c>
      <c r="BE251" s="76">
        <f t="shared" si="1233"/>
        <v>0</v>
      </c>
      <c r="BF251" s="76">
        <f t="shared" si="1233"/>
        <v>0</v>
      </c>
      <c r="BG251" s="76">
        <f t="shared" si="1233"/>
        <v>0</v>
      </c>
      <c r="BH251" s="76">
        <f t="shared" si="1233"/>
        <v>0</v>
      </c>
      <c r="BI251" s="76">
        <f t="shared" si="1233"/>
        <v>0</v>
      </c>
      <c r="BJ251" s="76">
        <f t="shared" si="1233"/>
        <v>0</v>
      </c>
      <c r="BK251" s="76">
        <f t="shared" si="1233"/>
        <v>0</v>
      </c>
      <c r="BL251" s="76">
        <f t="shared" si="1233"/>
        <v>0</v>
      </c>
      <c r="BM251" s="76">
        <f t="shared" si="1233"/>
        <v>0</v>
      </c>
      <c r="BN251" s="76">
        <f t="shared" si="1233"/>
        <v>0</v>
      </c>
      <c r="BO251" s="76">
        <f t="shared" si="1233"/>
        <v>0</v>
      </c>
      <c r="BP251" s="76">
        <f t="shared" si="1233"/>
        <v>0</v>
      </c>
      <c r="BQ251" s="76">
        <f t="shared" si="1233"/>
        <v>0</v>
      </c>
      <c r="BR251" s="76">
        <f t="shared" si="1233"/>
        <v>0</v>
      </c>
      <c r="BS251" s="76">
        <f t="shared" si="1233"/>
        <v>0</v>
      </c>
      <c r="BT251" s="76">
        <f t="shared" si="1233"/>
        <v>0</v>
      </c>
      <c r="BU251" s="76">
        <f t="shared" si="1233"/>
        <v>0</v>
      </c>
      <c r="BV251" s="76" t="str">
        <f t="shared" si="1233"/>
      </c>
      <c r="BW251" s="76" t="str">
        <f t="shared" si="1233"/>
      </c>
      <c r="BX251" s="76" t="str">
        <f t="shared" ref="BX251:DC251" si="1234">IF(BX227="","",SUM(BX249:BX250))</f>
      </c>
      <c r="BY251" s="76" t="str">
        <f t="shared" si="1234"/>
      </c>
      <c r="BZ251" s="76" t="str">
        <f t="shared" si="1234"/>
      </c>
      <c r="CA251" s="76" t="str">
        <f t="shared" si="1234"/>
      </c>
      <c r="CB251" s="76" t="str">
        <f t="shared" si="1234"/>
      </c>
      <c r="CC251" s="76" t="str">
        <f t="shared" si="1234"/>
      </c>
      <c r="CD251" s="76" t="str">
        <f t="shared" si="1234"/>
      </c>
      <c r="CE251" s="76" t="str">
        <f t="shared" si="1234"/>
      </c>
      <c r="CF251" s="76" t="str">
        <f t="shared" si="1234"/>
      </c>
      <c r="CG251" s="76" t="str">
        <f t="shared" si="1234"/>
      </c>
      <c r="CH251" s="76" t="str">
        <f t="shared" si="1234"/>
      </c>
      <c r="CI251" s="76" t="str">
        <f t="shared" si="1234"/>
      </c>
      <c r="CJ251" s="76" t="str">
        <f t="shared" si="1234"/>
      </c>
      <c r="CK251" s="76" t="str">
        <f t="shared" si="1234"/>
      </c>
      <c r="CL251" s="76" t="str">
        <f t="shared" si="1234"/>
      </c>
      <c r="CM251" s="76" t="str">
        <f t="shared" si="1234"/>
      </c>
      <c r="CN251" s="76" t="str">
        <f t="shared" si="1234"/>
      </c>
      <c r="CO251" s="76" t="str">
        <f t="shared" si="1234"/>
      </c>
      <c r="CP251" s="76" t="str">
        <f t="shared" si="1234"/>
      </c>
      <c r="CQ251" s="76" t="str">
        <f t="shared" si="1234"/>
      </c>
      <c r="CR251" s="76" t="str">
        <f t="shared" si="1234"/>
      </c>
      <c r="CS251" s="76" t="str">
        <f t="shared" si="1234"/>
      </c>
      <c r="CT251" s="76" t="str">
        <f t="shared" si="1234"/>
      </c>
      <c r="CU251" s="76" t="str">
        <f t="shared" si="1234"/>
      </c>
      <c r="CV251" s="76" t="str">
        <f t="shared" si="1234"/>
      </c>
      <c r="CW251" s="76" t="str">
        <f t="shared" si="1234"/>
      </c>
      <c r="CX251" s="76" t="str">
        <f t="shared" si="1234"/>
      </c>
      <c r="CY251" s="76" t="str">
        <f t="shared" si="1234"/>
      </c>
      <c r="CZ251" s="76" t="str">
        <f t="shared" si="1234"/>
      </c>
      <c r="DA251" s="76" t="str">
        <f t="shared" si="1234"/>
      </c>
      <c r="DB251" s="76" t="str">
        <f t="shared" si="1234"/>
      </c>
      <c r="DC251" s="76" t="str">
        <f t="shared" si="1234"/>
      </c>
      <c r="DD251" s="76" t="str">
        <f t="shared" ref="DD251:EI251" si="1235">IF(DD227="","",SUM(DD249:DD250))</f>
      </c>
      <c r="DE251" s="76" t="str">
        <f t="shared" si="1235"/>
      </c>
      <c r="DF251" s="76" t="str">
        <f t="shared" si="1235"/>
      </c>
      <c r="DG251" s="76" t="str">
        <f t="shared" si="1235"/>
      </c>
      <c r="DH251" s="76" t="str">
        <f t="shared" si="1235"/>
      </c>
      <c r="DI251" s="76" t="str">
        <f t="shared" si="1235"/>
      </c>
      <c r="DJ251" s="76" t="str">
        <f t="shared" si="1235"/>
      </c>
      <c r="DK251" s="76" t="str">
        <f t="shared" si="1235"/>
      </c>
      <c r="DL251" s="76" t="str">
        <f t="shared" si="1235"/>
      </c>
      <c r="DM251" s="76" t="str">
        <f t="shared" si="1235"/>
      </c>
      <c r="DN251" s="76" t="str">
        <f t="shared" si="1235"/>
      </c>
      <c r="DO251" s="76" t="str">
        <f t="shared" si="1235"/>
      </c>
      <c r="DP251" s="76" t="str">
        <f t="shared" si="1235"/>
      </c>
      <c r="DQ251" s="76" t="str">
        <f t="shared" si="1235"/>
      </c>
      <c r="DR251" s="76" t="str">
        <f t="shared" si="1235"/>
      </c>
      <c r="DS251" s="76" t="str">
        <f t="shared" si="1235"/>
      </c>
      <c r="DT251" s="76" t="str">
        <f t="shared" si="1235"/>
      </c>
      <c r="DU251" s="76" t="str">
        <f t="shared" si="1235"/>
      </c>
      <c r="DV251" s="76" t="str">
        <f t="shared" si="1235"/>
      </c>
      <c r="DW251" s="76" t="str">
        <f t="shared" si="1235"/>
      </c>
      <c r="DX251" s="76" t="str">
        <f t="shared" si="1235"/>
      </c>
      <c r="DY251" s="76" t="str">
        <f t="shared" si="1235"/>
      </c>
      <c r="DZ251" s="76" t="str">
        <f t="shared" si="1235"/>
      </c>
      <c r="EA251" s="76" t="str">
        <f t="shared" si="1235"/>
      </c>
      <c r="EB251" s="76" t="str">
        <f t="shared" si="1235"/>
      </c>
      <c r="EC251" s="76" t="str">
        <f t="shared" si="1235"/>
      </c>
      <c r="ED251" s="76" t="str">
        <f t="shared" si="1235"/>
      </c>
      <c r="EE251" s="76" t="str">
        <f t="shared" si="1235"/>
      </c>
      <c r="EF251" s="76" t="str">
        <f t="shared" si="1235"/>
      </c>
      <c r="EG251" s="76" t="str">
        <f t="shared" si="1235"/>
      </c>
      <c r="EH251" s="76" t="str">
        <f t="shared" si="1235"/>
      </c>
      <c r="EI251" s="76" t="str">
        <f t="shared" si="1235"/>
      </c>
      <c r="EJ251" s="76" t="str">
        <f>IF(EJ227="","",SUM(EJ249:EJ250))</f>
      </c>
      <c r="EK251" s="76" t="str">
        <f>IF(EK227="","",SUM(EK249:EK250))</f>
      </c>
      <c r="EL251" s="76" t="str">
        <f>IF(EL227="","",SUM(EL249:EL250))</f>
      </c>
      <c r="EM251" s="76" t="str">
        <f>IF(EM227="","",SUM(EM249:EM250))</f>
      </c>
      <c r="EN251" s="76" t="str">
        <f>IF(EN227="","",SUM(EN249:EN250))</f>
      </c>
      <c r="EP251" s="409"/>
      <c r="EQ251" s="18"/>
      <c r="ER251" s="18"/>
      <c r="ES251" s="18"/>
      <c r="ET251" s="18" t="s">
        <v>440</v>
      </c>
      <c r="EU251" s="18"/>
      <c r="EV251" s="422" t="n">
        <f t="shared" ref="EV251:GA251" si="1236">(EV$197&lt;=Timing_Reversion_Month)*(EV247+EV248+EV240-EV249-EV250)</f>
        <v>4134152.6629957748</v>
      </c>
      <c r="EW251" s="422">
        <f t="shared" si="1236"/>
        <v>4153718.2335585565</v>
      </c>
      <c r="EX251" s="422">
        <f t="shared" si="1236"/>
        <v>4186351.9516307344</v>
      </c>
      <c r="EY251" s="422">
        <f t="shared" si="1236"/>
        <v>4237693.6456342777</v>
      </c>
      <c r="EZ251" s="422">
        <f t="shared" si="1236"/>
        <v>4315012.7597800381</v>
      </c>
      <c r="FA251" s="422">
        <f t="shared" si="1236"/>
        <v>4432736.2268898375</v>
      </c>
      <c r="FB251" s="422">
        <f t="shared" si="1236"/>
        <v>4562918.2417610986</v>
      </c>
      <c r="FC251" s="422">
        <f t="shared" si="1236"/>
        <v>4750460.998330893</v>
      </c>
      <c r="FD251" s="422">
        <f t="shared" si="1236"/>
        <v>5008131.5639652507</v>
      </c>
      <c r="FE251" s="422">
        <f t="shared" si="1236"/>
        <v>5348593.6435579592</v>
      </c>
      <c r="FF251" s="422">
        <f t="shared" si="1236"/>
        <v>5783277.0545586608</v>
      </c>
      <c r="FG251" s="422">
        <f t="shared" si="1236"/>
        <v>6321077.9492087774</v>
      </c>
      <c r="FH251" s="422">
        <f t="shared" si="1236"/>
        <v>6967032.3301108498</v>
      </c>
      <c r="FI251" s="422">
        <f t="shared" si="1236"/>
        <v>7721144.7131851921</v>
      </c>
      <c r="FJ251" s="422">
        <f t="shared" si="1236"/>
        <v>8577566.2204586193</v>
      </c>
      <c r="FK251" s="422">
        <f t="shared" si="1236"/>
        <v>9524293.4757547509</v>
      </c>
      <c r="FL251" s="422">
        <f t="shared" si="1236"/>
        <v>9776390.8651045375</v>
      </c>
      <c r="FM251" s="422">
        <f t="shared" si="1236"/>
        <v>9828633.8349125758</v>
      </c>
      <c r="FN251" s="422">
        <f t="shared" si="1236"/>
        <v>9747805.6623803265</v>
      </c>
      <c r="FO251" s="422">
        <f t="shared" si="1236"/>
        <v>9678294.1220522691</v>
      </c>
      <c r="FP251" s="422">
        <f t="shared" si="1236"/>
        <v>9615851.2825739738</v>
      </c>
      <c r="FQ251" s="422">
        <f t="shared" si="1236"/>
        <v>9522834.8790819142</v>
      </c>
      <c r="FR251" s="422">
        <f t="shared" si="1236"/>
        <v>9436000.9353575129</v>
      </c>
      <c r="FS251" s="422">
        <f t="shared" si="1236"/>
        <v>9354844.7608998474</v>
      </c>
      <c r="FT251" s="422">
        <f t="shared" si="1236"/>
        <v>9264242.7303655073</v>
      </c>
      <c r="FU251" s="422">
        <f t="shared" si="1236"/>
        <v>9177896.3920759633</v>
      </c>
      <c r="FV251" s="422">
        <f t="shared" si="1236"/>
        <v>9095111.6172264032</v>
      </c>
      <c r="FW251" s="422">
        <f t="shared" si="1236"/>
        <v>9006278.6802618336</v>
      </c>
      <c r="FX251" s="422">
        <f t="shared" si="1236"/>
        <v>8949457.3013450317</v>
      </c>
      <c r="FY251" s="422">
        <f t="shared" si="1236"/>
        <v>8959490.0869153645</v>
      </c>
      <c r="FZ251" s="422">
        <f t="shared" si="1236"/>
        <v>8919046.6399515457</v>
      </c>
      <c r="GA251" s="422">
        <f t="shared" si="1236"/>
        <v>8859413.9932027869</v>
      </c>
      <c r="GB251" s="422" t="n">
        <f t="shared" ref="GB251:HG251" si="1237">(GB$197&lt;=Timing_Reversion_Month)*(GB247+GB248+GB240-GB249-GB250)</f>
        <v>8785211.986687787</v>
      </c>
      <c r="GC251" s="422">
        <f t="shared" si="1237"/>
        <v>8700276.9721011538</v>
      </c>
      <c r="GD251" s="422">
        <f t="shared" si="1237"/>
        <v>8595633.8614500947</v>
      </c>
      <c r="GE251" s="422">
        <f t="shared" si="1237"/>
        <v>8485596.3402364198</v>
      </c>
      <c r="GF251" s="422">
        <f t="shared" si="1237"/>
        <v>8371272.5975785814</v>
      </c>
      <c r="GG251" s="422">
        <f t="shared" si="1237"/>
        <v>8275977.325556824</v>
      </c>
      <c r="GH251" s="422">
        <f t="shared" si="1237"/>
        <v>8180380.2408788502</v>
      </c>
      <c r="GI251" s="422">
        <f t="shared" si="1237"/>
        <v>8084482.9978902172</v>
      </c>
      <c r="GJ251" s="422">
        <f t="shared" si="1237"/>
        <v>7987987.1111589214</v>
      </c>
      <c r="GK251" s="422">
        <f t="shared" si="1237"/>
        <v>7891191.6758503802</v>
      </c>
      <c r="GL251" s="422">
        <f t="shared" si="1237"/>
        <v>7794098.4702170035</v>
      </c>
      <c r="GM251" s="422">
        <f t="shared" si="1237"/>
        <v>7688913.5286553027</v>
      </c>
      <c r="GN251" s="422">
        <f t="shared" si="1237"/>
        <v>7583360.555918335</v>
      </c>
      <c r="GO251" s="422">
        <f t="shared" si="1237"/>
        <v>7477440.7851866465</v>
      </c>
      <c r="GP251" s="422">
        <f t="shared" si="1237"/>
        <v>7369771.3269906547</v>
      </c>
      <c r="GQ251" s="422">
        <f t="shared" si="1237"/>
        <v>7261724.5451982226</v>
      </c>
      <c r="GR251" s="422">
        <f t="shared" si="1237"/>
        <v>7153301.6919358578</v>
      </c>
      <c r="GS251" s="422">
        <f t="shared" si="1237"/>
        <v>7050845.7780365022</v>
      </c>
      <c r="GT251" s="422">
        <f t="shared" si="1237"/>
        <v>6948076.6172013888</v>
      </c>
      <c r="GU251" s="422">
        <f t="shared" si="1237"/>
        <v>6844996.1791153289</v>
      </c>
      <c r="GV251" s="422">
        <f t="shared" si="1237"/>
        <v>6741306.8028119635</v>
      </c>
      <c r="GW251" s="422">
        <f t="shared" si="1237"/>
        <v>6637307.413037301</v>
      </c>
      <c r="GX251" s="422">
        <f t="shared" si="1237"/>
        <v>6533000.1221893299</v>
      </c>
      <c r="GY251" s="422">
        <f t="shared" si="1237"/>
        <v>6421331.200961601</v>
      </c>
      <c r="GZ251" s="422">
        <f t="shared" si="1237"/>
        <v>6309291.8261684021</v>
      </c>
      <c r="HA251" s="422">
        <f t="shared" si="1237"/>
        <v>6196883.651275347</v>
      </c>
      <c r="HB251" s="422">
        <f t="shared" si="1237"/>
        <v>6082675.7684677411</v>
      </c>
      <c r="HC251" s="422">
        <f t="shared" si="1237"/>
        <v>5968088.9628670802</v>
      </c>
      <c r="HD251" s="422">
        <f t="shared" si="1237"/>
        <v>5853124.9247446321</v>
      </c>
      <c r="HE251" s="422">
        <f t="shared" si="1237"/>
        <v>0</v>
      </c>
      <c r="HF251" s="422">
        <f t="shared" si="1237"/>
        <v>0</v>
      </c>
      <c r="HG251" s="422">
        <f t="shared" si="1237"/>
        <v>0</v>
      </c>
      <c r="HH251" s="422" t="n">
        <f t="shared" ref="HH251:IM251" si="1238">(HH$197&lt;=Timing_Reversion_Month)*(HH247+HH248+HH240-HH249-HH250)</f>
        <v>0</v>
      </c>
      <c r="HI251" s="422">
        <f t="shared" si="1238"/>
        <v>0</v>
      </c>
      <c r="HJ251" s="422">
        <f t="shared" si="1238"/>
        <v>0</v>
      </c>
      <c r="HK251" s="422">
        <f t="shared" si="1238"/>
        <v>0</v>
      </c>
      <c r="HL251" s="422">
        <f t="shared" si="1238"/>
        <v>0</v>
      </c>
      <c r="HM251" s="422">
        <f t="shared" si="1238"/>
        <v>0</v>
      </c>
      <c r="HN251" s="422">
        <f t="shared" si="1238"/>
        <v>0</v>
      </c>
      <c r="HO251" s="422">
        <f t="shared" si="1238"/>
        <v>0</v>
      </c>
      <c r="HP251" s="422">
        <f t="shared" si="1238"/>
        <v>0</v>
      </c>
      <c r="HQ251" s="422">
        <f t="shared" si="1238"/>
        <v>0</v>
      </c>
      <c r="HR251" s="422">
        <f t="shared" si="1238"/>
        <v>0</v>
      </c>
      <c r="HS251" s="422">
        <f t="shared" si="1238"/>
        <v>0</v>
      </c>
      <c r="HT251" s="422">
        <f t="shared" si="1238"/>
        <v>0</v>
      </c>
      <c r="HU251" s="422">
        <f t="shared" si="1238"/>
        <v>0</v>
      </c>
      <c r="HV251" s="422">
        <f t="shared" si="1238"/>
        <v>0</v>
      </c>
      <c r="HW251" s="422">
        <f t="shared" si="1238"/>
        <v>0</v>
      </c>
      <c r="HX251" s="422">
        <f t="shared" si="1238"/>
        <v>0</v>
      </c>
      <c r="HY251" s="422">
        <f t="shared" si="1238"/>
        <v>0</v>
      </c>
      <c r="HZ251" s="422">
        <f t="shared" si="1238"/>
        <v>0</v>
      </c>
      <c r="IA251" s="422">
        <f t="shared" si="1238"/>
        <v>0</v>
      </c>
      <c r="IB251" s="422">
        <f t="shared" si="1238"/>
        <v>0</v>
      </c>
      <c r="IC251" s="422">
        <f t="shared" si="1238"/>
        <v>0</v>
      </c>
      <c r="ID251" s="422">
        <f t="shared" si="1238"/>
        <v>0</v>
      </c>
      <c r="IE251" s="422">
        <f t="shared" si="1238"/>
        <v>0</v>
      </c>
      <c r="IF251" s="422">
        <f t="shared" si="1238"/>
        <v>0</v>
      </c>
      <c r="IG251" s="422">
        <f t="shared" si="1238"/>
        <v>0</v>
      </c>
      <c r="IH251" s="422">
        <f t="shared" si="1238"/>
        <v>0</v>
      </c>
      <c r="II251" s="422">
        <f t="shared" si="1238"/>
        <v>0</v>
      </c>
      <c r="IJ251" s="422">
        <f t="shared" si="1238"/>
        <v>0</v>
      </c>
      <c r="IK251" s="422">
        <f t="shared" si="1238"/>
        <v>0</v>
      </c>
      <c r="IL251" s="422">
        <f t="shared" si="1238"/>
        <v>0</v>
      </c>
      <c r="IM251" s="422">
        <f t="shared" si="1238"/>
        <v>0</v>
      </c>
      <c r="IN251" s="422" t="n">
        <f t="shared" ref="IN251:JS251" si="1239">(IN$197&lt;=Timing_Reversion_Month)*(IN247+IN248+IN240-IN249-IN250)</f>
        <v>0</v>
      </c>
      <c r="IO251" s="422">
        <f t="shared" si="1239"/>
        <v>0</v>
      </c>
      <c r="IP251" s="422">
        <f t="shared" si="1239"/>
        <v>0</v>
      </c>
      <c r="IQ251" s="422">
        <f t="shared" si="1239"/>
        <v>0</v>
      </c>
      <c r="IR251" s="422">
        <f t="shared" si="1239"/>
        <v>0</v>
      </c>
      <c r="IS251" s="422">
        <f t="shared" si="1239"/>
        <v>0</v>
      </c>
      <c r="IT251" s="422">
        <f t="shared" si="1239"/>
        <v>0</v>
      </c>
      <c r="IU251" s="422">
        <f t="shared" si="1239"/>
        <v>0</v>
      </c>
      <c r="IV251" s="422">
        <f t="shared" si="1239"/>
        <v>0</v>
      </c>
      <c r="IW251" s="422">
        <f t="shared" si="1239"/>
        <v>0</v>
      </c>
      <c r="IX251" s="422">
        <f t="shared" si="1239"/>
        <v>0</v>
      </c>
      <c r="IY251" s="422">
        <f t="shared" si="1239"/>
        <v>0</v>
      </c>
      <c r="IZ251" s="422">
        <f t="shared" si="1239"/>
        <v>0</v>
      </c>
      <c r="JA251" s="422">
        <f t="shared" si="1239"/>
        <v>0</v>
      </c>
      <c r="JB251" s="422">
        <f t="shared" si="1239"/>
        <v>0</v>
      </c>
      <c r="JC251" s="422">
        <f t="shared" si="1239"/>
        <v>0</v>
      </c>
      <c r="JD251" s="422">
        <f t="shared" si="1239"/>
        <v>0</v>
      </c>
      <c r="JE251" s="422">
        <f t="shared" si="1239"/>
        <v>0</v>
      </c>
      <c r="JF251" s="422">
        <f t="shared" si="1239"/>
        <v>0</v>
      </c>
      <c r="JG251" s="422">
        <f t="shared" si="1239"/>
        <v>0</v>
      </c>
      <c r="JH251" s="422">
        <f t="shared" si="1239"/>
        <v>0</v>
      </c>
      <c r="JI251" s="422">
        <f t="shared" si="1239"/>
        <v>0</v>
      </c>
      <c r="JJ251" s="422">
        <f t="shared" si="1239"/>
        <v>0</v>
      </c>
      <c r="JK251" s="422">
        <f t="shared" si="1239"/>
        <v>0</v>
      </c>
      <c r="JL251" s="422">
        <f t="shared" si="1239"/>
        <v>0</v>
      </c>
      <c r="JM251" s="422">
        <f t="shared" si="1239"/>
        <v>0</v>
      </c>
      <c r="JN251" s="422">
        <f t="shared" si="1239"/>
        <v>0</v>
      </c>
      <c r="JO251" s="422">
        <f t="shared" si="1239"/>
        <v>0</v>
      </c>
      <c r="JP251" s="422">
        <f t="shared" si="1239"/>
        <v>0</v>
      </c>
      <c r="JQ251" s="422">
        <f t="shared" si="1239"/>
        <v>0</v>
      </c>
      <c r="JR251" s="422">
        <f t="shared" si="1239"/>
        <v>0</v>
      </c>
      <c r="JS251" s="422">
        <f t="shared" si="1239"/>
        <v>0</v>
      </c>
      <c r="JT251" s="422" t="n">
        <f t="shared" ref="JT251:JX251" si="1240">(JT$197&lt;=Timing_Reversion_Month)*(JT247+JT248+JT240-JT249-JT250)</f>
        <v>0</v>
      </c>
      <c r="JU251" s="422">
        <f t="shared" si="1240"/>
        <v>0</v>
      </c>
      <c r="JV251" s="422">
        <f t="shared" si="1240"/>
        <v>0</v>
      </c>
      <c r="JW251" s="422">
        <f t="shared" si="1240"/>
        <v>0</v>
      </c>
      <c r="JX251" s="422">
        <f t="shared" si="1240"/>
        <v>0</v>
      </c>
      <c r="JZ251" s="263"/>
      <c r="KA251" s="263"/>
      <c r="KB251" s="263"/>
      <c r="KC251" s="263"/>
      <c r="KD251" s="263"/>
      <c r="KE251" s="263"/>
      <c r="KF251" s="263"/>
      <c r="KG251" s="263"/>
      <c r="KH251" s="263"/>
      <c r="KI251" s="263"/>
      <c r="KJ251" s="263"/>
      <c r="KK251" s="263"/>
      <c r="KL251" s="263"/>
      <c r="KM251" s="263"/>
      <c r="KN251" s="263"/>
      <c r="KO251" s="263"/>
      <c r="KP251" s="263"/>
      <c r="KQ251" s="263"/>
      <c r="KR251" s="263"/>
      <c r="KS251" s="263"/>
      <c r="KT251" s="263"/>
      <c r="KU251" s="263"/>
      <c r="KV251" s="263"/>
      <c r="KW251" s="263"/>
      <c r="KX251" s="263"/>
      <c r="KY251" s="263"/>
      <c r="KZ251" s="263"/>
      <c r="LA251" s="263"/>
      <c r="LB251" s="263"/>
      <c r="LC251" s="263"/>
      <c r="LD251" s="263"/>
      <c r="LE251" s="263"/>
      <c r="LF251" s="263"/>
      <c r="LG251" s="263"/>
      <c r="LH251" s="263"/>
      <c r="LI251" s="263"/>
      <c r="LJ251" s="263"/>
      <c r="LK251" s="263"/>
      <c r="LL251" s="263"/>
      <c r="LM251" s="263"/>
      <c r="LN251" s="263"/>
      <c r="LO251" s="263"/>
      <c r="LP251" s="263"/>
      <c r="LQ251" s="263"/>
      <c r="LR251" s="263"/>
      <c r="LS251" s="263"/>
      <c r="LT251" s="263"/>
      <c r="LU251" s="263"/>
      <c r="LV251" s="263"/>
      <c r="LW251" s="263"/>
      <c r="LX251" s="263"/>
      <c r="LY251" s="263"/>
      <c r="LZ251" s="263"/>
      <c r="MA251" s="263"/>
      <c r="MB251" s="263"/>
      <c r="MC251" s="263"/>
      <c r="MD251" s="263"/>
      <c r="ME251" s="263"/>
      <c r="MF251" s="263"/>
      <c r="MG251" s="263"/>
      <c r="MH251" s="263"/>
      <c r="MI251" s="263"/>
      <c r="MJ251" s="263"/>
      <c r="MK251" s="263"/>
      <c r="ML251" s="263"/>
      <c r="MM251" s="263"/>
      <c r="MN251" s="263"/>
      <c r="MO251" s="263"/>
      <c r="MP251" s="263"/>
      <c r="MQ251" s="263"/>
      <c r="MR251" s="263"/>
      <c r="MS251" s="263"/>
      <c r="MT251" s="263"/>
      <c r="MU251" s="263"/>
      <c r="MV251" s="263"/>
      <c r="MW251" s="263"/>
      <c r="MX251" s="263"/>
      <c r="MY251" s="263"/>
      <c r="MZ251" s="263"/>
      <c r="NA251" s="263"/>
      <c r="NB251" s="263"/>
      <c r="NC251" s="263"/>
      <c r="ND251" s="263"/>
      <c r="NE251" s="263"/>
      <c r="NF251" s="263"/>
      <c r="NG251" s="263"/>
      <c r="NH251" s="263"/>
      <c r="NI251" s="263"/>
      <c r="NJ251" s="263"/>
      <c r="NK251" s="263"/>
      <c r="NL251" s="263"/>
      <c r="NM251" s="263"/>
      <c r="NN251" s="263"/>
      <c r="NO251" s="263"/>
      <c r="NP251" s="263"/>
      <c r="NQ251" s="263"/>
      <c r="NR251" s="263"/>
      <c r="NS251" s="263"/>
      <c r="NT251" s="263"/>
      <c r="NU251" s="263"/>
      <c r="NV251" s="263"/>
      <c r="NW251" s="263"/>
      <c r="NX251" s="263"/>
      <c r="NY251" s="263"/>
      <c r="NZ251" s="263"/>
      <c r="OA251" s="263"/>
      <c r="OB251" s="263"/>
      <c r="OC251" s="263"/>
      <c r="OD251" s="263"/>
      <c r="OE251" s="263"/>
      <c r="OF251" s="263"/>
      <c r="OG251" s="263"/>
      <c r="OH251" s="263"/>
      <c r="OI251" s="263"/>
      <c r="OJ251" s="263"/>
      <c r="OK251" s="263"/>
      <c r="OL251" s="263"/>
      <c r="OM251" s="263"/>
      <c r="ON251" s="263"/>
      <c r="OO251" s="263"/>
      <c r="OP251" s="263"/>
      <c r="OQ251" s="263"/>
      <c r="OR251" s="263"/>
      <c r="OS251" s="263"/>
      <c r="OT251" s="263"/>
      <c r="OU251" s="263"/>
      <c r="OV251" s="263"/>
      <c r="OW251" s="263"/>
      <c r="OX251" s="263"/>
      <c r="OY251" s="263"/>
      <c r="OZ251" s="263"/>
      <c r="PA251" s="263"/>
      <c r="PB251" s="263"/>
      <c r="PC251" s="263"/>
      <c r="PD251" s="263"/>
      <c r="PE251" s="263"/>
      <c r="PF251" s="263"/>
      <c r="PG251" s="263"/>
      <c r="PH251" s="263"/>
    </row>
    <row r="252">
      <c r="B252" s="34"/>
      <c r="C252" s="401"/>
      <c r="D252" s="401"/>
      <c r="E252" s="548"/>
      <c r="F252" s="548"/>
      <c r="G252" s="548"/>
      <c r="H252" s="85"/>
      <c r="I252" s="86"/>
      <c r="EP252" s="409"/>
      <c r="EQ252" s="18"/>
      <c r="ER252" s="18"/>
      <c r="ES252" s="18" t="s">
        <v>376</v>
      </c>
      <c r="ET252" s="308" t="n">
        <f>XIRR($EV252:INDEX($EV252:$PH252,1,Timing_Reversion_Month+1),$EV$24:INDEX($EV$24:$PH$24,1,Timing_Reversion_Month+1))</f>
        <v>0.1198678365321039</v>
      </c>
      <c r="EU252" s="18"/>
      <c r="EV252" s="422" t="n">
        <f t="shared" ref="EV252:GA252" si="1241">+-EV240+EV249+EV250</f>
        <v>-4134152.6629957748</v>
      </c>
      <c r="EW252" s="422">
        <f t="shared" si="1241"/>
        <v>19662.548016340177</v>
      </c>
      <c r="EX252" s="422">
        <f t="shared" si="1241"/>
        <v>6780.0541546613485</v>
      </c>
      <c r="EY252" s="422">
        <f t="shared" si="1241"/>
        <v>-11618.26718323235</v>
      </c>
      <c r="EZ252" s="422">
        <f t="shared" si="1241"/>
        <v>-37108.516622138202</v>
      </c>
      <c r="FA252" s="422">
        <f t="shared" si="1241"/>
        <v>-76779.204522163025</v>
      </c>
      <c r="FB252" s="422">
        <f t="shared" si="1241"/>
        <v>-88120.69868067847</v>
      </c>
      <c r="FC252" s="422">
        <f t="shared" si="1241"/>
        <v>-144246.17019629222</v>
      </c>
      <c r="FD252" s="422">
        <f t="shared" si="1241"/>
        <v>-212594.42487738322</v>
      </c>
      <c r="FE252" s="422">
        <f t="shared" si="1241"/>
        <v>-292940.95619309251</v>
      </c>
      <c r="FF252" s="422">
        <f t="shared" si="1241"/>
        <v>-383931.71342575242</v>
      </c>
      <c r="FG252" s="422">
        <f t="shared" si="1241"/>
        <v>-482924.57619608339</v>
      </c>
      <c r="FH252" s="422">
        <f t="shared" si="1241"/>
        <v>-585974.9811186716</v>
      </c>
      <c r="FI252" s="422">
        <f t="shared" si="1241"/>
        <v>-688003.65592537448</v>
      </c>
      <c r="FJ252" s="422">
        <f t="shared" si="1241"/>
        <v>-783157.16387206223</v>
      </c>
      <c r="FK252" s="422">
        <f t="shared" si="1241"/>
        <v>-865336.50554752466</v>
      </c>
      <c r="FL252" s="422">
        <f t="shared" si="1241"/>
        <v>-161723.34071015019</v>
      </c>
      <c r="FM252" s="422">
        <f t="shared" si="1241"/>
        <v>40523.178758486509</v>
      </c>
      <c r="FN252" s="422">
        <f t="shared" si="1241"/>
        <v>174090.04382157131</v>
      </c>
      <c r="FO252" s="422">
        <f t="shared" si="1241"/>
        <v>162006.44982493951</v>
      </c>
      <c r="FP252" s="422">
        <f t="shared" si="1241"/>
        <v>154278.16836244214</v>
      </c>
      <c r="FQ252" s="422">
        <f t="shared" si="1241"/>
        <v>184259.22520214817</v>
      </c>
      <c r="FR252" s="422">
        <f t="shared" si="1241"/>
        <v>177194.15204223376</v>
      </c>
      <c r="FS252" s="422">
        <f t="shared" si="1241"/>
        <v>170692.43346380457</v>
      </c>
      <c r="FT252" s="422">
        <f t="shared" si="1241"/>
        <v>179368.21540568696</v>
      </c>
      <c r="FU252" s="422">
        <f t="shared" si="1241"/>
        <v>174252.81925369884</v>
      </c>
      <c r="FV252" s="422">
        <f t="shared" si="1241"/>
        <v>169871.93328902582</v>
      </c>
      <c r="FW252" s="422">
        <f t="shared" si="1241"/>
        <v>175134.56781735166</v>
      </c>
      <c r="FX252" s="422">
        <f t="shared" si="1241"/>
        <v>142280.09242495638</v>
      </c>
      <c r="FY252" s="422">
        <f t="shared" si="1241"/>
        <v>74886.761639022734</v>
      </c>
      <c r="FZ252" s="422">
        <f t="shared" si="1241"/>
        <v>125458.19319800851</v>
      </c>
      <c r="GA252" s="422">
        <f t="shared" si="1241"/>
        <v>144263.63348914686</v>
      </c>
      <c r="GB252" s="422" t="n">
        <f t="shared" ref="GB252:HG252" si="1242">+-GB240+GB249+GB250</f>
        <v>158267.15141824906</v>
      </c>
      <c r="GC252" s="422">
        <f t="shared" si="1242"/>
        <v>168296.07201473101</v>
      </c>
      <c r="GD252" s="422">
        <f t="shared" si="1242"/>
        <v>187198.23731284705</v>
      </c>
      <c r="GE252" s="422">
        <f t="shared" si="1242"/>
        <v>191599.71106646676</v>
      </c>
      <c r="GF252" s="422">
        <f t="shared" si="1242"/>
        <v>194841.8092567978</v>
      </c>
      <c r="GG252" s="422">
        <f t="shared" si="1242"/>
        <v>174728.54429912902</v>
      </c>
      <c r="GH252" s="422">
        <f t="shared" si="1242"/>
        <v>174126.11985148679</v>
      </c>
      <c r="GI252" s="422">
        <f t="shared" si="1242"/>
        <v>173519.17722048727</v>
      </c>
      <c r="GJ252" s="422">
        <f t="shared" si="1242"/>
        <v>173207.87188143402</v>
      </c>
      <c r="GK252" s="422">
        <f t="shared" si="1242"/>
        <v>172591.79097044648</v>
      </c>
      <c r="GL252" s="422">
        <f t="shared" si="1242"/>
        <v>171971.08945262659</v>
      </c>
      <c r="GM252" s="422">
        <f t="shared" si="1242"/>
        <v>179141.52805734024</v>
      </c>
      <c r="GN252" s="422">
        <f t="shared" si="1242"/>
        <v>178511.48110229263</v>
      </c>
      <c r="GO252" s="422">
        <f t="shared" si="1242"/>
        <v>177876.70879508229</v>
      </c>
      <c r="GP252" s="422">
        <f t="shared" si="1242"/>
        <v>178621.34548723436</v>
      </c>
      <c r="GQ252" s="422">
        <f t="shared" si="1242"/>
        <v>177977.01588947349</v>
      </c>
      <c r="GR252" s="422">
        <f t="shared" si="1242"/>
        <v>177327.85381972938</v>
      </c>
      <c r="GS252" s="422">
        <f t="shared" si="1242"/>
        <v>170332.11245273732</v>
      </c>
      <c r="GT252" s="422">
        <f t="shared" si="1242"/>
        <v>169673.17643658066</v>
      </c>
      <c r="GU252" s="422">
        <f t="shared" si="1242"/>
        <v>169009.29840030277</v>
      </c>
      <c r="GV252" s="422">
        <f t="shared" si="1242"/>
        <v>168640.12768500287</v>
      </c>
      <c r="GW252" s="422">
        <f t="shared" si="1242"/>
        <v>167966.25413504138</v>
      </c>
      <c r="GX252" s="422">
        <f t="shared" si="1242"/>
        <v>167287.32653345514</v>
      </c>
      <c r="GY252" s="422">
        <f t="shared" si="1242"/>
        <v>173659.20662878925</v>
      </c>
      <c r="GZ252" s="422">
        <f t="shared" si="1242"/>
        <v>172970.05692350163</v>
      </c>
      <c r="HA252" s="422">
        <f t="shared" si="1242"/>
        <v>172275.73859542439</v>
      </c>
      <c r="HB252" s="422">
        <f t="shared" si="1242"/>
        <v>173008.82861426138</v>
      </c>
      <c r="HC252" s="422">
        <f t="shared" si="1242"/>
        <v>172304.05645585706</v>
      </c>
      <c r="HD252" s="422">
        <f t="shared" si="1242"/>
        <v>171593.99850626464</v>
      </c>
      <c r="HE252" s="422">
        <f t="shared" si="1242"/>
        <v>5908664.0151757812</v>
      </c>
      <c r="HF252" s="422">
        <f t="shared" si="1242"/>
        <v>0</v>
      </c>
      <c r="HG252" s="422">
        <f t="shared" si="1242"/>
        <v>0</v>
      </c>
      <c r="HH252" s="422" t="n">
        <f t="shared" ref="HH252:IM252" si="1243">+-HH240+HH249+HH250</f>
        <v>0</v>
      </c>
      <c r="HI252" s="422">
        <f t="shared" si="1243"/>
        <v>0</v>
      </c>
      <c r="HJ252" s="422">
        <f t="shared" si="1243"/>
        <v>0</v>
      </c>
      <c r="HK252" s="422">
        <f t="shared" si="1243"/>
        <v>0</v>
      </c>
      <c r="HL252" s="422">
        <f t="shared" si="1243"/>
        <v>0</v>
      </c>
      <c r="HM252" s="422">
        <f t="shared" si="1243"/>
        <v>0</v>
      </c>
      <c r="HN252" s="422">
        <f t="shared" si="1243"/>
        <v>0</v>
      </c>
      <c r="HO252" s="422">
        <f t="shared" si="1243"/>
        <v>0</v>
      </c>
      <c r="HP252" s="422">
        <f t="shared" si="1243"/>
        <v>0</v>
      </c>
      <c r="HQ252" s="422">
        <f t="shared" si="1243"/>
        <v>0</v>
      </c>
      <c r="HR252" s="422">
        <f t="shared" si="1243"/>
        <v>0</v>
      </c>
      <c r="HS252" s="422">
        <f t="shared" si="1243"/>
        <v>0</v>
      </c>
      <c r="HT252" s="422">
        <f t="shared" si="1243"/>
        <v>0</v>
      </c>
      <c r="HU252" s="422">
        <f t="shared" si="1243"/>
        <v>0</v>
      </c>
      <c r="HV252" s="422">
        <f t="shared" si="1243"/>
        <v>0</v>
      </c>
      <c r="HW252" s="422">
        <f t="shared" si="1243"/>
        <v>0</v>
      </c>
      <c r="HX252" s="422">
        <f t="shared" si="1243"/>
        <v>0</v>
      </c>
      <c r="HY252" s="422">
        <f t="shared" si="1243"/>
        <v>0</v>
      </c>
      <c r="HZ252" s="422">
        <f t="shared" si="1243"/>
        <v>0</v>
      </c>
      <c r="IA252" s="422">
        <f t="shared" si="1243"/>
        <v>0</v>
      </c>
      <c r="IB252" s="422">
        <f t="shared" si="1243"/>
        <v>0</v>
      </c>
      <c r="IC252" s="422">
        <f t="shared" si="1243"/>
        <v>0</v>
      </c>
      <c r="ID252" s="422">
        <f t="shared" si="1243"/>
        <v>0</v>
      </c>
      <c r="IE252" s="422">
        <f t="shared" si="1243"/>
        <v>0</v>
      </c>
      <c r="IF252" s="422">
        <f t="shared" si="1243"/>
        <v>0</v>
      </c>
      <c r="IG252" s="422">
        <f t="shared" si="1243"/>
        <v>0</v>
      </c>
      <c r="IH252" s="422">
        <f t="shared" si="1243"/>
        <v>0</v>
      </c>
      <c r="II252" s="422">
        <f t="shared" si="1243"/>
        <v>0</v>
      </c>
      <c r="IJ252" s="422">
        <f t="shared" si="1243"/>
        <v>0</v>
      </c>
      <c r="IK252" s="422">
        <f t="shared" si="1243"/>
        <v>0</v>
      </c>
      <c r="IL252" s="422">
        <f t="shared" si="1243"/>
        <v>0</v>
      </c>
      <c r="IM252" s="422">
        <f t="shared" si="1243"/>
        <v>0</v>
      </c>
      <c r="IN252" s="422" t="n">
        <f t="shared" ref="IN252:JX252" si="1244">+-IN240+IN249+IN250</f>
        <v>0</v>
      </c>
      <c r="IO252" s="422">
        <f t="shared" si="1244"/>
        <v>0</v>
      </c>
      <c r="IP252" s="422">
        <f t="shared" si="1244"/>
        <v>0</v>
      </c>
      <c r="IQ252" s="422">
        <f t="shared" si="1244"/>
        <v>0</v>
      </c>
      <c r="IR252" s="422">
        <f t="shared" si="1244"/>
        <v>0</v>
      </c>
      <c r="IS252" s="422">
        <f t="shared" si="1244"/>
        <v>0</v>
      </c>
      <c r="IT252" s="422">
        <f t="shared" si="1244"/>
        <v>0</v>
      </c>
      <c r="IU252" s="422">
        <f t="shared" si="1244"/>
        <v>0</v>
      </c>
      <c r="IV252" s="422">
        <f t="shared" si="1244"/>
        <v>0</v>
      </c>
      <c r="IW252" s="422">
        <f t="shared" si="1244"/>
        <v>0</v>
      </c>
      <c r="IX252" s="422">
        <f t="shared" si="1244"/>
        <v>0</v>
      </c>
      <c r="IY252" s="422">
        <f t="shared" si="1244"/>
        <v>0</v>
      </c>
      <c r="IZ252" s="422">
        <f t="shared" si="1244"/>
        <v>0</v>
      </c>
      <c r="JA252" s="422">
        <f t="shared" si="1244"/>
        <v>0</v>
      </c>
      <c r="JB252" s="422">
        <f t="shared" si="1244"/>
        <v>0</v>
      </c>
      <c r="JC252" s="422">
        <f t="shared" si="1244"/>
        <v>0</v>
      </c>
      <c r="JD252" s="422">
        <f t="shared" si="1244"/>
        <v>0</v>
      </c>
      <c r="JE252" s="422">
        <f t="shared" si="1244"/>
        <v>0</v>
      </c>
      <c r="JF252" s="422">
        <f t="shared" si="1244"/>
        <v>0</v>
      </c>
      <c r="JG252" s="422">
        <f t="shared" si="1244"/>
        <v>0</v>
      </c>
      <c r="JH252" s="422">
        <f t="shared" si="1244"/>
        <v>0</v>
      </c>
      <c r="JI252" s="422">
        <f t="shared" si="1244"/>
        <v>0</v>
      </c>
      <c r="JJ252" s="422">
        <f t="shared" si="1244"/>
        <v>0</v>
      </c>
      <c r="JK252" s="422">
        <f t="shared" si="1244"/>
        <v>0</v>
      </c>
      <c r="JL252" s="422">
        <f t="shared" si="1244"/>
        <v>0</v>
      </c>
      <c r="JM252" s="422">
        <f t="shared" si="1244"/>
        <v>0</v>
      </c>
      <c r="JN252" s="422">
        <f t="shared" si="1244"/>
        <v>0</v>
      </c>
      <c r="JO252" s="422">
        <f t="shared" si="1244"/>
        <v>0</v>
      </c>
      <c r="JP252" s="422">
        <f t="shared" si="1244"/>
        <v>0</v>
      </c>
      <c r="JQ252" s="422">
        <f t="shared" si="1244"/>
        <v>0</v>
      </c>
      <c r="JR252" s="422">
        <f t="shared" si="1244"/>
        <v>0</v>
      </c>
      <c r="JS252" s="422">
        <f t="shared" si="1244"/>
        <v>0</v>
      </c>
      <c r="JT252" s="422">
        <f t="shared" si="1244"/>
        <v>0</v>
      </c>
      <c r="JU252" s="422">
        <f t="shared" si="1244"/>
        <v>0</v>
      </c>
      <c r="JV252" s="422">
        <f t="shared" si="1244"/>
        <v>0</v>
      </c>
      <c r="JW252" s="422">
        <f t="shared" si="1244"/>
        <v>0</v>
      </c>
      <c r="JX252" s="422">
        <f t="shared" si="1244"/>
        <v>0</v>
      </c>
      <c r="JZ252" s="263"/>
      <c r="KA252" s="263"/>
      <c r="KB252" s="263"/>
      <c r="KC252" s="263"/>
      <c r="KD252" s="263"/>
      <c r="KE252" s="263"/>
      <c r="KF252" s="263"/>
      <c r="KG252" s="263"/>
      <c r="KH252" s="263"/>
      <c r="KI252" s="263"/>
      <c r="KJ252" s="263"/>
      <c r="KK252" s="263"/>
      <c r="KL252" s="263"/>
      <c r="KM252" s="263"/>
      <c r="KN252" s="263"/>
      <c r="KO252" s="263"/>
      <c r="KP252" s="263"/>
      <c r="KQ252" s="263"/>
      <c r="KR252" s="263"/>
      <c r="KS252" s="263"/>
      <c r="KT252" s="263"/>
      <c r="KU252" s="263"/>
      <c r="KV252" s="263"/>
      <c r="KW252" s="263"/>
      <c r="KX252" s="263"/>
      <c r="KY252" s="263"/>
      <c r="KZ252" s="263"/>
      <c r="LA252" s="263"/>
      <c r="LB252" s="263"/>
      <c r="LC252" s="263"/>
      <c r="LD252" s="263"/>
      <c r="LE252" s="263"/>
      <c r="LF252" s="263"/>
      <c r="LG252" s="263"/>
      <c r="LH252" s="263"/>
      <c r="LI252" s="263"/>
      <c r="LJ252" s="263"/>
      <c r="LK252" s="263"/>
      <c r="LL252" s="263"/>
      <c r="LM252" s="263"/>
      <c r="LN252" s="263"/>
      <c r="LO252" s="263"/>
      <c r="LP252" s="263"/>
      <c r="LQ252" s="263"/>
      <c r="LR252" s="263"/>
      <c r="LS252" s="263"/>
      <c r="LT252" s="263"/>
      <c r="LU252" s="263"/>
      <c r="LV252" s="263"/>
      <c r="LW252" s="263"/>
      <c r="LX252" s="263"/>
      <c r="LY252" s="263"/>
      <c r="LZ252" s="263"/>
      <c r="MA252" s="263"/>
      <c r="MB252" s="263"/>
      <c r="MC252" s="263"/>
      <c r="MD252" s="263"/>
      <c r="ME252" s="263"/>
      <c r="MF252" s="263"/>
      <c r="MG252" s="263"/>
      <c r="MH252" s="263"/>
      <c r="MI252" s="263"/>
      <c r="MJ252" s="263"/>
      <c r="MK252" s="263"/>
      <c r="ML252" s="263"/>
      <c r="MM252" s="263"/>
      <c r="MN252" s="263"/>
      <c r="MO252" s="263"/>
      <c r="MP252" s="263"/>
      <c r="MQ252" s="263"/>
      <c r="MR252" s="263"/>
      <c r="MS252" s="263"/>
      <c r="MT252" s="263"/>
      <c r="MU252" s="263"/>
      <c r="MV252" s="263"/>
      <c r="MW252" s="263"/>
      <c r="MX252" s="263"/>
      <c r="MY252" s="263"/>
      <c r="MZ252" s="263"/>
      <c r="NA252" s="263"/>
      <c r="NB252" s="263"/>
      <c r="NC252" s="263"/>
      <c r="ND252" s="263"/>
      <c r="NE252" s="263"/>
      <c r="NF252" s="263"/>
      <c r="NG252" s="263"/>
      <c r="NH252" s="263"/>
      <c r="NI252" s="263"/>
      <c r="NJ252" s="263"/>
      <c r="NK252" s="263"/>
      <c r="NL252" s="263"/>
      <c r="NM252" s="263"/>
      <c r="NN252" s="263"/>
      <c r="NO252" s="263"/>
      <c r="NP252" s="263"/>
      <c r="NQ252" s="263"/>
      <c r="NR252" s="263"/>
      <c r="NS252" s="263"/>
      <c r="NT252" s="263"/>
      <c r="NU252" s="263"/>
      <c r="NV252" s="263"/>
      <c r="NW252" s="263"/>
      <c r="NX252" s="263"/>
      <c r="NY252" s="263"/>
      <c r="NZ252" s="263"/>
      <c r="OA252" s="263"/>
      <c r="OB252" s="263"/>
      <c r="OC252" s="263"/>
      <c r="OD252" s="263"/>
      <c r="OE252" s="263"/>
      <c r="OF252" s="263"/>
      <c r="OG252" s="263"/>
      <c r="OH252" s="263"/>
      <c r="OI252" s="263"/>
      <c r="OJ252" s="263"/>
      <c r="OK252" s="263"/>
      <c r="OL252" s="263"/>
      <c r="OM252" s="263"/>
      <c r="ON252" s="263"/>
      <c r="OO252" s="263"/>
      <c r="OP252" s="263"/>
      <c r="OQ252" s="263"/>
      <c r="OR252" s="263"/>
      <c r="OS252" s="263"/>
      <c r="OT252" s="263"/>
      <c r="OU252" s="263"/>
      <c r="OV252" s="263"/>
      <c r="OW252" s="263"/>
      <c r="OX252" s="263"/>
      <c r="OY252" s="263"/>
      <c r="OZ252" s="263"/>
      <c r="PA252" s="263"/>
      <c r="PB252" s="263"/>
      <c r="PC252" s="263"/>
      <c r="PD252" s="263"/>
      <c r="PE252" s="263"/>
      <c r="PF252" s="263"/>
      <c r="PG252" s="263"/>
      <c r="PH252" s="263"/>
    </row>
    <row r="253">
      <c r="B253" s="415" t="s">
        <v>418</v>
      </c>
      <c r="C253" s="401"/>
      <c r="D253" s="401"/>
      <c r="E253" s="401"/>
      <c r="F253" s="552" t="s">
        <v>419</v>
      </c>
      <c r="G253" s="416" t="str">
        <f>B249&amp;" Promote"</f>
        <v>GP 1 Promote</v>
      </c>
      <c r="H253" s="416" t="str">
        <f>"Dist. % to "&amp;$B$249</f>
        <v>Dist. % to GP 1</v>
      </c>
      <c r="I253" s="416" t="str">
        <f>"Dist. % to "&amp;$B$250</f>
        <v>Dist. % to GP 2</v>
      </c>
      <c r="EP253" s="409"/>
      <c r="EQ253" s="18"/>
      <c r="ER253" s="18"/>
      <c r="ES253" s="18"/>
      <c r="ET253" s="18" t="s">
        <v>442</v>
      </c>
      <c r="EU253" s="18"/>
      <c r="EV253" s="422" t="n">
        <f t="shared" ref="EV253:GA253" si="1245">(EV$197&lt;=Timing_Reversion_Month)*(EV250/$I$255*$H$255)</f>
        <v>0</v>
      </c>
      <c r="EW253" s="422">
        <f t="shared" si="1245"/>
        <v>0</v>
      </c>
      <c r="EX253" s="422">
        <f t="shared" si="1245"/>
        <v>1.7507773009128869E-13</v>
      </c>
      <c r="EY253" s="422">
        <f t="shared" si="1245"/>
        <v>0</v>
      </c>
      <c r="EZ253" s="422">
        <f t="shared" si="1245"/>
        <v>0</v>
      </c>
      <c r="FA253" s="422">
        <f t="shared" si="1245"/>
        <v>0</v>
      </c>
      <c r="FB253" s="422">
        <f t="shared" si="1245"/>
        <v>0</v>
      </c>
      <c r="FC253" s="422">
        <f t="shared" si="1245"/>
        <v>0</v>
      </c>
      <c r="FD253" s="422">
        <f t="shared" si="1245"/>
        <v>0</v>
      </c>
      <c r="FE253" s="422">
        <f t="shared" si="1245"/>
        <v>0</v>
      </c>
      <c r="FF253" s="422">
        <f t="shared" si="1245"/>
        <v>0</v>
      </c>
      <c r="FG253" s="422">
        <f t="shared" si="1245"/>
        <v>0</v>
      </c>
      <c r="FH253" s="422">
        <f t="shared" si="1245"/>
        <v>0</v>
      </c>
      <c r="FI253" s="422">
        <f t="shared" si="1245"/>
        <v>0</v>
      </c>
      <c r="FJ253" s="422">
        <f t="shared" si="1245"/>
        <v>0</v>
      </c>
      <c r="FK253" s="422">
        <f t="shared" si="1245"/>
        <v>0</v>
      </c>
      <c r="FL253" s="422">
        <f t="shared" si="1245"/>
        <v>0</v>
      </c>
      <c r="FM253" s="422">
        <f t="shared" si="1245"/>
        <v>0</v>
      </c>
      <c r="FN253" s="422">
        <f t="shared" si="1245"/>
        <v>0</v>
      </c>
      <c r="FO253" s="422">
        <f t="shared" si="1245"/>
        <v>0</v>
      </c>
      <c r="FP253" s="422">
        <f t="shared" si="1245"/>
        <v>5.6024873629212381E-12</v>
      </c>
      <c r="FQ253" s="422">
        <f t="shared" si="1245"/>
        <v>0</v>
      </c>
      <c r="FR253" s="422">
        <f t="shared" si="1245"/>
        <v>0</v>
      </c>
      <c r="FS253" s="422">
        <f t="shared" si="1245"/>
        <v>0</v>
      </c>
      <c r="FT253" s="422">
        <f t="shared" si="1245"/>
        <v>0</v>
      </c>
      <c r="FU253" s="422">
        <f t="shared" si="1245"/>
        <v>0</v>
      </c>
      <c r="FV253" s="422">
        <f t="shared" si="1245"/>
        <v>0</v>
      </c>
      <c r="FW253" s="422">
        <f t="shared" si="1245"/>
        <v>0</v>
      </c>
      <c r="FX253" s="422">
        <f t="shared" si="1245"/>
        <v>5.6024873629212381E-12</v>
      </c>
      <c r="FY253" s="422">
        <f t="shared" si="1245"/>
        <v>0</v>
      </c>
      <c r="FZ253" s="422">
        <f t="shared" si="1245"/>
        <v>0</v>
      </c>
      <c r="GA253" s="422">
        <f t="shared" si="1245"/>
        <v>0</v>
      </c>
      <c r="GB253" s="422" t="n">
        <f t="shared" ref="GB253:HG253" si="1246">(GB$197&lt;=Timing_Reversion_Month)*(GB250/$I$255*$H$255)</f>
        <v>0</v>
      </c>
      <c r="GC253" s="422">
        <f t="shared" si="1246"/>
        <v>0</v>
      </c>
      <c r="GD253" s="422">
        <f t="shared" si="1246"/>
        <v>0</v>
      </c>
      <c r="GE253" s="422">
        <f t="shared" si="1246"/>
        <v>5.6024873629212381E-12</v>
      </c>
      <c r="GF253" s="422">
        <f t="shared" si="1246"/>
        <v>0</v>
      </c>
      <c r="GG253" s="422">
        <f t="shared" si="1246"/>
        <v>0</v>
      </c>
      <c r="GH253" s="422">
        <f t="shared" si="1246"/>
        <v>0</v>
      </c>
      <c r="GI253" s="422">
        <f t="shared" si="1246"/>
        <v>0</v>
      </c>
      <c r="GJ253" s="422">
        <f t="shared" si="1246"/>
        <v>5.6024873629212381E-12</v>
      </c>
      <c r="GK253" s="422">
        <f t="shared" si="1246"/>
        <v>0</v>
      </c>
      <c r="GL253" s="422">
        <f t="shared" si="1246"/>
        <v>5.6024873629212381E-12</v>
      </c>
      <c r="GM253" s="422">
        <f t="shared" si="1246"/>
        <v>5.6024873629212381E-12</v>
      </c>
      <c r="GN253" s="422">
        <f t="shared" si="1246"/>
        <v>0</v>
      </c>
      <c r="GO253" s="422">
        <f t="shared" si="1246"/>
        <v>0</v>
      </c>
      <c r="GP253" s="422">
        <f t="shared" si="1246"/>
        <v>0</v>
      </c>
      <c r="GQ253" s="422">
        <f t="shared" si="1246"/>
        <v>0</v>
      </c>
      <c r="GR253" s="422">
        <f t="shared" si="1246"/>
        <v>0</v>
      </c>
      <c r="GS253" s="422">
        <f t="shared" si="1246"/>
        <v>0</v>
      </c>
      <c r="GT253" s="422">
        <f t="shared" si="1246"/>
        <v>0</v>
      </c>
      <c r="GU253" s="422">
        <f t="shared" si="1246"/>
        <v>0</v>
      </c>
      <c r="GV253" s="422">
        <f t="shared" si="1246"/>
        <v>0</v>
      </c>
      <c r="GW253" s="422">
        <f t="shared" si="1246"/>
        <v>0</v>
      </c>
      <c r="GX253" s="422">
        <f t="shared" si="1246"/>
        <v>0</v>
      </c>
      <c r="GY253" s="422">
        <f t="shared" si="1246"/>
        <v>0</v>
      </c>
      <c r="GZ253" s="422">
        <f t="shared" si="1246"/>
        <v>0</v>
      </c>
      <c r="HA253" s="422">
        <f t="shared" si="1246"/>
        <v>5.6024873629212381E-12</v>
      </c>
      <c r="HB253" s="422">
        <f t="shared" si="1246"/>
        <v>0</v>
      </c>
      <c r="HC253" s="422">
        <f t="shared" si="1246"/>
        <v>5.6024873629212381E-12</v>
      </c>
      <c r="HD253" s="422">
        <f t="shared" si="1246"/>
        <v>0</v>
      </c>
      <c r="HE253" s="422">
        <f t="shared" si="1246"/>
        <v>305835.54889603244</v>
      </c>
      <c r="HF253" s="422">
        <f t="shared" si="1246"/>
        <v>0</v>
      </c>
      <c r="HG253" s="422">
        <f t="shared" si="1246"/>
        <v>0</v>
      </c>
      <c r="HH253" s="422" t="n">
        <f t="shared" ref="HH253:IM253" si="1247">(HH$197&lt;=Timing_Reversion_Month)*(HH250/$I$255*$H$255)</f>
        <v>0</v>
      </c>
      <c r="HI253" s="422">
        <f t="shared" si="1247"/>
        <v>0</v>
      </c>
      <c r="HJ253" s="422">
        <f t="shared" si="1247"/>
        <v>0</v>
      </c>
      <c r="HK253" s="422">
        <f t="shared" si="1247"/>
        <v>0</v>
      </c>
      <c r="HL253" s="422">
        <f t="shared" si="1247"/>
        <v>0</v>
      </c>
      <c r="HM253" s="422">
        <f t="shared" si="1247"/>
        <v>0</v>
      </c>
      <c r="HN253" s="422">
        <f t="shared" si="1247"/>
        <v>0</v>
      </c>
      <c r="HO253" s="422">
        <f t="shared" si="1247"/>
        <v>0</v>
      </c>
      <c r="HP253" s="422">
        <f t="shared" si="1247"/>
        <v>0</v>
      </c>
      <c r="HQ253" s="422">
        <f t="shared" si="1247"/>
        <v>0</v>
      </c>
      <c r="HR253" s="422">
        <f t="shared" si="1247"/>
        <v>0</v>
      </c>
      <c r="HS253" s="422">
        <f t="shared" si="1247"/>
        <v>0</v>
      </c>
      <c r="HT253" s="422">
        <f t="shared" si="1247"/>
        <v>0</v>
      </c>
      <c r="HU253" s="422">
        <f t="shared" si="1247"/>
        <v>0</v>
      </c>
      <c r="HV253" s="422">
        <f t="shared" si="1247"/>
        <v>0</v>
      </c>
      <c r="HW253" s="422">
        <f t="shared" si="1247"/>
        <v>0</v>
      </c>
      <c r="HX253" s="422">
        <f t="shared" si="1247"/>
        <v>0</v>
      </c>
      <c r="HY253" s="422">
        <f t="shared" si="1247"/>
        <v>0</v>
      </c>
      <c r="HZ253" s="422">
        <f t="shared" si="1247"/>
        <v>0</v>
      </c>
      <c r="IA253" s="422">
        <f t="shared" si="1247"/>
        <v>0</v>
      </c>
      <c r="IB253" s="422">
        <f t="shared" si="1247"/>
        <v>0</v>
      </c>
      <c r="IC253" s="422">
        <f t="shared" si="1247"/>
        <v>0</v>
      </c>
      <c r="ID253" s="422">
        <f t="shared" si="1247"/>
        <v>0</v>
      </c>
      <c r="IE253" s="422">
        <f t="shared" si="1247"/>
        <v>0</v>
      </c>
      <c r="IF253" s="422">
        <f t="shared" si="1247"/>
        <v>0</v>
      </c>
      <c r="IG253" s="422">
        <f t="shared" si="1247"/>
        <v>0</v>
      </c>
      <c r="IH253" s="422">
        <f t="shared" si="1247"/>
        <v>0</v>
      </c>
      <c r="II253" s="422">
        <f t="shared" si="1247"/>
        <v>0</v>
      </c>
      <c r="IJ253" s="422">
        <f t="shared" si="1247"/>
        <v>0</v>
      </c>
      <c r="IK253" s="422">
        <f t="shared" si="1247"/>
        <v>0</v>
      </c>
      <c r="IL253" s="422">
        <f t="shared" si="1247"/>
        <v>0</v>
      </c>
      <c r="IM253" s="422">
        <f t="shared" si="1247"/>
        <v>0</v>
      </c>
      <c r="IN253" s="422" t="n">
        <f t="shared" ref="IN253:JX253" si="1248">(IN$197&lt;=Timing_Reversion_Month)*(IN250/$I$255*$H$255)</f>
        <v>0</v>
      </c>
      <c r="IO253" s="422">
        <f t="shared" si="1248"/>
        <v>0</v>
      </c>
      <c r="IP253" s="422">
        <f t="shared" si="1248"/>
        <v>0</v>
      </c>
      <c r="IQ253" s="422">
        <f t="shared" si="1248"/>
        <v>0</v>
      </c>
      <c r="IR253" s="422">
        <f t="shared" si="1248"/>
        <v>0</v>
      </c>
      <c r="IS253" s="422">
        <f t="shared" si="1248"/>
        <v>0</v>
      </c>
      <c r="IT253" s="422">
        <f t="shared" si="1248"/>
        <v>0</v>
      </c>
      <c r="IU253" s="422">
        <f t="shared" si="1248"/>
        <v>0</v>
      </c>
      <c r="IV253" s="422">
        <f t="shared" si="1248"/>
        <v>0</v>
      </c>
      <c r="IW253" s="422">
        <f t="shared" si="1248"/>
        <v>0</v>
      </c>
      <c r="IX253" s="422">
        <f t="shared" si="1248"/>
        <v>0</v>
      </c>
      <c r="IY253" s="422">
        <f t="shared" si="1248"/>
        <v>0</v>
      </c>
      <c r="IZ253" s="422">
        <f t="shared" si="1248"/>
        <v>0</v>
      </c>
      <c r="JA253" s="422">
        <f t="shared" si="1248"/>
        <v>0</v>
      </c>
      <c r="JB253" s="422">
        <f t="shared" si="1248"/>
        <v>0</v>
      </c>
      <c r="JC253" s="422">
        <f t="shared" si="1248"/>
        <v>0</v>
      </c>
      <c r="JD253" s="422">
        <f t="shared" si="1248"/>
        <v>0</v>
      </c>
      <c r="JE253" s="422">
        <f t="shared" si="1248"/>
        <v>0</v>
      </c>
      <c r="JF253" s="422">
        <f t="shared" si="1248"/>
        <v>0</v>
      </c>
      <c r="JG253" s="422">
        <f t="shared" si="1248"/>
        <v>0</v>
      </c>
      <c r="JH253" s="422">
        <f t="shared" si="1248"/>
        <v>0</v>
      </c>
      <c r="JI253" s="422">
        <f t="shared" si="1248"/>
        <v>0</v>
      </c>
      <c r="JJ253" s="422">
        <f t="shared" si="1248"/>
        <v>0</v>
      </c>
      <c r="JK253" s="422">
        <f t="shared" si="1248"/>
        <v>0</v>
      </c>
      <c r="JL253" s="422">
        <f t="shared" si="1248"/>
        <v>0</v>
      </c>
      <c r="JM253" s="422">
        <f t="shared" si="1248"/>
        <v>0</v>
      </c>
      <c r="JN253" s="422">
        <f t="shared" si="1248"/>
        <v>0</v>
      </c>
      <c r="JO253" s="422">
        <f t="shared" si="1248"/>
        <v>0</v>
      </c>
      <c r="JP253" s="422">
        <f t="shared" si="1248"/>
        <v>0</v>
      </c>
      <c r="JQ253" s="422">
        <f t="shared" si="1248"/>
        <v>0</v>
      </c>
      <c r="JR253" s="422">
        <f t="shared" si="1248"/>
        <v>0</v>
      </c>
      <c r="JS253" s="422">
        <f t="shared" si="1248"/>
        <v>0</v>
      </c>
      <c r="JT253" s="422">
        <f t="shared" si="1248"/>
        <v>0</v>
      </c>
      <c r="JU253" s="422">
        <f t="shared" si="1248"/>
        <v>0</v>
      </c>
      <c r="JV253" s="422">
        <f t="shared" si="1248"/>
        <v>0</v>
      </c>
      <c r="JW253" s="422">
        <f t="shared" si="1248"/>
        <v>0</v>
      </c>
      <c r="JX253" s="422">
        <f t="shared" si="1248"/>
        <v>0</v>
      </c>
      <c r="JZ253" s="263"/>
      <c r="KA253" s="263"/>
      <c r="KB253" s="263"/>
      <c r="KC253" s="263"/>
      <c r="KD253" s="263"/>
      <c r="KE253" s="263"/>
      <c r="KF253" s="263"/>
      <c r="KG253" s="263"/>
      <c r="KH253" s="263"/>
      <c r="KI253" s="263"/>
      <c r="KJ253" s="263"/>
      <c r="KK253" s="263"/>
      <c r="KL253" s="263"/>
      <c r="KM253" s="263"/>
      <c r="KN253" s="263"/>
      <c r="KO253" s="263"/>
      <c r="KP253" s="263"/>
      <c r="KQ253" s="263"/>
      <c r="KR253" s="263"/>
      <c r="KS253" s="263"/>
      <c r="KT253" s="263"/>
      <c r="KU253" s="263"/>
      <c r="KV253" s="263"/>
      <c r="KW253" s="263"/>
      <c r="KX253" s="263"/>
      <c r="KY253" s="263"/>
      <c r="KZ253" s="263"/>
      <c r="LA253" s="263"/>
      <c r="LB253" s="263"/>
      <c r="LC253" s="263"/>
      <c r="LD253" s="263"/>
      <c r="LE253" s="263"/>
      <c r="LF253" s="263"/>
      <c r="LG253" s="263"/>
      <c r="LH253" s="263"/>
      <c r="LI253" s="263"/>
      <c r="LJ253" s="263"/>
      <c r="LK253" s="263"/>
      <c r="LL253" s="263"/>
      <c r="LM253" s="263"/>
      <c r="LN253" s="263"/>
      <c r="LO253" s="263"/>
      <c r="LP253" s="263"/>
      <c r="LQ253" s="263"/>
      <c r="LR253" s="263"/>
      <c r="LS253" s="263"/>
      <c r="LT253" s="263"/>
      <c r="LU253" s="263"/>
      <c r="LV253" s="263"/>
      <c r="LW253" s="263"/>
      <c r="LX253" s="263"/>
      <c r="LY253" s="263"/>
      <c r="LZ253" s="263"/>
      <c r="MA253" s="263"/>
      <c r="MB253" s="263"/>
      <c r="MC253" s="263"/>
      <c r="MD253" s="263"/>
      <c r="ME253" s="263"/>
      <c r="MF253" s="263"/>
      <c r="MG253" s="263"/>
      <c r="MH253" s="263"/>
      <c r="MI253" s="263"/>
      <c r="MJ253" s="263"/>
      <c r="MK253" s="263"/>
      <c r="ML253" s="263"/>
      <c r="MM253" s="263"/>
      <c r="MN253" s="263"/>
      <c r="MO253" s="263"/>
      <c r="MP253" s="263"/>
      <c r="MQ253" s="263"/>
      <c r="MR253" s="263"/>
      <c r="MS253" s="263"/>
      <c r="MT253" s="263"/>
      <c r="MU253" s="263"/>
      <c r="MV253" s="263"/>
      <c r="MW253" s="263"/>
      <c r="MX253" s="263"/>
      <c r="MY253" s="263"/>
      <c r="MZ253" s="263"/>
      <c r="NA253" s="263"/>
      <c r="NB253" s="263"/>
      <c r="NC253" s="263"/>
      <c r="ND253" s="263"/>
      <c r="NE253" s="263"/>
      <c r="NF253" s="263"/>
      <c r="NG253" s="263"/>
      <c r="NH253" s="263"/>
      <c r="NI253" s="263"/>
      <c r="NJ253" s="263"/>
      <c r="NK253" s="263"/>
      <c r="NL253" s="263"/>
      <c r="NM253" s="263"/>
      <c r="NN253" s="263"/>
      <c r="NO253" s="263"/>
      <c r="NP253" s="263"/>
      <c r="NQ253" s="263"/>
      <c r="NR253" s="263"/>
      <c r="NS253" s="263"/>
      <c r="NT253" s="263"/>
      <c r="NU253" s="263"/>
      <c r="NV253" s="263"/>
      <c r="NW253" s="263"/>
      <c r="NX253" s="263"/>
      <c r="NY253" s="263"/>
      <c r="NZ253" s="263"/>
      <c r="OA253" s="263"/>
      <c r="OB253" s="263"/>
      <c r="OC253" s="263"/>
      <c r="OD253" s="263"/>
      <c r="OE253" s="263"/>
      <c r="OF253" s="263"/>
      <c r="OG253" s="263"/>
      <c r="OH253" s="263"/>
      <c r="OI253" s="263"/>
      <c r="OJ253" s="263"/>
      <c r="OK253" s="263"/>
      <c r="OL253" s="263"/>
      <c r="OM253" s="263"/>
      <c r="ON253" s="263"/>
      <c r="OO253" s="263"/>
      <c r="OP253" s="263"/>
      <c r="OQ253" s="263"/>
      <c r="OR253" s="263"/>
      <c r="OS253" s="263"/>
      <c r="OT253" s="263"/>
      <c r="OU253" s="263"/>
      <c r="OV253" s="263"/>
      <c r="OW253" s="263"/>
      <c r="OX253" s="263"/>
      <c r="OY253" s="263"/>
      <c r="OZ253" s="263"/>
      <c r="PA253" s="263"/>
      <c r="PB253" s="263"/>
      <c r="PC253" s="263"/>
      <c r="PD253" s="263"/>
      <c r="PE253" s="263"/>
      <c r="PF253" s="263"/>
      <c r="PG253" s="263"/>
      <c r="PH253" s="263"/>
    </row>
    <row r="254">
      <c r="B254" s="34" t="s">
        <v>423</v>
      </c>
      <c r="C254" s="401"/>
      <c r="D254" s="404"/>
      <c r="E254" s="404" t="s">
        <v>425</v>
      </c>
      <c r="F254" s="87">
        <v>0.09</v>
      </c>
      <c r="G254" s="53">
        <v>0</v>
      </c>
      <c r="H254" s="53" t="n">
        <f>G254+(1-G254)*$H$249</f>
        <v>0.05</v>
      </c>
      <c r="I254" s="58" t="n">
        <f>1-H254</f>
        <v>0.95</v>
      </c>
      <c r="L254" s="421" t="str">
        <f t="shared" ref="L254:AQ254" si="1249">IF(L$227="","",EV245)</f>
      </c>
      <c r="M254" s="421">
        <f t="shared" si="1249"/>
        <v>20697.418964568609</v>
      </c>
      <c r="N254" s="421">
        <f t="shared" si="1249"/>
        <v>7136.8991101698393</v>
      </c>
      <c r="O254" s="421">
        <f t="shared" si="1249"/>
        <v>0</v>
      </c>
      <c r="P254" s="421">
        <f t="shared" si="1249"/>
        <v>0</v>
      </c>
      <c r="Q254" s="421">
        <f t="shared" si="1249"/>
        <v>0</v>
      </c>
      <c r="R254" s="421">
        <f t="shared" si="1249"/>
        <v>0</v>
      </c>
      <c r="S254" s="421">
        <f t="shared" si="1249"/>
        <v>0</v>
      </c>
      <c r="T254" s="421">
        <f t="shared" si="1249"/>
        <v>0</v>
      </c>
      <c r="U254" s="421">
        <f t="shared" si="1249"/>
        <v>0</v>
      </c>
      <c r="V254" s="421">
        <f t="shared" si="1249"/>
        <v>0</v>
      </c>
      <c r="W254" s="421">
        <f t="shared" si="1249"/>
        <v>0</v>
      </c>
      <c r="X254" s="421">
        <f t="shared" si="1249"/>
        <v>0</v>
      </c>
      <c r="Y254" s="421">
        <f t="shared" si="1249"/>
        <v>0</v>
      </c>
      <c r="Z254" s="421">
        <f t="shared" si="1249"/>
        <v>0</v>
      </c>
      <c r="AA254" s="421">
        <f t="shared" si="1249"/>
        <v>0</v>
      </c>
      <c r="AB254" s="421">
        <f t="shared" si="1249"/>
        <v>0</v>
      </c>
      <c r="AC254" s="421">
        <f t="shared" si="1249"/>
        <v>42655.977640512116</v>
      </c>
      <c r="AD254" s="421">
        <f t="shared" si="1249"/>
        <v>183252.67770691717</v>
      </c>
      <c r="AE254" s="421">
        <f t="shared" si="1249"/>
        <v>170533.1050788837</v>
      </c>
      <c r="AF254" s="421">
        <f t="shared" si="1249"/>
        <v>162398.07196046537</v>
      </c>
      <c r="AG254" s="421">
        <f t="shared" si="1249"/>
        <v>193957.07916015596</v>
      </c>
      <c r="AH254" s="421">
        <f t="shared" si="1249"/>
        <v>186520.1600444566</v>
      </c>
      <c r="AI254" s="421">
        <f t="shared" si="1249"/>
        <v>179676.24575137324</v>
      </c>
      <c r="AJ254" s="421">
        <f t="shared" si="1249"/>
        <v>188808.64779545995</v>
      </c>
      <c r="AK254" s="421">
        <f t="shared" si="1249"/>
        <v>183424.02026705141</v>
      </c>
      <c r="AL254" s="421">
        <f t="shared" si="1249"/>
        <v>178812.56135686929</v>
      </c>
      <c r="AM254" s="421">
        <f t="shared" si="1249"/>
        <v>184352.17664984387</v>
      </c>
      <c r="AN254" s="421">
        <f t="shared" si="1249"/>
        <v>149768.51834205931</v>
      </c>
      <c r="AO254" s="421">
        <f t="shared" si="1249"/>
        <v>78828.170146339718</v>
      </c>
      <c r="AP254" s="421">
        <f t="shared" si="1249"/>
        <v>132061.2559979037</v>
      </c>
      <c r="AQ254" s="421">
        <f t="shared" si="1249"/>
        <v>151856.45630436513</v>
      </c>
      <c r="AR254" s="421" t="n">
        <f t="shared" ref="AR254:BW254" si="1250">IF(AR$227="","",GB245)</f>
        <v>166597.00149289376</v>
      </c>
      <c r="AS254" s="421">
        <f t="shared" si="1250"/>
        <v>177153.76001550633</v>
      </c>
      <c r="AT254" s="421">
        <f t="shared" si="1250"/>
        <v>197050.77611878637</v>
      </c>
      <c r="AU254" s="421">
        <f t="shared" si="1250"/>
        <v>201683.90638575444</v>
      </c>
      <c r="AV254" s="421">
        <f t="shared" si="1250"/>
        <v>205096.64132294507</v>
      </c>
      <c r="AW254" s="421">
        <f t="shared" si="1250"/>
        <v>183924.78347276739</v>
      </c>
      <c r="AX254" s="421">
        <f t="shared" si="1250"/>
        <v>183290.65247524926</v>
      </c>
      <c r="AY254" s="421">
        <f t="shared" si="1250"/>
        <v>182651.76549524977</v>
      </c>
      <c r="AZ254" s="421">
        <f t="shared" si="1250"/>
        <v>182324.07566466735</v>
      </c>
      <c r="BA254" s="421">
        <f t="shared" si="1250"/>
        <v>181675.56944257524</v>
      </c>
      <c r="BB254" s="421">
        <f t="shared" si="1250"/>
        <v>181022.19942381742</v>
      </c>
      <c r="BC254" s="421">
        <f t="shared" si="1250"/>
        <v>188570.02953404232</v>
      </c>
      <c r="BD254" s="76">
        <f t="shared" si="1250"/>
        <v>187906.82221293962</v>
      </c>
      <c r="BE254" s="76">
        <f t="shared" si="1250"/>
        <v>187238.64083692874</v>
      </c>
      <c r="BF254" s="76">
        <f t="shared" si="1250"/>
        <v>188022.46893393091</v>
      </c>
      <c r="BG254" s="76">
        <f t="shared" si="1250"/>
        <v>187344.22725207737</v>
      </c>
      <c r="BH254" s="76">
        <f t="shared" si="1250"/>
        <v>186660.89875760989</v>
      </c>
      <c r="BI254" s="76">
        <f t="shared" si="1250"/>
        <v>179296.96047656561</v>
      </c>
      <c r="BJ254" s="76">
        <f t="shared" si="1250"/>
        <v>178603.34361745333</v>
      </c>
      <c r="BK254" s="76">
        <f t="shared" si="1250"/>
        <v>177904.52463189766</v>
      </c>
      <c r="BL254" s="76">
        <f t="shared" si="1250"/>
        <v>177515.92387895039</v>
      </c>
      <c r="BM254" s="76">
        <f t="shared" si="1250"/>
        <v>176806.58330004357</v>
      </c>
      <c r="BN254" s="76">
        <f t="shared" si="1250"/>
        <v>176091.92266679488</v>
      </c>
      <c r="BO254" s="76">
        <f t="shared" si="1250"/>
        <v>182799.16487240975</v>
      </c>
      <c r="BP254" s="76">
        <f t="shared" si="1250"/>
        <v>182073.74413000172</v>
      </c>
      <c r="BQ254" s="76">
        <f t="shared" si="1250"/>
        <v>181342.88273202564</v>
      </c>
      <c r="BR254" s="76">
        <f t="shared" si="1250"/>
        <v>182114.55643606462</v>
      </c>
      <c r="BS254" s="76">
        <f t="shared" si="1250"/>
        <v>181372.69100616529</v>
      </c>
      <c r="BT254" s="76">
        <f t="shared" si="1250"/>
        <v>180625.26158554174</v>
      </c>
      <c r="BU254" s="76">
        <f t="shared" si="1250"/>
        <v>4869203.6483269539</v>
      </c>
      <c r="BV254" s="76" t="str">
        <f t="shared" si="1250"/>
      </c>
      <c r="BW254" s="76" t="str">
        <f t="shared" si="1250"/>
      </c>
      <c r="BX254" s="76" t="str">
        <f t="shared" ref="BX254:DC254" si="1251">IF(BX$227="","",HH245)</f>
      </c>
      <c r="BY254" s="76" t="str">
        <f t="shared" si="1251"/>
      </c>
      <c r="BZ254" s="76" t="str">
        <f t="shared" si="1251"/>
      </c>
      <c r="CA254" s="76" t="str">
        <f t="shared" si="1251"/>
      </c>
      <c r="CB254" s="76" t="str">
        <f t="shared" si="1251"/>
      </c>
      <c r="CC254" s="76" t="str">
        <f t="shared" si="1251"/>
      </c>
      <c r="CD254" s="76" t="str">
        <f t="shared" si="1251"/>
      </c>
      <c r="CE254" s="76" t="str">
        <f t="shared" si="1251"/>
      </c>
      <c r="CF254" s="76" t="str">
        <f t="shared" si="1251"/>
      </c>
      <c r="CG254" s="76" t="str">
        <f t="shared" si="1251"/>
      </c>
      <c r="CH254" s="76" t="str">
        <f t="shared" si="1251"/>
      </c>
      <c r="CI254" s="76" t="str">
        <f t="shared" si="1251"/>
      </c>
      <c r="CJ254" s="76" t="str">
        <f t="shared" si="1251"/>
      </c>
      <c r="CK254" s="76" t="str">
        <f t="shared" si="1251"/>
      </c>
      <c r="CL254" s="76" t="str">
        <f t="shared" si="1251"/>
      </c>
      <c r="CM254" s="76" t="str">
        <f t="shared" si="1251"/>
      </c>
      <c r="CN254" s="76" t="str">
        <f t="shared" si="1251"/>
      </c>
      <c r="CO254" s="76" t="str">
        <f t="shared" si="1251"/>
      </c>
      <c r="CP254" s="76" t="str">
        <f t="shared" si="1251"/>
      </c>
      <c r="CQ254" s="76" t="str">
        <f t="shared" si="1251"/>
      </c>
      <c r="CR254" s="76" t="str">
        <f t="shared" si="1251"/>
      </c>
      <c r="CS254" s="76" t="str">
        <f t="shared" si="1251"/>
      </c>
      <c r="CT254" s="76" t="str">
        <f t="shared" si="1251"/>
      </c>
      <c r="CU254" s="76" t="str">
        <f t="shared" si="1251"/>
      </c>
      <c r="CV254" s="76" t="str">
        <f t="shared" si="1251"/>
      </c>
      <c r="CW254" s="76" t="str">
        <f t="shared" si="1251"/>
      </c>
      <c r="CX254" s="76" t="str">
        <f t="shared" si="1251"/>
      </c>
      <c r="CY254" s="76" t="str">
        <f t="shared" si="1251"/>
      </c>
      <c r="CZ254" s="76" t="str">
        <f t="shared" si="1251"/>
      </c>
      <c r="DA254" s="76" t="str">
        <f t="shared" si="1251"/>
      </c>
      <c r="DB254" s="76" t="str">
        <f t="shared" si="1251"/>
      </c>
      <c r="DC254" s="76" t="str">
        <f t="shared" si="1251"/>
      </c>
      <c r="DD254" s="76" t="str">
        <f t="shared" ref="DD254:EI254" si="1252">IF(DD$227="","",IN245)</f>
      </c>
      <c r="DE254" s="76" t="str">
        <f t="shared" si="1252"/>
      </c>
      <c r="DF254" s="76" t="str">
        <f t="shared" si="1252"/>
      </c>
      <c r="DG254" s="76" t="str">
        <f t="shared" si="1252"/>
      </c>
      <c r="DH254" s="76" t="str">
        <f t="shared" si="1252"/>
      </c>
      <c r="DI254" s="76" t="str">
        <f t="shared" si="1252"/>
      </c>
      <c r="DJ254" s="76" t="str">
        <f t="shared" si="1252"/>
      </c>
      <c r="DK254" s="76" t="str">
        <f t="shared" si="1252"/>
      </c>
      <c r="DL254" s="76" t="str">
        <f t="shared" si="1252"/>
      </c>
      <c r="DM254" s="76" t="str">
        <f t="shared" si="1252"/>
      </c>
      <c r="DN254" s="76" t="str">
        <f t="shared" si="1252"/>
      </c>
      <c r="DO254" s="76" t="str">
        <f t="shared" si="1252"/>
      </c>
      <c r="DP254" s="76" t="str">
        <f t="shared" si="1252"/>
      </c>
      <c r="DQ254" s="76" t="str">
        <f t="shared" si="1252"/>
      </c>
      <c r="DR254" s="76" t="str">
        <f t="shared" si="1252"/>
      </c>
      <c r="DS254" s="76" t="str">
        <f t="shared" si="1252"/>
      </c>
      <c r="DT254" s="76" t="str">
        <f t="shared" si="1252"/>
      </c>
      <c r="DU254" s="76" t="str">
        <f t="shared" si="1252"/>
      </c>
      <c r="DV254" s="76" t="str">
        <f t="shared" si="1252"/>
      </c>
      <c r="DW254" s="76" t="str">
        <f t="shared" si="1252"/>
      </c>
      <c r="DX254" s="76" t="str">
        <f t="shared" si="1252"/>
      </c>
      <c r="DY254" s="76" t="str">
        <f t="shared" si="1252"/>
      </c>
      <c r="DZ254" s="76" t="str">
        <f t="shared" si="1252"/>
      </c>
      <c r="EA254" s="76" t="str">
        <f t="shared" si="1252"/>
      </c>
      <c r="EB254" s="76" t="str">
        <f t="shared" si="1252"/>
      </c>
      <c r="EC254" s="76" t="str">
        <f t="shared" si="1252"/>
      </c>
      <c r="ED254" s="76" t="str">
        <f t="shared" si="1252"/>
      </c>
      <c r="EE254" s="76" t="str">
        <f t="shared" si="1252"/>
      </c>
      <c r="EF254" s="76" t="str">
        <f t="shared" si="1252"/>
      </c>
      <c r="EG254" s="76" t="str">
        <f t="shared" si="1252"/>
      </c>
      <c r="EH254" s="76" t="str">
        <f t="shared" si="1252"/>
      </c>
      <c r="EI254" s="76" t="str">
        <f t="shared" si="1252"/>
      </c>
      <c r="EJ254" s="76" t="str">
        <f t="shared" ref="EJ254:EN254" si="1253">IF(EJ$227="","",JT245)</f>
      </c>
      <c r="EK254" s="76" t="str">
        <f t="shared" si="1253"/>
      </c>
      <c r="EL254" s="76" t="str">
        <f t="shared" si="1253"/>
      </c>
      <c r="EM254" s="76" t="str">
        <f t="shared" si="1253"/>
      </c>
      <c r="EN254" s="76" t="str">
        <f t="shared" si="1253"/>
      </c>
      <c r="EP254" s="409"/>
      <c r="EQ254" s="18"/>
      <c r="ER254" s="18"/>
      <c r="ES254" s="18"/>
      <c r="ET254" s="18" t="s">
        <v>411</v>
      </c>
      <c r="EU254" s="18"/>
      <c r="EV254" s="422" t="n">
        <f>+EV253+EV250</f>
        <v>0</v>
      </c>
      <c r="EW254" s="422" t="n">
        <f t="shared" ref="EW254:HH254" si="1254">+EW253+EW250</f>
        <v>0</v>
      </c>
      <c r="EX254" s="422">
        <f t="shared" si="1254"/>
        <v>9.0949470177292824E-13</v>
      </c>
      <c r="EY254" s="422">
        <f t="shared" si="1254"/>
        <v>0</v>
      </c>
      <c r="EZ254" s="422">
        <f t="shared" si="1254"/>
        <v>0</v>
      </c>
      <c r="FA254" s="422">
        <f t="shared" si="1254"/>
        <v>0</v>
      </c>
      <c r="FB254" s="422">
        <f t="shared" si="1254"/>
        <v>0</v>
      </c>
      <c r="FC254" s="422">
        <f t="shared" si="1254"/>
        <v>0</v>
      </c>
      <c r="FD254" s="422">
        <f t="shared" si="1254"/>
        <v>0</v>
      </c>
      <c r="FE254" s="422">
        <f t="shared" si="1254"/>
        <v>0</v>
      </c>
      <c r="FF254" s="422">
        <f t="shared" si="1254"/>
        <v>0</v>
      </c>
      <c r="FG254" s="422">
        <f t="shared" si="1254"/>
        <v>0</v>
      </c>
      <c r="FH254" s="422">
        <f t="shared" si="1254"/>
        <v>0</v>
      </c>
      <c r="FI254" s="422">
        <f t="shared" si="1254"/>
        <v>0</v>
      </c>
      <c r="FJ254" s="422">
        <f t="shared" si="1254"/>
        <v>0</v>
      </c>
      <c r="FK254" s="422">
        <f t="shared" si="1254"/>
        <v>0</v>
      </c>
      <c r="FL254" s="422">
        <f t="shared" si="1254"/>
        <v>0</v>
      </c>
      <c r="FM254" s="422">
        <f t="shared" si="1254"/>
        <v>0</v>
      </c>
      <c r="FN254" s="422">
        <f t="shared" si="1254"/>
        <v>0</v>
      </c>
      <c r="FO254" s="422">
        <f t="shared" si="1254"/>
        <v>0</v>
      </c>
      <c r="FP254" s="422">
        <f t="shared" si="1254"/>
        <v>2.9103830456733704E-11</v>
      </c>
      <c r="FQ254" s="422">
        <f t="shared" si="1254"/>
        <v>0</v>
      </c>
      <c r="FR254" s="422">
        <f t="shared" si="1254"/>
        <v>0</v>
      </c>
      <c r="FS254" s="422">
        <f t="shared" si="1254"/>
        <v>0</v>
      </c>
      <c r="FT254" s="422">
        <f t="shared" si="1254"/>
        <v>0</v>
      </c>
      <c r="FU254" s="422">
        <f t="shared" si="1254"/>
        <v>0</v>
      </c>
      <c r="FV254" s="422">
        <f t="shared" si="1254"/>
        <v>0</v>
      </c>
      <c r="FW254" s="422">
        <f t="shared" si="1254"/>
        <v>0</v>
      </c>
      <c r="FX254" s="422">
        <f t="shared" si="1254"/>
        <v>2.9103830456733704E-11</v>
      </c>
      <c r="FY254" s="422">
        <f t="shared" si="1254"/>
        <v>0</v>
      </c>
      <c r="FZ254" s="422">
        <f t="shared" si="1254"/>
        <v>0</v>
      </c>
      <c r="GA254" s="422">
        <f t="shared" si="1254"/>
        <v>0</v>
      </c>
      <c r="GB254" s="422">
        <f t="shared" si="1254"/>
        <v>0</v>
      </c>
      <c r="GC254" s="422">
        <f t="shared" si="1254"/>
        <v>0</v>
      </c>
      <c r="GD254" s="422">
        <f t="shared" si="1254"/>
        <v>0</v>
      </c>
      <c r="GE254" s="422">
        <f t="shared" si="1254"/>
        <v>2.9103830456733704E-11</v>
      </c>
      <c r="GF254" s="422">
        <f t="shared" si="1254"/>
        <v>0</v>
      </c>
      <c r="GG254" s="422">
        <f t="shared" si="1254"/>
        <v>0</v>
      </c>
      <c r="GH254" s="422">
        <f t="shared" si="1254"/>
        <v>0</v>
      </c>
      <c r="GI254" s="422">
        <f t="shared" si="1254"/>
        <v>0</v>
      </c>
      <c r="GJ254" s="422">
        <f t="shared" si="1254"/>
        <v>2.9103830456733704E-11</v>
      </c>
      <c r="GK254" s="422">
        <f t="shared" si="1254"/>
        <v>0</v>
      </c>
      <c r="GL254" s="422">
        <f t="shared" si="1254"/>
        <v>2.9103830456733704E-11</v>
      </c>
      <c r="GM254" s="422">
        <f t="shared" si="1254"/>
        <v>2.9103830456733704E-11</v>
      </c>
      <c r="GN254" s="422">
        <f t="shared" si="1254"/>
        <v>0</v>
      </c>
      <c r="GO254" s="422">
        <f t="shared" si="1254"/>
        <v>0</v>
      </c>
      <c r="GP254" s="422">
        <f t="shared" si="1254"/>
        <v>0</v>
      </c>
      <c r="GQ254" s="422">
        <f t="shared" si="1254"/>
        <v>0</v>
      </c>
      <c r="GR254" s="422">
        <f t="shared" si="1254"/>
        <v>0</v>
      </c>
      <c r="GS254" s="422">
        <f t="shared" si="1254"/>
        <v>0</v>
      </c>
      <c r="GT254" s="422">
        <f t="shared" si="1254"/>
        <v>0</v>
      </c>
      <c r="GU254" s="422">
        <f t="shared" si="1254"/>
        <v>0</v>
      </c>
      <c r="GV254" s="422">
        <f t="shared" si="1254"/>
        <v>0</v>
      </c>
      <c r="GW254" s="422">
        <f t="shared" si="1254"/>
        <v>0</v>
      </c>
      <c r="GX254" s="422">
        <f t="shared" si="1254"/>
        <v>0</v>
      </c>
      <c r="GY254" s="422">
        <f t="shared" si="1254"/>
        <v>0</v>
      </c>
      <c r="GZ254" s="422">
        <f t="shared" si="1254"/>
        <v>0</v>
      </c>
      <c r="HA254" s="422">
        <f t="shared" si="1254"/>
        <v>2.9103830456733704E-11</v>
      </c>
      <c r="HB254" s="422">
        <f t="shared" si="1254"/>
        <v>0</v>
      </c>
      <c r="HC254" s="422">
        <f t="shared" si="1254"/>
        <v>2.9103830456733704E-11</v>
      </c>
      <c r="HD254" s="422">
        <f t="shared" si="1254"/>
        <v>0</v>
      </c>
      <c r="HE254" s="422">
        <f t="shared" si="1254"/>
        <v>1588756.0981612075</v>
      </c>
      <c r="HF254" s="422">
        <f t="shared" si="1254"/>
        <v>0</v>
      </c>
      <c r="HG254" s="422">
        <f t="shared" si="1254"/>
        <v>0</v>
      </c>
      <c r="HH254" s="422">
        <f t="shared" si="1254"/>
        <v>0</v>
      </c>
      <c r="HI254" s="422" t="n">
        <f t="shared" ref="HI254:JT254" si="1255">+HI253+HI250</f>
        <v>0</v>
      </c>
      <c r="HJ254" s="422">
        <f t="shared" si="1255"/>
        <v>0</v>
      </c>
      <c r="HK254" s="422">
        <f t="shared" si="1255"/>
        <v>0</v>
      </c>
      <c r="HL254" s="422">
        <f t="shared" si="1255"/>
        <v>0</v>
      </c>
      <c r="HM254" s="422">
        <f t="shared" si="1255"/>
        <v>0</v>
      </c>
      <c r="HN254" s="422">
        <f t="shared" si="1255"/>
        <v>0</v>
      </c>
      <c r="HO254" s="422">
        <f t="shared" si="1255"/>
        <v>0</v>
      </c>
      <c r="HP254" s="422">
        <f t="shared" si="1255"/>
        <v>0</v>
      </c>
      <c r="HQ254" s="422">
        <f t="shared" si="1255"/>
        <v>0</v>
      </c>
      <c r="HR254" s="422">
        <f t="shared" si="1255"/>
        <v>0</v>
      </c>
      <c r="HS254" s="422">
        <f t="shared" si="1255"/>
        <v>0</v>
      </c>
      <c r="HT254" s="422">
        <f t="shared" si="1255"/>
        <v>0</v>
      </c>
      <c r="HU254" s="422">
        <f t="shared" si="1255"/>
        <v>0</v>
      </c>
      <c r="HV254" s="422">
        <f t="shared" si="1255"/>
        <v>0</v>
      </c>
      <c r="HW254" s="422">
        <f t="shared" si="1255"/>
        <v>0</v>
      </c>
      <c r="HX254" s="422">
        <f t="shared" si="1255"/>
        <v>0</v>
      </c>
      <c r="HY254" s="422">
        <f t="shared" si="1255"/>
        <v>0</v>
      </c>
      <c r="HZ254" s="422">
        <f t="shared" si="1255"/>
        <v>0</v>
      </c>
      <c r="IA254" s="422">
        <f t="shared" si="1255"/>
        <v>0</v>
      </c>
      <c r="IB254" s="422">
        <f t="shared" si="1255"/>
        <v>0</v>
      </c>
      <c r="IC254" s="422">
        <f t="shared" si="1255"/>
        <v>0</v>
      </c>
      <c r="ID254" s="422">
        <f t="shared" si="1255"/>
        <v>0</v>
      </c>
      <c r="IE254" s="422">
        <f t="shared" si="1255"/>
        <v>0</v>
      </c>
      <c r="IF254" s="422">
        <f t="shared" si="1255"/>
        <v>0</v>
      </c>
      <c r="IG254" s="422">
        <f t="shared" si="1255"/>
        <v>0</v>
      </c>
      <c r="IH254" s="422">
        <f t="shared" si="1255"/>
        <v>0</v>
      </c>
      <c r="II254" s="422">
        <f t="shared" si="1255"/>
        <v>0</v>
      </c>
      <c r="IJ254" s="422">
        <f t="shared" si="1255"/>
        <v>0</v>
      </c>
      <c r="IK254" s="422">
        <f t="shared" si="1255"/>
        <v>0</v>
      </c>
      <c r="IL254" s="422">
        <f t="shared" si="1255"/>
        <v>0</v>
      </c>
      <c r="IM254" s="422">
        <f t="shared" si="1255"/>
        <v>0</v>
      </c>
      <c r="IN254" s="422">
        <f t="shared" si="1255"/>
        <v>0</v>
      </c>
      <c r="IO254" s="422">
        <f t="shared" si="1255"/>
        <v>0</v>
      </c>
      <c r="IP254" s="422">
        <f t="shared" si="1255"/>
        <v>0</v>
      </c>
      <c r="IQ254" s="422">
        <f t="shared" si="1255"/>
        <v>0</v>
      </c>
      <c r="IR254" s="422">
        <f t="shared" si="1255"/>
        <v>0</v>
      </c>
      <c r="IS254" s="422">
        <f t="shared" si="1255"/>
        <v>0</v>
      </c>
      <c r="IT254" s="422">
        <f t="shared" si="1255"/>
        <v>0</v>
      </c>
      <c r="IU254" s="422">
        <f t="shared" si="1255"/>
        <v>0</v>
      </c>
      <c r="IV254" s="422">
        <f t="shared" si="1255"/>
        <v>0</v>
      </c>
      <c r="IW254" s="422">
        <f t="shared" si="1255"/>
        <v>0</v>
      </c>
      <c r="IX254" s="422">
        <f t="shared" si="1255"/>
        <v>0</v>
      </c>
      <c r="IY254" s="422">
        <f t="shared" si="1255"/>
        <v>0</v>
      </c>
      <c r="IZ254" s="422">
        <f t="shared" si="1255"/>
        <v>0</v>
      </c>
      <c r="JA254" s="422">
        <f t="shared" si="1255"/>
        <v>0</v>
      </c>
      <c r="JB254" s="422">
        <f t="shared" si="1255"/>
        <v>0</v>
      </c>
      <c r="JC254" s="422">
        <f t="shared" si="1255"/>
        <v>0</v>
      </c>
      <c r="JD254" s="422">
        <f t="shared" si="1255"/>
        <v>0</v>
      </c>
      <c r="JE254" s="422">
        <f t="shared" si="1255"/>
        <v>0</v>
      </c>
      <c r="JF254" s="422">
        <f t="shared" si="1255"/>
        <v>0</v>
      </c>
      <c r="JG254" s="422">
        <f t="shared" si="1255"/>
        <v>0</v>
      </c>
      <c r="JH254" s="422">
        <f t="shared" si="1255"/>
        <v>0</v>
      </c>
      <c r="JI254" s="422">
        <f t="shared" si="1255"/>
        <v>0</v>
      </c>
      <c r="JJ254" s="422">
        <f t="shared" si="1255"/>
        <v>0</v>
      </c>
      <c r="JK254" s="422">
        <f t="shared" si="1255"/>
        <v>0</v>
      </c>
      <c r="JL254" s="422">
        <f t="shared" si="1255"/>
        <v>0</v>
      </c>
      <c r="JM254" s="422">
        <f t="shared" si="1255"/>
        <v>0</v>
      </c>
      <c r="JN254" s="422">
        <f t="shared" si="1255"/>
        <v>0</v>
      </c>
      <c r="JO254" s="422">
        <f t="shared" si="1255"/>
        <v>0</v>
      </c>
      <c r="JP254" s="422">
        <f t="shared" si="1255"/>
        <v>0</v>
      </c>
      <c r="JQ254" s="422">
        <f t="shared" si="1255"/>
        <v>0</v>
      </c>
      <c r="JR254" s="422">
        <f t="shared" si="1255"/>
        <v>0</v>
      </c>
      <c r="JS254" s="422">
        <f t="shared" si="1255"/>
        <v>0</v>
      </c>
      <c r="JT254" s="422">
        <f t="shared" si="1255"/>
        <v>0</v>
      </c>
      <c r="JU254" s="422" t="n">
        <f>+JU253+JU250</f>
        <v>0</v>
      </c>
      <c r="JV254" s="422" t="n">
        <f>+JV253+JV250</f>
        <v>0</v>
      </c>
      <c r="JW254" s="422" t="n">
        <f>+JW253+JW250</f>
        <v>0</v>
      </c>
      <c r="JX254" s="422" t="n">
        <f>+JX253+JX250</f>
        <v>0</v>
      </c>
      <c r="JZ254" s="263"/>
      <c r="KA254" s="263"/>
      <c r="KB254" s="263"/>
      <c r="KC254" s="263"/>
      <c r="KD254" s="263"/>
      <c r="KE254" s="263"/>
      <c r="KF254" s="263"/>
      <c r="KG254" s="263"/>
      <c r="KH254" s="263"/>
      <c r="KI254" s="263"/>
      <c r="KJ254" s="263"/>
      <c r="KK254" s="263"/>
      <c r="KL254" s="263"/>
      <c r="KM254" s="263"/>
      <c r="KN254" s="263"/>
      <c r="KO254" s="263"/>
      <c r="KP254" s="263"/>
      <c r="KQ254" s="263"/>
      <c r="KR254" s="263"/>
      <c r="KS254" s="263"/>
      <c r="KT254" s="263"/>
      <c r="KU254" s="263"/>
      <c r="KV254" s="263"/>
      <c r="KW254" s="263"/>
      <c r="KX254" s="263"/>
      <c r="KY254" s="263"/>
      <c r="KZ254" s="263"/>
      <c r="LA254" s="263"/>
      <c r="LB254" s="263"/>
      <c r="LC254" s="263"/>
      <c r="LD254" s="263"/>
      <c r="LE254" s="263"/>
      <c r="LF254" s="263"/>
      <c r="LG254" s="263"/>
      <c r="LH254" s="263"/>
      <c r="LI254" s="263"/>
      <c r="LJ254" s="263"/>
      <c r="LK254" s="263"/>
      <c r="LL254" s="263"/>
      <c r="LM254" s="263"/>
      <c r="LN254" s="263"/>
      <c r="LO254" s="263"/>
      <c r="LP254" s="263"/>
      <c r="LQ254" s="263"/>
      <c r="LR254" s="263"/>
      <c r="LS254" s="263"/>
      <c r="LT254" s="263"/>
      <c r="LU254" s="263"/>
      <c r="LV254" s="263"/>
      <c r="LW254" s="263"/>
      <c r="LX254" s="263"/>
      <c r="LY254" s="263"/>
      <c r="LZ254" s="263"/>
      <c r="MA254" s="263"/>
      <c r="MB254" s="263"/>
      <c r="MC254" s="263"/>
      <c r="MD254" s="263"/>
      <c r="ME254" s="263"/>
      <c r="MF254" s="263"/>
      <c r="MG254" s="263"/>
      <c r="MH254" s="263"/>
      <c r="MI254" s="263"/>
      <c r="MJ254" s="263"/>
      <c r="MK254" s="263"/>
      <c r="ML254" s="263"/>
      <c r="MM254" s="263"/>
      <c r="MN254" s="263"/>
      <c r="MO254" s="263"/>
      <c r="MP254" s="263"/>
      <c r="MQ254" s="263"/>
      <c r="MR254" s="263"/>
      <c r="MS254" s="263"/>
      <c r="MT254" s="263"/>
      <c r="MU254" s="263"/>
      <c r="MV254" s="263"/>
      <c r="MW254" s="263"/>
      <c r="MX254" s="263"/>
      <c r="MY254" s="263"/>
      <c r="MZ254" s="263"/>
      <c r="NA254" s="263"/>
      <c r="NB254" s="263"/>
      <c r="NC254" s="263"/>
      <c r="ND254" s="263"/>
      <c r="NE254" s="263"/>
      <c r="NF254" s="263"/>
      <c r="NG254" s="263"/>
      <c r="NH254" s="263"/>
      <c r="NI254" s="263"/>
      <c r="NJ254" s="263"/>
      <c r="NK254" s="263"/>
      <c r="NL254" s="263"/>
      <c r="NM254" s="263"/>
      <c r="NN254" s="263"/>
      <c r="NO254" s="263"/>
      <c r="NP254" s="263"/>
      <c r="NQ254" s="263"/>
      <c r="NR254" s="263"/>
      <c r="NS254" s="263"/>
      <c r="NT254" s="263"/>
      <c r="NU254" s="263"/>
      <c r="NV254" s="263"/>
      <c r="NW254" s="263"/>
      <c r="NX254" s="263"/>
      <c r="NY254" s="263"/>
      <c r="NZ254" s="263"/>
      <c r="OA254" s="263"/>
      <c r="OB254" s="263"/>
      <c r="OC254" s="263"/>
      <c r="OD254" s="263"/>
      <c r="OE254" s="263"/>
      <c r="OF254" s="263"/>
      <c r="OG254" s="263"/>
      <c r="OH254" s="263"/>
      <c r="OI254" s="263"/>
      <c r="OJ254" s="263"/>
      <c r="OK254" s="263"/>
      <c r="OL254" s="263"/>
      <c r="OM254" s="263"/>
      <c r="ON254" s="263"/>
      <c r="OO254" s="263"/>
      <c r="OP254" s="263"/>
      <c r="OQ254" s="263"/>
      <c r="OR254" s="263"/>
      <c r="OS254" s="263"/>
      <c r="OT254" s="263"/>
      <c r="OU254" s="263"/>
      <c r="OV254" s="263"/>
      <c r="OW254" s="263"/>
      <c r="OX254" s="263"/>
      <c r="OY254" s="263"/>
      <c r="OZ254" s="263"/>
      <c r="PA254" s="263"/>
      <c r="PB254" s="263"/>
      <c r="PC254" s="263"/>
      <c r="PD254" s="263"/>
      <c r="PE254" s="263"/>
      <c r="PF254" s="263"/>
      <c r="PG254" s="263"/>
      <c r="PH254" s="263"/>
    </row>
    <row r="255">
      <c r="B255" s="34" t="s">
        <v>428</v>
      </c>
      <c r="C255" s="401"/>
      <c r="D255" s="404"/>
      <c r="E255" s="404" t="s">
        <v>425</v>
      </c>
      <c r="F255" s="87">
        <v>0.12</v>
      </c>
      <c r="G255" s="54">
        <v>0.15</v>
      </c>
      <c r="H255" s="53" t="n">
        <f t="shared" ref="H255:H257" si="1256">G255+(1-G255)*$H$249</f>
        <v>0.1925</v>
      </c>
      <c r="I255" s="58" t="n">
        <f>1-H255</f>
        <v>0.8075</v>
      </c>
      <c r="L255" s="421" t="str">
        <f t="shared" ref="L255:AQ255" si="1257">IF(L$227="","",EV254)</f>
      </c>
      <c r="M255" s="421">
        <f t="shared" si="1257"/>
        <v>0</v>
      </c>
      <c r="N255" s="421">
        <f t="shared" si="1257"/>
        <v>9.0949470177292824E-13</v>
      </c>
      <c r="O255" s="421">
        <f t="shared" si="1257"/>
        <v>0</v>
      </c>
      <c r="P255" s="421">
        <f t="shared" si="1257"/>
        <v>0</v>
      </c>
      <c r="Q255" s="421">
        <f t="shared" si="1257"/>
        <v>0</v>
      </c>
      <c r="R255" s="421">
        <f t="shared" si="1257"/>
        <v>0</v>
      </c>
      <c r="S255" s="421">
        <f t="shared" si="1257"/>
        <v>0</v>
      </c>
      <c r="T255" s="421">
        <f t="shared" si="1257"/>
        <v>0</v>
      </c>
      <c r="U255" s="421">
        <f t="shared" si="1257"/>
        <v>0</v>
      </c>
      <c r="V255" s="421">
        <f t="shared" si="1257"/>
        <v>0</v>
      </c>
      <c r="W255" s="421">
        <f t="shared" si="1257"/>
        <v>0</v>
      </c>
      <c r="X255" s="421">
        <f t="shared" si="1257"/>
        <v>0</v>
      </c>
      <c r="Y255" s="421">
        <f t="shared" si="1257"/>
        <v>0</v>
      </c>
      <c r="Z255" s="421">
        <f t="shared" si="1257"/>
        <v>0</v>
      </c>
      <c r="AA255" s="421">
        <f t="shared" si="1257"/>
        <v>0</v>
      </c>
      <c r="AB255" s="421">
        <f t="shared" si="1257"/>
        <v>0</v>
      </c>
      <c r="AC255" s="421">
        <f t="shared" si="1257"/>
        <v>0</v>
      </c>
      <c r="AD255" s="421">
        <f t="shared" si="1257"/>
        <v>0</v>
      </c>
      <c r="AE255" s="421">
        <f t="shared" si="1257"/>
        <v>0</v>
      </c>
      <c r="AF255" s="421">
        <f t="shared" si="1257"/>
        <v>2.9103830456733704E-11</v>
      </c>
      <c r="AG255" s="421">
        <f t="shared" si="1257"/>
        <v>0</v>
      </c>
      <c r="AH255" s="421">
        <f t="shared" si="1257"/>
        <v>0</v>
      </c>
      <c r="AI255" s="421">
        <f t="shared" si="1257"/>
        <v>0</v>
      </c>
      <c r="AJ255" s="421">
        <f t="shared" si="1257"/>
        <v>0</v>
      </c>
      <c r="AK255" s="421">
        <f t="shared" si="1257"/>
        <v>0</v>
      </c>
      <c r="AL255" s="421">
        <f t="shared" si="1257"/>
        <v>0</v>
      </c>
      <c r="AM255" s="421">
        <f t="shared" si="1257"/>
        <v>0</v>
      </c>
      <c r="AN255" s="421">
        <f t="shared" si="1257"/>
        <v>2.9103830456733704E-11</v>
      </c>
      <c r="AO255" s="421">
        <f t="shared" si="1257"/>
        <v>0</v>
      </c>
      <c r="AP255" s="421">
        <f t="shared" si="1257"/>
        <v>0</v>
      </c>
      <c r="AQ255" s="421">
        <f t="shared" si="1257"/>
        <v>0</v>
      </c>
      <c r="AR255" s="421" t="n">
        <f t="shared" ref="AR255:BW255" si="1258">IF(AR$227="","",GB254)</f>
        <v>0</v>
      </c>
      <c r="AS255" s="421">
        <f t="shared" si="1258"/>
        <v>0</v>
      </c>
      <c r="AT255" s="421">
        <f t="shared" si="1258"/>
        <v>0</v>
      </c>
      <c r="AU255" s="421">
        <f t="shared" si="1258"/>
        <v>2.9103830456733704E-11</v>
      </c>
      <c r="AV255" s="421">
        <f t="shared" si="1258"/>
        <v>0</v>
      </c>
      <c r="AW255" s="421">
        <f t="shared" si="1258"/>
        <v>0</v>
      </c>
      <c r="AX255" s="421">
        <f t="shared" si="1258"/>
        <v>0</v>
      </c>
      <c r="AY255" s="421">
        <f t="shared" si="1258"/>
        <v>0</v>
      </c>
      <c r="AZ255" s="421">
        <f t="shared" si="1258"/>
        <v>2.9103830456733704E-11</v>
      </c>
      <c r="BA255" s="421">
        <f t="shared" si="1258"/>
        <v>0</v>
      </c>
      <c r="BB255" s="421">
        <f t="shared" si="1258"/>
        <v>2.9103830456733704E-11</v>
      </c>
      <c r="BC255" s="421">
        <f t="shared" si="1258"/>
        <v>2.9103830456733704E-11</v>
      </c>
      <c r="BD255" s="76">
        <f t="shared" si="1258"/>
        <v>0</v>
      </c>
      <c r="BE255" s="76">
        <f t="shared" si="1258"/>
        <v>0</v>
      </c>
      <c r="BF255" s="76">
        <f t="shared" si="1258"/>
        <v>0</v>
      </c>
      <c r="BG255" s="76">
        <f t="shared" si="1258"/>
        <v>0</v>
      </c>
      <c r="BH255" s="76">
        <f t="shared" si="1258"/>
        <v>0</v>
      </c>
      <c r="BI255" s="76">
        <f t="shared" si="1258"/>
        <v>0</v>
      </c>
      <c r="BJ255" s="76">
        <f t="shared" si="1258"/>
        <v>0</v>
      </c>
      <c r="BK255" s="76">
        <f t="shared" si="1258"/>
        <v>0</v>
      </c>
      <c r="BL255" s="76">
        <f t="shared" si="1258"/>
        <v>0</v>
      </c>
      <c r="BM255" s="76">
        <f t="shared" si="1258"/>
        <v>0</v>
      </c>
      <c r="BN255" s="76">
        <f t="shared" si="1258"/>
        <v>0</v>
      </c>
      <c r="BO255" s="76">
        <f t="shared" si="1258"/>
        <v>0</v>
      </c>
      <c r="BP255" s="76">
        <f t="shared" si="1258"/>
        <v>0</v>
      </c>
      <c r="BQ255" s="76">
        <f t="shared" si="1258"/>
        <v>2.9103830456733704E-11</v>
      </c>
      <c r="BR255" s="76">
        <f t="shared" si="1258"/>
        <v>0</v>
      </c>
      <c r="BS255" s="76">
        <f t="shared" si="1258"/>
        <v>2.9103830456733704E-11</v>
      </c>
      <c r="BT255" s="76">
        <f t="shared" si="1258"/>
        <v>0</v>
      </c>
      <c r="BU255" s="76">
        <f t="shared" si="1258"/>
        <v>1588756.0981612075</v>
      </c>
      <c r="BV255" s="76" t="str">
        <f t="shared" si="1258"/>
      </c>
      <c r="BW255" s="76" t="str">
        <f t="shared" si="1258"/>
      </c>
      <c r="BX255" s="76" t="str">
        <f t="shared" ref="BX255:DC255" si="1259">IF(BX$227="","",HH254)</f>
      </c>
      <c r="BY255" s="76" t="str">
        <f t="shared" si="1259"/>
      </c>
      <c r="BZ255" s="76" t="str">
        <f t="shared" si="1259"/>
      </c>
      <c r="CA255" s="76" t="str">
        <f t="shared" si="1259"/>
      </c>
      <c r="CB255" s="76" t="str">
        <f t="shared" si="1259"/>
      </c>
      <c r="CC255" s="76" t="str">
        <f t="shared" si="1259"/>
      </c>
      <c r="CD255" s="76" t="str">
        <f t="shared" si="1259"/>
      </c>
      <c r="CE255" s="76" t="str">
        <f t="shared" si="1259"/>
      </c>
      <c r="CF255" s="76" t="str">
        <f t="shared" si="1259"/>
      </c>
      <c r="CG255" s="76" t="str">
        <f t="shared" si="1259"/>
      </c>
      <c r="CH255" s="76" t="str">
        <f t="shared" si="1259"/>
      </c>
      <c r="CI255" s="76" t="str">
        <f t="shared" si="1259"/>
      </c>
      <c r="CJ255" s="76" t="str">
        <f t="shared" si="1259"/>
      </c>
      <c r="CK255" s="76" t="str">
        <f t="shared" si="1259"/>
      </c>
      <c r="CL255" s="76" t="str">
        <f t="shared" si="1259"/>
      </c>
      <c r="CM255" s="76" t="str">
        <f t="shared" si="1259"/>
      </c>
      <c r="CN255" s="76" t="str">
        <f t="shared" si="1259"/>
      </c>
      <c r="CO255" s="76" t="str">
        <f t="shared" si="1259"/>
      </c>
      <c r="CP255" s="76" t="str">
        <f t="shared" si="1259"/>
      </c>
      <c r="CQ255" s="76" t="str">
        <f t="shared" si="1259"/>
      </c>
      <c r="CR255" s="76" t="str">
        <f t="shared" si="1259"/>
      </c>
      <c r="CS255" s="76" t="str">
        <f t="shared" si="1259"/>
      </c>
      <c r="CT255" s="76" t="str">
        <f t="shared" si="1259"/>
      </c>
      <c r="CU255" s="76" t="str">
        <f t="shared" si="1259"/>
      </c>
      <c r="CV255" s="76" t="str">
        <f t="shared" si="1259"/>
      </c>
      <c r="CW255" s="76" t="str">
        <f t="shared" si="1259"/>
      </c>
      <c r="CX255" s="76" t="str">
        <f t="shared" si="1259"/>
      </c>
      <c r="CY255" s="76" t="str">
        <f t="shared" si="1259"/>
      </c>
      <c r="CZ255" s="76" t="str">
        <f t="shared" si="1259"/>
      </c>
      <c r="DA255" s="76" t="str">
        <f t="shared" si="1259"/>
      </c>
      <c r="DB255" s="76" t="str">
        <f t="shared" si="1259"/>
      </c>
      <c r="DC255" s="76" t="str">
        <f t="shared" si="1259"/>
      </c>
      <c r="DD255" s="76" t="str">
        <f t="shared" ref="DD255:EI255" si="1260">IF(DD$227="","",IN254)</f>
      </c>
      <c r="DE255" s="76" t="str">
        <f t="shared" si="1260"/>
      </c>
      <c r="DF255" s="76" t="str">
        <f t="shared" si="1260"/>
      </c>
      <c r="DG255" s="76" t="str">
        <f t="shared" si="1260"/>
      </c>
      <c r="DH255" s="76" t="str">
        <f t="shared" si="1260"/>
      </c>
      <c r="DI255" s="76" t="str">
        <f t="shared" si="1260"/>
      </c>
      <c r="DJ255" s="76" t="str">
        <f t="shared" si="1260"/>
      </c>
      <c r="DK255" s="76" t="str">
        <f t="shared" si="1260"/>
      </c>
      <c r="DL255" s="76" t="str">
        <f t="shared" si="1260"/>
      </c>
      <c r="DM255" s="76" t="str">
        <f t="shared" si="1260"/>
      </c>
      <c r="DN255" s="76" t="str">
        <f t="shared" si="1260"/>
      </c>
      <c r="DO255" s="76" t="str">
        <f t="shared" si="1260"/>
      </c>
      <c r="DP255" s="76" t="str">
        <f t="shared" si="1260"/>
      </c>
      <c r="DQ255" s="76" t="str">
        <f t="shared" si="1260"/>
      </c>
      <c r="DR255" s="76" t="str">
        <f t="shared" si="1260"/>
      </c>
      <c r="DS255" s="76" t="str">
        <f t="shared" si="1260"/>
      </c>
      <c r="DT255" s="76" t="str">
        <f t="shared" si="1260"/>
      </c>
      <c r="DU255" s="76" t="str">
        <f t="shared" si="1260"/>
      </c>
      <c r="DV255" s="76" t="str">
        <f t="shared" si="1260"/>
      </c>
      <c r="DW255" s="76" t="str">
        <f t="shared" si="1260"/>
      </c>
      <c r="DX255" s="76" t="str">
        <f t="shared" si="1260"/>
      </c>
      <c r="DY255" s="76" t="str">
        <f t="shared" si="1260"/>
      </c>
      <c r="DZ255" s="76" t="str">
        <f t="shared" si="1260"/>
      </c>
      <c r="EA255" s="76" t="str">
        <f t="shared" si="1260"/>
      </c>
      <c r="EB255" s="76" t="str">
        <f t="shared" si="1260"/>
      </c>
      <c r="EC255" s="76" t="str">
        <f t="shared" si="1260"/>
      </c>
      <c r="ED255" s="76" t="str">
        <f t="shared" si="1260"/>
      </c>
      <c r="EE255" s="76" t="str">
        <f t="shared" si="1260"/>
      </c>
      <c r="EF255" s="76" t="str">
        <f t="shared" si="1260"/>
      </c>
      <c r="EG255" s="76" t="str">
        <f t="shared" si="1260"/>
      </c>
      <c r="EH255" s="76" t="str">
        <f t="shared" si="1260"/>
      </c>
      <c r="EI255" s="76" t="str">
        <f t="shared" si="1260"/>
      </c>
      <c r="EJ255" s="76" t="str">
        <f t="shared" ref="EJ255:EN255" si="1261">IF(EJ$227="","",JT254)</f>
      </c>
      <c r="EK255" s="76" t="str">
        <f t="shared" si="1261"/>
      </c>
      <c r="EL255" s="76" t="str">
        <f t="shared" si="1261"/>
      </c>
      <c r="EM255" s="76" t="str">
        <f t="shared" si="1261"/>
      </c>
      <c r="EN255" s="76" t="str">
        <f t="shared" si="1261"/>
      </c>
      <c r="EP255" s="543"/>
      <c r="EQ255" s="539"/>
      <c r="ER255" s="539"/>
      <c r="ES255" s="539"/>
      <c r="ET255" s="539" t="s">
        <v>392</v>
      </c>
      <c r="EU255" s="539"/>
      <c r="EV255" s="540" t="n">
        <f t="shared" ref="EV255:GA255" si="1262">MAX(EV236-EV245-EV254,0)</f>
        <v>0</v>
      </c>
      <c r="EW255" s="540">
        <f t="shared" si="1262"/>
        <v>0</v>
      </c>
      <c r="EX255" s="540">
        <f t="shared" si="1262"/>
        <v>0</v>
      </c>
      <c r="EY255" s="540">
        <f t="shared" si="1262"/>
        <v>0</v>
      </c>
      <c r="EZ255" s="540">
        <f t="shared" si="1262"/>
        <v>0</v>
      </c>
      <c r="FA255" s="540">
        <f t="shared" si="1262"/>
        <v>0</v>
      </c>
      <c r="FB255" s="540">
        <f t="shared" si="1262"/>
        <v>0</v>
      </c>
      <c r="FC255" s="540">
        <f t="shared" si="1262"/>
        <v>0</v>
      </c>
      <c r="FD255" s="540">
        <f t="shared" si="1262"/>
        <v>0</v>
      </c>
      <c r="FE255" s="540">
        <f t="shared" si="1262"/>
        <v>0</v>
      </c>
      <c r="FF255" s="540">
        <f t="shared" si="1262"/>
        <v>0</v>
      </c>
      <c r="FG255" s="540">
        <f t="shared" si="1262"/>
        <v>0</v>
      </c>
      <c r="FH255" s="540">
        <f t="shared" si="1262"/>
        <v>0</v>
      </c>
      <c r="FI255" s="540">
        <f t="shared" si="1262"/>
        <v>0</v>
      </c>
      <c r="FJ255" s="540">
        <f t="shared" si="1262"/>
        <v>0</v>
      </c>
      <c r="FK255" s="540">
        <f t="shared" si="1262"/>
        <v>0</v>
      </c>
      <c r="FL255" s="540">
        <f t="shared" si="1262"/>
        <v>0</v>
      </c>
      <c r="FM255" s="540">
        <f t="shared" si="1262"/>
        <v>0</v>
      </c>
      <c r="FN255" s="540">
        <f t="shared" si="1262"/>
        <v>0</v>
      </c>
      <c r="FO255" s="540">
        <f t="shared" si="1262"/>
        <v>0</v>
      </c>
      <c r="FP255" s="540">
        <f t="shared" si="1262"/>
        <v>0</v>
      </c>
      <c r="FQ255" s="540">
        <f t="shared" si="1262"/>
        <v>0</v>
      </c>
      <c r="FR255" s="540">
        <f t="shared" si="1262"/>
        <v>0</v>
      </c>
      <c r="FS255" s="540">
        <f t="shared" si="1262"/>
        <v>0</v>
      </c>
      <c r="FT255" s="540">
        <f t="shared" si="1262"/>
        <v>0</v>
      </c>
      <c r="FU255" s="540">
        <f t="shared" si="1262"/>
        <v>0</v>
      </c>
      <c r="FV255" s="540">
        <f t="shared" si="1262"/>
        <v>0</v>
      </c>
      <c r="FW255" s="540">
        <f t="shared" si="1262"/>
        <v>0</v>
      </c>
      <c r="FX255" s="540">
        <f t="shared" si="1262"/>
        <v>0</v>
      </c>
      <c r="FY255" s="540">
        <f t="shared" si="1262"/>
        <v>0</v>
      </c>
      <c r="FZ255" s="540">
        <f t="shared" si="1262"/>
        <v>0</v>
      </c>
      <c r="GA255" s="540">
        <f t="shared" si="1262"/>
        <v>0</v>
      </c>
      <c r="GB255" s="540" t="n">
        <f t="shared" ref="GB255:HG255" si="1263">MAX(GB236-GB245-GB254,0)</f>
        <v>0</v>
      </c>
      <c r="GC255" s="540">
        <f t="shared" si="1263"/>
        <v>0</v>
      </c>
      <c r="GD255" s="540">
        <f t="shared" si="1263"/>
        <v>0</v>
      </c>
      <c r="GE255" s="540">
        <f t="shared" si="1263"/>
        <v>0</v>
      </c>
      <c r="GF255" s="540">
        <f t="shared" si="1263"/>
        <v>0</v>
      </c>
      <c r="GG255" s="540">
        <f t="shared" si="1263"/>
        <v>0</v>
      </c>
      <c r="GH255" s="540">
        <f t="shared" si="1263"/>
        <v>0</v>
      </c>
      <c r="GI255" s="540">
        <f t="shared" si="1263"/>
        <v>0</v>
      </c>
      <c r="GJ255" s="540">
        <f t="shared" si="1263"/>
        <v>0</v>
      </c>
      <c r="GK255" s="540">
        <f t="shared" si="1263"/>
        <v>0</v>
      </c>
      <c r="GL255" s="540">
        <f t="shared" si="1263"/>
        <v>0</v>
      </c>
      <c r="GM255" s="540">
        <f t="shared" si="1263"/>
        <v>0</v>
      </c>
      <c r="GN255" s="540">
        <f t="shared" si="1263"/>
        <v>0</v>
      </c>
      <c r="GO255" s="540">
        <f t="shared" si="1263"/>
        <v>0</v>
      </c>
      <c r="GP255" s="540">
        <f t="shared" si="1263"/>
        <v>0</v>
      </c>
      <c r="GQ255" s="540">
        <f t="shared" si="1263"/>
        <v>0</v>
      </c>
      <c r="GR255" s="540">
        <f t="shared" si="1263"/>
        <v>0</v>
      </c>
      <c r="GS255" s="540">
        <f t="shared" si="1263"/>
        <v>0</v>
      </c>
      <c r="GT255" s="540">
        <f t="shared" si="1263"/>
        <v>0</v>
      </c>
      <c r="GU255" s="540">
        <f t="shared" si="1263"/>
        <v>0</v>
      </c>
      <c r="GV255" s="540">
        <f t="shared" si="1263"/>
        <v>0</v>
      </c>
      <c r="GW255" s="540">
        <f t="shared" si="1263"/>
        <v>0</v>
      </c>
      <c r="GX255" s="540">
        <f t="shared" si="1263"/>
        <v>0</v>
      </c>
      <c r="GY255" s="540">
        <f t="shared" si="1263"/>
        <v>0</v>
      </c>
      <c r="GZ255" s="540">
        <f t="shared" si="1263"/>
        <v>0</v>
      </c>
      <c r="HA255" s="540">
        <f t="shared" si="1263"/>
        <v>0</v>
      </c>
      <c r="HB255" s="540">
        <f t="shared" si="1263"/>
        <v>0</v>
      </c>
      <c r="HC255" s="540">
        <f t="shared" si="1263"/>
        <v>0</v>
      </c>
      <c r="HD255" s="540">
        <f t="shared" si="1263"/>
        <v>0</v>
      </c>
      <c r="HE255" s="540">
        <f t="shared" si="1263"/>
        <v>300145909.17962962</v>
      </c>
      <c r="HF255" s="540">
        <f t="shared" si="1263"/>
        <v>0</v>
      </c>
      <c r="HG255" s="540">
        <f t="shared" si="1263"/>
        <v>0</v>
      </c>
      <c r="HH255" s="540" t="n">
        <f t="shared" ref="HH255:IM255" si="1264">MAX(HH236-HH245-HH254,0)</f>
        <v>0</v>
      </c>
      <c r="HI255" s="540">
        <f t="shared" si="1264"/>
        <v>0</v>
      </c>
      <c r="HJ255" s="540">
        <f t="shared" si="1264"/>
        <v>0</v>
      </c>
      <c r="HK255" s="540">
        <f t="shared" si="1264"/>
        <v>0</v>
      </c>
      <c r="HL255" s="540">
        <f t="shared" si="1264"/>
        <v>0</v>
      </c>
      <c r="HM255" s="540">
        <f t="shared" si="1264"/>
        <v>0</v>
      </c>
      <c r="HN255" s="540">
        <f t="shared" si="1264"/>
        <v>0</v>
      </c>
      <c r="HO255" s="540">
        <f t="shared" si="1264"/>
        <v>0</v>
      </c>
      <c r="HP255" s="540">
        <f t="shared" si="1264"/>
        <v>0</v>
      </c>
      <c r="HQ255" s="540">
        <f t="shared" si="1264"/>
        <v>0</v>
      </c>
      <c r="HR255" s="540">
        <f t="shared" si="1264"/>
        <v>0</v>
      </c>
      <c r="HS255" s="540">
        <f t="shared" si="1264"/>
        <v>0</v>
      </c>
      <c r="HT255" s="540">
        <f t="shared" si="1264"/>
        <v>0</v>
      </c>
      <c r="HU255" s="540">
        <f t="shared" si="1264"/>
        <v>0</v>
      </c>
      <c r="HV255" s="540">
        <f t="shared" si="1264"/>
        <v>0</v>
      </c>
      <c r="HW255" s="540">
        <f t="shared" si="1264"/>
        <v>0</v>
      </c>
      <c r="HX255" s="540">
        <f t="shared" si="1264"/>
        <v>0</v>
      </c>
      <c r="HY255" s="540">
        <f t="shared" si="1264"/>
        <v>0</v>
      </c>
      <c r="HZ255" s="540">
        <f t="shared" si="1264"/>
        <v>0</v>
      </c>
      <c r="IA255" s="540">
        <f t="shared" si="1264"/>
        <v>0</v>
      </c>
      <c r="IB255" s="540">
        <f t="shared" si="1264"/>
        <v>0</v>
      </c>
      <c r="IC255" s="540">
        <f t="shared" si="1264"/>
        <v>0</v>
      </c>
      <c r="ID255" s="540">
        <f t="shared" si="1264"/>
        <v>0</v>
      </c>
      <c r="IE255" s="540">
        <f t="shared" si="1264"/>
        <v>0</v>
      </c>
      <c r="IF255" s="540">
        <f t="shared" si="1264"/>
        <v>0</v>
      </c>
      <c r="IG255" s="540">
        <f t="shared" si="1264"/>
        <v>0</v>
      </c>
      <c r="IH255" s="540">
        <f t="shared" si="1264"/>
        <v>0</v>
      </c>
      <c r="II255" s="540">
        <f t="shared" si="1264"/>
        <v>0</v>
      </c>
      <c r="IJ255" s="540">
        <f t="shared" si="1264"/>
        <v>0</v>
      </c>
      <c r="IK255" s="540">
        <f t="shared" si="1264"/>
        <v>0</v>
      </c>
      <c r="IL255" s="540">
        <f t="shared" si="1264"/>
        <v>0</v>
      </c>
      <c r="IM255" s="540">
        <f t="shared" si="1264"/>
        <v>0</v>
      </c>
      <c r="IN255" s="540" t="n">
        <f t="shared" ref="IN255:JS255" si="1265">MAX(IN236-IN245-IN254,0)</f>
        <v>0</v>
      </c>
      <c r="IO255" s="540">
        <f t="shared" si="1265"/>
        <v>0</v>
      </c>
      <c r="IP255" s="540">
        <f t="shared" si="1265"/>
        <v>0</v>
      </c>
      <c r="IQ255" s="540">
        <f t="shared" si="1265"/>
        <v>0</v>
      </c>
      <c r="IR255" s="540">
        <f t="shared" si="1265"/>
        <v>0</v>
      </c>
      <c r="IS255" s="540">
        <f t="shared" si="1265"/>
        <v>0</v>
      </c>
      <c r="IT255" s="540">
        <f t="shared" si="1265"/>
        <v>0</v>
      </c>
      <c r="IU255" s="540">
        <f t="shared" si="1265"/>
        <v>0</v>
      </c>
      <c r="IV255" s="540">
        <f t="shared" si="1265"/>
        <v>0</v>
      </c>
      <c r="IW255" s="540">
        <f t="shared" si="1265"/>
        <v>0</v>
      </c>
      <c r="IX255" s="540">
        <f t="shared" si="1265"/>
        <v>0</v>
      </c>
      <c r="IY255" s="540">
        <f t="shared" si="1265"/>
        <v>0</v>
      </c>
      <c r="IZ255" s="540">
        <f t="shared" si="1265"/>
        <v>0</v>
      </c>
      <c r="JA255" s="540">
        <f t="shared" si="1265"/>
        <v>0</v>
      </c>
      <c r="JB255" s="540">
        <f t="shared" si="1265"/>
        <v>0</v>
      </c>
      <c r="JC255" s="540">
        <f t="shared" si="1265"/>
        <v>0</v>
      </c>
      <c r="JD255" s="540">
        <f t="shared" si="1265"/>
        <v>0</v>
      </c>
      <c r="JE255" s="540">
        <f t="shared" si="1265"/>
        <v>0</v>
      </c>
      <c r="JF255" s="540">
        <f t="shared" si="1265"/>
        <v>0</v>
      </c>
      <c r="JG255" s="540">
        <f t="shared" si="1265"/>
        <v>0</v>
      </c>
      <c r="JH255" s="540">
        <f t="shared" si="1265"/>
        <v>0</v>
      </c>
      <c r="JI255" s="540">
        <f t="shared" si="1265"/>
        <v>0</v>
      </c>
      <c r="JJ255" s="540">
        <f t="shared" si="1265"/>
        <v>0</v>
      </c>
      <c r="JK255" s="540">
        <f t="shared" si="1265"/>
        <v>0</v>
      </c>
      <c r="JL255" s="540">
        <f t="shared" si="1265"/>
        <v>0</v>
      </c>
      <c r="JM255" s="540">
        <f t="shared" si="1265"/>
        <v>0</v>
      </c>
      <c r="JN255" s="540">
        <f t="shared" si="1265"/>
        <v>0</v>
      </c>
      <c r="JO255" s="540">
        <f t="shared" si="1265"/>
        <v>0</v>
      </c>
      <c r="JP255" s="540">
        <f t="shared" si="1265"/>
        <v>0</v>
      </c>
      <c r="JQ255" s="540">
        <f t="shared" si="1265"/>
        <v>0</v>
      </c>
      <c r="JR255" s="540">
        <f t="shared" si="1265"/>
        <v>0</v>
      </c>
      <c r="JS255" s="540">
        <f t="shared" si="1265"/>
        <v>0</v>
      </c>
      <c r="JT255" s="540" t="n">
        <f t="shared" ref="JT255:JX255" si="1266">MAX(JT236-JT245-JT254,0)</f>
        <v>0</v>
      </c>
      <c r="JU255" s="540">
        <f t="shared" si="1266"/>
        <v>0</v>
      </c>
      <c r="JV255" s="540">
        <f t="shared" si="1266"/>
        <v>0</v>
      </c>
      <c r="JW255" s="540">
        <f t="shared" si="1266"/>
        <v>0</v>
      </c>
      <c r="JX255" s="540">
        <f t="shared" si="1266"/>
        <v>0</v>
      </c>
      <c r="JZ255" s="263"/>
      <c r="KA255" s="263"/>
      <c r="KB255" s="263"/>
      <c r="KC255" s="263"/>
      <c r="KD255" s="263"/>
      <c r="KE255" s="263"/>
      <c r="KF255" s="263"/>
      <c r="KG255" s="263"/>
      <c r="KH255" s="263"/>
      <c r="KI255" s="263"/>
      <c r="KJ255" s="263"/>
      <c r="KK255" s="263"/>
      <c r="KL255" s="263"/>
      <c r="KM255" s="263"/>
      <c r="KN255" s="263"/>
      <c r="KO255" s="263"/>
      <c r="KP255" s="263"/>
      <c r="KQ255" s="263"/>
      <c r="KR255" s="263"/>
      <c r="KS255" s="263"/>
      <c r="KT255" s="263"/>
      <c r="KU255" s="263"/>
      <c r="KV255" s="263"/>
      <c r="KW255" s="263"/>
      <c r="KX255" s="263"/>
      <c r="KY255" s="263"/>
      <c r="KZ255" s="263"/>
      <c r="LA255" s="263"/>
      <c r="LB255" s="263"/>
      <c r="LC255" s="263"/>
      <c r="LD255" s="263"/>
      <c r="LE255" s="263"/>
      <c r="LF255" s="263"/>
      <c r="LG255" s="263"/>
      <c r="LH255" s="263"/>
      <c r="LI255" s="263"/>
      <c r="LJ255" s="263"/>
      <c r="LK255" s="263"/>
      <c r="LL255" s="263"/>
      <c r="LM255" s="263"/>
      <c r="LN255" s="263"/>
      <c r="LO255" s="263"/>
      <c r="LP255" s="263"/>
      <c r="LQ255" s="263"/>
      <c r="LR255" s="263"/>
      <c r="LS255" s="263"/>
      <c r="LT255" s="263"/>
      <c r="LU255" s="263"/>
      <c r="LV255" s="263"/>
      <c r="LW255" s="263"/>
      <c r="LX255" s="263"/>
      <c r="LY255" s="263"/>
      <c r="LZ255" s="263"/>
      <c r="MA255" s="263"/>
      <c r="MB255" s="263"/>
      <c r="MC255" s="263"/>
      <c r="MD255" s="263"/>
      <c r="ME255" s="263"/>
      <c r="MF255" s="263"/>
      <c r="MG255" s="263"/>
      <c r="MH255" s="263"/>
      <c r="MI255" s="263"/>
      <c r="MJ255" s="263"/>
      <c r="MK255" s="263"/>
      <c r="ML255" s="263"/>
      <c r="MM255" s="263"/>
      <c r="MN255" s="263"/>
      <c r="MO255" s="263"/>
      <c r="MP255" s="263"/>
      <c r="MQ255" s="263"/>
      <c r="MR255" s="263"/>
      <c r="MS255" s="263"/>
      <c r="MT255" s="263"/>
      <c r="MU255" s="263"/>
      <c r="MV255" s="263"/>
      <c r="MW255" s="263"/>
      <c r="MX255" s="263"/>
      <c r="MY255" s="263"/>
      <c r="MZ255" s="263"/>
      <c r="NA255" s="263"/>
      <c r="NB255" s="263"/>
      <c r="NC255" s="263"/>
      <c r="ND255" s="263"/>
      <c r="NE255" s="263"/>
      <c r="NF255" s="263"/>
      <c r="NG255" s="263"/>
      <c r="NH255" s="263"/>
      <c r="NI255" s="263"/>
      <c r="NJ255" s="263"/>
      <c r="NK255" s="263"/>
      <c r="NL255" s="263"/>
      <c r="NM255" s="263"/>
      <c r="NN255" s="263"/>
      <c r="NO255" s="263"/>
      <c r="NP255" s="263"/>
      <c r="NQ255" s="263"/>
      <c r="NR255" s="263"/>
      <c r="NS255" s="263"/>
      <c r="NT255" s="263"/>
      <c r="NU255" s="263"/>
      <c r="NV255" s="263"/>
      <c r="NW255" s="263"/>
      <c r="NX255" s="263"/>
      <c r="NY255" s="263"/>
      <c r="NZ255" s="263"/>
      <c r="OA255" s="263"/>
      <c r="OB255" s="263"/>
      <c r="OC255" s="263"/>
      <c r="OD255" s="263"/>
      <c r="OE255" s="263"/>
      <c r="OF255" s="263"/>
      <c r="OG255" s="263"/>
      <c r="OH255" s="263"/>
      <c r="OI255" s="263"/>
      <c r="OJ255" s="263"/>
      <c r="OK255" s="263"/>
      <c r="OL255" s="263"/>
      <c r="OM255" s="263"/>
      <c r="ON255" s="263"/>
      <c r="OO255" s="263"/>
      <c r="OP255" s="263"/>
      <c r="OQ255" s="263"/>
      <c r="OR255" s="263"/>
      <c r="OS255" s="263"/>
      <c r="OT255" s="263"/>
      <c r="OU255" s="263"/>
      <c r="OV255" s="263"/>
      <c r="OW255" s="263"/>
      <c r="OX255" s="263"/>
      <c r="OY255" s="263"/>
      <c r="OZ255" s="263"/>
      <c r="PA255" s="263"/>
      <c r="PB255" s="263"/>
      <c r="PC255" s="263"/>
      <c r="PD255" s="263"/>
      <c r="PE255" s="263"/>
      <c r="PF255" s="263"/>
      <c r="PG255" s="263"/>
      <c r="PH255" s="263"/>
    </row>
    <row r="256">
      <c r="B256" s="34" t="s">
        <v>429</v>
      </c>
      <c r="C256" s="401"/>
      <c r="D256" s="404"/>
      <c r="E256" s="404" t="s">
        <v>425</v>
      </c>
      <c r="F256" s="87">
        <v>0.15</v>
      </c>
      <c r="G256" s="54">
        <v>0.3</v>
      </c>
      <c r="H256" s="53">
        <f t="shared" si="1256"/>
        <v>0.33499999999999996</v>
      </c>
      <c r="I256" s="58" t="n">
        <f>1-H256</f>
        <v>0.665</v>
      </c>
      <c r="L256" s="421" t="str">
        <f t="shared" ref="L256:AQ256" si="1267">IF(L$227="","",EV263)</f>
      </c>
      <c r="M256" s="421">
        <f t="shared" si="1267"/>
        <v>0</v>
      </c>
      <c r="N256" s="421">
        <f t="shared" si="1267"/>
        <v>0</v>
      </c>
      <c r="O256" s="421">
        <f t="shared" si="1267"/>
        <v>0</v>
      </c>
      <c r="P256" s="421">
        <f t="shared" si="1267"/>
        <v>0</v>
      </c>
      <c r="Q256" s="421">
        <f t="shared" si="1267"/>
        <v>0</v>
      </c>
      <c r="R256" s="421">
        <f t="shared" si="1267"/>
        <v>0</v>
      </c>
      <c r="S256" s="421">
        <f t="shared" si="1267"/>
        <v>0</v>
      </c>
      <c r="T256" s="421">
        <f t="shared" si="1267"/>
        <v>0</v>
      </c>
      <c r="U256" s="421">
        <f t="shared" si="1267"/>
        <v>0</v>
      </c>
      <c r="V256" s="421">
        <f t="shared" si="1267"/>
        <v>0</v>
      </c>
      <c r="W256" s="421">
        <f t="shared" si="1267"/>
        <v>0</v>
      </c>
      <c r="X256" s="421">
        <f t="shared" si="1267"/>
        <v>0</v>
      </c>
      <c r="Y256" s="421">
        <f t="shared" si="1267"/>
        <v>0</v>
      </c>
      <c r="Z256" s="421">
        <f t="shared" si="1267"/>
        <v>0</v>
      </c>
      <c r="AA256" s="421">
        <f t="shared" si="1267"/>
        <v>0</v>
      </c>
      <c r="AB256" s="421">
        <f t="shared" si="1267"/>
        <v>0</v>
      </c>
      <c r="AC256" s="421">
        <f t="shared" si="1267"/>
        <v>0</v>
      </c>
      <c r="AD256" s="421">
        <f t="shared" si="1267"/>
        <v>0</v>
      </c>
      <c r="AE256" s="421">
        <f t="shared" si="1267"/>
        <v>0</v>
      </c>
      <c r="AF256" s="421">
        <f t="shared" si="1267"/>
        <v>0</v>
      </c>
      <c r="AG256" s="421">
        <f t="shared" si="1267"/>
        <v>0</v>
      </c>
      <c r="AH256" s="421">
        <f t="shared" si="1267"/>
        <v>0</v>
      </c>
      <c r="AI256" s="421">
        <f t="shared" si="1267"/>
        <v>0</v>
      </c>
      <c r="AJ256" s="421">
        <f t="shared" si="1267"/>
        <v>0</v>
      </c>
      <c r="AK256" s="421">
        <f t="shared" si="1267"/>
        <v>0</v>
      </c>
      <c r="AL256" s="421">
        <f t="shared" si="1267"/>
        <v>0</v>
      </c>
      <c r="AM256" s="421">
        <f t="shared" si="1267"/>
        <v>0</v>
      </c>
      <c r="AN256" s="421">
        <f t="shared" si="1267"/>
        <v>0</v>
      </c>
      <c r="AO256" s="421">
        <f t="shared" si="1267"/>
        <v>0</v>
      </c>
      <c r="AP256" s="421">
        <f t="shared" si="1267"/>
        <v>0</v>
      </c>
      <c r="AQ256" s="421">
        <f t="shared" si="1267"/>
        <v>0</v>
      </c>
      <c r="AR256" s="421" t="n">
        <f t="shared" ref="AR256:BW256" si="1268">IF(AR$227="","",GB263)</f>
        <v>0</v>
      </c>
      <c r="AS256" s="421">
        <f t="shared" si="1268"/>
        <v>0</v>
      </c>
      <c r="AT256" s="421">
        <f t="shared" si="1268"/>
        <v>0</v>
      </c>
      <c r="AU256" s="421">
        <f t="shared" si="1268"/>
        <v>0</v>
      </c>
      <c r="AV256" s="421">
        <f t="shared" si="1268"/>
        <v>0</v>
      </c>
      <c r="AW256" s="421">
        <f t="shared" si="1268"/>
        <v>0</v>
      </c>
      <c r="AX256" s="421">
        <f t="shared" si="1268"/>
        <v>0</v>
      </c>
      <c r="AY256" s="421">
        <f t="shared" si="1268"/>
        <v>0</v>
      </c>
      <c r="AZ256" s="421">
        <f t="shared" si="1268"/>
        <v>0</v>
      </c>
      <c r="BA256" s="421">
        <f t="shared" si="1268"/>
        <v>0</v>
      </c>
      <c r="BB256" s="421">
        <f t="shared" si="1268"/>
        <v>0</v>
      </c>
      <c r="BC256" s="421">
        <f t="shared" si="1268"/>
        <v>0</v>
      </c>
      <c r="BD256" s="76">
        <f t="shared" si="1268"/>
        <v>0</v>
      </c>
      <c r="BE256" s="76">
        <f t="shared" si="1268"/>
        <v>0</v>
      </c>
      <c r="BF256" s="76">
        <f t="shared" si="1268"/>
        <v>0</v>
      </c>
      <c r="BG256" s="76">
        <f t="shared" si="1268"/>
        <v>0</v>
      </c>
      <c r="BH256" s="76">
        <f t="shared" si="1268"/>
        <v>0</v>
      </c>
      <c r="BI256" s="76">
        <f t="shared" si="1268"/>
        <v>0</v>
      </c>
      <c r="BJ256" s="76">
        <f t="shared" si="1268"/>
        <v>0</v>
      </c>
      <c r="BK256" s="76">
        <f t="shared" si="1268"/>
        <v>0</v>
      </c>
      <c r="BL256" s="76">
        <f t="shared" si="1268"/>
        <v>0</v>
      </c>
      <c r="BM256" s="76">
        <f t="shared" si="1268"/>
        <v>0</v>
      </c>
      <c r="BN256" s="76">
        <f t="shared" si="1268"/>
        <v>0</v>
      </c>
      <c r="BO256" s="76">
        <f t="shared" si="1268"/>
        <v>0</v>
      </c>
      <c r="BP256" s="76">
        <f t="shared" si="1268"/>
        <v>0</v>
      </c>
      <c r="BQ256" s="76">
        <f t="shared" si="1268"/>
        <v>0</v>
      </c>
      <c r="BR256" s="76">
        <f t="shared" si="1268"/>
        <v>0</v>
      </c>
      <c r="BS256" s="76">
        <f t="shared" si="1268"/>
        <v>0</v>
      </c>
      <c r="BT256" s="76">
        <f t="shared" si="1268"/>
        <v>0</v>
      </c>
      <c r="BU256" s="76">
        <f t="shared" si="1268"/>
        <v>2168881.7293808465</v>
      </c>
      <c r="BV256" s="76" t="str">
        <f t="shared" si="1268"/>
      </c>
      <c r="BW256" s="76" t="str">
        <f t="shared" si="1268"/>
      </c>
      <c r="BX256" s="76" t="str">
        <f t="shared" ref="BX256:DC256" si="1269">IF(BX$227="","",HH263)</f>
      </c>
      <c r="BY256" s="76" t="str">
        <f t="shared" si="1269"/>
      </c>
      <c r="BZ256" s="76" t="str">
        <f t="shared" si="1269"/>
      </c>
      <c r="CA256" s="76" t="str">
        <f t="shared" si="1269"/>
      </c>
      <c r="CB256" s="76" t="str">
        <f t="shared" si="1269"/>
      </c>
      <c r="CC256" s="76" t="str">
        <f t="shared" si="1269"/>
      </c>
      <c r="CD256" s="76" t="str">
        <f t="shared" si="1269"/>
      </c>
      <c r="CE256" s="76" t="str">
        <f t="shared" si="1269"/>
      </c>
      <c r="CF256" s="76" t="str">
        <f t="shared" si="1269"/>
      </c>
      <c r="CG256" s="76" t="str">
        <f t="shared" si="1269"/>
      </c>
      <c r="CH256" s="76" t="str">
        <f t="shared" si="1269"/>
      </c>
      <c r="CI256" s="76" t="str">
        <f t="shared" si="1269"/>
      </c>
      <c r="CJ256" s="76" t="str">
        <f t="shared" si="1269"/>
      </c>
      <c r="CK256" s="76" t="str">
        <f t="shared" si="1269"/>
      </c>
      <c r="CL256" s="76" t="str">
        <f t="shared" si="1269"/>
      </c>
      <c r="CM256" s="76" t="str">
        <f t="shared" si="1269"/>
      </c>
      <c r="CN256" s="76" t="str">
        <f t="shared" si="1269"/>
      </c>
      <c r="CO256" s="76" t="str">
        <f t="shared" si="1269"/>
      </c>
      <c r="CP256" s="76" t="str">
        <f t="shared" si="1269"/>
      </c>
      <c r="CQ256" s="76" t="str">
        <f t="shared" si="1269"/>
      </c>
      <c r="CR256" s="76" t="str">
        <f t="shared" si="1269"/>
      </c>
      <c r="CS256" s="76" t="str">
        <f t="shared" si="1269"/>
      </c>
      <c r="CT256" s="76" t="str">
        <f t="shared" si="1269"/>
      </c>
      <c r="CU256" s="76" t="str">
        <f t="shared" si="1269"/>
      </c>
      <c r="CV256" s="76" t="str">
        <f t="shared" si="1269"/>
      </c>
      <c r="CW256" s="76" t="str">
        <f t="shared" si="1269"/>
      </c>
      <c r="CX256" s="76" t="str">
        <f t="shared" si="1269"/>
      </c>
      <c r="CY256" s="76" t="str">
        <f t="shared" si="1269"/>
      </c>
      <c r="CZ256" s="76" t="str">
        <f t="shared" si="1269"/>
      </c>
      <c r="DA256" s="76" t="str">
        <f t="shared" si="1269"/>
      </c>
      <c r="DB256" s="76" t="str">
        <f t="shared" si="1269"/>
      </c>
      <c r="DC256" s="76" t="str">
        <f t="shared" si="1269"/>
      </c>
      <c r="DD256" s="76" t="str">
        <f t="shared" ref="DD256:EI256" si="1270">IF(DD$227="","",IN263)</f>
      </c>
      <c r="DE256" s="76" t="str">
        <f t="shared" si="1270"/>
      </c>
      <c r="DF256" s="76" t="str">
        <f t="shared" si="1270"/>
      </c>
      <c r="DG256" s="76" t="str">
        <f t="shared" si="1270"/>
      </c>
      <c r="DH256" s="76" t="str">
        <f t="shared" si="1270"/>
      </c>
      <c r="DI256" s="76" t="str">
        <f t="shared" si="1270"/>
      </c>
      <c r="DJ256" s="76" t="str">
        <f t="shared" si="1270"/>
      </c>
      <c r="DK256" s="76" t="str">
        <f t="shared" si="1270"/>
      </c>
      <c r="DL256" s="76" t="str">
        <f t="shared" si="1270"/>
      </c>
      <c r="DM256" s="76" t="str">
        <f t="shared" si="1270"/>
      </c>
      <c r="DN256" s="76" t="str">
        <f t="shared" si="1270"/>
      </c>
      <c r="DO256" s="76" t="str">
        <f t="shared" si="1270"/>
      </c>
      <c r="DP256" s="76" t="str">
        <f t="shared" si="1270"/>
      </c>
      <c r="DQ256" s="76" t="str">
        <f t="shared" si="1270"/>
      </c>
      <c r="DR256" s="76" t="str">
        <f t="shared" si="1270"/>
      </c>
      <c r="DS256" s="76" t="str">
        <f t="shared" si="1270"/>
      </c>
      <c r="DT256" s="76" t="str">
        <f t="shared" si="1270"/>
      </c>
      <c r="DU256" s="76" t="str">
        <f t="shared" si="1270"/>
      </c>
      <c r="DV256" s="76" t="str">
        <f t="shared" si="1270"/>
      </c>
      <c r="DW256" s="76" t="str">
        <f t="shared" si="1270"/>
      </c>
      <c r="DX256" s="76" t="str">
        <f t="shared" si="1270"/>
      </c>
      <c r="DY256" s="76" t="str">
        <f t="shared" si="1270"/>
      </c>
      <c r="DZ256" s="76" t="str">
        <f t="shared" si="1270"/>
      </c>
      <c r="EA256" s="76" t="str">
        <f t="shared" si="1270"/>
      </c>
      <c r="EB256" s="76" t="str">
        <f t="shared" si="1270"/>
      </c>
      <c r="EC256" s="76" t="str">
        <f t="shared" si="1270"/>
      </c>
      <c r="ED256" s="76" t="str">
        <f t="shared" si="1270"/>
      </c>
      <c r="EE256" s="76" t="str">
        <f t="shared" si="1270"/>
      </c>
      <c r="EF256" s="76" t="str">
        <f t="shared" si="1270"/>
      </c>
      <c r="EG256" s="76" t="str">
        <f t="shared" si="1270"/>
      </c>
      <c r="EH256" s="76" t="str">
        <f t="shared" si="1270"/>
      </c>
      <c r="EI256" s="76" t="str">
        <f t="shared" si="1270"/>
      </c>
      <c r="EJ256" s="76" t="str">
        <f t="shared" ref="EJ256:EN256" si="1271">IF(EJ$227="","",JT263)</f>
      </c>
      <c r="EK256" s="76" t="str">
        <f t="shared" si="1271"/>
      </c>
      <c r="EL256" s="76" t="str">
        <f t="shared" si="1271"/>
      </c>
      <c r="EM256" s="76" t="str">
        <f t="shared" si="1271"/>
      </c>
      <c r="EN256" s="76" t="str">
        <f t="shared" si="1271"/>
      </c>
      <c r="EP256" s="409" t="s">
        <v>412</v>
      </c>
      <c r="EQ256" s="18"/>
      <c r="ER256" s="18"/>
      <c r="ES256" s="18"/>
      <c r="ET256" s="18" t="s">
        <v>436</v>
      </c>
      <c r="EU256" s="18"/>
      <c r="EV256" s="422" t="n">
        <f t="shared" ref="EV256:GA256" si="1272">(EV$197&lt;=Timing_Reversion_Month)*EU260</f>
        <v>0</v>
      </c>
      <c r="EW256" s="422">
        <f t="shared" si="1272"/>
        <v>4134152.6629957748</v>
      </c>
      <c r="EX256" s="422">
        <f t="shared" si="1272"/>
        <v>4162921.3699604208</v>
      </c>
      <c r="EY256" s="422">
        <f t="shared" si="1272"/>
        <v>4204909.5937987277</v>
      </c>
      <c r="EZ256" s="422">
        <f t="shared" si="1272"/>
        <v>4265788.0275288066</v>
      </c>
      <c r="FA256" s="422">
        <f t="shared" si="1272"/>
        <v>4352869.8964911504</v>
      </c>
      <c r="FB256" s="422">
        <f t="shared" si="1272"/>
        <v>4480642.6102136374</v>
      </c>
      <c r="FC256" s="422">
        <f t="shared" si="1272"/>
        <v>4621253.6648205239</v>
      </c>
      <c r="FD256" s="422">
        <f t="shared" si="1272"/>
        <v>4819637.4377657566</v>
      </c>
      <c r="FE256" s="422">
        <f t="shared" si="1272"/>
        <v>5088693.5148103805</v>
      </c>
      <c r="FF256" s="422">
        <f t="shared" si="1272"/>
        <v>5441248.092760073</v>
      </c>
      <c r="FG256" s="422">
        <f t="shared" si="1272"/>
        <v>5888923.575532821</v>
      </c>
      <c r="FH256" s="422">
        <f t="shared" si="1272"/>
        <v>6440836.4021636378</v>
      </c>
      <c r="FI256" s="422">
        <f t="shared" si="1272"/>
        <v>7102265.2466280237</v>
      </c>
      <c r="FJ256" s="422">
        <f t="shared" si="1272"/>
        <v>7873471.3498604074</v>
      </c>
      <c r="FK256" s="422">
        <f t="shared" si="1272"/>
        <v>8748865.5764669292</v>
      </c>
      <c r="FL256" s="422">
        <f t="shared" si="1272"/>
        <v>9716694.3153857291</v>
      </c>
      <c r="FM256" s="422">
        <f t="shared" si="1272"/>
        <v>9992247.922736235</v>
      </c>
      <c r="FN256" s="422">
        <f t="shared" si="1272"/>
        <v>10068783.098235181</v>
      </c>
      <c r="FO256" s="422">
        <f t="shared" si="1272"/>
        <v>10012648.011893459</v>
      </c>
      <c r="FP256" s="422">
        <f t="shared" si="1272"/>
        <v>9967938.9016755857</v>
      </c>
      <c r="FQ256" s="422">
        <f t="shared" si="1272"/>
        <v>9930434.3094084468</v>
      </c>
      <c r="FR256" s="422">
        <f t="shared" si="1272"/>
        <v>9862509.2971190792</v>
      </c>
      <c r="FS256" s="422">
        <f t="shared" si="1272"/>
        <v>9800853.622113876</v>
      </c>
      <c r="FT256" s="422">
        <f t="shared" si="1272"/>
        <v>9744977.3745767791</v>
      </c>
      <c r="FU256" s="422">
        <f t="shared" si="1272"/>
        <v>9679770.7595001087</v>
      </c>
      <c r="FV256" s="422">
        <f t="shared" si="1272"/>
        <v>9618915.6504971813</v>
      </c>
      <c r="FW256" s="422">
        <f t="shared" si="1272"/>
        <v>9561728.5149128083</v>
      </c>
      <c r="FX256" s="422">
        <f t="shared" si="1272"/>
        <v>9498608.8022578545</v>
      </c>
      <c r="FY256" s="422">
        <f t="shared" si="1272"/>
        <v>9467604.1228055358</v>
      </c>
      <c r="FZ256" s="422">
        <f t="shared" si="1272"/>
        <v>9503629.5568952411</v>
      </c>
      <c r="GA256" s="422">
        <f t="shared" si="1272"/>
        <v>9489505.5943933241</v>
      </c>
      <c r="GB256" s="422" t="n">
        <f t="shared" ref="GB256:HG256" si="1273">(GB$197&lt;=Timing_Reversion_Month)*GA260</f>
        <v>9456410.730552979</v>
      </c>
      <c r="GC256" s="422">
        <f t="shared" si="1273"/>
        <v>9408924.6452031694</v>
      </c>
      <c r="GD256" s="422">
        <f t="shared" si="1273"/>
        <v>9350853.3437121548</v>
      </c>
      <c r="GE256" s="422">
        <f t="shared" si="1273"/>
        <v>9273199.5764506273</v>
      </c>
      <c r="GF256" s="422">
        <f t="shared" si="1273"/>
        <v>9190234.6280035004</v>
      </c>
      <c r="GG256" s="422">
        <f t="shared" si="1273"/>
        <v>9103055.6538877226</v>
      </c>
      <c r="GH256" s="422">
        <f t="shared" si="1273"/>
        <v>9034968.6502906904</v>
      </c>
      <c r="GI256" s="422">
        <f t="shared" si="1273"/>
        <v>8966686.437550839</v>
      </c>
      <c r="GJ256" s="422">
        <f t="shared" si="1273"/>
        <v>8898211.2469926346</v>
      </c>
      <c r="GK256" s="422">
        <f t="shared" si="1273"/>
        <v>8829245.1806050241</v>
      </c>
      <c r="GL256" s="422">
        <f t="shared" si="1273"/>
        <v>8760087.2633903809</v>
      </c>
      <c r="GM256" s="422">
        <f t="shared" si="1273"/>
        <v>8690739.8684390392</v>
      </c>
      <c r="GN256" s="422">
        <f t="shared" si="1273"/>
        <v>8613409.6359125189</v>
      </c>
      <c r="GO256" s="422">
        <f t="shared" si="1273"/>
        <v>8535803.5330916047</v>
      </c>
      <c r="GP256" s="422">
        <f t="shared" si="1273"/>
        <v>8457923.0535308812</v>
      </c>
      <c r="GQ256" s="422">
        <f t="shared" si="1273"/>
        <v>8378385.5739302738</v>
      </c>
      <c r="GR256" s="422">
        <f t="shared" si="1273"/>
        <v>8298560.6489618924</v>
      </c>
      <c r="GS256" s="422">
        <f t="shared" si="1273"/>
        <v>8218449.7436991166</v>
      </c>
      <c r="GT256" s="422">
        <f t="shared" si="1273"/>
        <v>8144396.0872038053</v>
      </c>
      <c r="GU256" s="422">
        <f t="shared" si="1273"/>
        <v>8070133.8342911964</v>
      </c>
      <c r="GV256" s="422">
        <f t="shared" si="1273"/>
        <v>7995665.4832917135</v>
      </c>
      <c r="GW256" s="422">
        <f t="shared" si="1273"/>
        <v>7920693.9124624124</v>
      </c>
      <c r="GX256" s="422">
        <f t="shared" si="1273"/>
        <v>7845517.9294594564</v>
      </c>
      <c r="GY256" s="422">
        <f t="shared" si="1273"/>
        <v>7770140.193662839</v>
      </c>
      <c r="GZ256" s="422">
        <f t="shared" si="1273"/>
        <v>7687507.5338584231</v>
      </c>
      <c r="HA256" s="422">
        <f t="shared" si="1273"/>
        <v>7604595.9890148202</v>
      </c>
      <c r="HB256" s="422">
        <f t="shared" si="1273"/>
        <v>7521407.4606397552</v>
      </c>
      <c r="HC256" s="422">
        <f t="shared" si="1273"/>
        <v>7436511.2955472544</v>
      </c>
      <c r="HD256" s="422">
        <f t="shared" si="1273"/>
        <v>7351325.3510922845</v>
      </c>
      <c r="HE256" s="422">
        <f t="shared" si="1273"/>
        <v>7265851.5183248781</v>
      </c>
      <c r="HF256" s="422">
        <f t="shared" si="1273"/>
        <v>0</v>
      </c>
      <c r="HG256" s="422">
        <f t="shared" si="1273"/>
        <v>0</v>
      </c>
      <c r="HH256" s="422" t="n">
        <f t="shared" ref="HH256:IM256" si="1274">(HH$197&lt;=Timing_Reversion_Month)*HG260</f>
        <v>0</v>
      </c>
      <c r="HI256" s="422">
        <f t="shared" si="1274"/>
        <v>0</v>
      </c>
      <c r="HJ256" s="422">
        <f t="shared" si="1274"/>
        <v>0</v>
      </c>
      <c r="HK256" s="422">
        <f t="shared" si="1274"/>
        <v>0</v>
      </c>
      <c r="HL256" s="422">
        <f t="shared" si="1274"/>
        <v>0</v>
      </c>
      <c r="HM256" s="422">
        <f t="shared" si="1274"/>
        <v>0</v>
      </c>
      <c r="HN256" s="422">
        <f t="shared" si="1274"/>
        <v>0</v>
      </c>
      <c r="HO256" s="422">
        <f t="shared" si="1274"/>
        <v>0</v>
      </c>
      <c r="HP256" s="422">
        <f t="shared" si="1274"/>
        <v>0</v>
      </c>
      <c r="HQ256" s="422">
        <f t="shared" si="1274"/>
        <v>0</v>
      </c>
      <c r="HR256" s="422">
        <f t="shared" si="1274"/>
        <v>0</v>
      </c>
      <c r="HS256" s="422">
        <f t="shared" si="1274"/>
        <v>0</v>
      </c>
      <c r="HT256" s="422">
        <f t="shared" si="1274"/>
        <v>0</v>
      </c>
      <c r="HU256" s="422">
        <f t="shared" si="1274"/>
        <v>0</v>
      </c>
      <c r="HV256" s="422">
        <f t="shared" si="1274"/>
        <v>0</v>
      </c>
      <c r="HW256" s="422">
        <f t="shared" si="1274"/>
        <v>0</v>
      </c>
      <c r="HX256" s="422">
        <f t="shared" si="1274"/>
        <v>0</v>
      </c>
      <c r="HY256" s="422">
        <f t="shared" si="1274"/>
        <v>0</v>
      </c>
      <c r="HZ256" s="422">
        <f t="shared" si="1274"/>
        <v>0</v>
      </c>
      <c r="IA256" s="422">
        <f t="shared" si="1274"/>
        <v>0</v>
      </c>
      <c r="IB256" s="422">
        <f t="shared" si="1274"/>
        <v>0</v>
      </c>
      <c r="IC256" s="422">
        <f t="shared" si="1274"/>
        <v>0</v>
      </c>
      <c r="ID256" s="422">
        <f t="shared" si="1274"/>
        <v>0</v>
      </c>
      <c r="IE256" s="422">
        <f t="shared" si="1274"/>
        <v>0</v>
      </c>
      <c r="IF256" s="422">
        <f t="shared" si="1274"/>
        <v>0</v>
      </c>
      <c r="IG256" s="422">
        <f t="shared" si="1274"/>
        <v>0</v>
      </c>
      <c r="IH256" s="422">
        <f t="shared" si="1274"/>
        <v>0</v>
      </c>
      <c r="II256" s="422">
        <f t="shared" si="1274"/>
        <v>0</v>
      </c>
      <c r="IJ256" s="422">
        <f t="shared" si="1274"/>
        <v>0</v>
      </c>
      <c r="IK256" s="422">
        <f t="shared" si="1274"/>
        <v>0</v>
      </c>
      <c r="IL256" s="422">
        <f t="shared" si="1274"/>
        <v>0</v>
      </c>
      <c r="IM256" s="422">
        <f t="shared" si="1274"/>
        <v>0</v>
      </c>
      <c r="IN256" s="422" t="n">
        <f t="shared" ref="IN256:JX256" si="1275">(IN$197&lt;=Timing_Reversion_Month)*IM260</f>
        <v>0</v>
      </c>
      <c r="IO256" s="422">
        <f t="shared" si="1275"/>
        <v>0</v>
      </c>
      <c r="IP256" s="422">
        <f t="shared" si="1275"/>
        <v>0</v>
      </c>
      <c r="IQ256" s="422">
        <f t="shared" si="1275"/>
        <v>0</v>
      </c>
      <c r="IR256" s="422">
        <f t="shared" si="1275"/>
        <v>0</v>
      </c>
      <c r="IS256" s="422">
        <f t="shared" si="1275"/>
        <v>0</v>
      </c>
      <c r="IT256" s="422">
        <f t="shared" si="1275"/>
        <v>0</v>
      </c>
      <c r="IU256" s="422">
        <f t="shared" si="1275"/>
        <v>0</v>
      </c>
      <c r="IV256" s="422">
        <f t="shared" si="1275"/>
        <v>0</v>
      </c>
      <c r="IW256" s="422">
        <f t="shared" si="1275"/>
        <v>0</v>
      </c>
      <c r="IX256" s="422">
        <f t="shared" si="1275"/>
        <v>0</v>
      </c>
      <c r="IY256" s="422">
        <f t="shared" si="1275"/>
        <v>0</v>
      </c>
      <c r="IZ256" s="422">
        <f t="shared" si="1275"/>
        <v>0</v>
      </c>
      <c r="JA256" s="422">
        <f t="shared" si="1275"/>
        <v>0</v>
      </c>
      <c r="JB256" s="422">
        <f t="shared" si="1275"/>
        <v>0</v>
      </c>
      <c r="JC256" s="422">
        <f t="shared" si="1275"/>
        <v>0</v>
      </c>
      <c r="JD256" s="422">
        <f t="shared" si="1275"/>
        <v>0</v>
      </c>
      <c r="JE256" s="422">
        <f t="shared" si="1275"/>
        <v>0</v>
      </c>
      <c r="JF256" s="422">
        <f t="shared" si="1275"/>
        <v>0</v>
      </c>
      <c r="JG256" s="422">
        <f t="shared" si="1275"/>
        <v>0</v>
      </c>
      <c r="JH256" s="422">
        <f t="shared" si="1275"/>
        <v>0</v>
      </c>
      <c r="JI256" s="422">
        <f t="shared" si="1275"/>
        <v>0</v>
      </c>
      <c r="JJ256" s="422">
        <f t="shared" si="1275"/>
        <v>0</v>
      </c>
      <c r="JK256" s="422">
        <f t="shared" si="1275"/>
        <v>0</v>
      </c>
      <c r="JL256" s="422">
        <f t="shared" si="1275"/>
        <v>0</v>
      </c>
      <c r="JM256" s="422">
        <f t="shared" si="1275"/>
        <v>0</v>
      </c>
      <c r="JN256" s="422">
        <f t="shared" si="1275"/>
        <v>0</v>
      </c>
      <c r="JO256" s="422">
        <f t="shared" si="1275"/>
        <v>0</v>
      </c>
      <c r="JP256" s="422">
        <f t="shared" si="1275"/>
        <v>0</v>
      </c>
      <c r="JQ256" s="422">
        <f t="shared" si="1275"/>
        <v>0</v>
      </c>
      <c r="JR256" s="422">
        <f t="shared" si="1275"/>
        <v>0</v>
      </c>
      <c r="JS256" s="422">
        <f t="shared" si="1275"/>
        <v>0</v>
      </c>
      <c r="JT256" s="422">
        <f t="shared" si="1275"/>
        <v>0</v>
      </c>
      <c r="JU256" s="422">
        <f t="shared" si="1275"/>
        <v>0</v>
      </c>
      <c r="JV256" s="422">
        <f t="shared" si="1275"/>
        <v>0</v>
      </c>
      <c r="JW256" s="422">
        <f t="shared" si="1275"/>
        <v>0</v>
      </c>
      <c r="JX256" s="422">
        <f t="shared" si="1275"/>
        <v>0</v>
      </c>
      <c r="JZ256" s="263"/>
      <c r="KA256" s="263"/>
      <c r="KB256" s="263"/>
      <c r="KC256" s="263"/>
      <c r="KD256" s="263"/>
      <c r="KE256" s="263"/>
      <c r="KF256" s="263"/>
      <c r="KG256" s="263"/>
      <c r="KH256" s="263"/>
      <c r="KI256" s="263"/>
      <c r="KJ256" s="263"/>
      <c r="KK256" s="263"/>
      <c r="KL256" s="263"/>
      <c r="KM256" s="263"/>
      <c r="KN256" s="263"/>
      <c r="KO256" s="263"/>
      <c r="KP256" s="263"/>
      <c r="KQ256" s="263"/>
      <c r="KR256" s="263"/>
      <c r="KS256" s="263"/>
      <c r="KT256" s="263"/>
      <c r="KU256" s="263"/>
      <c r="KV256" s="263"/>
      <c r="KW256" s="263"/>
      <c r="KX256" s="263"/>
      <c r="KY256" s="263"/>
      <c r="KZ256" s="263"/>
      <c r="LA256" s="263"/>
      <c r="LB256" s="263"/>
      <c r="LC256" s="263"/>
      <c r="LD256" s="263"/>
      <c r="LE256" s="263"/>
      <c r="LF256" s="263"/>
      <c r="LG256" s="263"/>
      <c r="LH256" s="263"/>
      <c r="LI256" s="263"/>
      <c r="LJ256" s="263"/>
      <c r="LK256" s="263"/>
      <c r="LL256" s="263"/>
      <c r="LM256" s="263"/>
      <c r="LN256" s="263"/>
      <c r="LO256" s="263"/>
      <c r="LP256" s="263"/>
      <c r="LQ256" s="263"/>
      <c r="LR256" s="263"/>
      <c r="LS256" s="263"/>
      <c r="LT256" s="263"/>
      <c r="LU256" s="263"/>
      <c r="LV256" s="263"/>
      <c r="LW256" s="263"/>
      <c r="LX256" s="263"/>
      <c r="LY256" s="263"/>
      <c r="LZ256" s="263"/>
      <c r="MA256" s="263"/>
      <c r="MB256" s="263"/>
      <c r="MC256" s="263"/>
      <c r="MD256" s="263"/>
      <c r="ME256" s="263"/>
      <c r="MF256" s="263"/>
      <c r="MG256" s="263"/>
      <c r="MH256" s="263"/>
      <c r="MI256" s="263"/>
      <c r="MJ256" s="263"/>
      <c r="MK256" s="263"/>
      <c r="ML256" s="263"/>
      <c r="MM256" s="263"/>
      <c r="MN256" s="263"/>
      <c r="MO256" s="263"/>
      <c r="MP256" s="263"/>
      <c r="MQ256" s="263"/>
      <c r="MR256" s="263"/>
      <c r="MS256" s="263"/>
      <c r="MT256" s="263"/>
      <c r="MU256" s="263"/>
      <c r="MV256" s="263"/>
      <c r="MW256" s="263"/>
      <c r="MX256" s="263"/>
      <c r="MY256" s="263"/>
      <c r="MZ256" s="263"/>
      <c r="NA256" s="263"/>
      <c r="NB256" s="263"/>
      <c r="NC256" s="263"/>
      <c r="ND256" s="263"/>
      <c r="NE256" s="263"/>
      <c r="NF256" s="263"/>
      <c r="NG256" s="263"/>
      <c r="NH256" s="263"/>
      <c r="NI256" s="263"/>
      <c r="NJ256" s="263"/>
      <c r="NK256" s="263"/>
      <c r="NL256" s="263"/>
      <c r="NM256" s="263"/>
      <c r="NN256" s="263"/>
      <c r="NO256" s="263"/>
      <c r="NP256" s="263"/>
      <c r="NQ256" s="263"/>
      <c r="NR256" s="263"/>
      <c r="NS256" s="263"/>
      <c r="NT256" s="263"/>
      <c r="NU256" s="263"/>
      <c r="NV256" s="263"/>
      <c r="NW256" s="263"/>
      <c r="NX256" s="263"/>
      <c r="NY256" s="263"/>
      <c r="NZ256" s="263"/>
      <c r="OA256" s="263"/>
      <c r="OB256" s="263"/>
      <c r="OC256" s="263"/>
      <c r="OD256" s="263"/>
      <c r="OE256" s="263"/>
      <c r="OF256" s="263"/>
      <c r="OG256" s="263"/>
      <c r="OH256" s="263"/>
      <c r="OI256" s="263"/>
      <c r="OJ256" s="263"/>
      <c r="OK256" s="263"/>
      <c r="OL256" s="263"/>
      <c r="OM256" s="263"/>
      <c r="ON256" s="263"/>
      <c r="OO256" s="263"/>
      <c r="OP256" s="263"/>
      <c r="OQ256" s="263"/>
      <c r="OR256" s="263"/>
      <c r="OS256" s="263"/>
      <c r="OT256" s="263"/>
      <c r="OU256" s="263"/>
      <c r="OV256" s="263"/>
      <c r="OW256" s="263"/>
      <c r="OX256" s="263"/>
      <c r="OY256" s="263"/>
      <c r="OZ256" s="263"/>
      <c r="PA256" s="263"/>
      <c r="PB256" s="263"/>
      <c r="PC256" s="263"/>
      <c r="PD256" s="263"/>
      <c r="PE256" s="263"/>
      <c r="PF256" s="263"/>
      <c r="PG256" s="263"/>
      <c r="PH256" s="263"/>
    </row>
    <row r="257">
      <c r="B257" s="34" t="s">
        <v>431</v>
      </c>
      <c r="C257" s="401"/>
      <c r="D257" s="404"/>
      <c r="E257" s="404" t="s">
        <v>432</v>
      </c>
      <c r="F257" s="88" t="n">
        <f>F256</f>
        <v>0.15</v>
      </c>
      <c r="G257" s="54">
        <v>0.4</v>
      </c>
      <c r="H257" s="53">
        <f t="shared" si="1256"/>
        <v>0.43000000000000005</v>
      </c>
      <c r="I257" s="58" t="n">
        <f>1-H257</f>
        <v>0.57</v>
      </c>
      <c r="L257" s="421" t="str">
        <f t="shared" ref="L257:AQ257" si="1276">IF(L$227="","",EV267)</f>
      </c>
      <c r="M257" s="421">
        <f t="shared" si="1276"/>
        <v>0</v>
      </c>
      <c r="N257" s="421">
        <f t="shared" si="1276"/>
        <v>0</v>
      </c>
      <c r="O257" s="421">
        <f t="shared" si="1276"/>
        <v>0</v>
      </c>
      <c r="P257" s="421">
        <f t="shared" si="1276"/>
        <v>0</v>
      </c>
      <c r="Q257" s="421">
        <f t="shared" si="1276"/>
        <v>0</v>
      </c>
      <c r="R257" s="421">
        <f t="shared" si="1276"/>
        <v>0</v>
      </c>
      <c r="S257" s="421">
        <f t="shared" si="1276"/>
        <v>0</v>
      </c>
      <c r="T257" s="421">
        <f t="shared" si="1276"/>
        <v>0</v>
      </c>
      <c r="U257" s="421">
        <f t="shared" si="1276"/>
        <v>0</v>
      </c>
      <c r="V257" s="421">
        <f t="shared" si="1276"/>
        <v>0</v>
      </c>
      <c r="W257" s="421">
        <f t="shared" si="1276"/>
        <v>0</v>
      </c>
      <c r="X257" s="421">
        <f t="shared" si="1276"/>
        <v>0</v>
      </c>
      <c r="Y257" s="421">
        <f t="shared" si="1276"/>
        <v>0</v>
      </c>
      <c r="Z257" s="421">
        <f t="shared" si="1276"/>
        <v>0</v>
      </c>
      <c r="AA257" s="421">
        <f t="shared" si="1276"/>
        <v>0</v>
      </c>
      <c r="AB257" s="421">
        <f t="shared" si="1276"/>
        <v>0</v>
      </c>
      <c r="AC257" s="421">
        <f t="shared" si="1276"/>
        <v>0</v>
      </c>
      <c r="AD257" s="421">
        <f t="shared" si="1276"/>
        <v>0</v>
      </c>
      <c r="AE257" s="421">
        <f t="shared" si="1276"/>
        <v>0</v>
      </c>
      <c r="AF257" s="421">
        <f t="shared" si="1276"/>
        <v>0</v>
      </c>
      <c r="AG257" s="421">
        <f t="shared" si="1276"/>
        <v>0</v>
      </c>
      <c r="AH257" s="421">
        <f t="shared" si="1276"/>
        <v>0</v>
      </c>
      <c r="AI257" s="421">
        <f t="shared" si="1276"/>
        <v>0</v>
      </c>
      <c r="AJ257" s="421">
        <f t="shared" si="1276"/>
        <v>0</v>
      </c>
      <c r="AK257" s="421">
        <f t="shared" si="1276"/>
        <v>0</v>
      </c>
      <c r="AL257" s="421">
        <f t="shared" si="1276"/>
        <v>0</v>
      </c>
      <c r="AM257" s="421">
        <f t="shared" si="1276"/>
        <v>0</v>
      </c>
      <c r="AN257" s="421">
        <f t="shared" si="1276"/>
        <v>0</v>
      </c>
      <c r="AO257" s="421">
        <f t="shared" si="1276"/>
        <v>0</v>
      </c>
      <c r="AP257" s="421">
        <f t="shared" si="1276"/>
        <v>0</v>
      </c>
      <c r="AQ257" s="421">
        <f t="shared" si="1276"/>
        <v>0</v>
      </c>
      <c r="AR257" s="421" t="n">
        <f t="shared" ref="AR257:BW257" si="1277">IF(AR$227="","",GB267)</f>
        <v>0</v>
      </c>
      <c r="AS257" s="421">
        <f t="shared" si="1277"/>
        <v>0</v>
      </c>
      <c r="AT257" s="421">
        <f t="shared" si="1277"/>
        <v>0</v>
      </c>
      <c r="AU257" s="421">
        <f t="shared" si="1277"/>
        <v>0</v>
      </c>
      <c r="AV257" s="421">
        <f t="shared" si="1277"/>
        <v>0</v>
      </c>
      <c r="AW257" s="421">
        <f t="shared" si="1277"/>
        <v>0</v>
      </c>
      <c r="AX257" s="421">
        <f t="shared" si="1277"/>
        <v>0</v>
      </c>
      <c r="AY257" s="421">
        <f t="shared" si="1277"/>
        <v>0</v>
      </c>
      <c r="AZ257" s="421">
        <f t="shared" si="1277"/>
        <v>0</v>
      </c>
      <c r="BA257" s="421">
        <f t="shared" si="1277"/>
        <v>0</v>
      </c>
      <c r="BB257" s="421">
        <f t="shared" si="1277"/>
        <v>0</v>
      </c>
      <c r="BC257" s="421">
        <f t="shared" si="1277"/>
        <v>0</v>
      </c>
      <c r="BD257" s="76">
        <f t="shared" si="1277"/>
        <v>0</v>
      </c>
      <c r="BE257" s="76">
        <f t="shared" si="1277"/>
        <v>0</v>
      </c>
      <c r="BF257" s="76">
        <f t="shared" si="1277"/>
        <v>0</v>
      </c>
      <c r="BG257" s="76">
        <f t="shared" si="1277"/>
        <v>0</v>
      </c>
      <c r="BH257" s="76">
        <f t="shared" si="1277"/>
        <v>0</v>
      </c>
      <c r="BI257" s="76">
        <f t="shared" si="1277"/>
        <v>0</v>
      </c>
      <c r="BJ257" s="76">
        <f t="shared" si="1277"/>
        <v>0</v>
      </c>
      <c r="BK257" s="76">
        <f t="shared" si="1277"/>
        <v>0</v>
      </c>
      <c r="BL257" s="76">
        <f t="shared" si="1277"/>
        <v>0</v>
      </c>
      <c r="BM257" s="76">
        <f t="shared" si="1277"/>
        <v>0</v>
      </c>
      <c r="BN257" s="76">
        <f t="shared" si="1277"/>
        <v>0</v>
      </c>
      <c r="BO257" s="76">
        <f t="shared" si="1277"/>
        <v>0</v>
      </c>
      <c r="BP257" s="76">
        <f t="shared" si="1277"/>
        <v>0</v>
      </c>
      <c r="BQ257" s="76">
        <f t="shared" si="1277"/>
        <v>0</v>
      </c>
      <c r="BR257" s="76">
        <f t="shared" si="1277"/>
        <v>0</v>
      </c>
      <c r="BS257" s="76">
        <f t="shared" si="1277"/>
        <v>0</v>
      </c>
      <c r="BT257" s="76">
        <f t="shared" si="1277"/>
        <v>0</v>
      </c>
      <c r="BU257" s="76">
        <f t="shared" si="1277"/>
        <v>297977027.45024878</v>
      </c>
      <c r="BV257" s="76" t="str">
        <f t="shared" si="1277"/>
      </c>
      <c r="BW257" s="76" t="str">
        <f t="shared" si="1277"/>
      </c>
      <c r="BX257" s="76" t="str">
        <f t="shared" ref="BX257:DC257" si="1278">IF(BX$227="","",HH267)</f>
      </c>
      <c r="BY257" s="76" t="str">
        <f t="shared" si="1278"/>
      </c>
      <c r="BZ257" s="76" t="str">
        <f t="shared" si="1278"/>
      </c>
      <c r="CA257" s="76" t="str">
        <f t="shared" si="1278"/>
      </c>
      <c r="CB257" s="76" t="str">
        <f t="shared" si="1278"/>
      </c>
      <c r="CC257" s="76" t="str">
        <f t="shared" si="1278"/>
      </c>
      <c r="CD257" s="76" t="str">
        <f t="shared" si="1278"/>
      </c>
      <c r="CE257" s="76" t="str">
        <f t="shared" si="1278"/>
      </c>
      <c r="CF257" s="76" t="str">
        <f t="shared" si="1278"/>
      </c>
      <c r="CG257" s="76" t="str">
        <f t="shared" si="1278"/>
      </c>
      <c r="CH257" s="76" t="str">
        <f t="shared" si="1278"/>
      </c>
      <c r="CI257" s="76" t="str">
        <f t="shared" si="1278"/>
      </c>
      <c r="CJ257" s="76" t="str">
        <f t="shared" si="1278"/>
      </c>
      <c r="CK257" s="76" t="str">
        <f t="shared" si="1278"/>
      </c>
      <c r="CL257" s="76" t="str">
        <f t="shared" si="1278"/>
      </c>
      <c r="CM257" s="76" t="str">
        <f t="shared" si="1278"/>
      </c>
      <c r="CN257" s="76" t="str">
        <f t="shared" si="1278"/>
      </c>
      <c r="CO257" s="76" t="str">
        <f t="shared" si="1278"/>
      </c>
      <c r="CP257" s="76" t="str">
        <f t="shared" si="1278"/>
      </c>
      <c r="CQ257" s="76" t="str">
        <f t="shared" si="1278"/>
      </c>
      <c r="CR257" s="76" t="str">
        <f t="shared" si="1278"/>
      </c>
      <c r="CS257" s="76" t="str">
        <f t="shared" si="1278"/>
      </c>
      <c r="CT257" s="76" t="str">
        <f t="shared" si="1278"/>
      </c>
      <c r="CU257" s="76" t="str">
        <f t="shared" si="1278"/>
      </c>
      <c r="CV257" s="76" t="str">
        <f t="shared" si="1278"/>
      </c>
      <c r="CW257" s="76" t="str">
        <f t="shared" si="1278"/>
      </c>
      <c r="CX257" s="76" t="str">
        <f t="shared" si="1278"/>
      </c>
      <c r="CY257" s="76" t="str">
        <f t="shared" si="1278"/>
      </c>
      <c r="CZ257" s="76" t="str">
        <f t="shared" si="1278"/>
      </c>
      <c r="DA257" s="76" t="str">
        <f t="shared" si="1278"/>
      </c>
      <c r="DB257" s="76" t="str">
        <f t="shared" si="1278"/>
      </c>
      <c r="DC257" s="76" t="str">
        <f t="shared" si="1278"/>
      </c>
      <c r="DD257" s="76" t="str">
        <f t="shared" ref="DD257:EI257" si="1279">IF(DD$227="","",IN267)</f>
      </c>
      <c r="DE257" s="76" t="str">
        <f t="shared" si="1279"/>
      </c>
      <c r="DF257" s="76" t="str">
        <f t="shared" si="1279"/>
      </c>
      <c r="DG257" s="76" t="str">
        <f t="shared" si="1279"/>
      </c>
      <c r="DH257" s="76" t="str">
        <f t="shared" si="1279"/>
      </c>
      <c r="DI257" s="76" t="str">
        <f t="shared" si="1279"/>
      </c>
      <c r="DJ257" s="76" t="str">
        <f t="shared" si="1279"/>
      </c>
      <c r="DK257" s="76" t="str">
        <f t="shared" si="1279"/>
      </c>
      <c r="DL257" s="76" t="str">
        <f t="shared" si="1279"/>
      </c>
      <c r="DM257" s="76" t="str">
        <f t="shared" si="1279"/>
      </c>
      <c r="DN257" s="76" t="str">
        <f t="shared" si="1279"/>
      </c>
      <c r="DO257" s="76" t="str">
        <f t="shared" si="1279"/>
      </c>
      <c r="DP257" s="76" t="str">
        <f t="shared" si="1279"/>
      </c>
      <c r="DQ257" s="76" t="str">
        <f t="shared" si="1279"/>
      </c>
      <c r="DR257" s="76" t="str">
        <f t="shared" si="1279"/>
      </c>
      <c r="DS257" s="76" t="str">
        <f t="shared" si="1279"/>
      </c>
      <c r="DT257" s="76" t="str">
        <f t="shared" si="1279"/>
      </c>
      <c r="DU257" s="76" t="str">
        <f t="shared" si="1279"/>
      </c>
      <c r="DV257" s="76" t="str">
        <f t="shared" si="1279"/>
      </c>
      <c r="DW257" s="76" t="str">
        <f t="shared" si="1279"/>
      </c>
      <c r="DX257" s="76" t="str">
        <f t="shared" si="1279"/>
      </c>
      <c r="DY257" s="76" t="str">
        <f t="shared" si="1279"/>
      </c>
      <c r="DZ257" s="76" t="str">
        <f t="shared" si="1279"/>
      </c>
      <c r="EA257" s="76" t="str">
        <f t="shared" si="1279"/>
      </c>
      <c r="EB257" s="76" t="str">
        <f t="shared" si="1279"/>
      </c>
      <c r="EC257" s="76" t="str">
        <f t="shared" si="1279"/>
      </c>
      <c r="ED257" s="76" t="str">
        <f t="shared" si="1279"/>
      </c>
      <c r="EE257" s="76" t="str">
        <f t="shared" si="1279"/>
      </c>
      <c r="EF257" s="76" t="str">
        <f t="shared" si="1279"/>
      </c>
      <c r="EG257" s="76" t="str">
        <f t="shared" si="1279"/>
      </c>
      <c r="EH257" s="76" t="str">
        <f t="shared" si="1279"/>
      </c>
      <c r="EI257" s="76" t="str">
        <f t="shared" si="1279"/>
      </c>
      <c r="EJ257" s="76" t="str">
        <f t="shared" ref="EJ257:EN257" si="1280">IF(EJ$227="","",JT267)</f>
      </c>
      <c r="EK257" s="76" t="str">
        <f t="shared" si="1280"/>
      </c>
      <c r="EL257" s="76" t="str">
        <f t="shared" si="1280"/>
      </c>
      <c r="EM257" s="76" t="str">
        <f t="shared" si="1280"/>
      </c>
      <c r="EN257" s="76" t="str">
        <f t="shared" si="1280"/>
      </c>
      <c r="EP257" s="409"/>
      <c r="EQ257" s="18"/>
      <c r="ER257" s="18"/>
      <c r="ES257" s="18"/>
      <c r="ET257" s="18" t="s">
        <v>437</v>
      </c>
      <c r="EU257" s="18"/>
      <c r="EV257" s="422" t="n">
        <f t="shared" ref="EV257:GA257" si="1281">(EV$197&lt;=Timing_Reversion_Month)*(EV256*((1+$EP258)^(1/12)-1))</f>
        <v>0</v>
      </c>
      <c r="EW257" s="422">
        <f t="shared" si="1281"/>
        <v>48431.254980986108</v>
      </c>
      <c r="EX257" s="422">
        <f t="shared" si="1281"/>
        <v>48768.277992968542</v>
      </c>
      <c r="EY257" s="422">
        <f t="shared" si="1281"/>
        <v>49260.166546846514</v>
      </c>
      <c r="EZ257" s="422">
        <f t="shared" si="1281"/>
        <v>49973.352340205194</v>
      </c>
      <c r="FA257" s="422">
        <f t="shared" si="1281"/>
        <v>50993.50920032461</v>
      </c>
      <c r="FB257" s="422">
        <f t="shared" si="1281"/>
        <v>52490.355926207754</v>
      </c>
      <c r="FC257" s="422">
        <f t="shared" si="1281"/>
        <v>54137.602748940393</v>
      </c>
      <c r="FD257" s="422">
        <f t="shared" si="1281"/>
        <v>56461.652167240856</v>
      </c>
      <c r="FE257" s="422">
        <f t="shared" si="1281"/>
        <v>59613.621756600289</v>
      </c>
      <c r="FF257" s="422">
        <f t="shared" si="1281"/>
        <v>63743.769346994915</v>
      </c>
      <c r="FG257" s="422">
        <f t="shared" si="1281"/>
        <v>68988.250434732909</v>
      </c>
      <c r="FH257" s="422">
        <f t="shared" si="1281"/>
        <v>75453.863345714373</v>
      </c>
      <c r="FI257" s="422">
        <f t="shared" si="1281"/>
        <v>83202.447307009279</v>
      </c>
      <c r="FJ257" s="422">
        <f t="shared" si="1281"/>
        <v>92237.062734460516</v>
      </c>
      <c r="FK257" s="422">
        <f t="shared" si="1281"/>
        <v>102492.23337127522</v>
      </c>
      <c r="FL257" s="422">
        <f t="shared" si="1281"/>
        <v>113830.26664035543</v>
      </c>
      <c r="FM257" s="422">
        <f t="shared" si="1281"/>
        <v>117058.35425743251</v>
      </c>
      <c r="FN257" s="422">
        <f t="shared" si="1281"/>
        <v>117954.95747984905</v>
      </c>
      <c r="FO257" s="422">
        <f t="shared" si="1281"/>
        <v>117297.33960706698</v>
      </c>
      <c r="FP257" s="422">
        <f t="shared" si="1281"/>
        <v>116773.57609530403</v>
      </c>
      <c r="FQ257" s="422">
        <f t="shared" si="1281"/>
        <v>116334.21291278153</v>
      </c>
      <c r="FR257" s="422">
        <f t="shared" si="1281"/>
        <v>115538.47703703157</v>
      </c>
      <c r="FS257" s="422">
        <f t="shared" si="1281"/>
        <v>114816.18592670813</v>
      </c>
      <c r="FT257" s="422">
        <f t="shared" si="1281"/>
        <v>114161.60032901788</v>
      </c>
      <c r="FU257" s="422">
        <f t="shared" si="1281"/>
        <v>113397.71025076983</v>
      </c>
      <c r="FV257" s="422">
        <f t="shared" si="1281"/>
        <v>112684.79770465191</v>
      </c>
      <c r="FW257" s="422">
        <f t="shared" si="1281"/>
        <v>112014.85516239659</v>
      </c>
      <c r="FX257" s="422">
        <f t="shared" si="1281"/>
        <v>111275.41297263879</v>
      </c>
      <c r="FY257" s="422">
        <f t="shared" si="1281"/>
        <v>110912.19572872818</v>
      </c>
      <c r="FZ257" s="422">
        <f t="shared" si="1281"/>
        <v>111334.23069609074</v>
      </c>
      <c r="GA257" s="422">
        <f t="shared" si="1281"/>
        <v>111168.76964880165</v>
      </c>
      <c r="GB257" s="422" t="n">
        <f t="shared" ref="GB257:HG257" si="1282">(GB$197&lt;=Timing_Reversion_Month)*(GB256*((1+$EP258)^(1/12)-1))</f>
        <v>110781.06606843816</v>
      </c>
      <c r="GC257" s="422">
        <f t="shared" si="1282"/>
        <v>110224.77052371607</v>
      </c>
      <c r="GD257" s="422">
        <f t="shared" si="1282"/>
        <v>109544.47005132107</v>
      </c>
      <c r="GE257" s="422">
        <f t="shared" si="1282"/>
        <v>108634.76261933865</v>
      </c>
      <c r="GF257" s="422">
        <f t="shared" si="1282"/>
        <v>107662.83514102064</v>
      </c>
      <c r="GG257" s="422">
        <f t="shared" si="1282"/>
        <v>106641.54070209626</v>
      </c>
      <c r="GH257" s="422">
        <f t="shared" si="1282"/>
        <v>105843.90711163526</v>
      </c>
      <c r="GI257" s="422">
        <f t="shared" si="1282"/>
        <v>105043.98666228415</v>
      </c>
      <c r="GJ257" s="422">
        <f t="shared" si="1282"/>
        <v>104241.80549382366</v>
      </c>
      <c r="GK257" s="422">
        <f t="shared" si="1282"/>
        <v>103433.87375580371</v>
      </c>
      <c r="GL257" s="422">
        <f t="shared" si="1282"/>
        <v>102623.69450128406</v>
      </c>
      <c r="GM257" s="422">
        <f t="shared" si="1282"/>
        <v>101811.29553082083</v>
      </c>
      <c r="GN257" s="422">
        <f t="shared" si="1282"/>
        <v>100905.37828137972</v>
      </c>
      <c r="GO257" s="422">
        <f t="shared" si="1282"/>
        <v>99996.229234359096</v>
      </c>
      <c r="GP257" s="422">
        <f t="shared" si="1282"/>
        <v>99083.865886626882</v>
      </c>
      <c r="GQ257" s="422">
        <f t="shared" si="1282"/>
        <v>98152.090921091236</v>
      </c>
      <c r="GR257" s="422">
        <f t="shared" si="1282"/>
        <v>97216.94855695311</v>
      </c>
      <c r="GS257" s="422">
        <f t="shared" si="1282"/>
        <v>96278.455957425453</v>
      </c>
      <c r="GT257" s="422">
        <f t="shared" si="1282"/>
        <v>95410.92352397152</v>
      </c>
      <c r="GU257" s="422">
        <f t="shared" si="1282"/>
        <v>94540.947400819176</v>
      </c>
      <c r="GV257" s="422">
        <f t="shared" si="1282"/>
        <v>93668.55685570174</v>
      </c>
      <c r="GW257" s="422">
        <f t="shared" si="1282"/>
        <v>92790.271132085574</v>
      </c>
      <c r="GX257" s="422">
        <f t="shared" si="1282"/>
        <v>91909.590736837636</v>
      </c>
      <c r="GY257" s="422">
        <f t="shared" si="1282"/>
        <v>91026.54682437361</v>
      </c>
      <c r="GZ257" s="422">
        <f t="shared" si="1282"/>
        <v>90058.51207989837</v>
      </c>
      <c r="HA257" s="422">
        <f t="shared" si="1282"/>
        <v>89087.210220358858</v>
      </c>
      <c r="HB257" s="422">
        <f t="shared" si="1282"/>
        <v>88112.663521760114</v>
      </c>
      <c r="HC257" s="422">
        <f t="shared" si="1282"/>
        <v>87118.112000887311</v>
      </c>
      <c r="HD257" s="422">
        <f t="shared" si="1282"/>
        <v>86120.165738858093</v>
      </c>
      <c r="HE257" s="422">
        <f t="shared" si="1282"/>
        <v>85118.846889166482</v>
      </c>
      <c r="HF257" s="422">
        <f t="shared" si="1282"/>
        <v>0</v>
      </c>
      <c r="HG257" s="422">
        <f t="shared" si="1282"/>
        <v>0</v>
      </c>
      <c r="HH257" s="422" t="n">
        <f t="shared" ref="HH257:IM257" si="1283">(HH$197&lt;=Timing_Reversion_Month)*(HH256*((1+$EP258)^(1/12)-1))</f>
        <v>0</v>
      </c>
      <c r="HI257" s="422">
        <f t="shared" si="1283"/>
        <v>0</v>
      </c>
      <c r="HJ257" s="422">
        <f t="shared" si="1283"/>
        <v>0</v>
      </c>
      <c r="HK257" s="422">
        <f t="shared" si="1283"/>
        <v>0</v>
      </c>
      <c r="HL257" s="422">
        <f t="shared" si="1283"/>
        <v>0</v>
      </c>
      <c r="HM257" s="422">
        <f t="shared" si="1283"/>
        <v>0</v>
      </c>
      <c r="HN257" s="422">
        <f t="shared" si="1283"/>
        <v>0</v>
      </c>
      <c r="HO257" s="422">
        <f t="shared" si="1283"/>
        <v>0</v>
      </c>
      <c r="HP257" s="422">
        <f t="shared" si="1283"/>
        <v>0</v>
      </c>
      <c r="HQ257" s="422">
        <f t="shared" si="1283"/>
        <v>0</v>
      </c>
      <c r="HR257" s="422">
        <f t="shared" si="1283"/>
        <v>0</v>
      </c>
      <c r="HS257" s="422">
        <f t="shared" si="1283"/>
        <v>0</v>
      </c>
      <c r="HT257" s="422">
        <f t="shared" si="1283"/>
        <v>0</v>
      </c>
      <c r="HU257" s="422">
        <f t="shared" si="1283"/>
        <v>0</v>
      </c>
      <c r="HV257" s="422">
        <f t="shared" si="1283"/>
        <v>0</v>
      </c>
      <c r="HW257" s="422">
        <f t="shared" si="1283"/>
        <v>0</v>
      </c>
      <c r="HX257" s="422">
        <f t="shared" si="1283"/>
        <v>0</v>
      </c>
      <c r="HY257" s="422">
        <f t="shared" si="1283"/>
        <v>0</v>
      </c>
      <c r="HZ257" s="422">
        <f t="shared" si="1283"/>
        <v>0</v>
      </c>
      <c r="IA257" s="422">
        <f t="shared" si="1283"/>
        <v>0</v>
      </c>
      <c r="IB257" s="422">
        <f t="shared" si="1283"/>
        <v>0</v>
      </c>
      <c r="IC257" s="422">
        <f t="shared" si="1283"/>
        <v>0</v>
      </c>
      <c r="ID257" s="422">
        <f t="shared" si="1283"/>
        <v>0</v>
      </c>
      <c r="IE257" s="422">
        <f t="shared" si="1283"/>
        <v>0</v>
      </c>
      <c r="IF257" s="422">
        <f t="shared" si="1283"/>
        <v>0</v>
      </c>
      <c r="IG257" s="422">
        <f t="shared" si="1283"/>
        <v>0</v>
      </c>
      <c r="IH257" s="422">
        <f t="shared" si="1283"/>
        <v>0</v>
      </c>
      <c r="II257" s="422">
        <f t="shared" si="1283"/>
        <v>0</v>
      </c>
      <c r="IJ257" s="422">
        <f t="shared" si="1283"/>
        <v>0</v>
      </c>
      <c r="IK257" s="422">
        <f t="shared" si="1283"/>
        <v>0</v>
      </c>
      <c r="IL257" s="422">
        <f t="shared" si="1283"/>
        <v>0</v>
      </c>
      <c r="IM257" s="422">
        <f t="shared" si="1283"/>
        <v>0</v>
      </c>
      <c r="IN257" s="422" t="n">
        <f t="shared" ref="IN257:JS257" si="1284">(IN$197&lt;=Timing_Reversion_Month)*(IN256*((1+$EP258)^(1/12)-1))</f>
        <v>0</v>
      </c>
      <c r="IO257" s="422">
        <f t="shared" si="1284"/>
        <v>0</v>
      </c>
      <c r="IP257" s="422">
        <f t="shared" si="1284"/>
        <v>0</v>
      </c>
      <c r="IQ257" s="422">
        <f t="shared" si="1284"/>
        <v>0</v>
      </c>
      <c r="IR257" s="422">
        <f t="shared" si="1284"/>
        <v>0</v>
      </c>
      <c r="IS257" s="422">
        <f t="shared" si="1284"/>
        <v>0</v>
      </c>
      <c r="IT257" s="422">
        <f t="shared" si="1284"/>
        <v>0</v>
      </c>
      <c r="IU257" s="422">
        <f t="shared" si="1284"/>
        <v>0</v>
      </c>
      <c r="IV257" s="422">
        <f t="shared" si="1284"/>
        <v>0</v>
      </c>
      <c r="IW257" s="422">
        <f t="shared" si="1284"/>
        <v>0</v>
      </c>
      <c r="IX257" s="422">
        <f t="shared" si="1284"/>
        <v>0</v>
      </c>
      <c r="IY257" s="422">
        <f t="shared" si="1284"/>
        <v>0</v>
      </c>
      <c r="IZ257" s="422">
        <f t="shared" si="1284"/>
        <v>0</v>
      </c>
      <c r="JA257" s="422">
        <f t="shared" si="1284"/>
        <v>0</v>
      </c>
      <c r="JB257" s="422">
        <f t="shared" si="1284"/>
        <v>0</v>
      </c>
      <c r="JC257" s="422">
        <f t="shared" si="1284"/>
        <v>0</v>
      </c>
      <c r="JD257" s="422">
        <f t="shared" si="1284"/>
        <v>0</v>
      </c>
      <c r="JE257" s="422">
        <f t="shared" si="1284"/>
        <v>0</v>
      </c>
      <c r="JF257" s="422">
        <f t="shared" si="1284"/>
        <v>0</v>
      </c>
      <c r="JG257" s="422">
        <f t="shared" si="1284"/>
        <v>0</v>
      </c>
      <c r="JH257" s="422">
        <f t="shared" si="1284"/>
        <v>0</v>
      </c>
      <c r="JI257" s="422">
        <f t="shared" si="1284"/>
        <v>0</v>
      </c>
      <c r="JJ257" s="422">
        <f t="shared" si="1284"/>
        <v>0</v>
      </c>
      <c r="JK257" s="422">
        <f t="shared" si="1284"/>
        <v>0</v>
      </c>
      <c r="JL257" s="422">
        <f t="shared" si="1284"/>
        <v>0</v>
      </c>
      <c r="JM257" s="422">
        <f t="shared" si="1284"/>
        <v>0</v>
      </c>
      <c r="JN257" s="422">
        <f t="shared" si="1284"/>
        <v>0</v>
      </c>
      <c r="JO257" s="422">
        <f t="shared" si="1284"/>
        <v>0</v>
      </c>
      <c r="JP257" s="422">
        <f t="shared" si="1284"/>
        <v>0</v>
      </c>
      <c r="JQ257" s="422">
        <f t="shared" si="1284"/>
        <v>0</v>
      </c>
      <c r="JR257" s="422">
        <f t="shared" si="1284"/>
        <v>0</v>
      </c>
      <c r="JS257" s="422">
        <f t="shared" si="1284"/>
        <v>0</v>
      </c>
      <c r="JT257" s="422" t="n">
        <f t="shared" ref="JT257:JX257" si="1285">(JT$197&lt;=Timing_Reversion_Month)*(JT256*((1+$EP258)^(1/12)-1))</f>
        <v>0</v>
      </c>
      <c r="JU257" s="422">
        <f t="shared" si="1285"/>
        <v>0</v>
      </c>
      <c r="JV257" s="422">
        <f t="shared" si="1285"/>
        <v>0</v>
      </c>
      <c r="JW257" s="422">
        <f t="shared" si="1285"/>
        <v>0</v>
      </c>
      <c r="JX257" s="422">
        <f t="shared" si="1285"/>
        <v>0</v>
      </c>
      <c r="JZ257" s="263"/>
      <c r="KA257" s="263"/>
      <c r="KB257" s="263"/>
      <c r="KC257" s="263"/>
      <c r="KD257" s="263"/>
      <c r="KE257" s="263"/>
      <c r="KF257" s="263"/>
      <c r="KG257" s="263"/>
      <c r="KH257" s="263"/>
      <c r="KI257" s="263"/>
      <c r="KJ257" s="263"/>
      <c r="KK257" s="263"/>
      <c r="KL257" s="263"/>
      <c r="KM257" s="263"/>
      <c r="KN257" s="263"/>
      <c r="KO257" s="263"/>
      <c r="KP257" s="263"/>
      <c r="KQ257" s="263"/>
      <c r="KR257" s="263"/>
      <c r="KS257" s="263"/>
      <c r="KT257" s="263"/>
      <c r="KU257" s="263"/>
      <c r="KV257" s="263"/>
      <c r="KW257" s="263"/>
      <c r="KX257" s="263"/>
      <c r="KY257" s="263"/>
      <c r="KZ257" s="263"/>
      <c r="LA257" s="263"/>
      <c r="LB257" s="263"/>
      <c r="LC257" s="263"/>
      <c r="LD257" s="263"/>
      <c r="LE257" s="263"/>
      <c r="LF257" s="263"/>
      <c r="LG257" s="263"/>
      <c r="LH257" s="263"/>
      <c r="LI257" s="263"/>
      <c r="LJ257" s="263"/>
      <c r="LK257" s="263"/>
      <c r="LL257" s="263"/>
      <c r="LM257" s="263"/>
      <c r="LN257" s="263"/>
      <c r="LO257" s="263"/>
      <c r="LP257" s="263"/>
      <c r="LQ257" s="263"/>
      <c r="LR257" s="263"/>
      <c r="LS257" s="263"/>
      <c r="LT257" s="263"/>
      <c r="LU257" s="263"/>
      <c r="LV257" s="263"/>
      <c r="LW257" s="263"/>
      <c r="LX257" s="263"/>
      <c r="LY257" s="263"/>
      <c r="LZ257" s="263"/>
      <c r="MA257" s="263"/>
      <c r="MB257" s="263"/>
      <c r="MC257" s="263"/>
      <c r="MD257" s="263"/>
      <c r="ME257" s="263"/>
      <c r="MF257" s="263"/>
      <c r="MG257" s="263"/>
      <c r="MH257" s="263"/>
      <c r="MI257" s="263"/>
      <c r="MJ257" s="263"/>
      <c r="MK257" s="263"/>
      <c r="ML257" s="263"/>
      <c r="MM257" s="263"/>
      <c r="MN257" s="263"/>
      <c r="MO257" s="263"/>
      <c r="MP257" s="263"/>
      <c r="MQ257" s="263"/>
      <c r="MR257" s="263"/>
      <c r="MS257" s="263"/>
      <c r="MT257" s="263"/>
      <c r="MU257" s="263"/>
      <c r="MV257" s="263"/>
      <c r="MW257" s="263"/>
      <c r="MX257" s="263"/>
      <c r="MY257" s="263"/>
      <c r="MZ257" s="263"/>
      <c r="NA257" s="263"/>
      <c r="NB257" s="263"/>
      <c r="NC257" s="263"/>
      <c r="ND257" s="263"/>
      <c r="NE257" s="263"/>
      <c r="NF257" s="263"/>
      <c r="NG257" s="263"/>
      <c r="NH257" s="263"/>
      <c r="NI257" s="263"/>
      <c r="NJ257" s="263"/>
      <c r="NK257" s="263"/>
      <c r="NL257" s="263"/>
      <c r="NM257" s="263"/>
      <c r="NN257" s="263"/>
      <c r="NO257" s="263"/>
      <c r="NP257" s="263"/>
      <c r="NQ257" s="263"/>
      <c r="NR257" s="263"/>
      <c r="NS257" s="263"/>
      <c r="NT257" s="263"/>
      <c r="NU257" s="263"/>
      <c r="NV257" s="263"/>
      <c r="NW257" s="263"/>
      <c r="NX257" s="263"/>
      <c r="NY257" s="263"/>
      <c r="NZ257" s="263"/>
      <c r="OA257" s="263"/>
      <c r="OB257" s="263"/>
      <c r="OC257" s="263"/>
      <c r="OD257" s="263"/>
      <c r="OE257" s="263"/>
      <c r="OF257" s="263"/>
      <c r="OG257" s="263"/>
      <c r="OH257" s="263"/>
      <c r="OI257" s="263"/>
      <c r="OJ257" s="263"/>
      <c r="OK257" s="263"/>
      <c r="OL257" s="263"/>
      <c r="OM257" s="263"/>
      <c r="ON257" s="263"/>
      <c r="OO257" s="263"/>
      <c r="OP257" s="263"/>
      <c r="OQ257" s="263"/>
      <c r="OR257" s="263"/>
      <c r="OS257" s="263"/>
      <c r="OT257" s="263"/>
      <c r="OU257" s="263"/>
      <c r="OV257" s="263"/>
      <c r="OW257" s="263"/>
      <c r="OX257" s="263"/>
      <c r="OY257" s="263"/>
      <c r="OZ257" s="263"/>
      <c r="PA257" s="263"/>
      <c r="PB257" s="263"/>
      <c r="PC257" s="263"/>
      <c r="PD257" s="263"/>
      <c r="PE257" s="263"/>
      <c r="PF257" s="263"/>
      <c r="PG257" s="263"/>
      <c r="PH257" s="263"/>
    </row>
    <row r="258">
      <c r="B258" s="34"/>
      <c r="C258" s="401"/>
      <c r="D258" s="401"/>
      <c r="E258" s="401"/>
      <c r="F258" s="401"/>
      <c r="G258" s="401"/>
      <c r="H258" s="401"/>
      <c r="I258" s="401"/>
      <c r="EP258" s="223" t="n">
        <f>F256</f>
        <v>0.15</v>
      </c>
      <c r="EQ258" s="18" t="s">
        <v>371</v>
      </c>
      <c r="ER258" s="18"/>
      <c r="ES258" s="18"/>
      <c r="ET258" s="18" t="s">
        <v>396</v>
      </c>
      <c r="EU258" s="18"/>
      <c r="EV258" s="422" t="n">
        <f t="shared" ref="EV258:GA258" si="1286">EV241+EV250</f>
        <v>0</v>
      </c>
      <c r="EW258" s="422">
        <f t="shared" si="1286"/>
        <v>19662.548016340177</v>
      </c>
      <c r="EX258" s="422">
        <f t="shared" si="1286"/>
        <v>6780.0541546613485</v>
      </c>
      <c r="EY258" s="422">
        <f t="shared" si="1286"/>
        <v>0</v>
      </c>
      <c r="EZ258" s="422">
        <f t="shared" si="1286"/>
        <v>0</v>
      </c>
      <c r="FA258" s="422">
        <f t="shared" si="1286"/>
        <v>0</v>
      </c>
      <c r="FB258" s="422">
        <f t="shared" si="1286"/>
        <v>0</v>
      </c>
      <c r="FC258" s="422">
        <f t="shared" si="1286"/>
        <v>0</v>
      </c>
      <c r="FD258" s="422">
        <f t="shared" si="1286"/>
        <v>0</v>
      </c>
      <c r="FE258" s="422">
        <f t="shared" si="1286"/>
        <v>0</v>
      </c>
      <c r="FF258" s="422">
        <f t="shared" si="1286"/>
        <v>0</v>
      </c>
      <c r="FG258" s="422">
        <f t="shared" si="1286"/>
        <v>0</v>
      </c>
      <c r="FH258" s="422">
        <f t="shared" si="1286"/>
        <v>0</v>
      </c>
      <c r="FI258" s="422">
        <f t="shared" si="1286"/>
        <v>0</v>
      </c>
      <c r="FJ258" s="422">
        <f t="shared" si="1286"/>
        <v>0</v>
      </c>
      <c r="FK258" s="422">
        <f t="shared" si="1286"/>
        <v>0</v>
      </c>
      <c r="FL258" s="422">
        <f t="shared" si="1286"/>
        <v>0</v>
      </c>
      <c r="FM258" s="422">
        <f t="shared" si="1286"/>
        <v>40523.178758486509</v>
      </c>
      <c r="FN258" s="422">
        <f t="shared" si="1286"/>
        <v>174090.04382157131</v>
      </c>
      <c r="FO258" s="422">
        <f t="shared" si="1286"/>
        <v>162006.44982493951</v>
      </c>
      <c r="FP258" s="422">
        <f t="shared" si="1286"/>
        <v>154278.16836244214</v>
      </c>
      <c r="FQ258" s="422">
        <f t="shared" si="1286"/>
        <v>184259.22520214817</v>
      </c>
      <c r="FR258" s="422">
        <f t="shared" si="1286"/>
        <v>177194.15204223376</v>
      </c>
      <c r="FS258" s="422">
        <f t="shared" si="1286"/>
        <v>170692.43346380457</v>
      </c>
      <c r="FT258" s="422">
        <f t="shared" si="1286"/>
        <v>179368.21540568696</v>
      </c>
      <c r="FU258" s="422">
        <f t="shared" si="1286"/>
        <v>174252.81925369884</v>
      </c>
      <c r="FV258" s="422">
        <f t="shared" si="1286"/>
        <v>169871.93328902582</v>
      </c>
      <c r="FW258" s="422">
        <f t="shared" si="1286"/>
        <v>175134.56781735166</v>
      </c>
      <c r="FX258" s="422">
        <f t="shared" si="1286"/>
        <v>142280.09242495638</v>
      </c>
      <c r="FY258" s="422">
        <f t="shared" si="1286"/>
        <v>74886.761639022734</v>
      </c>
      <c r="FZ258" s="422">
        <f t="shared" si="1286"/>
        <v>125458.19319800851</v>
      </c>
      <c r="GA258" s="422">
        <f t="shared" si="1286"/>
        <v>144263.63348914686</v>
      </c>
      <c r="GB258" s="422" t="n">
        <f t="shared" ref="GB258:HG258" si="1287">GB241+GB250</f>
        <v>158267.15141824906</v>
      </c>
      <c r="GC258" s="422">
        <f t="shared" si="1287"/>
        <v>168296.07201473101</v>
      </c>
      <c r="GD258" s="422">
        <f t="shared" si="1287"/>
        <v>187198.23731284705</v>
      </c>
      <c r="GE258" s="422">
        <f t="shared" si="1287"/>
        <v>191599.71106646676</v>
      </c>
      <c r="GF258" s="422">
        <f t="shared" si="1287"/>
        <v>194841.8092567978</v>
      </c>
      <c r="GG258" s="422">
        <f t="shared" si="1287"/>
        <v>174728.54429912902</v>
      </c>
      <c r="GH258" s="422">
        <f t="shared" si="1287"/>
        <v>174126.11985148679</v>
      </c>
      <c r="GI258" s="422">
        <f t="shared" si="1287"/>
        <v>173519.17722048727</v>
      </c>
      <c r="GJ258" s="422">
        <f t="shared" si="1287"/>
        <v>173207.87188143402</v>
      </c>
      <c r="GK258" s="422">
        <f t="shared" si="1287"/>
        <v>172591.79097044648</v>
      </c>
      <c r="GL258" s="422">
        <f t="shared" si="1287"/>
        <v>171971.08945262659</v>
      </c>
      <c r="GM258" s="422">
        <f t="shared" si="1287"/>
        <v>179141.52805734024</v>
      </c>
      <c r="GN258" s="422">
        <f t="shared" si="1287"/>
        <v>178511.48110229263</v>
      </c>
      <c r="GO258" s="422">
        <f t="shared" si="1287"/>
        <v>177876.70879508229</v>
      </c>
      <c r="GP258" s="422">
        <f t="shared" si="1287"/>
        <v>178621.34548723436</v>
      </c>
      <c r="GQ258" s="422">
        <f t="shared" si="1287"/>
        <v>177977.01588947349</v>
      </c>
      <c r="GR258" s="422">
        <f t="shared" si="1287"/>
        <v>177327.85381972938</v>
      </c>
      <c r="GS258" s="422">
        <f t="shared" si="1287"/>
        <v>170332.11245273732</v>
      </c>
      <c r="GT258" s="422">
        <f t="shared" si="1287"/>
        <v>169673.17643658066</v>
      </c>
      <c r="GU258" s="422">
        <f t="shared" si="1287"/>
        <v>169009.29840030277</v>
      </c>
      <c r="GV258" s="422">
        <f t="shared" si="1287"/>
        <v>168640.12768500287</v>
      </c>
      <c r="GW258" s="422">
        <f t="shared" si="1287"/>
        <v>167966.25413504138</v>
      </c>
      <c r="GX258" s="422">
        <f t="shared" si="1287"/>
        <v>167287.32653345514</v>
      </c>
      <c r="GY258" s="422">
        <f t="shared" si="1287"/>
        <v>173659.20662878925</v>
      </c>
      <c r="GZ258" s="422">
        <f t="shared" si="1287"/>
        <v>172970.05692350163</v>
      </c>
      <c r="HA258" s="422">
        <f t="shared" si="1287"/>
        <v>172275.73859542439</v>
      </c>
      <c r="HB258" s="422">
        <f t="shared" si="1287"/>
        <v>173008.82861426138</v>
      </c>
      <c r="HC258" s="422">
        <f t="shared" si="1287"/>
        <v>172304.05645585706</v>
      </c>
      <c r="HD258" s="422">
        <f t="shared" si="1287"/>
        <v>171593.99850626464</v>
      </c>
      <c r="HE258" s="422">
        <f t="shared" si="1287"/>
        <v>5908664.0151757812</v>
      </c>
      <c r="HF258" s="422">
        <f t="shared" si="1287"/>
        <v>0</v>
      </c>
      <c r="HG258" s="422">
        <f t="shared" si="1287"/>
        <v>0</v>
      </c>
      <c r="HH258" s="422" t="n">
        <f t="shared" ref="HH258:IM258" si="1288">HH241+HH250</f>
        <v>0</v>
      </c>
      <c r="HI258" s="422">
        <f t="shared" si="1288"/>
        <v>0</v>
      </c>
      <c r="HJ258" s="422">
        <f t="shared" si="1288"/>
        <v>0</v>
      </c>
      <c r="HK258" s="422">
        <f t="shared" si="1288"/>
        <v>0</v>
      </c>
      <c r="HL258" s="422">
        <f t="shared" si="1288"/>
        <v>0</v>
      </c>
      <c r="HM258" s="422">
        <f t="shared" si="1288"/>
        <v>0</v>
      </c>
      <c r="HN258" s="422">
        <f t="shared" si="1288"/>
        <v>0</v>
      </c>
      <c r="HO258" s="422">
        <f t="shared" si="1288"/>
        <v>0</v>
      </c>
      <c r="HP258" s="422">
        <f t="shared" si="1288"/>
        <v>0</v>
      </c>
      <c r="HQ258" s="422">
        <f t="shared" si="1288"/>
        <v>0</v>
      </c>
      <c r="HR258" s="422">
        <f t="shared" si="1288"/>
        <v>0</v>
      </c>
      <c r="HS258" s="422">
        <f t="shared" si="1288"/>
        <v>0</v>
      </c>
      <c r="HT258" s="422">
        <f t="shared" si="1288"/>
        <v>0</v>
      </c>
      <c r="HU258" s="422">
        <f t="shared" si="1288"/>
        <v>0</v>
      </c>
      <c r="HV258" s="422">
        <f t="shared" si="1288"/>
        <v>0</v>
      </c>
      <c r="HW258" s="422">
        <f t="shared" si="1288"/>
        <v>0</v>
      </c>
      <c r="HX258" s="422">
        <f t="shared" si="1288"/>
        <v>0</v>
      </c>
      <c r="HY258" s="422">
        <f t="shared" si="1288"/>
        <v>0</v>
      </c>
      <c r="HZ258" s="422">
        <f t="shared" si="1288"/>
        <v>0</v>
      </c>
      <c r="IA258" s="422">
        <f t="shared" si="1288"/>
        <v>0</v>
      </c>
      <c r="IB258" s="422">
        <f t="shared" si="1288"/>
        <v>0</v>
      </c>
      <c r="IC258" s="422">
        <f t="shared" si="1288"/>
        <v>0</v>
      </c>
      <c r="ID258" s="422">
        <f t="shared" si="1288"/>
        <v>0</v>
      </c>
      <c r="IE258" s="422">
        <f t="shared" si="1288"/>
        <v>0</v>
      </c>
      <c r="IF258" s="422">
        <f t="shared" si="1288"/>
        <v>0</v>
      </c>
      <c r="IG258" s="422">
        <f t="shared" si="1288"/>
        <v>0</v>
      </c>
      <c r="IH258" s="422">
        <f t="shared" si="1288"/>
        <v>0</v>
      </c>
      <c r="II258" s="422">
        <f t="shared" si="1288"/>
        <v>0</v>
      </c>
      <c r="IJ258" s="422">
        <f t="shared" si="1288"/>
        <v>0</v>
      </c>
      <c r="IK258" s="422">
        <f t="shared" si="1288"/>
        <v>0</v>
      </c>
      <c r="IL258" s="422">
        <f t="shared" si="1288"/>
        <v>0</v>
      </c>
      <c r="IM258" s="422">
        <f t="shared" si="1288"/>
        <v>0</v>
      </c>
      <c r="IN258" s="422" t="n">
        <f t="shared" ref="IN258:JX258" si="1289">IN241+IN250</f>
        <v>0</v>
      </c>
      <c r="IO258" s="422">
        <f t="shared" si="1289"/>
        <v>0</v>
      </c>
      <c r="IP258" s="422">
        <f t="shared" si="1289"/>
        <v>0</v>
      </c>
      <c r="IQ258" s="422">
        <f t="shared" si="1289"/>
        <v>0</v>
      </c>
      <c r="IR258" s="422">
        <f t="shared" si="1289"/>
        <v>0</v>
      </c>
      <c r="IS258" s="422">
        <f t="shared" si="1289"/>
        <v>0</v>
      </c>
      <c r="IT258" s="422">
        <f t="shared" si="1289"/>
        <v>0</v>
      </c>
      <c r="IU258" s="422">
        <f t="shared" si="1289"/>
        <v>0</v>
      </c>
      <c r="IV258" s="422">
        <f t="shared" si="1289"/>
        <v>0</v>
      </c>
      <c r="IW258" s="422">
        <f t="shared" si="1289"/>
        <v>0</v>
      </c>
      <c r="IX258" s="422">
        <f t="shared" si="1289"/>
        <v>0</v>
      </c>
      <c r="IY258" s="422">
        <f t="shared" si="1289"/>
        <v>0</v>
      </c>
      <c r="IZ258" s="422">
        <f t="shared" si="1289"/>
        <v>0</v>
      </c>
      <c r="JA258" s="422">
        <f t="shared" si="1289"/>
        <v>0</v>
      </c>
      <c r="JB258" s="422">
        <f t="shared" si="1289"/>
        <v>0</v>
      </c>
      <c r="JC258" s="422">
        <f t="shared" si="1289"/>
        <v>0</v>
      </c>
      <c r="JD258" s="422">
        <f t="shared" si="1289"/>
        <v>0</v>
      </c>
      <c r="JE258" s="422">
        <f t="shared" si="1289"/>
        <v>0</v>
      </c>
      <c r="JF258" s="422">
        <f t="shared" si="1289"/>
        <v>0</v>
      </c>
      <c r="JG258" s="422">
        <f t="shared" si="1289"/>
        <v>0</v>
      </c>
      <c r="JH258" s="422">
        <f t="shared" si="1289"/>
        <v>0</v>
      </c>
      <c r="JI258" s="422">
        <f t="shared" si="1289"/>
        <v>0</v>
      </c>
      <c r="JJ258" s="422">
        <f t="shared" si="1289"/>
        <v>0</v>
      </c>
      <c r="JK258" s="422">
        <f t="shared" si="1289"/>
        <v>0</v>
      </c>
      <c r="JL258" s="422">
        <f t="shared" si="1289"/>
        <v>0</v>
      </c>
      <c r="JM258" s="422">
        <f t="shared" si="1289"/>
        <v>0</v>
      </c>
      <c r="JN258" s="422">
        <f t="shared" si="1289"/>
        <v>0</v>
      </c>
      <c r="JO258" s="422">
        <f t="shared" si="1289"/>
        <v>0</v>
      </c>
      <c r="JP258" s="422">
        <f t="shared" si="1289"/>
        <v>0</v>
      </c>
      <c r="JQ258" s="422">
        <f t="shared" si="1289"/>
        <v>0</v>
      </c>
      <c r="JR258" s="422">
        <f t="shared" si="1289"/>
        <v>0</v>
      </c>
      <c r="JS258" s="422">
        <f t="shared" si="1289"/>
        <v>0</v>
      </c>
      <c r="JT258" s="422">
        <f t="shared" si="1289"/>
        <v>0</v>
      </c>
      <c r="JU258" s="422">
        <f t="shared" si="1289"/>
        <v>0</v>
      </c>
      <c r="JV258" s="422">
        <f t="shared" si="1289"/>
        <v>0</v>
      </c>
      <c r="JW258" s="422">
        <f t="shared" si="1289"/>
        <v>0</v>
      </c>
      <c r="JX258" s="422">
        <f t="shared" si="1289"/>
        <v>0</v>
      </c>
      <c r="JZ258" s="263"/>
      <c r="KA258" s="263"/>
      <c r="KB258" s="263"/>
      <c r="KC258" s="263"/>
      <c r="KD258" s="263"/>
      <c r="KE258" s="263"/>
      <c r="KF258" s="263"/>
      <c r="KG258" s="263"/>
      <c r="KH258" s="263"/>
      <c r="KI258" s="263"/>
      <c r="KJ258" s="263"/>
      <c r="KK258" s="263"/>
      <c r="KL258" s="263"/>
      <c r="KM258" s="263"/>
      <c r="KN258" s="263"/>
      <c r="KO258" s="263"/>
      <c r="KP258" s="263"/>
      <c r="KQ258" s="263"/>
      <c r="KR258" s="263"/>
      <c r="KS258" s="263"/>
      <c r="KT258" s="263"/>
      <c r="KU258" s="263"/>
      <c r="KV258" s="263"/>
      <c r="KW258" s="263"/>
      <c r="KX258" s="263"/>
      <c r="KY258" s="263"/>
      <c r="KZ258" s="263"/>
      <c r="LA258" s="263"/>
      <c r="LB258" s="263"/>
      <c r="LC258" s="263"/>
      <c r="LD258" s="263"/>
      <c r="LE258" s="263"/>
      <c r="LF258" s="263"/>
      <c r="LG258" s="263"/>
      <c r="LH258" s="263"/>
      <c r="LI258" s="263"/>
      <c r="LJ258" s="263"/>
      <c r="LK258" s="263"/>
      <c r="LL258" s="263"/>
      <c r="LM258" s="263"/>
      <c r="LN258" s="263"/>
      <c r="LO258" s="263"/>
      <c r="LP258" s="263"/>
      <c r="LQ258" s="263"/>
      <c r="LR258" s="263"/>
      <c r="LS258" s="263"/>
      <c r="LT258" s="263"/>
      <c r="LU258" s="263"/>
      <c r="LV258" s="263"/>
      <c r="LW258" s="263"/>
      <c r="LX258" s="263"/>
      <c r="LY258" s="263"/>
      <c r="LZ258" s="263"/>
      <c r="MA258" s="263"/>
      <c r="MB258" s="263"/>
      <c r="MC258" s="263"/>
      <c r="MD258" s="263"/>
      <c r="ME258" s="263"/>
      <c r="MF258" s="263"/>
      <c r="MG258" s="263"/>
      <c r="MH258" s="263"/>
      <c r="MI258" s="263"/>
      <c r="MJ258" s="263"/>
      <c r="MK258" s="263"/>
      <c r="ML258" s="263"/>
      <c r="MM258" s="263"/>
      <c r="MN258" s="263"/>
      <c r="MO258" s="263"/>
      <c r="MP258" s="263"/>
      <c r="MQ258" s="263"/>
      <c r="MR258" s="263"/>
      <c r="MS258" s="263"/>
      <c r="MT258" s="263"/>
      <c r="MU258" s="263"/>
      <c r="MV258" s="263"/>
      <c r="MW258" s="263"/>
      <c r="MX258" s="263"/>
      <c r="MY258" s="263"/>
      <c r="MZ258" s="263"/>
      <c r="NA258" s="263"/>
      <c r="NB258" s="263"/>
      <c r="NC258" s="263"/>
      <c r="ND258" s="263"/>
      <c r="NE258" s="263"/>
      <c r="NF258" s="263"/>
      <c r="NG258" s="263"/>
      <c r="NH258" s="263"/>
      <c r="NI258" s="263"/>
      <c r="NJ258" s="263"/>
      <c r="NK258" s="263"/>
      <c r="NL258" s="263"/>
      <c r="NM258" s="263"/>
      <c r="NN258" s="263"/>
      <c r="NO258" s="263"/>
      <c r="NP258" s="263"/>
      <c r="NQ258" s="263"/>
      <c r="NR258" s="263"/>
      <c r="NS258" s="263"/>
      <c r="NT258" s="263"/>
      <c r="NU258" s="263"/>
      <c r="NV258" s="263"/>
      <c r="NW258" s="263"/>
      <c r="NX258" s="263"/>
      <c r="NY258" s="263"/>
      <c r="NZ258" s="263"/>
      <c r="OA258" s="263"/>
      <c r="OB258" s="263"/>
      <c r="OC258" s="263"/>
      <c r="OD258" s="263"/>
      <c r="OE258" s="263"/>
      <c r="OF258" s="263"/>
      <c r="OG258" s="263"/>
      <c r="OH258" s="263"/>
      <c r="OI258" s="263"/>
      <c r="OJ258" s="263"/>
      <c r="OK258" s="263"/>
      <c r="OL258" s="263"/>
      <c r="OM258" s="263"/>
      <c r="ON258" s="263"/>
      <c r="OO258" s="263"/>
      <c r="OP258" s="263"/>
      <c r="OQ258" s="263"/>
      <c r="OR258" s="263"/>
      <c r="OS258" s="263"/>
      <c r="OT258" s="263"/>
      <c r="OU258" s="263"/>
      <c r="OV258" s="263"/>
      <c r="OW258" s="263"/>
      <c r="OX258" s="263"/>
      <c r="OY258" s="263"/>
      <c r="OZ258" s="263"/>
      <c r="PA258" s="263"/>
      <c r="PB258" s="263"/>
      <c r="PC258" s="263"/>
      <c r="PD258" s="263"/>
      <c r="PE258" s="263"/>
      <c r="PF258" s="263"/>
      <c r="PG258" s="263"/>
      <c r="PH258" s="263"/>
    </row>
    <row r="259">
      <c r="B259" s="415" t="s">
        <v>435</v>
      </c>
      <c r="C259" s="401"/>
      <c r="D259" s="401"/>
      <c r="E259" s="401"/>
      <c r="F259" s="401"/>
      <c r="G259" s="401"/>
      <c r="H259" s="416" t="s">
        <v>209</v>
      </c>
      <c r="I259" s="416" t="s">
        <v>80</v>
      </c>
      <c r="EP259" s="409"/>
      <c r="EQ259" s="18"/>
      <c r="ER259" s="18"/>
      <c r="ES259" s="18"/>
      <c r="ET259" s="18" t="s">
        <v>453</v>
      </c>
      <c r="EU259" s="18"/>
      <c r="EV259" s="422" t="n">
        <f t="shared" ref="EV259:GA259" si="1290">(EV$197&lt;=Timing_Reversion_Month)*(MIN(EV256+EV257-EV258,MAX(EV255,0)*$I$256))</f>
        <v>0</v>
      </c>
      <c r="EW259" s="422">
        <f t="shared" si="1290"/>
        <v>0</v>
      </c>
      <c r="EX259" s="422">
        <f t="shared" si="1290"/>
        <v>0</v>
      </c>
      <c r="EY259" s="422">
        <f t="shared" si="1290"/>
        <v>0</v>
      </c>
      <c r="EZ259" s="422">
        <f t="shared" si="1290"/>
        <v>0</v>
      </c>
      <c r="FA259" s="422">
        <f t="shared" si="1290"/>
        <v>0</v>
      </c>
      <c r="FB259" s="422">
        <f t="shared" si="1290"/>
        <v>0</v>
      </c>
      <c r="FC259" s="422">
        <f t="shared" si="1290"/>
        <v>0</v>
      </c>
      <c r="FD259" s="422">
        <f t="shared" si="1290"/>
        <v>0</v>
      </c>
      <c r="FE259" s="422">
        <f t="shared" si="1290"/>
        <v>0</v>
      </c>
      <c r="FF259" s="422">
        <f t="shared" si="1290"/>
        <v>0</v>
      </c>
      <c r="FG259" s="422">
        <f t="shared" si="1290"/>
        <v>0</v>
      </c>
      <c r="FH259" s="422">
        <f t="shared" si="1290"/>
        <v>0</v>
      </c>
      <c r="FI259" s="422">
        <f t="shared" si="1290"/>
        <v>0</v>
      </c>
      <c r="FJ259" s="422">
        <f t="shared" si="1290"/>
        <v>0</v>
      </c>
      <c r="FK259" s="422">
        <f t="shared" si="1290"/>
        <v>0</v>
      </c>
      <c r="FL259" s="422">
        <f t="shared" si="1290"/>
        <v>0</v>
      </c>
      <c r="FM259" s="422">
        <f t="shared" si="1290"/>
        <v>0</v>
      </c>
      <c r="FN259" s="422">
        <f t="shared" si="1290"/>
        <v>0</v>
      </c>
      <c r="FO259" s="422">
        <f t="shared" si="1290"/>
        <v>0</v>
      </c>
      <c r="FP259" s="422">
        <f t="shared" si="1290"/>
        <v>0</v>
      </c>
      <c r="FQ259" s="422">
        <f t="shared" si="1290"/>
        <v>0</v>
      </c>
      <c r="FR259" s="422">
        <f t="shared" si="1290"/>
        <v>0</v>
      </c>
      <c r="FS259" s="422">
        <f t="shared" si="1290"/>
        <v>0</v>
      </c>
      <c r="FT259" s="422">
        <f t="shared" si="1290"/>
        <v>0</v>
      </c>
      <c r="FU259" s="422">
        <f t="shared" si="1290"/>
        <v>0</v>
      </c>
      <c r="FV259" s="422">
        <f t="shared" si="1290"/>
        <v>0</v>
      </c>
      <c r="FW259" s="422">
        <f t="shared" si="1290"/>
        <v>0</v>
      </c>
      <c r="FX259" s="422">
        <f t="shared" si="1290"/>
        <v>0</v>
      </c>
      <c r="FY259" s="422">
        <f t="shared" si="1290"/>
        <v>0</v>
      </c>
      <c r="FZ259" s="422">
        <f t="shared" si="1290"/>
        <v>0</v>
      </c>
      <c r="GA259" s="422">
        <f t="shared" si="1290"/>
        <v>0</v>
      </c>
      <c r="GB259" s="422" t="n">
        <f t="shared" ref="GB259:HG259" si="1291">(GB$197&lt;=Timing_Reversion_Month)*(MIN(GB256+GB257-GB258,MAX(GB255,0)*$I$256))</f>
        <v>0</v>
      </c>
      <c r="GC259" s="422">
        <f t="shared" si="1291"/>
        <v>0</v>
      </c>
      <c r="GD259" s="422">
        <f t="shared" si="1291"/>
        <v>0</v>
      </c>
      <c r="GE259" s="422">
        <f t="shared" si="1291"/>
        <v>0</v>
      </c>
      <c r="GF259" s="422">
        <f t="shared" si="1291"/>
        <v>0</v>
      </c>
      <c r="GG259" s="422">
        <f t="shared" si="1291"/>
        <v>0</v>
      </c>
      <c r="GH259" s="422">
        <f t="shared" si="1291"/>
        <v>0</v>
      </c>
      <c r="GI259" s="422">
        <f t="shared" si="1291"/>
        <v>0</v>
      </c>
      <c r="GJ259" s="422">
        <f t="shared" si="1291"/>
        <v>0</v>
      </c>
      <c r="GK259" s="422">
        <f t="shared" si="1291"/>
        <v>0</v>
      </c>
      <c r="GL259" s="422">
        <f t="shared" si="1291"/>
        <v>0</v>
      </c>
      <c r="GM259" s="422">
        <f t="shared" si="1291"/>
        <v>0</v>
      </c>
      <c r="GN259" s="422">
        <f t="shared" si="1291"/>
        <v>0</v>
      </c>
      <c r="GO259" s="422">
        <f t="shared" si="1291"/>
        <v>0</v>
      </c>
      <c r="GP259" s="422">
        <f t="shared" si="1291"/>
        <v>0</v>
      </c>
      <c r="GQ259" s="422">
        <f t="shared" si="1291"/>
        <v>0</v>
      </c>
      <c r="GR259" s="422">
        <f t="shared" si="1291"/>
        <v>0</v>
      </c>
      <c r="GS259" s="422">
        <f t="shared" si="1291"/>
        <v>0</v>
      </c>
      <c r="GT259" s="422">
        <f t="shared" si="1291"/>
        <v>0</v>
      </c>
      <c r="GU259" s="422">
        <f t="shared" si="1291"/>
        <v>0</v>
      </c>
      <c r="GV259" s="422">
        <f t="shared" si="1291"/>
        <v>0</v>
      </c>
      <c r="GW259" s="422">
        <f t="shared" si="1291"/>
        <v>0</v>
      </c>
      <c r="GX259" s="422">
        <f t="shared" si="1291"/>
        <v>0</v>
      </c>
      <c r="GY259" s="422">
        <f t="shared" si="1291"/>
        <v>0</v>
      </c>
      <c r="GZ259" s="422">
        <f t="shared" si="1291"/>
        <v>0</v>
      </c>
      <c r="HA259" s="422">
        <f t="shared" si="1291"/>
        <v>0</v>
      </c>
      <c r="HB259" s="422">
        <f t="shared" si="1291"/>
        <v>0</v>
      </c>
      <c r="HC259" s="422">
        <f t="shared" si="1291"/>
        <v>0</v>
      </c>
      <c r="HD259" s="422">
        <f t="shared" si="1291"/>
        <v>0</v>
      </c>
      <c r="HE259" s="422">
        <f t="shared" si="1291"/>
        <v>1442306.350038263</v>
      </c>
      <c r="HF259" s="422">
        <f t="shared" si="1291"/>
        <v>0</v>
      </c>
      <c r="HG259" s="422">
        <f t="shared" si="1291"/>
        <v>0</v>
      </c>
      <c r="HH259" s="422" t="n">
        <f t="shared" ref="HH259:IM259" si="1292">(HH$197&lt;=Timing_Reversion_Month)*(MIN(HH256+HH257-HH258,MAX(HH255,0)*$I$256))</f>
        <v>0</v>
      </c>
      <c r="HI259" s="422">
        <f t="shared" si="1292"/>
        <v>0</v>
      </c>
      <c r="HJ259" s="422">
        <f t="shared" si="1292"/>
        <v>0</v>
      </c>
      <c r="HK259" s="422">
        <f t="shared" si="1292"/>
        <v>0</v>
      </c>
      <c r="HL259" s="422">
        <f t="shared" si="1292"/>
        <v>0</v>
      </c>
      <c r="HM259" s="422">
        <f t="shared" si="1292"/>
        <v>0</v>
      </c>
      <c r="HN259" s="422">
        <f t="shared" si="1292"/>
        <v>0</v>
      </c>
      <c r="HO259" s="422">
        <f t="shared" si="1292"/>
        <v>0</v>
      </c>
      <c r="HP259" s="422">
        <f t="shared" si="1292"/>
        <v>0</v>
      </c>
      <c r="HQ259" s="422">
        <f t="shared" si="1292"/>
        <v>0</v>
      </c>
      <c r="HR259" s="422">
        <f t="shared" si="1292"/>
        <v>0</v>
      </c>
      <c r="HS259" s="422">
        <f t="shared" si="1292"/>
        <v>0</v>
      </c>
      <c r="HT259" s="422">
        <f t="shared" si="1292"/>
        <v>0</v>
      </c>
      <c r="HU259" s="422">
        <f t="shared" si="1292"/>
        <v>0</v>
      </c>
      <c r="HV259" s="422">
        <f t="shared" si="1292"/>
        <v>0</v>
      </c>
      <c r="HW259" s="422">
        <f t="shared" si="1292"/>
        <v>0</v>
      </c>
      <c r="HX259" s="422">
        <f t="shared" si="1292"/>
        <v>0</v>
      </c>
      <c r="HY259" s="422">
        <f t="shared" si="1292"/>
        <v>0</v>
      </c>
      <c r="HZ259" s="422">
        <f t="shared" si="1292"/>
        <v>0</v>
      </c>
      <c r="IA259" s="422">
        <f t="shared" si="1292"/>
        <v>0</v>
      </c>
      <c r="IB259" s="422">
        <f t="shared" si="1292"/>
        <v>0</v>
      </c>
      <c r="IC259" s="422">
        <f t="shared" si="1292"/>
        <v>0</v>
      </c>
      <c r="ID259" s="422">
        <f t="shared" si="1292"/>
        <v>0</v>
      </c>
      <c r="IE259" s="422">
        <f t="shared" si="1292"/>
        <v>0</v>
      </c>
      <c r="IF259" s="422">
        <f t="shared" si="1292"/>
        <v>0</v>
      </c>
      <c r="IG259" s="422">
        <f t="shared" si="1292"/>
        <v>0</v>
      </c>
      <c r="IH259" s="422">
        <f t="shared" si="1292"/>
        <v>0</v>
      </c>
      <c r="II259" s="422">
        <f t="shared" si="1292"/>
        <v>0</v>
      </c>
      <c r="IJ259" s="422">
        <f t="shared" si="1292"/>
        <v>0</v>
      </c>
      <c r="IK259" s="422">
        <f t="shared" si="1292"/>
        <v>0</v>
      </c>
      <c r="IL259" s="422">
        <f t="shared" si="1292"/>
        <v>0</v>
      </c>
      <c r="IM259" s="422">
        <f t="shared" si="1292"/>
        <v>0</v>
      </c>
      <c r="IN259" s="422" t="n">
        <f t="shared" ref="IN259:JS259" si="1293">(IN$197&lt;=Timing_Reversion_Month)*(MIN(IN256+IN257-IN258,MAX(IN255,0)*$I$256))</f>
        <v>0</v>
      </c>
      <c r="IO259" s="422">
        <f t="shared" si="1293"/>
        <v>0</v>
      </c>
      <c r="IP259" s="422">
        <f t="shared" si="1293"/>
        <v>0</v>
      </c>
      <c r="IQ259" s="422">
        <f t="shared" si="1293"/>
        <v>0</v>
      </c>
      <c r="IR259" s="422">
        <f t="shared" si="1293"/>
        <v>0</v>
      </c>
      <c r="IS259" s="422">
        <f t="shared" si="1293"/>
        <v>0</v>
      </c>
      <c r="IT259" s="422">
        <f t="shared" si="1293"/>
        <v>0</v>
      </c>
      <c r="IU259" s="422">
        <f t="shared" si="1293"/>
        <v>0</v>
      </c>
      <c r="IV259" s="422">
        <f t="shared" si="1293"/>
        <v>0</v>
      </c>
      <c r="IW259" s="422">
        <f t="shared" si="1293"/>
        <v>0</v>
      </c>
      <c r="IX259" s="422">
        <f t="shared" si="1293"/>
        <v>0</v>
      </c>
      <c r="IY259" s="422">
        <f t="shared" si="1293"/>
        <v>0</v>
      </c>
      <c r="IZ259" s="422">
        <f t="shared" si="1293"/>
        <v>0</v>
      </c>
      <c r="JA259" s="422">
        <f t="shared" si="1293"/>
        <v>0</v>
      </c>
      <c r="JB259" s="422">
        <f t="shared" si="1293"/>
        <v>0</v>
      </c>
      <c r="JC259" s="422">
        <f t="shared" si="1293"/>
        <v>0</v>
      </c>
      <c r="JD259" s="422">
        <f t="shared" si="1293"/>
        <v>0</v>
      </c>
      <c r="JE259" s="422">
        <f t="shared" si="1293"/>
        <v>0</v>
      </c>
      <c r="JF259" s="422">
        <f t="shared" si="1293"/>
        <v>0</v>
      </c>
      <c r="JG259" s="422">
        <f t="shared" si="1293"/>
        <v>0</v>
      </c>
      <c r="JH259" s="422">
        <f t="shared" si="1293"/>
        <v>0</v>
      </c>
      <c r="JI259" s="422">
        <f t="shared" si="1293"/>
        <v>0</v>
      </c>
      <c r="JJ259" s="422">
        <f t="shared" si="1293"/>
        <v>0</v>
      </c>
      <c r="JK259" s="422">
        <f t="shared" si="1293"/>
        <v>0</v>
      </c>
      <c r="JL259" s="422">
        <f t="shared" si="1293"/>
        <v>0</v>
      </c>
      <c r="JM259" s="422">
        <f t="shared" si="1293"/>
        <v>0</v>
      </c>
      <c r="JN259" s="422">
        <f t="shared" si="1293"/>
        <v>0</v>
      </c>
      <c r="JO259" s="422">
        <f t="shared" si="1293"/>
        <v>0</v>
      </c>
      <c r="JP259" s="422">
        <f t="shared" si="1293"/>
        <v>0</v>
      </c>
      <c r="JQ259" s="422">
        <f t="shared" si="1293"/>
        <v>0</v>
      </c>
      <c r="JR259" s="422">
        <f t="shared" si="1293"/>
        <v>0</v>
      </c>
      <c r="JS259" s="422">
        <f t="shared" si="1293"/>
        <v>0</v>
      </c>
      <c r="JT259" s="422" t="n">
        <f t="shared" ref="JT259:JX259" si="1294">(JT$197&lt;=Timing_Reversion_Month)*(MIN(JT256+JT257-JT258,MAX(JT255,0)*$I$256))</f>
        <v>0</v>
      </c>
      <c r="JU259" s="422">
        <f t="shared" si="1294"/>
        <v>0</v>
      </c>
      <c r="JV259" s="422">
        <f t="shared" si="1294"/>
        <v>0</v>
      </c>
      <c r="JW259" s="422">
        <f t="shared" si="1294"/>
        <v>0</v>
      </c>
      <c r="JX259" s="422">
        <f t="shared" si="1294"/>
        <v>0</v>
      </c>
      <c r="JZ259" s="263"/>
      <c r="KA259" s="263"/>
      <c r="KB259" s="263"/>
      <c r="KC259" s="263"/>
      <c r="KD259" s="263"/>
      <c r="KE259" s="263"/>
      <c r="KF259" s="263"/>
      <c r="KG259" s="263"/>
      <c r="KH259" s="263"/>
      <c r="KI259" s="263"/>
      <c r="KJ259" s="263"/>
      <c r="KK259" s="263"/>
      <c r="KL259" s="263"/>
      <c r="KM259" s="263"/>
      <c r="KN259" s="263"/>
      <c r="KO259" s="263"/>
      <c r="KP259" s="263"/>
      <c r="KQ259" s="263"/>
      <c r="KR259" s="263"/>
      <c r="KS259" s="263"/>
      <c r="KT259" s="263"/>
      <c r="KU259" s="263"/>
      <c r="KV259" s="263"/>
      <c r="KW259" s="263"/>
      <c r="KX259" s="263"/>
      <c r="KY259" s="263"/>
      <c r="KZ259" s="263"/>
      <c r="LA259" s="263"/>
      <c r="LB259" s="263"/>
      <c r="LC259" s="263"/>
      <c r="LD259" s="263"/>
      <c r="LE259" s="263"/>
      <c r="LF259" s="263"/>
      <c r="LG259" s="263"/>
      <c r="LH259" s="263"/>
      <c r="LI259" s="263"/>
      <c r="LJ259" s="263"/>
      <c r="LK259" s="263"/>
      <c r="LL259" s="263"/>
      <c r="LM259" s="263"/>
      <c r="LN259" s="263"/>
      <c r="LO259" s="263"/>
      <c r="LP259" s="263"/>
      <c r="LQ259" s="263"/>
      <c r="LR259" s="263"/>
      <c r="LS259" s="263"/>
      <c r="LT259" s="263"/>
      <c r="LU259" s="263"/>
      <c r="LV259" s="263"/>
      <c r="LW259" s="263"/>
      <c r="LX259" s="263"/>
      <c r="LY259" s="263"/>
      <c r="LZ259" s="263"/>
      <c r="MA259" s="263"/>
      <c r="MB259" s="263"/>
      <c r="MC259" s="263"/>
      <c r="MD259" s="263"/>
      <c r="ME259" s="263"/>
      <c r="MF259" s="263"/>
      <c r="MG259" s="263"/>
      <c r="MH259" s="263"/>
      <c r="MI259" s="263"/>
      <c r="MJ259" s="263"/>
      <c r="MK259" s="263"/>
      <c r="ML259" s="263"/>
      <c r="MM259" s="263"/>
      <c r="MN259" s="263"/>
      <c r="MO259" s="263"/>
      <c r="MP259" s="263"/>
      <c r="MQ259" s="263"/>
      <c r="MR259" s="263"/>
      <c r="MS259" s="263"/>
      <c r="MT259" s="263"/>
      <c r="MU259" s="263"/>
      <c r="MV259" s="263"/>
      <c r="MW259" s="263"/>
      <c r="MX259" s="263"/>
      <c r="MY259" s="263"/>
      <c r="MZ259" s="263"/>
      <c r="NA259" s="263"/>
      <c r="NB259" s="263"/>
      <c r="NC259" s="263"/>
      <c r="ND259" s="263"/>
      <c r="NE259" s="263"/>
      <c r="NF259" s="263"/>
      <c r="NG259" s="263"/>
      <c r="NH259" s="263"/>
      <c r="NI259" s="263"/>
      <c r="NJ259" s="263"/>
      <c r="NK259" s="263"/>
      <c r="NL259" s="263"/>
      <c r="NM259" s="263"/>
      <c r="NN259" s="263"/>
      <c r="NO259" s="263"/>
      <c r="NP259" s="263"/>
      <c r="NQ259" s="263"/>
      <c r="NR259" s="263"/>
      <c r="NS259" s="263"/>
      <c r="NT259" s="263"/>
      <c r="NU259" s="263"/>
      <c r="NV259" s="263"/>
      <c r="NW259" s="263"/>
      <c r="NX259" s="263"/>
      <c r="NY259" s="263"/>
      <c r="NZ259" s="263"/>
      <c r="OA259" s="263"/>
      <c r="OB259" s="263"/>
      <c r="OC259" s="263"/>
      <c r="OD259" s="263"/>
      <c r="OE259" s="263"/>
      <c r="OF259" s="263"/>
      <c r="OG259" s="263"/>
      <c r="OH259" s="263"/>
      <c r="OI259" s="263"/>
      <c r="OJ259" s="263"/>
      <c r="OK259" s="263"/>
      <c r="OL259" s="263"/>
      <c r="OM259" s="263"/>
      <c r="ON259" s="263"/>
      <c r="OO259" s="263"/>
      <c r="OP259" s="263"/>
      <c r="OQ259" s="263"/>
      <c r="OR259" s="263"/>
      <c r="OS259" s="263"/>
      <c r="OT259" s="263"/>
      <c r="OU259" s="263"/>
      <c r="OV259" s="263"/>
      <c r="OW259" s="263"/>
      <c r="OX259" s="263"/>
      <c r="OY259" s="263"/>
      <c r="OZ259" s="263"/>
      <c r="PA259" s="263"/>
      <c r="PB259" s="263"/>
      <c r="PC259" s="263"/>
      <c r="PD259" s="263"/>
      <c r="PE259" s="263"/>
      <c r="PF259" s="263"/>
      <c r="PG259" s="263"/>
      <c r="PH259" s="263"/>
    </row>
    <row r="260">
      <c r="B260" s="34" t="str">
        <f>B249</f>
        <v>GP 1</v>
      </c>
      <c r="C260" s="548" t="str">
        <f>C249</f>
        <v>[General Partner 1 Name]</v>
      </c>
      <c r="D260" s="401"/>
      <c r="E260" s="401"/>
      <c r="F260" s="401"/>
      <c r="G260" s="86"/>
      <c r="H260" s="53" t="n">
        <f>I260/$I$241</f>
        <v>0.13220543138591498</v>
      </c>
      <c r="I260" s="449" t="n">
        <f>SUM(L260:EN260)</f>
        <v>129882698.99472941</v>
      </c>
      <c r="L260" s="421" t="str">
        <f t="shared" ref="L260:AQ260" si="1295">IF(L$227="","",EV244+EV253+EV262+EV266+(EV$210*$E249))</f>
      </c>
      <c r="M260" s="421">
        <f t="shared" si="1295"/>
        <v>1034.8709482284305</v>
      </c>
      <c r="N260" s="421">
        <f t="shared" si="1295"/>
        <v>356.84495550849221</v>
      </c>
      <c r="O260" s="421">
        <f t="shared" si="1295"/>
        <v>0</v>
      </c>
      <c r="P260" s="421">
        <f t="shared" si="1295"/>
        <v>0</v>
      </c>
      <c r="Q260" s="421">
        <f t="shared" si="1295"/>
        <v>0</v>
      </c>
      <c r="R260" s="421">
        <f t="shared" si="1295"/>
        <v>0</v>
      </c>
      <c r="S260" s="421">
        <f t="shared" si="1295"/>
        <v>0</v>
      </c>
      <c r="T260" s="421">
        <f t="shared" si="1295"/>
        <v>0</v>
      </c>
      <c r="U260" s="421">
        <f t="shared" si="1295"/>
        <v>0</v>
      </c>
      <c r="V260" s="421">
        <f t="shared" si="1295"/>
        <v>0</v>
      </c>
      <c r="W260" s="421">
        <f t="shared" si="1295"/>
        <v>0</v>
      </c>
      <c r="X260" s="421">
        <f t="shared" si="1295"/>
        <v>0</v>
      </c>
      <c r="Y260" s="421">
        <f t="shared" si="1295"/>
        <v>0</v>
      </c>
      <c r="Z260" s="421">
        <f t="shared" si="1295"/>
        <v>0</v>
      </c>
      <c r="AA260" s="421">
        <f t="shared" si="1295"/>
        <v>0</v>
      </c>
      <c r="AB260" s="421">
        <f t="shared" si="1295"/>
        <v>0</v>
      </c>
      <c r="AC260" s="421">
        <f t="shared" si="1295"/>
        <v>2132.798882025606</v>
      </c>
      <c r="AD260" s="421">
        <f t="shared" si="1295"/>
        <v>9162.6338853458583</v>
      </c>
      <c r="AE260" s="421">
        <f t="shared" si="1295"/>
        <v>8526.6552539441855</v>
      </c>
      <c r="AF260" s="421">
        <f t="shared" si="1295"/>
        <v>8119.9035980232757</v>
      </c>
      <c r="AG260" s="421">
        <f t="shared" si="1295"/>
        <v>9697.8539580077995</v>
      </c>
      <c r="AH260" s="421">
        <f t="shared" si="1295"/>
        <v>9326.0080022228303</v>
      </c>
      <c r="AI260" s="421">
        <f t="shared" si="1295"/>
        <v>8983.8122875686622</v>
      </c>
      <c r="AJ260" s="421">
        <f t="shared" si="1295"/>
        <v>9440.4323897729992</v>
      </c>
      <c r="AK260" s="421">
        <f t="shared" si="1295"/>
        <v>9171.201013352571</v>
      </c>
      <c r="AL260" s="421">
        <f t="shared" si="1295"/>
        <v>8940.628067843465</v>
      </c>
      <c r="AM260" s="421">
        <f t="shared" si="1295"/>
        <v>9217.608832492193</v>
      </c>
      <c r="AN260" s="421">
        <f t="shared" si="1295"/>
        <v>7488.4259171029726</v>
      </c>
      <c r="AO260" s="421">
        <f t="shared" si="1295"/>
        <v>3941.4085073169863</v>
      </c>
      <c r="AP260" s="421">
        <f t="shared" si="1295"/>
        <v>6603.0627998951859</v>
      </c>
      <c r="AQ260" s="421">
        <f t="shared" si="1295"/>
        <v>7592.8228152182564</v>
      </c>
      <c r="AR260" s="421" t="n">
        <f t="shared" ref="AR260:BW260" si="1296">IF(AR$227="","",GB244+GB253+GB262+GB266+(GB$210*$E249))</f>
        <v>8329.850074644688</v>
      </c>
      <c r="AS260" s="421">
        <f t="shared" si="1296"/>
        <v>8857.6880007753171</v>
      </c>
      <c r="AT260" s="421">
        <f t="shared" si="1296"/>
        <v>9852.538805939319</v>
      </c>
      <c r="AU260" s="421">
        <f t="shared" si="1296"/>
        <v>10084.19531928773</v>
      </c>
      <c r="AV260" s="421">
        <f t="shared" si="1296"/>
        <v>10254.832066147253</v>
      </c>
      <c r="AW260" s="421">
        <f t="shared" si="1296"/>
        <v>9196.2391736383706</v>
      </c>
      <c r="AX260" s="421">
        <f t="shared" si="1296"/>
        <v>9164.5326237624631</v>
      </c>
      <c r="AY260" s="421">
        <f t="shared" si="1296"/>
        <v>9132.5882747624892</v>
      </c>
      <c r="AZ260" s="421">
        <f t="shared" si="1296"/>
        <v>9116.2037832333754</v>
      </c>
      <c r="BA260" s="421">
        <f t="shared" si="1296"/>
        <v>9083.7784721287626</v>
      </c>
      <c r="BB260" s="421">
        <f t="shared" si="1296"/>
        <v>9051.1099711908792</v>
      </c>
      <c r="BC260" s="421">
        <f t="shared" si="1296"/>
        <v>9428.5014767021239</v>
      </c>
      <c r="BD260" s="76">
        <f t="shared" si="1296"/>
        <v>9395.3411106469812</v>
      </c>
      <c r="BE260" s="76">
        <f t="shared" si="1296"/>
        <v>9361.9320418464376</v>
      </c>
      <c r="BF260" s="76">
        <f t="shared" si="1296"/>
        <v>9401.1234466965452</v>
      </c>
      <c r="BG260" s="76">
        <f t="shared" si="1296"/>
        <v>9367.2113626038681</v>
      </c>
      <c r="BH260" s="76">
        <f t="shared" si="1296"/>
        <v>9333.0449378804951</v>
      </c>
      <c r="BI260" s="76">
        <f t="shared" si="1296"/>
        <v>15944.157211904951</v>
      </c>
      <c r="BJ260" s="76">
        <f t="shared" si="1296"/>
        <v>15909.476368949336</v>
      </c>
      <c r="BK260" s="76">
        <f t="shared" si="1296"/>
        <v>15874.535419671553</v>
      </c>
      <c r="BL260" s="76">
        <f t="shared" si="1296"/>
        <v>15855.105382024189</v>
      </c>
      <c r="BM260" s="76">
        <f t="shared" si="1296"/>
        <v>15819.638353078848</v>
      </c>
      <c r="BN260" s="76">
        <f t="shared" si="1296"/>
        <v>15783.905321416414</v>
      </c>
      <c r="BO260" s="76">
        <f t="shared" si="1296"/>
        <v>16119.267431697157</v>
      </c>
      <c r="BP260" s="76">
        <f t="shared" si="1296"/>
        <v>16082.996394576756</v>
      </c>
      <c r="BQ260" s="76">
        <f t="shared" si="1296"/>
        <v>16046.453324677959</v>
      </c>
      <c r="BR260" s="76">
        <f t="shared" si="1296"/>
        <v>16085.037009879901</v>
      </c>
      <c r="BS260" s="76">
        <f t="shared" si="1296"/>
        <v>16047.943738384942</v>
      </c>
      <c r="BT260" s="76">
        <f t="shared" si="1296"/>
        <v>16010.572267353757</v>
      </c>
      <c r="BU260" s="76">
        <f t="shared" si="1296"/>
        <v>129412972.22345003</v>
      </c>
      <c r="BV260" s="76" t="str">
        <f t="shared" si="1296"/>
      </c>
      <c r="BW260" s="76" t="str">
        <f t="shared" si="1296"/>
      </c>
      <c r="BX260" s="76" t="str">
        <f t="shared" ref="BX260:DC260" si="1297">IF(BX$227="","",HH244+HH253+HH262+HH266+(HH$210*$E249))</f>
      </c>
      <c r="BY260" s="76" t="str">
        <f t="shared" si="1297"/>
      </c>
      <c r="BZ260" s="76" t="str">
        <f t="shared" si="1297"/>
      </c>
      <c r="CA260" s="76" t="str">
        <f t="shared" si="1297"/>
      </c>
      <c r="CB260" s="76" t="str">
        <f t="shared" si="1297"/>
      </c>
      <c r="CC260" s="76" t="str">
        <f t="shared" si="1297"/>
      </c>
      <c r="CD260" s="76" t="str">
        <f t="shared" si="1297"/>
      </c>
      <c r="CE260" s="76" t="str">
        <f t="shared" si="1297"/>
      </c>
      <c r="CF260" s="76" t="str">
        <f t="shared" si="1297"/>
      </c>
      <c r="CG260" s="76" t="str">
        <f t="shared" si="1297"/>
      </c>
      <c r="CH260" s="76" t="str">
        <f t="shared" si="1297"/>
      </c>
      <c r="CI260" s="76" t="str">
        <f t="shared" si="1297"/>
      </c>
      <c r="CJ260" s="76" t="str">
        <f t="shared" si="1297"/>
      </c>
      <c r="CK260" s="76" t="str">
        <f t="shared" si="1297"/>
      </c>
      <c r="CL260" s="76" t="str">
        <f t="shared" si="1297"/>
      </c>
      <c r="CM260" s="76" t="str">
        <f t="shared" si="1297"/>
      </c>
      <c r="CN260" s="76" t="str">
        <f t="shared" si="1297"/>
      </c>
      <c r="CO260" s="76" t="str">
        <f t="shared" si="1297"/>
      </c>
      <c r="CP260" s="76" t="str">
        <f t="shared" si="1297"/>
      </c>
      <c r="CQ260" s="76" t="str">
        <f t="shared" si="1297"/>
      </c>
      <c r="CR260" s="76" t="str">
        <f t="shared" si="1297"/>
      </c>
      <c r="CS260" s="76" t="str">
        <f t="shared" si="1297"/>
      </c>
      <c r="CT260" s="76" t="str">
        <f t="shared" si="1297"/>
      </c>
      <c r="CU260" s="76" t="str">
        <f t="shared" si="1297"/>
      </c>
      <c r="CV260" s="76" t="str">
        <f t="shared" si="1297"/>
      </c>
      <c r="CW260" s="76" t="str">
        <f t="shared" si="1297"/>
      </c>
      <c r="CX260" s="76" t="str">
        <f t="shared" si="1297"/>
      </c>
      <c r="CY260" s="76" t="str">
        <f t="shared" si="1297"/>
      </c>
      <c r="CZ260" s="76" t="str">
        <f t="shared" si="1297"/>
      </c>
      <c r="DA260" s="76" t="str">
        <f t="shared" si="1297"/>
      </c>
      <c r="DB260" s="76" t="str">
        <f t="shared" si="1297"/>
      </c>
      <c r="DC260" s="76" t="str">
        <f t="shared" si="1297"/>
      </c>
      <c r="DD260" s="76" t="str">
        <f t="shared" ref="DD260:EI260" si="1298">IF(DD$227="","",IN244+IN253+IN262+IN266+(IN$210*$E249))</f>
      </c>
      <c r="DE260" s="76" t="str">
        <f t="shared" si="1298"/>
      </c>
      <c r="DF260" s="76" t="str">
        <f t="shared" si="1298"/>
      </c>
      <c r="DG260" s="76" t="str">
        <f t="shared" si="1298"/>
      </c>
      <c r="DH260" s="76" t="str">
        <f t="shared" si="1298"/>
      </c>
      <c r="DI260" s="76" t="str">
        <f t="shared" si="1298"/>
      </c>
      <c r="DJ260" s="76" t="str">
        <f t="shared" si="1298"/>
      </c>
      <c r="DK260" s="76" t="str">
        <f t="shared" si="1298"/>
      </c>
      <c r="DL260" s="76" t="str">
        <f t="shared" si="1298"/>
      </c>
      <c r="DM260" s="76" t="str">
        <f t="shared" si="1298"/>
      </c>
      <c r="DN260" s="76" t="str">
        <f t="shared" si="1298"/>
      </c>
      <c r="DO260" s="76" t="str">
        <f t="shared" si="1298"/>
      </c>
      <c r="DP260" s="76" t="str">
        <f t="shared" si="1298"/>
      </c>
      <c r="DQ260" s="76" t="str">
        <f t="shared" si="1298"/>
      </c>
      <c r="DR260" s="76" t="str">
        <f t="shared" si="1298"/>
      </c>
      <c r="DS260" s="76" t="str">
        <f t="shared" si="1298"/>
      </c>
      <c r="DT260" s="76" t="str">
        <f t="shared" si="1298"/>
      </c>
      <c r="DU260" s="76" t="str">
        <f t="shared" si="1298"/>
      </c>
      <c r="DV260" s="76" t="str">
        <f t="shared" si="1298"/>
      </c>
      <c r="DW260" s="76" t="str">
        <f t="shared" si="1298"/>
      </c>
      <c r="DX260" s="76" t="str">
        <f t="shared" si="1298"/>
      </c>
      <c r="DY260" s="76" t="str">
        <f t="shared" si="1298"/>
      </c>
      <c r="DZ260" s="76" t="str">
        <f t="shared" si="1298"/>
      </c>
      <c r="EA260" s="76" t="str">
        <f t="shared" si="1298"/>
      </c>
      <c r="EB260" s="76" t="str">
        <f t="shared" si="1298"/>
      </c>
      <c r="EC260" s="76" t="str">
        <f t="shared" si="1298"/>
      </c>
      <c r="ED260" s="76" t="str">
        <f t="shared" si="1298"/>
      </c>
      <c r="EE260" s="76" t="str">
        <f t="shared" si="1298"/>
      </c>
      <c r="EF260" s="76" t="str">
        <f t="shared" si="1298"/>
      </c>
      <c r="EG260" s="76" t="str">
        <f t="shared" si="1298"/>
      </c>
      <c r="EH260" s="76" t="str">
        <f t="shared" si="1298"/>
      </c>
      <c r="EI260" s="76" t="str">
        <f t="shared" si="1298"/>
      </c>
      <c r="EJ260" s="76" t="str">
        <f t="shared" ref="EJ260:EN260" si="1299">IF(EJ$227="","",JT244+JT253+JT262+JT266+(JT$210*$E249))</f>
      </c>
      <c r="EK260" s="76" t="str">
        <f t="shared" si="1299"/>
      </c>
      <c r="EL260" s="76" t="str">
        <f t="shared" si="1299"/>
      </c>
      <c r="EM260" s="76" t="str">
        <f t="shared" si="1299"/>
      </c>
      <c r="EN260" s="76" t="str">
        <f t="shared" si="1299"/>
      </c>
      <c r="EP260" s="409"/>
      <c r="EQ260" s="18"/>
      <c r="ER260" s="18"/>
      <c r="ES260" s="18"/>
      <c r="ET260" s="18" t="s">
        <v>440</v>
      </c>
      <c r="EU260" s="18"/>
      <c r="EV260" s="422" t="n">
        <f t="shared" ref="EV260:GA260" si="1300">(EV$197&lt;=Timing_Reversion_Month)*(EV256+EV257+EV240-EV258-EV259)</f>
        <v>4134152.6629957748</v>
      </c>
      <c r="EW260" s="422">
        <f t="shared" si="1300"/>
        <v>4162921.3699604208</v>
      </c>
      <c r="EX260" s="422">
        <f t="shared" si="1300"/>
        <v>4204909.5937987277</v>
      </c>
      <c r="EY260" s="422">
        <f t="shared" si="1300"/>
        <v>4265788.0275288066</v>
      </c>
      <c r="EZ260" s="422">
        <f t="shared" si="1300"/>
        <v>4352869.8964911504</v>
      </c>
      <c r="FA260" s="422">
        <f t="shared" si="1300"/>
        <v>4480642.6102136374</v>
      </c>
      <c r="FB260" s="422">
        <f t="shared" si="1300"/>
        <v>4621253.6648205239</v>
      </c>
      <c r="FC260" s="422">
        <f t="shared" si="1300"/>
        <v>4819637.4377657566</v>
      </c>
      <c r="FD260" s="422">
        <f t="shared" si="1300"/>
        <v>5088693.5148103805</v>
      </c>
      <c r="FE260" s="422">
        <f t="shared" si="1300"/>
        <v>5441248.092760073</v>
      </c>
      <c r="FF260" s="422">
        <f t="shared" si="1300"/>
        <v>5888923.575532821</v>
      </c>
      <c r="FG260" s="422">
        <f t="shared" si="1300"/>
        <v>6440836.4021636378</v>
      </c>
      <c r="FH260" s="422">
        <f t="shared" si="1300"/>
        <v>7102265.2466280237</v>
      </c>
      <c r="FI260" s="422">
        <f t="shared" si="1300"/>
        <v>7873471.3498604074</v>
      </c>
      <c r="FJ260" s="422">
        <f t="shared" si="1300"/>
        <v>8748865.5764669292</v>
      </c>
      <c r="FK260" s="422">
        <f t="shared" si="1300"/>
        <v>9716694.3153857291</v>
      </c>
      <c r="FL260" s="422">
        <f t="shared" si="1300"/>
        <v>9992247.922736235</v>
      </c>
      <c r="FM260" s="422">
        <f t="shared" si="1300"/>
        <v>10068783.098235181</v>
      </c>
      <c r="FN260" s="422">
        <f t="shared" si="1300"/>
        <v>10012648.011893459</v>
      </c>
      <c r="FO260" s="422">
        <f t="shared" si="1300"/>
        <v>9967938.9016755857</v>
      </c>
      <c r="FP260" s="422">
        <f t="shared" si="1300"/>
        <v>9930434.3094084468</v>
      </c>
      <c r="FQ260" s="422">
        <f t="shared" si="1300"/>
        <v>9862509.2971190792</v>
      </c>
      <c r="FR260" s="422">
        <f t="shared" si="1300"/>
        <v>9800853.622113876</v>
      </c>
      <c r="FS260" s="422">
        <f t="shared" si="1300"/>
        <v>9744977.3745767791</v>
      </c>
      <c r="FT260" s="422">
        <f t="shared" si="1300"/>
        <v>9679770.7595001087</v>
      </c>
      <c r="FU260" s="422">
        <f t="shared" si="1300"/>
        <v>9618915.6504971813</v>
      </c>
      <c r="FV260" s="422">
        <f t="shared" si="1300"/>
        <v>9561728.5149128083</v>
      </c>
      <c r="FW260" s="422">
        <f t="shared" si="1300"/>
        <v>9498608.8022578545</v>
      </c>
      <c r="FX260" s="422">
        <f t="shared" si="1300"/>
        <v>9467604.1228055358</v>
      </c>
      <c r="FY260" s="422">
        <f t="shared" si="1300"/>
        <v>9503629.5568952411</v>
      </c>
      <c r="FZ260" s="422">
        <f t="shared" si="1300"/>
        <v>9489505.5943933241</v>
      </c>
      <c r="GA260" s="422">
        <f t="shared" si="1300"/>
        <v>9456410.7305529788</v>
      </c>
      <c r="GB260" s="422" t="n">
        <f t="shared" ref="GB260:HG260" si="1301">(GB$197&lt;=Timing_Reversion_Month)*(GB256+GB257+GB240-GB258-GB259)</f>
        <v>9408924.64520317</v>
      </c>
      <c r="GC260" s="422">
        <f t="shared" si="1301"/>
        <v>9350853.3437121548</v>
      </c>
      <c r="GD260" s="422">
        <f t="shared" si="1301"/>
        <v>9273199.5764506273</v>
      </c>
      <c r="GE260" s="422">
        <f t="shared" si="1301"/>
        <v>9190234.6280035004</v>
      </c>
      <c r="GF260" s="422">
        <f t="shared" si="1301"/>
        <v>9103055.6538877226</v>
      </c>
      <c r="GG260" s="422">
        <f t="shared" si="1301"/>
        <v>9034968.6502906904</v>
      </c>
      <c r="GH260" s="422">
        <f t="shared" si="1301"/>
        <v>8966686.437550839</v>
      </c>
      <c r="GI260" s="422">
        <f t="shared" si="1301"/>
        <v>8898211.2469926346</v>
      </c>
      <c r="GJ260" s="422">
        <f t="shared" si="1301"/>
        <v>8829245.1806050241</v>
      </c>
      <c r="GK260" s="422">
        <f t="shared" si="1301"/>
        <v>8760087.2633903809</v>
      </c>
      <c r="GL260" s="422">
        <f t="shared" si="1301"/>
        <v>8690739.8684390392</v>
      </c>
      <c r="GM260" s="422">
        <f t="shared" si="1301"/>
        <v>8613409.6359125189</v>
      </c>
      <c r="GN260" s="422">
        <f t="shared" si="1301"/>
        <v>8535803.5330916047</v>
      </c>
      <c r="GO260" s="422">
        <f t="shared" si="1301"/>
        <v>8457923.0535308812</v>
      </c>
      <c r="GP260" s="422">
        <f t="shared" si="1301"/>
        <v>8378385.5739302738</v>
      </c>
      <c r="GQ260" s="422">
        <f t="shared" si="1301"/>
        <v>8298560.6489618924</v>
      </c>
      <c r="GR260" s="422">
        <f t="shared" si="1301"/>
        <v>8218449.7436991166</v>
      </c>
      <c r="GS260" s="422">
        <f t="shared" si="1301"/>
        <v>8144396.0872038053</v>
      </c>
      <c r="GT260" s="422">
        <f t="shared" si="1301"/>
        <v>8070133.8342911964</v>
      </c>
      <c r="GU260" s="422">
        <f t="shared" si="1301"/>
        <v>7995665.4832917135</v>
      </c>
      <c r="GV260" s="422">
        <f t="shared" si="1301"/>
        <v>7920693.9124624124</v>
      </c>
      <c r="GW260" s="422">
        <f t="shared" si="1301"/>
        <v>7845517.9294594564</v>
      </c>
      <c r="GX260" s="422">
        <f t="shared" si="1301"/>
        <v>7770140.193662839</v>
      </c>
      <c r="GY260" s="422">
        <f t="shared" si="1301"/>
        <v>7687507.5338584231</v>
      </c>
      <c r="GZ260" s="422">
        <f t="shared" si="1301"/>
        <v>7604595.9890148202</v>
      </c>
      <c r="HA260" s="422">
        <f t="shared" si="1301"/>
        <v>7521407.4606397552</v>
      </c>
      <c r="HB260" s="422">
        <f t="shared" si="1301"/>
        <v>7436511.2955472544</v>
      </c>
      <c r="HC260" s="422">
        <f t="shared" si="1301"/>
        <v>7351325.3510922845</v>
      </c>
      <c r="HD260" s="422">
        <f t="shared" si="1301"/>
        <v>7265851.5183248781</v>
      </c>
      <c r="HE260" s="422">
        <f t="shared" si="1301"/>
        <v>0</v>
      </c>
      <c r="HF260" s="422">
        <f t="shared" si="1301"/>
        <v>0</v>
      </c>
      <c r="HG260" s="422">
        <f t="shared" si="1301"/>
        <v>0</v>
      </c>
      <c r="HH260" s="422" t="n">
        <f t="shared" ref="HH260:IM260" si="1302">(HH$197&lt;=Timing_Reversion_Month)*(HH256+HH257+HH240-HH258-HH259)</f>
        <v>0</v>
      </c>
      <c r="HI260" s="422">
        <f t="shared" si="1302"/>
        <v>0</v>
      </c>
      <c r="HJ260" s="422">
        <f t="shared" si="1302"/>
        <v>0</v>
      </c>
      <c r="HK260" s="422">
        <f t="shared" si="1302"/>
        <v>0</v>
      </c>
      <c r="HL260" s="422">
        <f t="shared" si="1302"/>
        <v>0</v>
      </c>
      <c r="HM260" s="422">
        <f t="shared" si="1302"/>
        <v>0</v>
      </c>
      <c r="HN260" s="422">
        <f t="shared" si="1302"/>
        <v>0</v>
      </c>
      <c r="HO260" s="422">
        <f t="shared" si="1302"/>
        <v>0</v>
      </c>
      <c r="HP260" s="422">
        <f t="shared" si="1302"/>
        <v>0</v>
      </c>
      <c r="HQ260" s="422">
        <f t="shared" si="1302"/>
        <v>0</v>
      </c>
      <c r="HR260" s="422">
        <f t="shared" si="1302"/>
        <v>0</v>
      </c>
      <c r="HS260" s="422">
        <f t="shared" si="1302"/>
        <v>0</v>
      </c>
      <c r="HT260" s="422">
        <f t="shared" si="1302"/>
        <v>0</v>
      </c>
      <c r="HU260" s="422">
        <f t="shared" si="1302"/>
        <v>0</v>
      </c>
      <c r="HV260" s="422">
        <f t="shared" si="1302"/>
        <v>0</v>
      </c>
      <c r="HW260" s="422">
        <f t="shared" si="1302"/>
        <v>0</v>
      </c>
      <c r="HX260" s="422">
        <f t="shared" si="1302"/>
        <v>0</v>
      </c>
      <c r="HY260" s="422">
        <f t="shared" si="1302"/>
        <v>0</v>
      </c>
      <c r="HZ260" s="422">
        <f t="shared" si="1302"/>
        <v>0</v>
      </c>
      <c r="IA260" s="422">
        <f t="shared" si="1302"/>
        <v>0</v>
      </c>
      <c r="IB260" s="422">
        <f t="shared" si="1302"/>
        <v>0</v>
      </c>
      <c r="IC260" s="422">
        <f t="shared" si="1302"/>
        <v>0</v>
      </c>
      <c r="ID260" s="422">
        <f t="shared" si="1302"/>
        <v>0</v>
      </c>
      <c r="IE260" s="422">
        <f t="shared" si="1302"/>
        <v>0</v>
      </c>
      <c r="IF260" s="422">
        <f t="shared" si="1302"/>
        <v>0</v>
      </c>
      <c r="IG260" s="422">
        <f t="shared" si="1302"/>
        <v>0</v>
      </c>
      <c r="IH260" s="422">
        <f t="shared" si="1302"/>
        <v>0</v>
      </c>
      <c r="II260" s="422">
        <f t="shared" si="1302"/>
        <v>0</v>
      </c>
      <c r="IJ260" s="422">
        <f t="shared" si="1302"/>
        <v>0</v>
      </c>
      <c r="IK260" s="422">
        <f t="shared" si="1302"/>
        <v>0</v>
      </c>
      <c r="IL260" s="422">
        <f t="shared" si="1302"/>
        <v>0</v>
      </c>
      <c r="IM260" s="422">
        <f t="shared" si="1302"/>
        <v>0</v>
      </c>
      <c r="IN260" s="422" t="n">
        <f t="shared" ref="IN260:JS260" si="1303">(IN$197&lt;=Timing_Reversion_Month)*(IN256+IN257+IN240-IN258-IN259)</f>
        <v>0</v>
      </c>
      <c r="IO260" s="422">
        <f t="shared" si="1303"/>
        <v>0</v>
      </c>
      <c r="IP260" s="422">
        <f t="shared" si="1303"/>
        <v>0</v>
      </c>
      <c r="IQ260" s="422">
        <f t="shared" si="1303"/>
        <v>0</v>
      </c>
      <c r="IR260" s="422">
        <f t="shared" si="1303"/>
        <v>0</v>
      </c>
      <c r="IS260" s="422">
        <f t="shared" si="1303"/>
        <v>0</v>
      </c>
      <c r="IT260" s="422">
        <f t="shared" si="1303"/>
        <v>0</v>
      </c>
      <c r="IU260" s="422">
        <f t="shared" si="1303"/>
        <v>0</v>
      </c>
      <c r="IV260" s="422">
        <f t="shared" si="1303"/>
        <v>0</v>
      </c>
      <c r="IW260" s="422">
        <f t="shared" si="1303"/>
        <v>0</v>
      </c>
      <c r="IX260" s="422">
        <f t="shared" si="1303"/>
        <v>0</v>
      </c>
      <c r="IY260" s="422">
        <f t="shared" si="1303"/>
        <v>0</v>
      </c>
      <c r="IZ260" s="422">
        <f t="shared" si="1303"/>
        <v>0</v>
      </c>
      <c r="JA260" s="422">
        <f t="shared" si="1303"/>
        <v>0</v>
      </c>
      <c r="JB260" s="422">
        <f t="shared" si="1303"/>
        <v>0</v>
      </c>
      <c r="JC260" s="422">
        <f t="shared" si="1303"/>
        <v>0</v>
      </c>
      <c r="JD260" s="422">
        <f t="shared" si="1303"/>
        <v>0</v>
      </c>
      <c r="JE260" s="422">
        <f t="shared" si="1303"/>
        <v>0</v>
      </c>
      <c r="JF260" s="422">
        <f t="shared" si="1303"/>
        <v>0</v>
      </c>
      <c r="JG260" s="422">
        <f t="shared" si="1303"/>
        <v>0</v>
      </c>
      <c r="JH260" s="422">
        <f t="shared" si="1303"/>
        <v>0</v>
      </c>
      <c r="JI260" s="422">
        <f t="shared" si="1303"/>
        <v>0</v>
      </c>
      <c r="JJ260" s="422">
        <f t="shared" si="1303"/>
        <v>0</v>
      </c>
      <c r="JK260" s="422">
        <f t="shared" si="1303"/>
        <v>0</v>
      </c>
      <c r="JL260" s="422">
        <f t="shared" si="1303"/>
        <v>0</v>
      </c>
      <c r="JM260" s="422">
        <f t="shared" si="1303"/>
        <v>0</v>
      </c>
      <c r="JN260" s="422">
        <f t="shared" si="1303"/>
        <v>0</v>
      </c>
      <c r="JO260" s="422">
        <f t="shared" si="1303"/>
        <v>0</v>
      </c>
      <c r="JP260" s="422">
        <f t="shared" si="1303"/>
        <v>0</v>
      </c>
      <c r="JQ260" s="422">
        <f t="shared" si="1303"/>
        <v>0</v>
      </c>
      <c r="JR260" s="422">
        <f t="shared" si="1303"/>
        <v>0</v>
      </c>
      <c r="JS260" s="422">
        <f t="shared" si="1303"/>
        <v>0</v>
      </c>
      <c r="JT260" s="422" t="n">
        <f t="shared" ref="JT260:JX260" si="1304">(JT$197&lt;=Timing_Reversion_Month)*(JT256+JT257+JT240-JT258-JT259)</f>
        <v>0</v>
      </c>
      <c r="JU260" s="422">
        <f t="shared" si="1304"/>
        <v>0</v>
      </c>
      <c r="JV260" s="422">
        <f t="shared" si="1304"/>
        <v>0</v>
      </c>
      <c r="JW260" s="422">
        <f t="shared" si="1304"/>
        <v>0</v>
      </c>
      <c r="JX260" s="422">
        <f t="shared" si="1304"/>
        <v>0</v>
      </c>
      <c r="JZ260" s="263"/>
      <c r="KA260" s="263"/>
      <c r="KB260" s="263"/>
      <c r="KC260" s="263"/>
      <c r="KD260" s="263"/>
      <c r="KE260" s="263"/>
      <c r="KF260" s="263"/>
      <c r="KG260" s="263"/>
      <c r="KH260" s="263"/>
      <c r="KI260" s="263"/>
      <c r="KJ260" s="263"/>
      <c r="KK260" s="263"/>
      <c r="KL260" s="263"/>
      <c r="KM260" s="263"/>
      <c r="KN260" s="263"/>
      <c r="KO260" s="263"/>
      <c r="KP260" s="263"/>
      <c r="KQ260" s="263"/>
      <c r="KR260" s="263"/>
      <c r="KS260" s="263"/>
      <c r="KT260" s="263"/>
      <c r="KU260" s="263"/>
      <c r="KV260" s="263"/>
      <c r="KW260" s="263"/>
      <c r="KX260" s="263"/>
      <c r="KY260" s="263"/>
      <c r="KZ260" s="263"/>
      <c r="LA260" s="263"/>
      <c r="LB260" s="263"/>
      <c r="LC260" s="263"/>
      <c r="LD260" s="263"/>
      <c r="LE260" s="263"/>
      <c r="LF260" s="263"/>
      <c r="LG260" s="263"/>
      <c r="LH260" s="263"/>
      <c r="LI260" s="263"/>
      <c r="LJ260" s="263"/>
      <c r="LK260" s="263"/>
      <c r="LL260" s="263"/>
      <c r="LM260" s="263"/>
      <c r="LN260" s="263"/>
      <c r="LO260" s="263"/>
      <c r="LP260" s="263"/>
      <c r="LQ260" s="263"/>
      <c r="LR260" s="263"/>
      <c r="LS260" s="263"/>
      <c r="LT260" s="263"/>
      <c r="LU260" s="263"/>
      <c r="LV260" s="263"/>
      <c r="LW260" s="263"/>
      <c r="LX260" s="263"/>
      <c r="LY260" s="263"/>
      <c r="LZ260" s="263"/>
      <c r="MA260" s="263"/>
      <c r="MB260" s="263"/>
      <c r="MC260" s="263"/>
      <c r="MD260" s="263"/>
      <c r="ME260" s="263"/>
      <c r="MF260" s="263"/>
      <c r="MG260" s="263"/>
      <c r="MH260" s="263"/>
      <c r="MI260" s="263"/>
      <c r="MJ260" s="263"/>
      <c r="MK260" s="263"/>
      <c r="ML260" s="263"/>
      <c r="MM260" s="263"/>
      <c r="MN260" s="263"/>
      <c r="MO260" s="263"/>
      <c r="MP260" s="263"/>
      <c r="MQ260" s="263"/>
      <c r="MR260" s="263"/>
      <c r="MS260" s="263"/>
      <c r="MT260" s="263"/>
      <c r="MU260" s="263"/>
      <c r="MV260" s="263"/>
      <c r="MW260" s="263"/>
      <c r="MX260" s="263"/>
      <c r="MY260" s="263"/>
      <c r="MZ260" s="263"/>
      <c r="NA260" s="263"/>
      <c r="NB260" s="263"/>
      <c r="NC260" s="263"/>
      <c r="ND260" s="263"/>
      <c r="NE260" s="263"/>
      <c r="NF260" s="263"/>
      <c r="NG260" s="263"/>
      <c r="NH260" s="263"/>
      <c r="NI260" s="263"/>
      <c r="NJ260" s="263"/>
      <c r="NK260" s="263"/>
      <c r="NL260" s="263"/>
      <c r="NM260" s="263"/>
      <c r="NN260" s="263"/>
      <c r="NO260" s="263"/>
      <c r="NP260" s="263"/>
      <c r="NQ260" s="263"/>
      <c r="NR260" s="263"/>
      <c r="NS260" s="263"/>
      <c r="NT260" s="263"/>
      <c r="NU260" s="263"/>
      <c r="NV260" s="263"/>
      <c r="NW260" s="263"/>
      <c r="NX260" s="263"/>
      <c r="NY260" s="263"/>
      <c r="NZ260" s="263"/>
      <c r="OA260" s="263"/>
      <c r="OB260" s="263"/>
      <c r="OC260" s="263"/>
      <c r="OD260" s="263"/>
      <c r="OE260" s="263"/>
      <c r="OF260" s="263"/>
      <c r="OG260" s="263"/>
      <c r="OH260" s="263"/>
      <c r="OI260" s="263"/>
      <c r="OJ260" s="263"/>
      <c r="OK260" s="263"/>
      <c r="OL260" s="263"/>
      <c r="OM260" s="263"/>
      <c r="ON260" s="263"/>
      <c r="OO260" s="263"/>
      <c r="OP260" s="263"/>
      <c r="OQ260" s="263"/>
      <c r="OR260" s="263"/>
      <c r="OS260" s="263"/>
      <c r="OT260" s="263"/>
      <c r="OU260" s="263"/>
      <c r="OV260" s="263"/>
      <c r="OW260" s="263"/>
      <c r="OX260" s="263"/>
      <c r="OY260" s="263"/>
      <c r="OZ260" s="263"/>
      <c r="PA260" s="263"/>
      <c r="PB260" s="263"/>
      <c r="PC260" s="263"/>
      <c r="PD260" s="263"/>
      <c r="PE260" s="263"/>
      <c r="PF260" s="263"/>
      <c r="PG260" s="263"/>
      <c r="PH260" s="263"/>
    </row>
    <row r="261">
      <c r="B261" s="415" t="str">
        <f>B250</f>
        <v>GP 2</v>
      </c>
      <c r="C261" s="548" t="str">
        <f>C250</f>
        <v>[General Partner 2 Name]</v>
      </c>
      <c r="D261" s="401"/>
      <c r="E261" s="401"/>
      <c r="F261" s="401"/>
      <c r="G261" s="401"/>
      <c r="H261" s="55" t="n">
        <f>I261/$I$241</f>
        <v>0.18958615240242102</v>
      </c>
      <c r="I261" s="424" t="n">
        <f>SUM(L261:EN261)</f>
        <v>186255291.5407374</v>
      </c>
      <c r="L261" s="426" t="str">
        <f t="shared" ref="L261:AQ261" si="1305">IF(L$227="","",EV241+EV250+EV259+EV265+(EV$210*$E250))</f>
      </c>
      <c r="M261" s="426">
        <f t="shared" si="1305"/>
        <v>19662.548016340177</v>
      </c>
      <c r="N261" s="426">
        <f t="shared" si="1305"/>
        <v>6780.0541546613485</v>
      </c>
      <c r="O261" s="426">
        <f t="shared" si="1305"/>
        <v>0</v>
      </c>
      <c r="P261" s="426">
        <f t="shared" si="1305"/>
        <v>0</v>
      </c>
      <c r="Q261" s="426">
        <f t="shared" si="1305"/>
        <v>0</v>
      </c>
      <c r="R261" s="426">
        <f t="shared" si="1305"/>
        <v>0</v>
      </c>
      <c r="S261" s="426">
        <f t="shared" si="1305"/>
        <v>0</v>
      </c>
      <c r="T261" s="426">
        <f t="shared" si="1305"/>
        <v>0</v>
      </c>
      <c r="U261" s="426">
        <f t="shared" si="1305"/>
        <v>0</v>
      </c>
      <c r="V261" s="426">
        <f t="shared" si="1305"/>
        <v>0</v>
      </c>
      <c r="W261" s="426">
        <f t="shared" si="1305"/>
        <v>0</v>
      </c>
      <c r="X261" s="426">
        <f t="shared" si="1305"/>
        <v>0</v>
      </c>
      <c r="Y261" s="426">
        <f t="shared" si="1305"/>
        <v>0</v>
      </c>
      <c r="Z261" s="426">
        <f t="shared" si="1305"/>
        <v>0</v>
      </c>
      <c r="AA261" s="426">
        <f t="shared" si="1305"/>
        <v>0</v>
      </c>
      <c r="AB261" s="426">
        <f t="shared" si="1305"/>
        <v>0</v>
      </c>
      <c r="AC261" s="426">
        <f t="shared" si="1305"/>
        <v>40523.178758486509</v>
      </c>
      <c r="AD261" s="426">
        <f t="shared" si="1305"/>
        <v>174090.04382157131</v>
      </c>
      <c r="AE261" s="426">
        <f t="shared" si="1305"/>
        <v>162006.44982493951</v>
      </c>
      <c r="AF261" s="426">
        <f t="shared" si="1305"/>
        <v>154278.16836244214</v>
      </c>
      <c r="AG261" s="426">
        <f t="shared" si="1305"/>
        <v>184259.22520214817</v>
      </c>
      <c r="AH261" s="426">
        <f t="shared" si="1305"/>
        <v>177194.15204223376</v>
      </c>
      <c r="AI261" s="426">
        <f t="shared" si="1305"/>
        <v>170692.43346380457</v>
      </c>
      <c r="AJ261" s="426">
        <f t="shared" si="1305"/>
        <v>179368.21540568696</v>
      </c>
      <c r="AK261" s="426">
        <f t="shared" si="1305"/>
        <v>174252.81925369884</v>
      </c>
      <c r="AL261" s="426">
        <f t="shared" si="1305"/>
        <v>169871.93328902582</v>
      </c>
      <c r="AM261" s="426">
        <f t="shared" si="1305"/>
        <v>175134.56781735166</v>
      </c>
      <c r="AN261" s="426">
        <f t="shared" si="1305"/>
        <v>142280.09242495638</v>
      </c>
      <c r="AO261" s="426">
        <f t="shared" si="1305"/>
        <v>74886.761639022734</v>
      </c>
      <c r="AP261" s="426">
        <f t="shared" si="1305"/>
        <v>125458.19319800851</v>
      </c>
      <c r="AQ261" s="426">
        <f t="shared" si="1305"/>
        <v>144263.63348914686</v>
      </c>
      <c r="AR261" s="426" t="n">
        <f t="shared" ref="AR261:BW261" si="1306">IF(AR$227="","",GB241+GB250+GB259+GB265+(GB$210*$E250))</f>
        <v>158267.15141824906</v>
      </c>
      <c r="AS261" s="426">
        <f t="shared" si="1306"/>
        <v>168296.07201473101</v>
      </c>
      <c r="AT261" s="426">
        <f t="shared" si="1306"/>
        <v>187198.23731284705</v>
      </c>
      <c r="AU261" s="426">
        <f t="shared" si="1306"/>
        <v>191599.71106646676</v>
      </c>
      <c r="AV261" s="426">
        <f t="shared" si="1306"/>
        <v>194841.8092567978</v>
      </c>
      <c r="AW261" s="426">
        <f t="shared" si="1306"/>
        <v>174728.54429912902</v>
      </c>
      <c r="AX261" s="426">
        <f t="shared" si="1306"/>
        <v>174126.11985148679</v>
      </c>
      <c r="AY261" s="426">
        <f t="shared" si="1306"/>
        <v>173519.17722048727</v>
      </c>
      <c r="AZ261" s="426">
        <f t="shared" si="1306"/>
        <v>173207.87188143402</v>
      </c>
      <c r="BA261" s="426">
        <f t="shared" si="1306"/>
        <v>172591.79097044648</v>
      </c>
      <c r="BB261" s="426">
        <f t="shared" si="1306"/>
        <v>171971.08945262659</v>
      </c>
      <c r="BC261" s="426">
        <f t="shared" si="1306"/>
        <v>179141.52805734024</v>
      </c>
      <c r="BD261" s="203">
        <f t="shared" si="1306"/>
        <v>178511.48110229263</v>
      </c>
      <c r="BE261" s="203">
        <f t="shared" si="1306"/>
        <v>177876.70879508229</v>
      </c>
      <c r="BF261" s="203">
        <f t="shared" si="1306"/>
        <v>178621.34548723436</v>
      </c>
      <c r="BG261" s="203">
        <f t="shared" si="1306"/>
        <v>177977.01588947349</v>
      </c>
      <c r="BH261" s="203">
        <f t="shared" si="1306"/>
        <v>177327.85381972938</v>
      </c>
      <c r="BI261" s="203">
        <f t="shared" si="1306"/>
        <v>302938.98702619399</v>
      </c>
      <c r="BJ261" s="203">
        <f t="shared" si="1306"/>
        <v>302280.05101003736</v>
      </c>
      <c r="BK261" s="203">
        <f t="shared" si="1306"/>
        <v>301616.17297375947</v>
      </c>
      <c r="BL261" s="203">
        <f t="shared" si="1306"/>
        <v>301247.00225845957</v>
      </c>
      <c r="BM261" s="203">
        <f t="shared" si="1306"/>
        <v>300573.12870849809</v>
      </c>
      <c r="BN261" s="203">
        <f t="shared" si="1306"/>
        <v>299894.20110691187</v>
      </c>
      <c r="BO261" s="203">
        <f t="shared" si="1306"/>
        <v>306266.08120224596</v>
      </c>
      <c r="BP261" s="203">
        <f t="shared" si="1306"/>
        <v>305576.93149695836</v>
      </c>
      <c r="BQ261" s="203">
        <f t="shared" si="1306"/>
        <v>304882.6131688811</v>
      </c>
      <c r="BR261" s="203">
        <f t="shared" si="1306"/>
        <v>305615.70318771806</v>
      </c>
      <c r="BS261" s="203">
        <f t="shared" si="1306"/>
        <v>304910.93102931377</v>
      </c>
      <c r="BT261" s="203">
        <f t="shared" si="1306"/>
        <v>304200.87307972135</v>
      </c>
      <c r="BU261" s="203">
        <f t="shared" si="1306"/>
        <v>177330482.88642931</v>
      </c>
      <c r="BV261" s="203" t="str">
        <f t="shared" si="1306"/>
      </c>
      <c r="BW261" s="203" t="str">
        <f t="shared" si="1306"/>
      </c>
      <c r="BX261" s="203" t="str">
        <f t="shared" ref="BX261:DC261" si="1307">IF(BX$227="","",HH241+HH250+HH259+HH265+(HH$210*$E250))</f>
      </c>
      <c r="BY261" s="203" t="str">
        <f t="shared" si="1307"/>
      </c>
      <c r="BZ261" s="203" t="str">
        <f t="shared" si="1307"/>
      </c>
      <c r="CA261" s="203" t="str">
        <f t="shared" si="1307"/>
      </c>
      <c r="CB261" s="203" t="str">
        <f t="shared" si="1307"/>
      </c>
      <c r="CC261" s="203" t="str">
        <f t="shared" si="1307"/>
      </c>
      <c r="CD261" s="203" t="str">
        <f t="shared" si="1307"/>
      </c>
      <c r="CE261" s="203" t="str">
        <f t="shared" si="1307"/>
      </c>
      <c r="CF261" s="203" t="str">
        <f t="shared" si="1307"/>
      </c>
      <c r="CG261" s="203" t="str">
        <f t="shared" si="1307"/>
      </c>
      <c r="CH261" s="203" t="str">
        <f t="shared" si="1307"/>
      </c>
      <c r="CI261" s="203" t="str">
        <f t="shared" si="1307"/>
      </c>
      <c r="CJ261" s="203" t="str">
        <f t="shared" si="1307"/>
      </c>
      <c r="CK261" s="203" t="str">
        <f t="shared" si="1307"/>
      </c>
      <c r="CL261" s="203" t="str">
        <f t="shared" si="1307"/>
      </c>
      <c r="CM261" s="203" t="str">
        <f t="shared" si="1307"/>
      </c>
      <c r="CN261" s="203" t="str">
        <f t="shared" si="1307"/>
      </c>
      <c r="CO261" s="203" t="str">
        <f t="shared" si="1307"/>
      </c>
      <c r="CP261" s="203" t="str">
        <f t="shared" si="1307"/>
      </c>
      <c r="CQ261" s="203" t="str">
        <f t="shared" si="1307"/>
      </c>
      <c r="CR261" s="203" t="str">
        <f t="shared" si="1307"/>
      </c>
      <c r="CS261" s="203" t="str">
        <f t="shared" si="1307"/>
      </c>
      <c r="CT261" s="203" t="str">
        <f t="shared" si="1307"/>
      </c>
      <c r="CU261" s="203" t="str">
        <f t="shared" si="1307"/>
      </c>
      <c r="CV261" s="203" t="str">
        <f t="shared" si="1307"/>
      </c>
      <c r="CW261" s="203" t="str">
        <f t="shared" si="1307"/>
      </c>
      <c r="CX261" s="203" t="str">
        <f t="shared" si="1307"/>
      </c>
      <c r="CY261" s="203" t="str">
        <f t="shared" si="1307"/>
      </c>
      <c r="CZ261" s="203" t="str">
        <f t="shared" si="1307"/>
      </c>
      <c r="DA261" s="203" t="str">
        <f t="shared" si="1307"/>
      </c>
      <c r="DB261" s="203" t="str">
        <f t="shared" si="1307"/>
      </c>
      <c r="DC261" s="203" t="str">
        <f t="shared" si="1307"/>
      </c>
      <c r="DD261" s="203" t="str">
        <f t="shared" ref="DD261:EI261" si="1308">IF(DD$227="","",IN241+IN250+IN259+IN265+(IN$210*$E250))</f>
      </c>
      <c r="DE261" s="203" t="str">
        <f t="shared" si="1308"/>
      </c>
      <c r="DF261" s="203" t="str">
        <f t="shared" si="1308"/>
      </c>
      <c r="DG261" s="203" t="str">
        <f t="shared" si="1308"/>
      </c>
      <c r="DH261" s="203" t="str">
        <f t="shared" si="1308"/>
      </c>
      <c r="DI261" s="203" t="str">
        <f t="shared" si="1308"/>
      </c>
      <c r="DJ261" s="203" t="str">
        <f t="shared" si="1308"/>
      </c>
      <c r="DK261" s="203" t="str">
        <f t="shared" si="1308"/>
      </c>
      <c r="DL261" s="203" t="str">
        <f t="shared" si="1308"/>
      </c>
      <c r="DM261" s="203" t="str">
        <f t="shared" si="1308"/>
      </c>
      <c r="DN261" s="203" t="str">
        <f t="shared" si="1308"/>
      </c>
      <c r="DO261" s="203" t="str">
        <f t="shared" si="1308"/>
      </c>
      <c r="DP261" s="203" t="str">
        <f t="shared" si="1308"/>
      </c>
      <c r="DQ261" s="203" t="str">
        <f t="shared" si="1308"/>
      </c>
      <c r="DR261" s="203" t="str">
        <f t="shared" si="1308"/>
      </c>
      <c r="DS261" s="203" t="str">
        <f t="shared" si="1308"/>
      </c>
      <c r="DT261" s="203" t="str">
        <f t="shared" si="1308"/>
      </c>
      <c r="DU261" s="203" t="str">
        <f t="shared" si="1308"/>
      </c>
      <c r="DV261" s="203" t="str">
        <f t="shared" si="1308"/>
      </c>
      <c r="DW261" s="203" t="str">
        <f t="shared" si="1308"/>
      </c>
      <c r="DX261" s="203" t="str">
        <f t="shared" si="1308"/>
      </c>
      <c r="DY261" s="203" t="str">
        <f t="shared" si="1308"/>
      </c>
      <c r="DZ261" s="203" t="str">
        <f t="shared" si="1308"/>
      </c>
      <c r="EA261" s="203" t="str">
        <f t="shared" si="1308"/>
      </c>
      <c r="EB261" s="203" t="str">
        <f t="shared" si="1308"/>
      </c>
      <c r="EC261" s="203" t="str">
        <f t="shared" si="1308"/>
      </c>
      <c r="ED261" s="203" t="str">
        <f t="shared" si="1308"/>
      </c>
      <c r="EE261" s="203" t="str">
        <f t="shared" si="1308"/>
      </c>
      <c r="EF261" s="203" t="str">
        <f t="shared" si="1308"/>
      </c>
      <c r="EG261" s="203" t="str">
        <f t="shared" si="1308"/>
      </c>
      <c r="EH261" s="203" t="str">
        <f t="shared" si="1308"/>
      </c>
      <c r="EI261" s="203" t="str">
        <f t="shared" si="1308"/>
      </c>
      <c r="EJ261" s="203" t="str">
        <f t="shared" ref="EJ261:EN261" si="1309">IF(EJ$227="","",JT241+JT250+JT259+JT265+(JT$210*$E250))</f>
      </c>
      <c r="EK261" s="203" t="str">
        <f t="shared" si="1309"/>
      </c>
      <c r="EL261" s="203" t="str">
        <f t="shared" si="1309"/>
      </c>
      <c r="EM261" s="203" t="str">
        <f t="shared" si="1309"/>
      </c>
      <c r="EN261" s="203" t="str">
        <f t="shared" si="1309"/>
      </c>
      <c r="EP261" s="409"/>
      <c r="EQ261" s="18"/>
      <c r="ER261" s="18"/>
      <c r="ES261" s="18" t="s">
        <v>376</v>
      </c>
      <c r="ET261" s="308" t="n">
        <f>XIRR($EV261:INDEX($EV261:$PH261,1,Timing_Reversion_Month+1),$EV$24:INDEX($EV$24:$PH$24,1,Timing_Reversion_Month+1))</f>
        <v>0.14983568315658813</v>
      </c>
      <c r="EU261" s="18"/>
      <c r="EV261" s="422" t="n">
        <f t="shared" ref="EV261:GA261" si="1310">+-EV240+EV258+EV259</f>
        <v>-4134152.6629957748</v>
      </c>
      <c r="EW261" s="422">
        <f t="shared" si="1310"/>
        <v>19662.548016340177</v>
      </c>
      <c r="EX261" s="422">
        <f t="shared" si="1310"/>
        <v>6780.0541546613485</v>
      </c>
      <c r="EY261" s="422">
        <f t="shared" si="1310"/>
        <v>-11618.26718323235</v>
      </c>
      <c r="EZ261" s="422">
        <f t="shared" si="1310"/>
        <v>-37108.516622138202</v>
      </c>
      <c r="FA261" s="422">
        <f t="shared" si="1310"/>
        <v>-76779.204522163025</v>
      </c>
      <c r="FB261" s="422">
        <f t="shared" si="1310"/>
        <v>-88120.69868067847</v>
      </c>
      <c r="FC261" s="422">
        <f t="shared" si="1310"/>
        <v>-144246.17019629222</v>
      </c>
      <c r="FD261" s="422">
        <f t="shared" si="1310"/>
        <v>-212594.42487738322</v>
      </c>
      <c r="FE261" s="422">
        <f t="shared" si="1310"/>
        <v>-292940.95619309251</v>
      </c>
      <c r="FF261" s="422">
        <f t="shared" si="1310"/>
        <v>-383931.71342575242</v>
      </c>
      <c r="FG261" s="422">
        <f t="shared" si="1310"/>
        <v>-482924.57619608339</v>
      </c>
      <c r="FH261" s="422">
        <f t="shared" si="1310"/>
        <v>-585974.9811186716</v>
      </c>
      <c r="FI261" s="422">
        <f t="shared" si="1310"/>
        <v>-688003.65592537448</v>
      </c>
      <c r="FJ261" s="422">
        <f t="shared" si="1310"/>
        <v>-783157.16387206223</v>
      </c>
      <c r="FK261" s="422">
        <f t="shared" si="1310"/>
        <v>-865336.50554752466</v>
      </c>
      <c r="FL261" s="422">
        <f t="shared" si="1310"/>
        <v>-161723.34071015019</v>
      </c>
      <c r="FM261" s="422">
        <f t="shared" si="1310"/>
        <v>40523.178758486509</v>
      </c>
      <c r="FN261" s="422">
        <f t="shared" si="1310"/>
        <v>174090.04382157131</v>
      </c>
      <c r="FO261" s="422">
        <f t="shared" si="1310"/>
        <v>162006.44982493951</v>
      </c>
      <c r="FP261" s="422">
        <f t="shared" si="1310"/>
        <v>154278.16836244214</v>
      </c>
      <c r="FQ261" s="422">
        <f t="shared" si="1310"/>
        <v>184259.22520214817</v>
      </c>
      <c r="FR261" s="422">
        <f t="shared" si="1310"/>
        <v>177194.15204223376</v>
      </c>
      <c r="FS261" s="422">
        <f t="shared" si="1310"/>
        <v>170692.43346380457</v>
      </c>
      <c r="FT261" s="422">
        <f t="shared" si="1310"/>
        <v>179368.21540568696</v>
      </c>
      <c r="FU261" s="422">
        <f t="shared" si="1310"/>
        <v>174252.81925369884</v>
      </c>
      <c r="FV261" s="422">
        <f t="shared" si="1310"/>
        <v>169871.93328902582</v>
      </c>
      <c r="FW261" s="422">
        <f t="shared" si="1310"/>
        <v>175134.56781735166</v>
      </c>
      <c r="FX261" s="422">
        <f t="shared" si="1310"/>
        <v>142280.09242495638</v>
      </c>
      <c r="FY261" s="422">
        <f t="shared" si="1310"/>
        <v>74886.761639022734</v>
      </c>
      <c r="FZ261" s="422">
        <f t="shared" si="1310"/>
        <v>125458.19319800851</v>
      </c>
      <c r="GA261" s="422">
        <f t="shared" si="1310"/>
        <v>144263.63348914686</v>
      </c>
      <c r="GB261" s="422" t="n">
        <f t="shared" ref="GB261:HG261" si="1311">+-GB240+GB258+GB259</f>
        <v>158267.15141824906</v>
      </c>
      <c r="GC261" s="422">
        <f t="shared" si="1311"/>
        <v>168296.07201473101</v>
      </c>
      <c r="GD261" s="422">
        <f t="shared" si="1311"/>
        <v>187198.23731284705</v>
      </c>
      <c r="GE261" s="422">
        <f t="shared" si="1311"/>
        <v>191599.71106646676</v>
      </c>
      <c r="GF261" s="422">
        <f t="shared" si="1311"/>
        <v>194841.8092567978</v>
      </c>
      <c r="GG261" s="422">
        <f t="shared" si="1311"/>
        <v>174728.54429912902</v>
      </c>
      <c r="GH261" s="422">
        <f t="shared" si="1311"/>
        <v>174126.11985148679</v>
      </c>
      <c r="GI261" s="422">
        <f t="shared" si="1311"/>
        <v>173519.17722048727</v>
      </c>
      <c r="GJ261" s="422">
        <f t="shared" si="1311"/>
        <v>173207.87188143402</v>
      </c>
      <c r="GK261" s="422">
        <f t="shared" si="1311"/>
        <v>172591.79097044648</v>
      </c>
      <c r="GL261" s="422">
        <f t="shared" si="1311"/>
        <v>171971.08945262659</v>
      </c>
      <c r="GM261" s="422">
        <f t="shared" si="1311"/>
        <v>179141.52805734024</v>
      </c>
      <c r="GN261" s="422">
        <f t="shared" si="1311"/>
        <v>178511.48110229263</v>
      </c>
      <c r="GO261" s="422">
        <f t="shared" si="1311"/>
        <v>177876.70879508229</v>
      </c>
      <c r="GP261" s="422">
        <f t="shared" si="1311"/>
        <v>178621.34548723436</v>
      </c>
      <c r="GQ261" s="422">
        <f t="shared" si="1311"/>
        <v>177977.01588947349</v>
      </c>
      <c r="GR261" s="422">
        <f t="shared" si="1311"/>
        <v>177327.85381972938</v>
      </c>
      <c r="GS261" s="422">
        <f t="shared" si="1311"/>
        <v>170332.11245273732</v>
      </c>
      <c r="GT261" s="422">
        <f t="shared" si="1311"/>
        <v>169673.17643658066</v>
      </c>
      <c r="GU261" s="422">
        <f t="shared" si="1311"/>
        <v>169009.29840030277</v>
      </c>
      <c r="GV261" s="422">
        <f t="shared" si="1311"/>
        <v>168640.12768500287</v>
      </c>
      <c r="GW261" s="422">
        <f t="shared" si="1311"/>
        <v>167966.25413504138</v>
      </c>
      <c r="GX261" s="422">
        <f t="shared" si="1311"/>
        <v>167287.32653345514</v>
      </c>
      <c r="GY261" s="422">
        <f t="shared" si="1311"/>
        <v>173659.20662878925</v>
      </c>
      <c r="GZ261" s="422">
        <f t="shared" si="1311"/>
        <v>172970.05692350163</v>
      </c>
      <c r="HA261" s="422">
        <f t="shared" si="1311"/>
        <v>172275.73859542439</v>
      </c>
      <c r="HB261" s="422">
        <f t="shared" si="1311"/>
        <v>173008.82861426138</v>
      </c>
      <c r="HC261" s="422">
        <f t="shared" si="1311"/>
        <v>172304.05645585706</v>
      </c>
      <c r="HD261" s="422">
        <f t="shared" si="1311"/>
        <v>171593.99850626464</v>
      </c>
      <c r="HE261" s="422">
        <f t="shared" si="1311"/>
        <v>7350970.3652140442</v>
      </c>
      <c r="HF261" s="422">
        <f t="shared" si="1311"/>
        <v>0</v>
      </c>
      <c r="HG261" s="422">
        <f t="shared" si="1311"/>
        <v>0</v>
      </c>
      <c r="HH261" s="422" t="n">
        <f t="shared" ref="HH261:IM261" si="1312">+-HH240+HH258+HH259</f>
        <v>0</v>
      </c>
      <c r="HI261" s="422">
        <f t="shared" si="1312"/>
        <v>0</v>
      </c>
      <c r="HJ261" s="422">
        <f t="shared" si="1312"/>
        <v>0</v>
      </c>
      <c r="HK261" s="422">
        <f t="shared" si="1312"/>
        <v>0</v>
      </c>
      <c r="HL261" s="422">
        <f t="shared" si="1312"/>
        <v>0</v>
      </c>
      <c r="HM261" s="422">
        <f t="shared" si="1312"/>
        <v>0</v>
      </c>
      <c r="HN261" s="422">
        <f t="shared" si="1312"/>
        <v>0</v>
      </c>
      <c r="HO261" s="422">
        <f t="shared" si="1312"/>
        <v>0</v>
      </c>
      <c r="HP261" s="422">
        <f t="shared" si="1312"/>
        <v>0</v>
      </c>
      <c r="HQ261" s="422">
        <f t="shared" si="1312"/>
        <v>0</v>
      </c>
      <c r="HR261" s="422">
        <f t="shared" si="1312"/>
        <v>0</v>
      </c>
      <c r="HS261" s="422">
        <f t="shared" si="1312"/>
        <v>0</v>
      </c>
      <c r="HT261" s="422">
        <f t="shared" si="1312"/>
        <v>0</v>
      </c>
      <c r="HU261" s="422">
        <f t="shared" si="1312"/>
        <v>0</v>
      </c>
      <c r="HV261" s="422">
        <f t="shared" si="1312"/>
        <v>0</v>
      </c>
      <c r="HW261" s="422">
        <f t="shared" si="1312"/>
        <v>0</v>
      </c>
      <c r="HX261" s="422">
        <f t="shared" si="1312"/>
        <v>0</v>
      </c>
      <c r="HY261" s="422">
        <f t="shared" si="1312"/>
        <v>0</v>
      </c>
      <c r="HZ261" s="422">
        <f t="shared" si="1312"/>
        <v>0</v>
      </c>
      <c r="IA261" s="422">
        <f t="shared" si="1312"/>
        <v>0</v>
      </c>
      <c r="IB261" s="422">
        <f t="shared" si="1312"/>
        <v>0</v>
      </c>
      <c r="IC261" s="422">
        <f t="shared" si="1312"/>
        <v>0</v>
      </c>
      <c r="ID261" s="422">
        <f t="shared" si="1312"/>
        <v>0</v>
      </c>
      <c r="IE261" s="422">
        <f t="shared" si="1312"/>
        <v>0</v>
      </c>
      <c r="IF261" s="422">
        <f t="shared" si="1312"/>
        <v>0</v>
      </c>
      <c r="IG261" s="422">
        <f t="shared" si="1312"/>
        <v>0</v>
      </c>
      <c r="IH261" s="422">
        <f t="shared" si="1312"/>
        <v>0</v>
      </c>
      <c r="II261" s="422">
        <f t="shared" si="1312"/>
        <v>0</v>
      </c>
      <c r="IJ261" s="422">
        <f t="shared" si="1312"/>
        <v>0</v>
      </c>
      <c r="IK261" s="422">
        <f t="shared" si="1312"/>
        <v>0</v>
      </c>
      <c r="IL261" s="422">
        <f t="shared" si="1312"/>
        <v>0</v>
      </c>
      <c r="IM261" s="422">
        <f t="shared" si="1312"/>
        <v>0</v>
      </c>
      <c r="IN261" s="422" t="n">
        <f t="shared" ref="IN261:JX261" si="1313">+-IN240+IN258+IN259</f>
        <v>0</v>
      </c>
      <c r="IO261" s="422">
        <f t="shared" si="1313"/>
        <v>0</v>
      </c>
      <c r="IP261" s="422">
        <f t="shared" si="1313"/>
        <v>0</v>
      </c>
      <c r="IQ261" s="422">
        <f t="shared" si="1313"/>
        <v>0</v>
      </c>
      <c r="IR261" s="422">
        <f t="shared" si="1313"/>
        <v>0</v>
      </c>
      <c r="IS261" s="422">
        <f t="shared" si="1313"/>
        <v>0</v>
      </c>
      <c r="IT261" s="422">
        <f t="shared" si="1313"/>
        <v>0</v>
      </c>
      <c r="IU261" s="422">
        <f t="shared" si="1313"/>
        <v>0</v>
      </c>
      <c r="IV261" s="422">
        <f t="shared" si="1313"/>
        <v>0</v>
      </c>
      <c r="IW261" s="422">
        <f t="shared" si="1313"/>
        <v>0</v>
      </c>
      <c r="IX261" s="422">
        <f t="shared" si="1313"/>
        <v>0</v>
      </c>
      <c r="IY261" s="422">
        <f t="shared" si="1313"/>
        <v>0</v>
      </c>
      <c r="IZ261" s="422">
        <f t="shared" si="1313"/>
        <v>0</v>
      </c>
      <c r="JA261" s="422">
        <f t="shared" si="1313"/>
        <v>0</v>
      </c>
      <c r="JB261" s="422">
        <f t="shared" si="1313"/>
        <v>0</v>
      </c>
      <c r="JC261" s="422">
        <f t="shared" si="1313"/>
        <v>0</v>
      </c>
      <c r="JD261" s="422">
        <f t="shared" si="1313"/>
        <v>0</v>
      </c>
      <c r="JE261" s="422">
        <f t="shared" si="1313"/>
        <v>0</v>
      </c>
      <c r="JF261" s="422">
        <f t="shared" si="1313"/>
        <v>0</v>
      </c>
      <c r="JG261" s="422">
        <f t="shared" si="1313"/>
        <v>0</v>
      </c>
      <c r="JH261" s="422">
        <f t="shared" si="1313"/>
        <v>0</v>
      </c>
      <c r="JI261" s="422">
        <f t="shared" si="1313"/>
        <v>0</v>
      </c>
      <c r="JJ261" s="422">
        <f t="shared" si="1313"/>
        <v>0</v>
      </c>
      <c r="JK261" s="422">
        <f t="shared" si="1313"/>
        <v>0</v>
      </c>
      <c r="JL261" s="422">
        <f t="shared" si="1313"/>
        <v>0</v>
      </c>
      <c r="JM261" s="422">
        <f t="shared" si="1313"/>
        <v>0</v>
      </c>
      <c r="JN261" s="422">
        <f t="shared" si="1313"/>
        <v>0</v>
      </c>
      <c r="JO261" s="422">
        <f t="shared" si="1313"/>
        <v>0</v>
      </c>
      <c r="JP261" s="422">
        <f t="shared" si="1313"/>
        <v>0</v>
      </c>
      <c r="JQ261" s="422">
        <f t="shared" si="1313"/>
        <v>0</v>
      </c>
      <c r="JR261" s="422">
        <f t="shared" si="1313"/>
        <v>0</v>
      </c>
      <c r="JS261" s="422">
        <f t="shared" si="1313"/>
        <v>0</v>
      </c>
      <c r="JT261" s="422">
        <f t="shared" si="1313"/>
        <v>0</v>
      </c>
      <c r="JU261" s="422">
        <f t="shared" si="1313"/>
        <v>0</v>
      </c>
      <c r="JV261" s="422">
        <f t="shared" si="1313"/>
        <v>0</v>
      </c>
      <c r="JW261" s="422">
        <f t="shared" si="1313"/>
        <v>0</v>
      </c>
      <c r="JX261" s="422">
        <f t="shared" si="1313"/>
        <v>0</v>
      </c>
      <c r="JZ261" s="263"/>
      <c r="KA261" s="263"/>
      <c r="KB261" s="263"/>
      <c r="KC261" s="263"/>
      <c r="KD261" s="263"/>
      <c r="KE261" s="263"/>
      <c r="KF261" s="263"/>
      <c r="KG261" s="263"/>
      <c r="KH261" s="263"/>
      <c r="KI261" s="263"/>
      <c r="KJ261" s="263"/>
      <c r="KK261" s="263"/>
      <c r="KL261" s="263"/>
      <c r="KM261" s="263"/>
      <c r="KN261" s="263"/>
      <c r="KO261" s="263"/>
      <c r="KP261" s="263"/>
      <c r="KQ261" s="263"/>
      <c r="KR261" s="263"/>
      <c r="KS261" s="263"/>
      <c r="KT261" s="263"/>
      <c r="KU261" s="263"/>
      <c r="KV261" s="263"/>
      <c r="KW261" s="263"/>
      <c r="KX261" s="263"/>
      <c r="KY261" s="263"/>
      <c r="KZ261" s="263"/>
      <c r="LA261" s="263"/>
      <c r="LB261" s="263"/>
      <c r="LC261" s="263"/>
      <c r="LD261" s="263"/>
      <c r="LE261" s="263"/>
      <c r="LF261" s="263"/>
      <c r="LG261" s="263"/>
      <c r="LH261" s="263"/>
      <c r="LI261" s="263"/>
      <c r="LJ261" s="263"/>
      <c r="LK261" s="263"/>
      <c r="LL261" s="263"/>
      <c r="LM261" s="263"/>
      <c r="LN261" s="263"/>
      <c r="LO261" s="263"/>
      <c r="LP261" s="263"/>
      <c r="LQ261" s="263"/>
      <c r="LR261" s="263"/>
      <c r="LS261" s="263"/>
      <c r="LT261" s="263"/>
      <c r="LU261" s="263"/>
      <c r="LV261" s="263"/>
      <c r="LW261" s="263"/>
      <c r="LX261" s="263"/>
      <c r="LY261" s="263"/>
      <c r="LZ261" s="263"/>
      <c r="MA261" s="263"/>
      <c r="MB261" s="263"/>
      <c r="MC261" s="263"/>
      <c r="MD261" s="263"/>
      <c r="ME261" s="263"/>
      <c r="MF261" s="263"/>
      <c r="MG261" s="263"/>
      <c r="MH261" s="263"/>
      <c r="MI261" s="263"/>
      <c r="MJ261" s="263"/>
      <c r="MK261" s="263"/>
      <c r="ML261" s="263"/>
      <c r="MM261" s="263"/>
      <c r="MN261" s="263"/>
      <c r="MO261" s="263"/>
      <c r="MP261" s="263"/>
      <c r="MQ261" s="263"/>
      <c r="MR261" s="263"/>
      <c r="MS261" s="263"/>
      <c r="MT261" s="263"/>
      <c r="MU261" s="263"/>
      <c r="MV261" s="263"/>
      <c r="MW261" s="263"/>
      <c r="MX261" s="263"/>
      <c r="MY261" s="263"/>
      <c r="MZ261" s="263"/>
      <c r="NA261" s="263"/>
      <c r="NB261" s="263"/>
      <c r="NC261" s="263"/>
      <c r="ND261" s="263"/>
      <c r="NE261" s="263"/>
      <c r="NF261" s="263"/>
      <c r="NG261" s="263"/>
      <c r="NH261" s="263"/>
      <c r="NI261" s="263"/>
      <c r="NJ261" s="263"/>
      <c r="NK261" s="263"/>
      <c r="NL261" s="263"/>
      <c r="NM261" s="263"/>
      <c r="NN261" s="263"/>
      <c r="NO261" s="263"/>
      <c r="NP261" s="263"/>
      <c r="NQ261" s="263"/>
      <c r="NR261" s="263"/>
      <c r="NS261" s="263"/>
      <c r="NT261" s="263"/>
      <c r="NU261" s="263"/>
      <c r="NV261" s="263"/>
      <c r="NW261" s="263"/>
      <c r="NX261" s="263"/>
      <c r="NY261" s="263"/>
      <c r="NZ261" s="263"/>
      <c r="OA261" s="263"/>
      <c r="OB261" s="263"/>
      <c r="OC261" s="263"/>
      <c r="OD261" s="263"/>
      <c r="OE261" s="263"/>
      <c r="OF261" s="263"/>
      <c r="OG261" s="263"/>
      <c r="OH261" s="263"/>
      <c r="OI261" s="263"/>
      <c r="OJ261" s="263"/>
      <c r="OK261" s="263"/>
      <c r="OL261" s="263"/>
      <c r="OM261" s="263"/>
      <c r="ON261" s="263"/>
      <c r="OO261" s="263"/>
      <c r="OP261" s="263"/>
      <c r="OQ261" s="263"/>
      <c r="OR261" s="263"/>
      <c r="OS261" s="263"/>
      <c r="OT261" s="263"/>
      <c r="OU261" s="263"/>
      <c r="OV261" s="263"/>
      <c r="OW261" s="263"/>
      <c r="OX261" s="263"/>
      <c r="OY261" s="263"/>
      <c r="OZ261" s="263"/>
      <c r="PA261" s="263"/>
      <c r="PB261" s="263"/>
      <c r="PC261" s="263"/>
      <c r="PD261" s="263"/>
      <c r="PE261" s="263"/>
      <c r="PF261" s="263"/>
      <c r="PG261" s="263"/>
      <c r="PH261" s="263"/>
    </row>
    <row r="262">
      <c r="B262" s="34" t="s">
        <v>153</v>
      </c>
      <c r="C262" s="401"/>
      <c r="D262" s="401"/>
      <c r="E262" s="401"/>
      <c r="F262" s="401"/>
      <c r="G262" s="401"/>
      <c r="H262" s="58" t="n">
        <f>I262/$I$241</f>
        <v>0.321791583788336</v>
      </c>
      <c r="I262" s="551" t="n">
        <f>SUM(I260:I261)</f>
        <v>316137990.5354668</v>
      </c>
      <c r="L262" s="421" t="str">
        <f t="shared" ref="L262:AQ262" si="1314">IF(L$227="","",SUM(L260:L261))</f>
      </c>
      <c r="M262" s="421">
        <f t="shared" si="1314"/>
        <v>20697.418964568609</v>
      </c>
      <c r="N262" s="421">
        <f t="shared" si="1314"/>
        <v>7136.8991101698412</v>
      </c>
      <c r="O262" s="421">
        <f t="shared" si="1314"/>
        <v>0</v>
      </c>
      <c r="P262" s="421">
        <f t="shared" si="1314"/>
        <v>0</v>
      </c>
      <c r="Q262" s="421">
        <f t="shared" si="1314"/>
        <v>0</v>
      </c>
      <c r="R262" s="421">
        <f t="shared" si="1314"/>
        <v>0</v>
      </c>
      <c r="S262" s="421">
        <f t="shared" si="1314"/>
        <v>0</v>
      </c>
      <c r="T262" s="421">
        <f t="shared" si="1314"/>
        <v>0</v>
      </c>
      <c r="U262" s="421">
        <f t="shared" si="1314"/>
        <v>0</v>
      </c>
      <c r="V262" s="421">
        <f t="shared" si="1314"/>
        <v>0</v>
      </c>
      <c r="W262" s="421">
        <f t="shared" si="1314"/>
        <v>0</v>
      </c>
      <c r="X262" s="421">
        <f t="shared" si="1314"/>
        <v>0</v>
      </c>
      <c r="Y262" s="421">
        <f t="shared" si="1314"/>
        <v>0</v>
      </c>
      <c r="Z262" s="421">
        <f t="shared" si="1314"/>
        <v>0</v>
      </c>
      <c r="AA262" s="421">
        <f t="shared" si="1314"/>
        <v>0</v>
      </c>
      <c r="AB262" s="421">
        <f t="shared" si="1314"/>
        <v>0</v>
      </c>
      <c r="AC262" s="421">
        <f t="shared" si="1314"/>
        <v>42655.977640512116</v>
      </c>
      <c r="AD262" s="421">
        <f t="shared" si="1314"/>
        <v>183252.67770691717</v>
      </c>
      <c r="AE262" s="421">
        <f t="shared" si="1314"/>
        <v>170533.1050788837</v>
      </c>
      <c r="AF262" s="421">
        <f t="shared" si="1314"/>
        <v>162398.07196046543</v>
      </c>
      <c r="AG262" s="421">
        <f t="shared" si="1314"/>
        <v>193957.07916015596</v>
      </c>
      <c r="AH262" s="421">
        <f t="shared" si="1314"/>
        <v>186520.1600444566</v>
      </c>
      <c r="AI262" s="421">
        <f t="shared" si="1314"/>
        <v>179676.24575137324</v>
      </c>
      <c r="AJ262" s="421">
        <f t="shared" si="1314"/>
        <v>188808.64779545995</v>
      </c>
      <c r="AK262" s="421">
        <f t="shared" si="1314"/>
        <v>183424.02026705141</v>
      </c>
      <c r="AL262" s="421">
        <f t="shared" si="1314"/>
        <v>178812.56135686929</v>
      </c>
      <c r="AM262" s="421">
        <f t="shared" si="1314"/>
        <v>184352.17664984387</v>
      </c>
      <c r="AN262" s="421">
        <f t="shared" si="1314"/>
        <v>149768.51834205937</v>
      </c>
      <c r="AO262" s="421">
        <f t="shared" si="1314"/>
        <v>78828.170146339718</v>
      </c>
      <c r="AP262" s="421">
        <f t="shared" si="1314"/>
        <v>132061.2559979037</v>
      </c>
      <c r="AQ262" s="421">
        <f t="shared" si="1314"/>
        <v>151856.45630436513</v>
      </c>
      <c r="AR262" s="421" t="n">
        <f t="shared" ref="AR262:BW262" si="1315">IF(AR$227="","",SUM(AR260:AR261))</f>
        <v>166597.00149289376</v>
      </c>
      <c r="AS262" s="421">
        <f t="shared" si="1315"/>
        <v>177153.76001550633</v>
      </c>
      <c r="AT262" s="421">
        <f t="shared" si="1315"/>
        <v>197050.77611878637</v>
      </c>
      <c r="AU262" s="421">
        <f t="shared" si="1315"/>
        <v>201683.9063857545</v>
      </c>
      <c r="AV262" s="421">
        <f t="shared" si="1315"/>
        <v>205096.64132294507</v>
      </c>
      <c r="AW262" s="421">
        <f t="shared" si="1315"/>
        <v>183924.78347276739</v>
      </c>
      <c r="AX262" s="421">
        <f t="shared" si="1315"/>
        <v>183290.65247524926</v>
      </c>
      <c r="AY262" s="421">
        <f t="shared" si="1315"/>
        <v>182651.76549524977</v>
      </c>
      <c r="AZ262" s="421">
        <f t="shared" si="1315"/>
        <v>182324.07566466741</v>
      </c>
      <c r="BA262" s="421">
        <f t="shared" si="1315"/>
        <v>181675.56944257524</v>
      </c>
      <c r="BB262" s="421">
        <f t="shared" si="1315"/>
        <v>181022.19942381748</v>
      </c>
      <c r="BC262" s="421">
        <f t="shared" si="1315"/>
        <v>188570.02953404238</v>
      </c>
      <c r="BD262" s="76">
        <f t="shared" si="1315"/>
        <v>187906.82221293962</v>
      </c>
      <c r="BE262" s="76">
        <f t="shared" si="1315"/>
        <v>187238.64083692874</v>
      </c>
      <c r="BF262" s="76">
        <f t="shared" si="1315"/>
        <v>188022.46893393091</v>
      </c>
      <c r="BG262" s="76">
        <f t="shared" si="1315"/>
        <v>187344.22725207737</v>
      </c>
      <c r="BH262" s="76">
        <f t="shared" si="1315"/>
        <v>186660.89875760989</v>
      </c>
      <c r="BI262" s="76">
        <f t="shared" si="1315"/>
        <v>318883.14423809893</v>
      </c>
      <c r="BJ262" s="76">
        <f t="shared" si="1315"/>
        <v>318189.52737898671</v>
      </c>
      <c r="BK262" s="76">
        <f t="shared" si="1315"/>
        <v>317490.70839343104</v>
      </c>
      <c r="BL262" s="76">
        <f t="shared" si="1315"/>
        <v>317102.10764048377</v>
      </c>
      <c r="BM262" s="76">
        <f t="shared" si="1315"/>
        <v>316392.76706157695</v>
      </c>
      <c r="BN262" s="76">
        <f t="shared" si="1315"/>
        <v>315678.10642832826</v>
      </c>
      <c r="BO262" s="76">
        <f t="shared" si="1315"/>
        <v>322385.34863394313</v>
      </c>
      <c r="BP262" s="76">
        <f t="shared" si="1315"/>
        <v>321659.9278915351</v>
      </c>
      <c r="BQ262" s="76">
        <f t="shared" si="1315"/>
        <v>320929.06649355905</v>
      </c>
      <c r="BR262" s="76">
        <f t="shared" si="1315"/>
        <v>321700.74019759794</v>
      </c>
      <c r="BS262" s="76">
        <f t="shared" si="1315"/>
        <v>320958.8747676987</v>
      </c>
      <c r="BT262" s="76">
        <f t="shared" si="1315"/>
        <v>320211.44534707512</v>
      </c>
      <c r="BU262" s="76">
        <f t="shared" si="1315"/>
        <v>306743455.10987937</v>
      </c>
      <c r="BV262" s="76" t="str">
        <f t="shared" si="1315"/>
      </c>
      <c r="BW262" s="76" t="str">
        <f t="shared" si="1315"/>
      </c>
      <c r="BX262" s="76" t="str">
        <f t="shared" ref="BX262:DC262" si="1316">IF(BX$227="","",SUM(BX260:BX261))</f>
      </c>
      <c r="BY262" s="76" t="str">
        <f t="shared" si="1316"/>
      </c>
      <c r="BZ262" s="76" t="str">
        <f t="shared" si="1316"/>
      </c>
      <c r="CA262" s="76" t="str">
        <f t="shared" si="1316"/>
      </c>
      <c r="CB262" s="76" t="str">
        <f t="shared" si="1316"/>
      </c>
      <c r="CC262" s="76" t="str">
        <f t="shared" si="1316"/>
      </c>
      <c r="CD262" s="76" t="str">
        <f t="shared" si="1316"/>
      </c>
      <c r="CE262" s="76" t="str">
        <f t="shared" si="1316"/>
      </c>
      <c r="CF262" s="76" t="str">
        <f t="shared" si="1316"/>
      </c>
      <c r="CG262" s="76" t="str">
        <f t="shared" si="1316"/>
      </c>
      <c r="CH262" s="76" t="str">
        <f t="shared" si="1316"/>
      </c>
      <c r="CI262" s="76" t="str">
        <f t="shared" si="1316"/>
      </c>
      <c r="CJ262" s="76" t="str">
        <f t="shared" si="1316"/>
      </c>
      <c r="CK262" s="76" t="str">
        <f t="shared" si="1316"/>
      </c>
      <c r="CL262" s="76" t="str">
        <f t="shared" si="1316"/>
      </c>
      <c r="CM262" s="76" t="str">
        <f t="shared" si="1316"/>
      </c>
      <c r="CN262" s="76" t="str">
        <f t="shared" si="1316"/>
      </c>
      <c r="CO262" s="76" t="str">
        <f t="shared" si="1316"/>
      </c>
      <c r="CP262" s="76" t="str">
        <f t="shared" si="1316"/>
      </c>
      <c r="CQ262" s="76" t="str">
        <f t="shared" si="1316"/>
      </c>
      <c r="CR262" s="76" t="str">
        <f t="shared" si="1316"/>
      </c>
      <c r="CS262" s="76" t="str">
        <f t="shared" si="1316"/>
      </c>
      <c r="CT262" s="76" t="str">
        <f t="shared" si="1316"/>
      </c>
      <c r="CU262" s="76" t="str">
        <f t="shared" si="1316"/>
      </c>
      <c r="CV262" s="76" t="str">
        <f t="shared" si="1316"/>
      </c>
      <c r="CW262" s="76" t="str">
        <f t="shared" si="1316"/>
      </c>
      <c r="CX262" s="76" t="str">
        <f t="shared" si="1316"/>
      </c>
      <c r="CY262" s="76" t="str">
        <f t="shared" si="1316"/>
      </c>
      <c r="CZ262" s="76" t="str">
        <f t="shared" si="1316"/>
      </c>
      <c r="DA262" s="76" t="str">
        <f t="shared" si="1316"/>
      </c>
      <c r="DB262" s="76" t="str">
        <f t="shared" si="1316"/>
      </c>
      <c r="DC262" s="76" t="str">
        <f t="shared" si="1316"/>
      </c>
      <c r="DD262" s="76" t="str">
        <f t="shared" ref="DD262:EI262" si="1317">IF(DD$227="","",SUM(DD260:DD261))</f>
      </c>
      <c r="DE262" s="76" t="str">
        <f t="shared" si="1317"/>
      </c>
      <c r="DF262" s="76" t="str">
        <f t="shared" si="1317"/>
      </c>
      <c r="DG262" s="76" t="str">
        <f t="shared" si="1317"/>
      </c>
      <c r="DH262" s="76" t="str">
        <f t="shared" si="1317"/>
      </c>
      <c r="DI262" s="76" t="str">
        <f t="shared" si="1317"/>
      </c>
      <c r="DJ262" s="76" t="str">
        <f t="shared" si="1317"/>
      </c>
      <c r="DK262" s="76" t="str">
        <f t="shared" si="1317"/>
      </c>
      <c r="DL262" s="76" t="str">
        <f t="shared" si="1317"/>
      </c>
      <c r="DM262" s="76" t="str">
        <f t="shared" si="1317"/>
      </c>
      <c r="DN262" s="76" t="str">
        <f t="shared" si="1317"/>
      </c>
      <c r="DO262" s="76" t="str">
        <f t="shared" si="1317"/>
      </c>
      <c r="DP262" s="76" t="str">
        <f t="shared" si="1317"/>
      </c>
      <c r="DQ262" s="76" t="str">
        <f t="shared" si="1317"/>
      </c>
      <c r="DR262" s="76" t="str">
        <f t="shared" si="1317"/>
      </c>
      <c r="DS262" s="76" t="str">
        <f t="shared" si="1317"/>
      </c>
      <c r="DT262" s="76" t="str">
        <f t="shared" si="1317"/>
      </c>
      <c r="DU262" s="76" t="str">
        <f t="shared" si="1317"/>
      </c>
      <c r="DV262" s="76" t="str">
        <f t="shared" si="1317"/>
      </c>
      <c r="DW262" s="76" t="str">
        <f t="shared" si="1317"/>
      </c>
      <c r="DX262" s="76" t="str">
        <f t="shared" si="1317"/>
      </c>
      <c r="DY262" s="76" t="str">
        <f t="shared" si="1317"/>
      </c>
      <c r="DZ262" s="76" t="str">
        <f t="shared" si="1317"/>
      </c>
      <c r="EA262" s="76" t="str">
        <f t="shared" si="1317"/>
      </c>
      <c r="EB262" s="76" t="str">
        <f t="shared" si="1317"/>
      </c>
      <c r="EC262" s="76" t="str">
        <f t="shared" si="1317"/>
      </c>
      <c r="ED262" s="76" t="str">
        <f t="shared" si="1317"/>
      </c>
      <c r="EE262" s="76" t="str">
        <f t="shared" si="1317"/>
      </c>
      <c r="EF262" s="76" t="str">
        <f t="shared" si="1317"/>
      </c>
      <c r="EG262" s="76" t="str">
        <f t="shared" si="1317"/>
      </c>
      <c r="EH262" s="76" t="str">
        <f t="shared" si="1317"/>
      </c>
      <c r="EI262" s="76" t="str">
        <f t="shared" si="1317"/>
      </c>
      <c r="EJ262" s="76" t="str">
        <f>IF(EJ$227="","",SUM(EJ260:EJ261))</f>
      </c>
      <c r="EK262" s="76" t="str">
        <f>IF(EK$227="","",SUM(EK260:EK261))</f>
      </c>
      <c r="EL262" s="76" t="str">
        <f>IF(EL$227="","",SUM(EL260:EL261))</f>
      </c>
      <c r="EM262" s="76" t="str">
        <f>IF(EM$227="","",SUM(EM260:EM261))</f>
      </c>
      <c r="EN262" s="76" t="str">
        <f>IF(EN$227="","",SUM(EN260:EN261))</f>
      </c>
      <c r="EP262" s="409"/>
      <c r="EQ262" s="18"/>
      <c r="ER262" s="18"/>
      <c r="ES262" s="18"/>
      <c r="ET262" s="18" t="s">
        <v>442</v>
      </c>
      <c r="EU262" s="18"/>
      <c r="EV262" s="422" t="n">
        <f t="shared" ref="EV262:GA262" si="1318">(EV$197&lt;=Timing_Reversion_Month)*(EV259/$I$256*$H$256)</f>
        <v>0</v>
      </c>
      <c r="EW262" s="422">
        <f t="shared" si="1318"/>
        <v>0</v>
      </c>
      <c r="EX262" s="422">
        <f t="shared" si="1318"/>
        <v>0</v>
      </c>
      <c r="EY262" s="422">
        <f t="shared" si="1318"/>
        <v>0</v>
      </c>
      <c r="EZ262" s="422">
        <f t="shared" si="1318"/>
        <v>0</v>
      </c>
      <c r="FA262" s="422">
        <f t="shared" si="1318"/>
        <v>0</v>
      </c>
      <c r="FB262" s="422">
        <f t="shared" si="1318"/>
        <v>0</v>
      </c>
      <c r="FC262" s="422">
        <f t="shared" si="1318"/>
        <v>0</v>
      </c>
      <c r="FD262" s="422">
        <f t="shared" si="1318"/>
        <v>0</v>
      </c>
      <c r="FE262" s="422">
        <f t="shared" si="1318"/>
        <v>0</v>
      </c>
      <c r="FF262" s="422">
        <f t="shared" si="1318"/>
        <v>0</v>
      </c>
      <c r="FG262" s="422">
        <f t="shared" si="1318"/>
        <v>0</v>
      </c>
      <c r="FH262" s="422">
        <f t="shared" si="1318"/>
        <v>0</v>
      </c>
      <c r="FI262" s="422">
        <f t="shared" si="1318"/>
        <v>0</v>
      </c>
      <c r="FJ262" s="422">
        <f t="shared" si="1318"/>
        <v>0</v>
      </c>
      <c r="FK262" s="422">
        <f t="shared" si="1318"/>
        <v>0</v>
      </c>
      <c r="FL262" s="422">
        <f t="shared" si="1318"/>
        <v>0</v>
      </c>
      <c r="FM262" s="422">
        <f t="shared" si="1318"/>
        <v>0</v>
      </c>
      <c r="FN262" s="422">
        <f t="shared" si="1318"/>
        <v>0</v>
      </c>
      <c r="FO262" s="422">
        <f t="shared" si="1318"/>
        <v>0</v>
      </c>
      <c r="FP262" s="422">
        <f t="shared" si="1318"/>
        <v>0</v>
      </c>
      <c r="FQ262" s="422">
        <f t="shared" si="1318"/>
        <v>0</v>
      </c>
      <c r="FR262" s="422">
        <f t="shared" si="1318"/>
        <v>0</v>
      </c>
      <c r="FS262" s="422">
        <f t="shared" si="1318"/>
        <v>0</v>
      </c>
      <c r="FT262" s="422">
        <f t="shared" si="1318"/>
        <v>0</v>
      </c>
      <c r="FU262" s="422">
        <f t="shared" si="1318"/>
        <v>0</v>
      </c>
      <c r="FV262" s="422">
        <f t="shared" si="1318"/>
        <v>0</v>
      </c>
      <c r="FW262" s="422">
        <f t="shared" si="1318"/>
        <v>0</v>
      </c>
      <c r="FX262" s="422">
        <f t="shared" si="1318"/>
        <v>0</v>
      </c>
      <c r="FY262" s="422">
        <f t="shared" si="1318"/>
        <v>0</v>
      </c>
      <c r="FZ262" s="422">
        <f t="shared" si="1318"/>
        <v>0</v>
      </c>
      <c r="GA262" s="422">
        <f t="shared" si="1318"/>
        <v>0</v>
      </c>
      <c r="GB262" s="422" t="n">
        <f t="shared" ref="GB262:HG262" si="1319">(GB$197&lt;=Timing_Reversion_Month)*(GB259/$I$256*$H$256)</f>
        <v>0</v>
      </c>
      <c r="GC262" s="422">
        <f t="shared" si="1319"/>
        <v>0</v>
      </c>
      <c r="GD262" s="422">
        <f t="shared" si="1319"/>
        <v>0</v>
      </c>
      <c r="GE262" s="422">
        <f t="shared" si="1319"/>
        <v>0</v>
      </c>
      <c r="GF262" s="422">
        <f t="shared" si="1319"/>
        <v>0</v>
      </c>
      <c r="GG262" s="422">
        <f t="shared" si="1319"/>
        <v>0</v>
      </c>
      <c r="GH262" s="422">
        <f t="shared" si="1319"/>
        <v>0</v>
      </c>
      <c r="GI262" s="422">
        <f t="shared" si="1319"/>
        <v>0</v>
      </c>
      <c r="GJ262" s="422">
        <f t="shared" si="1319"/>
        <v>0</v>
      </c>
      <c r="GK262" s="422">
        <f t="shared" si="1319"/>
        <v>0</v>
      </c>
      <c r="GL262" s="422">
        <f t="shared" si="1319"/>
        <v>0</v>
      </c>
      <c r="GM262" s="422">
        <f t="shared" si="1319"/>
        <v>0</v>
      </c>
      <c r="GN262" s="422">
        <f t="shared" si="1319"/>
        <v>0</v>
      </c>
      <c r="GO262" s="422">
        <f t="shared" si="1319"/>
        <v>0</v>
      </c>
      <c r="GP262" s="422">
        <f t="shared" si="1319"/>
        <v>0</v>
      </c>
      <c r="GQ262" s="422">
        <f t="shared" si="1319"/>
        <v>0</v>
      </c>
      <c r="GR262" s="422">
        <f t="shared" si="1319"/>
        <v>0</v>
      </c>
      <c r="GS262" s="422">
        <f t="shared" si="1319"/>
        <v>0</v>
      </c>
      <c r="GT262" s="422">
        <f t="shared" si="1319"/>
        <v>0</v>
      </c>
      <c r="GU262" s="422">
        <f t="shared" si="1319"/>
        <v>0</v>
      </c>
      <c r="GV262" s="422">
        <f t="shared" si="1319"/>
        <v>0</v>
      </c>
      <c r="GW262" s="422">
        <f t="shared" si="1319"/>
        <v>0</v>
      </c>
      <c r="GX262" s="422">
        <f t="shared" si="1319"/>
        <v>0</v>
      </c>
      <c r="GY262" s="422">
        <f t="shared" si="1319"/>
        <v>0</v>
      </c>
      <c r="GZ262" s="422">
        <f t="shared" si="1319"/>
        <v>0</v>
      </c>
      <c r="HA262" s="422">
        <f t="shared" si="1319"/>
        <v>0</v>
      </c>
      <c r="HB262" s="422">
        <f t="shared" si="1319"/>
        <v>0</v>
      </c>
      <c r="HC262" s="422">
        <f t="shared" si="1319"/>
        <v>0</v>
      </c>
      <c r="HD262" s="422">
        <f t="shared" si="1319"/>
        <v>0</v>
      </c>
      <c r="HE262" s="422">
        <f t="shared" si="1319"/>
        <v>726575.37934258347</v>
      </c>
      <c r="HF262" s="422">
        <f t="shared" si="1319"/>
        <v>0</v>
      </c>
      <c r="HG262" s="422">
        <f t="shared" si="1319"/>
        <v>0</v>
      </c>
      <c r="HH262" s="422" t="n">
        <f t="shared" ref="HH262:IM262" si="1320">(HH$197&lt;=Timing_Reversion_Month)*(HH259/$I$256*$H$256)</f>
        <v>0</v>
      </c>
      <c r="HI262" s="422">
        <f t="shared" si="1320"/>
        <v>0</v>
      </c>
      <c r="HJ262" s="422">
        <f t="shared" si="1320"/>
        <v>0</v>
      </c>
      <c r="HK262" s="422">
        <f t="shared" si="1320"/>
        <v>0</v>
      </c>
      <c r="HL262" s="422">
        <f t="shared" si="1320"/>
        <v>0</v>
      </c>
      <c r="HM262" s="422">
        <f t="shared" si="1320"/>
        <v>0</v>
      </c>
      <c r="HN262" s="422">
        <f t="shared" si="1320"/>
        <v>0</v>
      </c>
      <c r="HO262" s="422">
        <f t="shared" si="1320"/>
        <v>0</v>
      </c>
      <c r="HP262" s="422">
        <f t="shared" si="1320"/>
        <v>0</v>
      </c>
      <c r="HQ262" s="422">
        <f t="shared" si="1320"/>
        <v>0</v>
      </c>
      <c r="HR262" s="422">
        <f t="shared" si="1320"/>
        <v>0</v>
      </c>
      <c r="HS262" s="422">
        <f t="shared" si="1320"/>
        <v>0</v>
      </c>
      <c r="HT262" s="422">
        <f t="shared" si="1320"/>
        <v>0</v>
      </c>
      <c r="HU262" s="422">
        <f t="shared" si="1320"/>
        <v>0</v>
      </c>
      <c r="HV262" s="422">
        <f t="shared" si="1320"/>
        <v>0</v>
      </c>
      <c r="HW262" s="422">
        <f t="shared" si="1320"/>
        <v>0</v>
      </c>
      <c r="HX262" s="422">
        <f t="shared" si="1320"/>
        <v>0</v>
      </c>
      <c r="HY262" s="422">
        <f t="shared" si="1320"/>
        <v>0</v>
      </c>
      <c r="HZ262" s="422">
        <f t="shared" si="1320"/>
        <v>0</v>
      </c>
      <c r="IA262" s="422">
        <f t="shared" si="1320"/>
        <v>0</v>
      </c>
      <c r="IB262" s="422">
        <f t="shared" si="1320"/>
        <v>0</v>
      </c>
      <c r="IC262" s="422">
        <f t="shared" si="1320"/>
        <v>0</v>
      </c>
      <c r="ID262" s="422">
        <f t="shared" si="1320"/>
        <v>0</v>
      </c>
      <c r="IE262" s="422">
        <f t="shared" si="1320"/>
        <v>0</v>
      </c>
      <c r="IF262" s="422">
        <f t="shared" si="1320"/>
        <v>0</v>
      </c>
      <c r="IG262" s="422">
        <f t="shared" si="1320"/>
        <v>0</v>
      </c>
      <c r="IH262" s="422">
        <f t="shared" si="1320"/>
        <v>0</v>
      </c>
      <c r="II262" s="422">
        <f t="shared" si="1320"/>
        <v>0</v>
      </c>
      <c r="IJ262" s="422">
        <f t="shared" si="1320"/>
        <v>0</v>
      </c>
      <c r="IK262" s="422">
        <f t="shared" si="1320"/>
        <v>0</v>
      </c>
      <c r="IL262" s="422">
        <f t="shared" si="1320"/>
        <v>0</v>
      </c>
      <c r="IM262" s="422">
        <f t="shared" si="1320"/>
        <v>0</v>
      </c>
      <c r="IN262" s="422" t="n">
        <f t="shared" ref="IN262:JX262" si="1321">(IN$197&lt;=Timing_Reversion_Month)*(IN259/$I$256*$H$256)</f>
        <v>0</v>
      </c>
      <c r="IO262" s="422">
        <f t="shared" si="1321"/>
        <v>0</v>
      </c>
      <c r="IP262" s="422">
        <f t="shared" si="1321"/>
        <v>0</v>
      </c>
      <c r="IQ262" s="422">
        <f t="shared" si="1321"/>
        <v>0</v>
      </c>
      <c r="IR262" s="422">
        <f t="shared" si="1321"/>
        <v>0</v>
      </c>
      <c r="IS262" s="422">
        <f t="shared" si="1321"/>
        <v>0</v>
      </c>
      <c r="IT262" s="422">
        <f t="shared" si="1321"/>
        <v>0</v>
      </c>
      <c r="IU262" s="422">
        <f t="shared" si="1321"/>
        <v>0</v>
      </c>
      <c r="IV262" s="422">
        <f t="shared" si="1321"/>
        <v>0</v>
      </c>
      <c r="IW262" s="422">
        <f t="shared" si="1321"/>
        <v>0</v>
      </c>
      <c r="IX262" s="422">
        <f t="shared" si="1321"/>
        <v>0</v>
      </c>
      <c r="IY262" s="422">
        <f t="shared" si="1321"/>
        <v>0</v>
      </c>
      <c r="IZ262" s="422">
        <f t="shared" si="1321"/>
        <v>0</v>
      </c>
      <c r="JA262" s="422">
        <f t="shared" si="1321"/>
        <v>0</v>
      </c>
      <c r="JB262" s="422">
        <f t="shared" si="1321"/>
        <v>0</v>
      </c>
      <c r="JC262" s="422">
        <f t="shared" si="1321"/>
        <v>0</v>
      </c>
      <c r="JD262" s="422">
        <f t="shared" si="1321"/>
        <v>0</v>
      </c>
      <c r="JE262" s="422">
        <f t="shared" si="1321"/>
        <v>0</v>
      </c>
      <c r="JF262" s="422">
        <f t="shared" si="1321"/>
        <v>0</v>
      </c>
      <c r="JG262" s="422">
        <f t="shared" si="1321"/>
        <v>0</v>
      </c>
      <c r="JH262" s="422">
        <f t="shared" si="1321"/>
        <v>0</v>
      </c>
      <c r="JI262" s="422">
        <f t="shared" si="1321"/>
        <v>0</v>
      </c>
      <c r="JJ262" s="422">
        <f t="shared" si="1321"/>
        <v>0</v>
      </c>
      <c r="JK262" s="422">
        <f t="shared" si="1321"/>
        <v>0</v>
      </c>
      <c r="JL262" s="422">
        <f t="shared" si="1321"/>
        <v>0</v>
      </c>
      <c r="JM262" s="422">
        <f t="shared" si="1321"/>
        <v>0</v>
      </c>
      <c r="JN262" s="422">
        <f t="shared" si="1321"/>
        <v>0</v>
      </c>
      <c r="JO262" s="422">
        <f t="shared" si="1321"/>
        <v>0</v>
      </c>
      <c r="JP262" s="422">
        <f t="shared" si="1321"/>
        <v>0</v>
      </c>
      <c r="JQ262" s="422">
        <f t="shared" si="1321"/>
        <v>0</v>
      </c>
      <c r="JR262" s="422">
        <f t="shared" si="1321"/>
        <v>0</v>
      </c>
      <c r="JS262" s="422">
        <f t="shared" si="1321"/>
        <v>0</v>
      </c>
      <c r="JT262" s="422">
        <f t="shared" si="1321"/>
        <v>0</v>
      </c>
      <c r="JU262" s="422">
        <f t="shared" si="1321"/>
        <v>0</v>
      </c>
      <c r="JV262" s="422">
        <f t="shared" si="1321"/>
        <v>0</v>
      </c>
      <c r="JW262" s="422">
        <f t="shared" si="1321"/>
        <v>0</v>
      </c>
      <c r="JX262" s="422">
        <f t="shared" si="1321"/>
        <v>0</v>
      </c>
      <c r="JZ262" s="263"/>
      <c r="KA262" s="263"/>
      <c r="KB262" s="263"/>
      <c r="KC262" s="263"/>
      <c r="KD262" s="263"/>
      <c r="KE262" s="263"/>
      <c r="KF262" s="263"/>
      <c r="KG262" s="263"/>
      <c r="KH262" s="263"/>
      <c r="KI262" s="263"/>
      <c r="KJ262" s="263"/>
      <c r="KK262" s="263"/>
      <c r="KL262" s="263"/>
      <c r="KM262" s="263"/>
      <c r="KN262" s="263"/>
      <c r="KO262" s="263"/>
      <c r="KP262" s="263"/>
      <c r="KQ262" s="263"/>
      <c r="KR262" s="263"/>
      <c r="KS262" s="263"/>
      <c r="KT262" s="263"/>
      <c r="KU262" s="263"/>
      <c r="KV262" s="263"/>
      <c r="KW262" s="263"/>
      <c r="KX262" s="263"/>
      <c r="KY262" s="263"/>
      <c r="KZ262" s="263"/>
      <c r="LA262" s="263"/>
      <c r="LB262" s="263"/>
      <c r="LC262" s="263"/>
      <c r="LD262" s="263"/>
      <c r="LE262" s="263"/>
      <c r="LF262" s="263"/>
      <c r="LG262" s="263"/>
      <c r="LH262" s="263"/>
      <c r="LI262" s="263"/>
      <c r="LJ262" s="263"/>
      <c r="LK262" s="263"/>
      <c r="LL262" s="263"/>
      <c r="LM262" s="263"/>
      <c r="LN262" s="263"/>
      <c r="LO262" s="263"/>
      <c r="LP262" s="263"/>
      <c r="LQ262" s="263"/>
      <c r="LR262" s="263"/>
      <c r="LS262" s="263"/>
      <c r="LT262" s="263"/>
      <c r="LU262" s="263"/>
      <c r="LV262" s="263"/>
      <c r="LW262" s="263"/>
      <c r="LX262" s="263"/>
      <c r="LY262" s="263"/>
      <c r="LZ262" s="263"/>
      <c r="MA262" s="263"/>
      <c r="MB262" s="263"/>
      <c r="MC262" s="263"/>
      <c r="MD262" s="263"/>
      <c r="ME262" s="263"/>
      <c r="MF262" s="263"/>
      <c r="MG262" s="263"/>
      <c r="MH262" s="263"/>
      <c r="MI262" s="263"/>
      <c r="MJ262" s="263"/>
      <c r="MK262" s="263"/>
      <c r="ML262" s="263"/>
      <c r="MM262" s="263"/>
      <c r="MN262" s="263"/>
      <c r="MO262" s="263"/>
      <c r="MP262" s="263"/>
      <c r="MQ262" s="263"/>
      <c r="MR262" s="263"/>
      <c r="MS262" s="263"/>
      <c r="MT262" s="263"/>
      <c r="MU262" s="263"/>
      <c r="MV262" s="263"/>
      <c r="MW262" s="263"/>
      <c r="MX262" s="263"/>
      <c r="MY262" s="263"/>
      <c r="MZ262" s="263"/>
      <c r="NA262" s="263"/>
      <c r="NB262" s="263"/>
      <c r="NC262" s="263"/>
      <c r="ND262" s="263"/>
      <c r="NE262" s="263"/>
      <c r="NF262" s="263"/>
      <c r="NG262" s="263"/>
      <c r="NH262" s="263"/>
      <c r="NI262" s="263"/>
      <c r="NJ262" s="263"/>
      <c r="NK262" s="263"/>
      <c r="NL262" s="263"/>
      <c r="NM262" s="263"/>
      <c r="NN262" s="263"/>
      <c r="NO262" s="263"/>
      <c r="NP262" s="263"/>
      <c r="NQ262" s="263"/>
      <c r="NR262" s="263"/>
      <c r="NS262" s="263"/>
      <c r="NT262" s="263"/>
      <c r="NU262" s="263"/>
      <c r="NV262" s="263"/>
      <c r="NW262" s="263"/>
      <c r="NX262" s="263"/>
      <c r="NY262" s="263"/>
      <c r="NZ262" s="263"/>
      <c r="OA262" s="263"/>
      <c r="OB262" s="263"/>
      <c r="OC262" s="263"/>
      <c r="OD262" s="263"/>
      <c r="OE262" s="263"/>
      <c r="OF262" s="263"/>
      <c r="OG262" s="263"/>
      <c r="OH262" s="263"/>
      <c r="OI262" s="263"/>
      <c r="OJ262" s="263"/>
      <c r="OK262" s="263"/>
      <c r="OL262" s="263"/>
      <c r="OM262" s="263"/>
      <c r="ON262" s="263"/>
      <c r="OO262" s="263"/>
      <c r="OP262" s="263"/>
      <c r="OQ262" s="263"/>
      <c r="OR262" s="263"/>
      <c r="OS262" s="263"/>
      <c r="OT262" s="263"/>
      <c r="OU262" s="263"/>
      <c r="OV262" s="263"/>
      <c r="OW262" s="263"/>
      <c r="OX262" s="263"/>
      <c r="OY262" s="263"/>
      <c r="OZ262" s="263"/>
      <c r="PA262" s="263"/>
      <c r="PB262" s="263"/>
      <c r="PC262" s="263"/>
      <c r="PD262" s="263"/>
      <c r="PE262" s="263"/>
      <c r="PF262" s="263"/>
      <c r="PG262" s="263"/>
      <c r="PH262" s="263"/>
    </row>
    <row r="263">
      <c r="B263" s="34"/>
      <c r="C263" s="401"/>
      <c r="D263" s="401"/>
      <c r="E263" s="401"/>
      <c r="F263" s="401"/>
      <c r="G263" s="401"/>
      <c r="H263" s="401"/>
      <c r="I263" s="401"/>
      <c r="EP263" s="409"/>
      <c r="EQ263" s="18"/>
      <c r="ER263" s="18"/>
      <c r="ES263" s="18"/>
      <c r="ET263" s="18" t="s">
        <v>417</v>
      </c>
      <c r="EU263" s="18"/>
      <c r="EV263" s="422" t="n">
        <f>+EV262+EV259</f>
        <v>0</v>
      </c>
      <c r="EW263" s="422" t="n">
        <f t="shared" ref="EW263:HH263" si="1322">+EW262+EW259</f>
        <v>0</v>
      </c>
      <c r="EX263" s="422">
        <f t="shared" si="1322"/>
        <v>0</v>
      </c>
      <c r="EY263" s="422">
        <f t="shared" si="1322"/>
        <v>0</v>
      </c>
      <c r="EZ263" s="422">
        <f t="shared" si="1322"/>
        <v>0</v>
      </c>
      <c r="FA263" s="422">
        <f t="shared" si="1322"/>
        <v>0</v>
      </c>
      <c r="FB263" s="422">
        <f t="shared" si="1322"/>
        <v>0</v>
      </c>
      <c r="FC263" s="422">
        <f t="shared" si="1322"/>
        <v>0</v>
      </c>
      <c r="FD263" s="422">
        <f t="shared" si="1322"/>
        <v>0</v>
      </c>
      <c r="FE263" s="422">
        <f t="shared" si="1322"/>
        <v>0</v>
      </c>
      <c r="FF263" s="422">
        <f t="shared" si="1322"/>
        <v>0</v>
      </c>
      <c r="FG263" s="422">
        <f t="shared" si="1322"/>
        <v>0</v>
      </c>
      <c r="FH263" s="422">
        <f t="shared" si="1322"/>
        <v>0</v>
      </c>
      <c r="FI263" s="422">
        <f t="shared" si="1322"/>
        <v>0</v>
      </c>
      <c r="FJ263" s="422">
        <f t="shared" si="1322"/>
        <v>0</v>
      </c>
      <c r="FK263" s="422">
        <f t="shared" si="1322"/>
        <v>0</v>
      </c>
      <c r="FL263" s="422">
        <f t="shared" si="1322"/>
        <v>0</v>
      </c>
      <c r="FM263" s="422">
        <f t="shared" si="1322"/>
        <v>0</v>
      </c>
      <c r="FN263" s="422">
        <f t="shared" si="1322"/>
        <v>0</v>
      </c>
      <c r="FO263" s="422">
        <f t="shared" si="1322"/>
        <v>0</v>
      </c>
      <c r="FP263" s="422">
        <f t="shared" si="1322"/>
        <v>0</v>
      </c>
      <c r="FQ263" s="422">
        <f t="shared" si="1322"/>
        <v>0</v>
      </c>
      <c r="FR263" s="422">
        <f t="shared" si="1322"/>
        <v>0</v>
      </c>
      <c r="FS263" s="422">
        <f t="shared" si="1322"/>
        <v>0</v>
      </c>
      <c r="FT263" s="422">
        <f t="shared" si="1322"/>
        <v>0</v>
      </c>
      <c r="FU263" s="422">
        <f t="shared" si="1322"/>
        <v>0</v>
      </c>
      <c r="FV263" s="422">
        <f t="shared" si="1322"/>
        <v>0</v>
      </c>
      <c r="FW263" s="422">
        <f t="shared" si="1322"/>
        <v>0</v>
      </c>
      <c r="FX263" s="422">
        <f t="shared" si="1322"/>
        <v>0</v>
      </c>
      <c r="FY263" s="422">
        <f t="shared" si="1322"/>
        <v>0</v>
      </c>
      <c r="FZ263" s="422">
        <f t="shared" si="1322"/>
        <v>0</v>
      </c>
      <c r="GA263" s="422">
        <f t="shared" si="1322"/>
        <v>0</v>
      </c>
      <c r="GB263" s="422">
        <f t="shared" si="1322"/>
        <v>0</v>
      </c>
      <c r="GC263" s="422">
        <f t="shared" si="1322"/>
        <v>0</v>
      </c>
      <c r="GD263" s="422">
        <f t="shared" si="1322"/>
        <v>0</v>
      </c>
      <c r="GE263" s="422">
        <f t="shared" si="1322"/>
        <v>0</v>
      </c>
      <c r="GF263" s="422">
        <f t="shared" si="1322"/>
        <v>0</v>
      </c>
      <c r="GG263" s="422">
        <f t="shared" si="1322"/>
        <v>0</v>
      </c>
      <c r="GH263" s="422">
        <f t="shared" si="1322"/>
        <v>0</v>
      </c>
      <c r="GI263" s="422">
        <f t="shared" si="1322"/>
        <v>0</v>
      </c>
      <c r="GJ263" s="422">
        <f t="shared" si="1322"/>
        <v>0</v>
      </c>
      <c r="GK263" s="422">
        <f t="shared" si="1322"/>
        <v>0</v>
      </c>
      <c r="GL263" s="422">
        <f t="shared" si="1322"/>
        <v>0</v>
      </c>
      <c r="GM263" s="422">
        <f t="shared" si="1322"/>
        <v>0</v>
      </c>
      <c r="GN263" s="422">
        <f t="shared" si="1322"/>
        <v>0</v>
      </c>
      <c r="GO263" s="422">
        <f t="shared" si="1322"/>
        <v>0</v>
      </c>
      <c r="GP263" s="422">
        <f t="shared" si="1322"/>
        <v>0</v>
      </c>
      <c r="GQ263" s="422">
        <f t="shared" si="1322"/>
        <v>0</v>
      </c>
      <c r="GR263" s="422">
        <f t="shared" si="1322"/>
        <v>0</v>
      </c>
      <c r="GS263" s="422">
        <f t="shared" si="1322"/>
        <v>0</v>
      </c>
      <c r="GT263" s="422">
        <f t="shared" si="1322"/>
        <v>0</v>
      </c>
      <c r="GU263" s="422">
        <f t="shared" si="1322"/>
        <v>0</v>
      </c>
      <c r="GV263" s="422">
        <f t="shared" si="1322"/>
        <v>0</v>
      </c>
      <c r="GW263" s="422">
        <f t="shared" si="1322"/>
        <v>0</v>
      </c>
      <c r="GX263" s="422">
        <f t="shared" si="1322"/>
        <v>0</v>
      </c>
      <c r="GY263" s="422">
        <f t="shared" si="1322"/>
        <v>0</v>
      </c>
      <c r="GZ263" s="422">
        <f t="shared" si="1322"/>
        <v>0</v>
      </c>
      <c r="HA263" s="422">
        <f t="shared" si="1322"/>
        <v>0</v>
      </c>
      <c r="HB263" s="422">
        <f t="shared" si="1322"/>
        <v>0</v>
      </c>
      <c r="HC263" s="422">
        <f t="shared" si="1322"/>
        <v>0</v>
      </c>
      <c r="HD263" s="422">
        <f t="shared" si="1322"/>
        <v>0</v>
      </c>
      <c r="HE263" s="422">
        <f t="shared" si="1322"/>
        <v>2168881.7293808465</v>
      </c>
      <c r="HF263" s="422">
        <f t="shared" si="1322"/>
        <v>0</v>
      </c>
      <c r="HG263" s="422">
        <f t="shared" si="1322"/>
        <v>0</v>
      </c>
      <c r="HH263" s="422">
        <f t="shared" si="1322"/>
        <v>0</v>
      </c>
      <c r="HI263" s="422" t="n">
        <f t="shared" ref="HI263:JT263" si="1323">+HI262+HI259</f>
        <v>0</v>
      </c>
      <c r="HJ263" s="422">
        <f t="shared" si="1323"/>
        <v>0</v>
      </c>
      <c r="HK263" s="422">
        <f t="shared" si="1323"/>
        <v>0</v>
      </c>
      <c r="HL263" s="422">
        <f t="shared" si="1323"/>
        <v>0</v>
      </c>
      <c r="HM263" s="422">
        <f t="shared" si="1323"/>
        <v>0</v>
      </c>
      <c r="HN263" s="422">
        <f t="shared" si="1323"/>
        <v>0</v>
      </c>
      <c r="HO263" s="422">
        <f t="shared" si="1323"/>
        <v>0</v>
      </c>
      <c r="HP263" s="422">
        <f t="shared" si="1323"/>
        <v>0</v>
      </c>
      <c r="HQ263" s="422">
        <f t="shared" si="1323"/>
        <v>0</v>
      </c>
      <c r="HR263" s="422">
        <f t="shared" si="1323"/>
        <v>0</v>
      </c>
      <c r="HS263" s="422">
        <f t="shared" si="1323"/>
        <v>0</v>
      </c>
      <c r="HT263" s="422">
        <f t="shared" si="1323"/>
        <v>0</v>
      </c>
      <c r="HU263" s="422">
        <f t="shared" si="1323"/>
        <v>0</v>
      </c>
      <c r="HV263" s="422">
        <f t="shared" si="1323"/>
        <v>0</v>
      </c>
      <c r="HW263" s="422">
        <f t="shared" si="1323"/>
        <v>0</v>
      </c>
      <c r="HX263" s="422">
        <f t="shared" si="1323"/>
        <v>0</v>
      </c>
      <c r="HY263" s="422">
        <f t="shared" si="1323"/>
        <v>0</v>
      </c>
      <c r="HZ263" s="422">
        <f t="shared" si="1323"/>
        <v>0</v>
      </c>
      <c r="IA263" s="422">
        <f t="shared" si="1323"/>
        <v>0</v>
      </c>
      <c r="IB263" s="422">
        <f t="shared" si="1323"/>
        <v>0</v>
      </c>
      <c r="IC263" s="422">
        <f t="shared" si="1323"/>
        <v>0</v>
      </c>
      <c r="ID263" s="422">
        <f t="shared" si="1323"/>
        <v>0</v>
      </c>
      <c r="IE263" s="422">
        <f t="shared" si="1323"/>
        <v>0</v>
      </c>
      <c r="IF263" s="422">
        <f t="shared" si="1323"/>
        <v>0</v>
      </c>
      <c r="IG263" s="422">
        <f t="shared" si="1323"/>
        <v>0</v>
      </c>
      <c r="IH263" s="422">
        <f t="shared" si="1323"/>
        <v>0</v>
      </c>
      <c r="II263" s="422">
        <f t="shared" si="1323"/>
        <v>0</v>
      </c>
      <c r="IJ263" s="422">
        <f t="shared" si="1323"/>
        <v>0</v>
      </c>
      <c r="IK263" s="422">
        <f t="shared" si="1323"/>
        <v>0</v>
      </c>
      <c r="IL263" s="422">
        <f t="shared" si="1323"/>
        <v>0</v>
      </c>
      <c r="IM263" s="422">
        <f t="shared" si="1323"/>
        <v>0</v>
      </c>
      <c r="IN263" s="422">
        <f t="shared" si="1323"/>
        <v>0</v>
      </c>
      <c r="IO263" s="422">
        <f t="shared" si="1323"/>
        <v>0</v>
      </c>
      <c r="IP263" s="422">
        <f t="shared" si="1323"/>
        <v>0</v>
      </c>
      <c r="IQ263" s="422">
        <f t="shared" si="1323"/>
        <v>0</v>
      </c>
      <c r="IR263" s="422">
        <f t="shared" si="1323"/>
        <v>0</v>
      </c>
      <c r="IS263" s="422">
        <f t="shared" si="1323"/>
        <v>0</v>
      </c>
      <c r="IT263" s="422">
        <f t="shared" si="1323"/>
        <v>0</v>
      </c>
      <c r="IU263" s="422">
        <f t="shared" si="1323"/>
        <v>0</v>
      </c>
      <c r="IV263" s="422">
        <f t="shared" si="1323"/>
        <v>0</v>
      </c>
      <c r="IW263" s="422">
        <f t="shared" si="1323"/>
        <v>0</v>
      </c>
      <c r="IX263" s="422">
        <f t="shared" si="1323"/>
        <v>0</v>
      </c>
      <c r="IY263" s="422">
        <f t="shared" si="1323"/>
        <v>0</v>
      </c>
      <c r="IZ263" s="422">
        <f t="shared" si="1323"/>
        <v>0</v>
      </c>
      <c r="JA263" s="422">
        <f t="shared" si="1323"/>
        <v>0</v>
      </c>
      <c r="JB263" s="422">
        <f t="shared" si="1323"/>
        <v>0</v>
      </c>
      <c r="JC263" s="422">
        <f t="shared" si="1323"/>
        <v>0</v>
      </c>
      <c r="JD263" s="422">
        <f t="shared" si="1323"/>
        <v>0</v>
      </c>
      <c r="JE263" s="422">
        <f t="shared" si="1323"/>
        <v>0</v>
      </c>
      <c r="JF263" s="422">
        <f t="shared" si="1323"/>
        <v>0</v>
      </c>
      <c r="JG263" s="422">
        <f t="shared" si="1323"/>
        <v>0</v>
      </c>
      <c r="JH263" s="422">
        <f t="shared" si="1323"/>
        <v>0</v>
      </c>
      <c r="JI263" s="422">
        <f t="shared" si="1323"/>
        <v>0</v>
      </c>
      <c r="JJ263" s="422">
        <f t="shared" si="1323"/>
        <v>0</v>
      </c>
      <c r="JK263" s="422">
        <f t="shared" si="1323"/>
        <v>0</v>
      </c>
      <c r="JL263" s="422">
        <f t="shared" si="1323"/>
        <v>0</v>
      </c>
      <c r="JM263" s="422">
        <f t="shared" si="1323"/>
        <v>0</v>
      </c>
      <c r="JN263" s="422">
        <f t="shared" si="1323"/>
        <v>0</v>
      </c>
      <c r="JO263" s="422">
        <f t="shared" si="1323"/>
        <v>0</v>
      </c>
      <c r="JP263" s="422">
        <f t="shared" si="1323"/>
        <v>0</v>
      </c>
      <c r="JQ263" s="422">
        <f t="shared" si="1323"/>
        <v>0</v>
      </c>
      <c r="JR263" s="422">
        <f t="shared" si="1323"/>
        <v>0</v>
      </c>
      <c r="JS263" s="422">
        <f t="shared" si="1323"/>
        <v>0</v>
      </c>
      <c r="JT263" s="422">
        <f t="shared" si="1323"/>
        <v>0</v>
      </c>
      <c r="JU263" s="422" t="n">
        <f>+JU262+JU259</f>
        <v>0</v>
      </c>
      <c r="JV263" s="422" t="n">
        <f>+JV262+JV259</f>
        <v>0</v>
      </c>
      <c r="JW263" s="422" t="n">
        <f>+JW262+JW259</f>
        <v>0</v>
      </c>
      <c r="JX263" s="422" t="n">
        <f>+JX262+JX259</f>
        <v>0</v>
      </c>
      <c r="JZ263" s="263"/>
      <c r="KA263" s="263"/>
      <c r="KB263" s="263"/>
      <c r="KC263" s="263"/>
      <c r="KD263" s="263"/>
      <c r="KE263" s="263"/>
      <c r="KF263" s="263"/>
      <c r="KG263" s="263"/>
      <c r="KH263" s="263"/>
      <c r="KI263" s="263"/>
      <c r="KJ263" s="263"/>
      <c r="KK263" s="263"/>
      <c r="KL263" s="263"/>
      <c r="KM263" s="263"/>
      <c r="KN263" s="263"/>
      <c r="KO263" s="263"/>
      <c r="KP263" s="263"/>
      <c r="KQ263" s="263"/>
      <c r="KR263" s="263"/>
      <c r="KS263" s="263"/>
      <c r="KT263" s="263"/>
      <c r="KU263" s="263"/>
      <c r="KV263" s="263"/>
      <c r="KW263" s="263"/>
      <c r="KX263" s="263"/>
      <c r="KY263" s="263"/>
      <c r="KZ263" s="263"/>
      <c r="LA263" s="263"/>
      <c r="LB263" s="263"/>
      <c r="LC263" s="263"/>
      <c r="LD263" s="263"/>
      <c r="LE263" s="263"/>
      <c r="LF263" s="263"/>
      <c r="LG263" s="263"/>
      <c r="LH263" s="263"/>
      <c r="LI263" s="263"/>
      <c r="LJ263" s="263"/>
      <c r="LK263" s="263"/>
      <c r="LL263" s="263"/>
      <c r="LM263" s="263"/>
      <c r="LN263" s="263"/>
      <c r="LO263" s="263"/>
      <c r="LP263" s="263"/>
      <c r="LQ263" s="263"/>
      <c r="LR263" s="263"/>
      <c r="LS263" s="263"/>
      <c r="LT263" s="263"/>
      <c r="LU263" s="263"/>
      <c r="LV263" s="263"/>
      <c r="LW263" s="263"/>
      <c r="LX263" s="263"/>
      <c r="LY263" s="263"/>
      <c r="LZ263" s="263"/>
      <c r="MA263" s="263"/>
      <c r="MB263" s="263"/>
      <c r="MC263" s="263"/>
      <c r="MD263" s="263"/>
      <c r="ME263" s="263"/>
      <c r="MF263" s="263"/>
      <c r="MG263" s="263"/>
      <c r="MH263" s="263"/>
      <c r="MI263" s="263"/>
      <c r="MJ263" s="263"/>
      <c r="MK263" s="263"/>
      <c r="ML263" s="263"/>
      <c r="MM263" s="263"/>
      <c r="MN263" s="263"/>
      <c r="MO263" s="263"/>
      <c r="MP263" s="263"/>
      <c r="MQ263" s="263"/>
      <c r="MR263" s="263"/>
      <c r="MS263" s="263"/>
      <c r="MT263" s="263"/>
      <c r="MU263" s="263"/>
      <c r="MV263" s="263"/>
      <c r="MW263" s="263"/>
      <c r="MX263" s="263"/>
      <c r="MY263" s="263"/>
      <c r="MZ263" s="263"/>
      <c r="NA263" s="263"/>
      <c r="NB263" s="263"/>
      <c r="NC263" s="263"/>
      <c r="ND263" s="263"/>
      <c r="NE263" s="263"/>
      <c r="NF263" s="263"/>
      <c r="NG263" s="263"/>
      <c r="NH263" s="263"/>
      <c r="NI263" s="263"/>
      <c r="NJ263" s="263"/>
      <c r="NK263" s="263"/>
      <c r="NL263" s="263"/>
      <c r="NM263" s="263"/>
      <c r="NN263" s="263"/>
      <c r="NO263" s="263"/>
      <c r="NP263" s="263"/>
      <c r="NQ263" s="263"/>
      <c r="NR263" s="263"/>
      <c r="NS263" s="263"/>
      <c r="NT263" s="263"/>
      <c r="NU263" s="263"/>
      <c r="NV263" s="263"/>
      <c r="NW263" s="263"/>
      <c r="NX263" s="263"/>
      <c r="NY263" s="263"/>
      <c r="NZ263" s="263"/>
      <c r="OA263" s="263"/>
      <c r="OB263" s="263"/>
      <c r="OC263" s="263"/>
      <c r="OD263" s="263"/>
      <c r="OE263" s="263"/>
      <c r="OF263" s="263"/>
      <c r="OG263" s="263"/>
      <c r="OH263" s="263"/>
      <c r="OI263" s="263"/>
      <c r="OJ263" s="263"/>
      <c r="OK263" s="263"/>
      <c r="OL263" s="263"/>
      <c r="OM263" s="263"/>
      <c r="ON263" s="263"/>
      <c r="OO263" s="263"/>
      <c r="OP263" s="263"/>
      <c r="OQ263" s="263"/>
      <c r="OR263" s="263"/>
      <c r="OS263" s="263"/>
      <c r="OT263" s="263"/>
      <c r="OU263" s="263"/>
      <c r="OV263" s="263"/>
      <c r="OW263" s="263"/>
      <c r="OX263" s="263"/>
      <c r="OY263" s="263"/>
      <c r="OZ263" s="263"/>
      <c r="PA263" s="263"/>
      <c r="PB263" s="263"/>
      <c r="PC263" s="263"/>
      <c r="PD263" s="263"/>
      <c r="PE263" s="263"/>
      <c r="PF263" s="263"/>
      <c r="PG263" s="263"/>
      <c r="PH263" s="263"/>
    </row>
    <row r="264">
      <c r="B264" s="415" t="s">
        <v>441</v>
      </c>
      <c r="C264" s="401"/>
      <c r="D264" s="401"/>
      <c r="E264" s="401"/>
      <c r="F264" s="404" t="s">
        <v>56</v>
      </c>
      <c r="G264" s="404" t="s">
        <v>57</v>
      </c>
      <c r="H264" s="416" t="s">
        <v>209</v>
      </c>
      <c r="I264" s="416" t="s">
        <v>80</v>
      </c>
      <c r="EP264" s="543"/>
      <c r="EQ264" s="539"/>
      <c r="ER264" s="539"/>
      <c r="ES264" s="539"/>
      <c r="ET264" s="539" t="s">
        <v>392</v>
      </c>
      <c r="EU264" s="539"/>
      <c r="EV264" s="540" t="n">
        <f>MAX(EV255-EV263,0)</f>
        <v>0</v>
      </c>
      <c r="EW264" s="540" t="n">
        <f t="shared" ref="EW264:HH264" si="1324">MAX(EW255-EW263,0)</f>
        <v>0</v>
      </c>
      <c r="EX264" s="540">
        <f t="shared" si="1324"/>
        <v>0</v>
      </c>
      <c r="EY264" s="540">
        <f t="shared" si="1324"/>
        <v>0</v>
      </c>
      <c r="EZ264" s="540">
        <f t="shared" si="1324"/>
        <v>0</v>
      </c>
      <c r="FA264" s="540">
        <f t="shared" si="1324"/>
        <v>0</v>
      </c>
      <c r="FB264" s="540">
        <f t="shared" si="1324"/>
        <v>0</v>
      </c>
      <c r="FC264" s="540">
        <f t="shared" si="1324"/>
        <v>0</v>
      </c>
      <c r="FD264" s="540">
        <f t="shared" si="1324"/>
        <v>0</v>
      </c>
      <c r="FE264" s="540">
        <f t="shared" si="1324"/>
        <v>0</v>
      </c>
      <c r="FF264" s="540">
        <f t="shared" si="1324"/>
        <v>0</v>
      </c>
      <c r="FG264" s="540">
        <f t="shared" si="1324"/>
        <v>0</v>
      </c>
      <c r="FH264" s="540">
        <f t="shared" si="1324"/>
        <v>0</v>
      </c>
      <c r="FI264" s="540">
        <f t="shared" si="1324"/>
        <v>0</v>
      </c>
      <c r="FJ264" s="540">
        <f t="shared" si="1324"/>
        <v>0</v>
      </c>
      <c r="FK264" s="540">
        <f t="shared" si="1324"/>
        <v>0</v>
      </c>
      <c r="FL264" s="540">
        <f t="shared" si="1324"/>
        <v>0</v>
      </c>
      <c r="FM264" s="540">
        <f t="shared" si="1324"/>
        <v>0</v>
      </c>
      <c r="FN264" s="540">
        <f t="shared" si="1324"/>
        <v>0</v>
      </c>
      <c r="FO264" s="540">
        <f t="shared" si="1324"/>
        <v>0</v>
      </c>
      <c r="FP264" s="540">
        <f t="shared" si="1324"/>
        <v>0</v>
      </c>
      <c r="FQ264" s="540">
        <f t="shared" si="1324"/>
        <v>0</v>
      </c>
      <c r="FR264" s="540">
        <f t="shared" si="1324"/>
        <v>0</v>
      </c>
      <c r="FS264" s="540">
        <f t="shared" si="1324"/>
        <v>0</v>
      </c>
      <c r="FT264" s="540">
        <f t="shared" si="1324"/>
        <v>0</v>
      </c>
      <c r="FU264" s="540">
        <f t="shared" si="1324"/>
        <v>0</v>
      </c>
      <c r="FV264" s="540">
        <f t="shared" si="1324"/>
        <v>0</v>
      </c>
      <c r="FW264" s="540">
        <f t="shared" si="1324"/>
        <v>0</v>
      </c>
      <c r="FX264" s="540">
        <f t="shared" si="1324"/>
        <v>0</v>
      </c>
      <c r="FY264" s="540">
        <f t="shared" si="1324"/>
        <v>0</v>
      </c>
      <c r="FZ264" s="540">
        <f t="shared" si="1324"/>
        <v>0</v>
      </c>
      <c r="GA264" s="540">
        <f t="shared" si="1324"/>
        <v>0</v>
      </c>
      <c r="GB264" s="540">
        <f t="shared" si="1324"/>
        <v>0</v>
      </c>
      <c r="GC264" s="540">
        <f t="shared" si="1324"/>
        <v>0</v>
      </c>
      <c r="GD264" s="540">
        <f t="shared" si="1324"/>
        <v>0</v>
      </c>
      <c r="GE264" s="540">
        <f t="shared" si="1324"/>
        <v>0</v>
      </c>
      <c r="GF264" s="540">
        <f t="shared" si="1324"/>
        <v>0</v>
      </c>
      <c r="GG264" s="540">
        <f t="shared" si="1324"/>
        <v>0</v>
      </c>
      <c r="GH264" s="540">
        <f t="shared" si="1324"/>
        <v>0</v>
      </c>
      <c r="GI264" s="540">
        <f t="shared" si="1324"/>
        <v>0</v>
      </c>
      <c r="GJ264" s="540">
        <f t="shared" si="1324"/>
        <v>0</v>
      </c>
      <c r="GK264" s="540">
        <f t="shared" si="1324"/>
        <v>0</v>
      </c>
      <c r="GL264" s="540">
        <f t="shared" si="1324"/>
        <v>0</v>
      </c>
      <c r="GM264" s="540">
        <f t="shared" si="1324"/>
        <v>0</v>
      </c>
      <c r="GN264" s="540">
        <f t="shared" si="1324"/>
        <v>0</v>
      </c>
      <c r="GO264" s="540">
        <f t="shared" si="1324"/>
        <v>0</v>
      </c>
      <c r="GP264" s="540">
        <f t="shared" si="1324"/>
        <v>0</v>
      </c>
      <c r="GQ264" s="540">
        <f t="shared" si="1324"/>
        <v>0</v>
      </c>
      <c r="GR264" s="540">
        <f t="shared" si="1324"/>
        <v>0</v>
      </c>
      <c r="GS264" s="540">
        <f t="shared" si="1324"/>
        <v>0</v>
      </c>
      <c r="GT264" s="540">
        <f t="shared" si="1324"/>
        <v>0</v>
      </c>
      <c r="GU264" s="540">
        <f t="shared" si="1324"/>
        <v>0</v>
      </c>
      <c r="GV264" s="540">
        <f t="shared" si="1324"/>
        <v>0</v>
      </c>
      <c r="GW264" s="540">
        <f t="shared" si="1324"/>
        <v>0</v>
      </c>
      <c r="GX264" s="540">
        <f t="shared" si="1324"/>
        <v>0</v>
      </c>
      <c r="GY264" s="540">
        <f t="shared" si="1324"/>
        <v>0</v>
      </c>
      <c r="GZ264" s="540">
        <f t="shared" si="1324"/>
        <v>0</v>
      </c>
      <c r="HA264" s="540">
        <f t="shared" si="1324"/>
        <v>0</v>
      </c>
      <c r="HB264" s="540">
        <f t="shared" si="1324"/>
        <v>0</v>
      </c>
      <c r="HC264" s="540">
        <f t="shared" si="1324"/>
        <v>0</v>
      </c>
      <c r="HD264" s="540">
        <f t="shared" si="1324"/>
        <v>0</v>
      </c>
      <c r="HE264" s="540">
        <f t="shared" si="1324"/>
        <v>297977027.45024878</v>
      </c>
      <c r="HF264" s="540">
        <f t="shared" si="1324"/>
        <v>0</v>
      </c>
      <c r="HG264" s="540">
        <f t="shared" si="1324"/>
        <v>0</v>
      </c>
      <c r="HH264" s="540">
        <f t="shared" si="1324"/>
        <v>0</v>
      </c>
      <c r="HI264" s="540" t="n">
        <f t="shared" ref="HI264:JT264" si="1325">MAX(HI255-HI263,0)</f>
        <v>0</v>
      </c>
      <c r="HJ264" s="540">
        <f t="shared" si="1325"/>
        <v>0</v>
      </c>
      <c r="HK264" s="540">
        <f t="shared" si="1325"/>
        <v>0</v>
      </c>
      <c r="HL264" s="540">
        <f t="shared" si="1325"/>
        <v>0</v>
      </c>
      <c r="HM264" s="540">
        <f t="shared" si="1325"/>
        <v>0</v>
      </c>
      <c r="HN264" s="540">
        <f t="shared" si="1325"/>
        <v>0</v>
      </c>
      <c r="HO264" s="540">
        <f t="shared" si="1325"/>
        <v>0</v>
      </c>
      <c r="HP264" s="540">
        <f t="shared" si="1325"/>
        <v>0</v>
      </c>
      <c r="HQ264" s="540">
        <f t="shared" si="1325"/>
        <v>0</v>
      </c>
      <c r="HR264" s="540">
        <f t="shared" si="1325"/>
        <v>0</v>
      </c>
      <c r="HS264" s="540">
        <f t="shared" si="1325"/>
        <v>0</v>
      </c>
      <c r="HT264" s="540">
        <f t="shared" si="1325"/>
        <v>0</v>
      </c>
      <c r="HU264" s="540">
        <f t="shared" si="1325"/>
        <v>0</v>
      </c>
      <c r="HV264" s="540">
        <f t="shared" si="1325"/>
        <v>0</v>
      </c>
      <c r="HW264" s="540">
        <f t="shared" si="1325"/>
        <v>0</v>
      </c>
      <c r="HX264" s="540">
        <f t="shared" si="1325"/>
        <v>0</v>
      </c>
      <c r="HY264" s="540">
        <f t="shared" si="1325"/>
        <v>0</v>
      </c>
      <c r="HZ264" s="540">
        <f t="shared" si="1325"/>
        <v>0</v>
      </c>
      <c r="IA264" s="540">
        <f t="shared" si="1325"/>
        <v>0</v>
      </c>
      <c r="IB264" s="540">
        <f t="shared" si="1325"/>
        <v>0</v>
      </c>
      <c r="IC264" s="540">
        <f t="shared" si="1325"/>
        <v>0</v>
      </c>
      <c r="ID264" s="540">
        <f t="shared" si="1325"/>
        <v>0</v>
      </c>
      <c r="IE264" s="540">
        <f t="shared" si="1325"/>
        <v>0</v>
      </c>
      <c r="IF264" s="540">
        <f t="shared" si="1325"/>
        <v>0</v>
      </c>
      <c r="IG264" s="540">
        <f t="shared" si="1325"/>
        <v>0</v>
      </c>
      <c r="IH264" s="540">
        <f t="shared" si="1325"/>
        <v>0</v>
      </c>
      <c r="II264" s="540">
        <f t="shared" si="1325"/>
        <v>0</v>
      </c>
      <c r="IJ264" s="540">
        <f t="shared" si="1325"/>
        <v>0</v>
      </c>
      <c r="IK264" s="540">
        <f t="shared" si="1325"/>
        <v>0</v>
      </c>
      <c r="IL264" s="540">
        <f t="shared" si="1325"/>
        <v>0</v>
      </c>
      <c r="IM264" s="540">
        <f t="shared" si="1325"/>
        <v>0</v>
      </c>
      <c r="IN264" s="540">
        <f t="shared" si="1325"/>
        <v>0</v>
      </c>
      <c r="IO264" s="540">
        <f t="shared" si="1325"/>
        <v>0</v>
      </c>
      <c r="IP264" s="540">
        <f t="shared" si="1325"/>
        <v>0</v>
      </c>
      <c r="IQ264" s="540">
        <f t="shared" si="1325"/>
        <v>0</v>
      </c>
      <c r="IR264" s="540">
        <f t="shared" si="1325"/>
        <v>0</v>
      </c>
      <c r="IS264" s="540">
        <f t="shared" si="1325"/>
        <v>0</v>
      </c>
      <c r="IT264" s="540">
        <f t="shared" si="1325"/>
        <v>0</v>
      </c>
      <c r="IU264" s="540">
        <f t="shared" si="1325"/>
        <v>0</v>
      </c>
      <c r="IV264" s="540">
        <f t="shared" si="1325"/>
        <v>0</v>
      </c>
      <c r="IW264" s="540">
        <f t="shared" si="1325"/>
        <v>0</v>
      </c>
      <c r="IX264" s="540">
        <f t="shared" si="1325"/>
        <v>0</v>
      </c>
      <c r="IY264" s="540">
        <f t="shared" si="1325"/>
        <v>0</v>
      </c>
      <c r="IZ264" s="540">
        <f t="shared" si="1325"/>
        <v>0</v>
      </c>
      <c r="JA264" s="540">
        <f t="shared" si="1325"/>
        <v>0</v>
      </c>
      <c r="JB264" s="540">
        <f t="shared" si="1325"/>
        <v>0</v>
      </c>
      <c r="JC264" s="540">
        <f t="shared" si="1325"/>
        <v>0</v>
      </c>
      <c r="JD264" s="540">
        <f t="shared" si="1325"/>
        <v>0</v>
      </c>
      <c r="JE264" s="540">
        <f t="shared" si="1325"/>
        <v>0</v>
      </c>
      <c r="JF264" s="540">
        <f t="shared" si="1325"/>
        <v>0</v>
      </c>
      <c r="JG264" s="540">
        <f t="shared" si="1325"/>
        <v>0</v>
      </c>
      <c r="JH264" s="540">
        <f t="shared" si="1325"/>
        <v>0</v>
      </c>
      <c r="JI264" s="540">
        <f t="shared" si="1325"/>
        <v>0</v>
      </c>
      <c r="JJ264" s="540">
        <f t="shared" si="1325"/>
        <v>0</v>
      </c>
      <c r="JK264" s="540">
        <f t="shared" si="1325"/>
        <v>0</v>
      </c>
      <c r="JL264" s="540">
        <f t="shared" si="1325"/>
        <v>0</v>
      </c>
      <c r="JM264" s="540">
        <f t="shared" si="1325"/>
        <v>0</v>
      </c>
      <c r="JN264" s="540">
        <f t="shared" si="1325"/>
        <v>0</v>
      </c>
      <c r="JO264" s="540">
        <f t="shared" si="1325"/>
        <v>0</v>
      </c>
      <c r="JP264" s="540">
        <f t="shared" si="1325"/>
        <v>0</v>
      </c>
      <c r="JQ264" s="540">
        <f t="shared" si="1325"/>
        <v>0</v>
      </c>
      <c r="JR264" s="540">
        <f t="shared" si="1325"/>
        <v>0</v>
      </c>
      <c r="JS264" s="540">
        <f t="shared" si="1325"/>
        <v>0</v>
      </c>
      <c r="JT264" s="540">
        <f t="shared" si="1325"/>
        <v>0</v>
      </c>
      <c r="JU264" s="540" t="n">
        <f>MAX(JU255-JU263,0)</f>
        <v>0</v>
      </c>
      <c r="JV264" s="540" t="n">
        <f>MAX(JV255-JV263,0)</f>
        <v>0</v>
      </c>
      <c r="JW264" s="540" t="n">
        <f>MAX(JW255-JW263,0)</f>
        <v>0</v>
      </c>
      <c r="JX264" s="540" t="n">
        <f>MAX(JX255-JX263,0)</f>
        <v>0</v>
      </c>
      <c r="JZ264" s="263"/>
      <c r="KA264" s="263"/>
      <c r="KB264" s="263"/>
      <c r="KC264" s="263"/>
      <c r="KD264" s="263"/>
      <c r="KE264" s="263"/>
      <c r="KF264" s="263"/>
      <c r="KG264" s="263"/>
      <c r="KH264" s="263"/>
      <c r="KI264" s="263"/>
      <c r="KJ264" s="263"/>
      <c r="KK264" s="263"/>
      <c r="KL264" s="263"/>
      <c r="KM264" s="263"/>
      <c r="KN264" s="263"/>
      <c r="KO264" s="263"/>
      <c r="KP264" s="263"/>
      <c r="KQ264" s="263"/>
      <c r="KR264" s="263"/>
      <c r="KS264" s="263"/>
      <c r="KT264" s="263"/>
      <c r="KU264" s="263"/>
      <c r="KV264" s="263"/>
      <c r="KW264" s="263"/>
      <c r="KX264" s="263"/>
      <c r="KY264" s="263"/>
      <c r="KZ264" s="263"/>
      <c r="LA264" s="263"/>
      <c r="LB264" s="263"/>
      <c r="LC264" s="263"/>
      <c r="LD264" s="263"/>
      <c r="LE264" s="263"/>
      <c r="LF264" s="263"/>
      <c r="LG264" s="263"/>
      <c r="LH264" s="263"/>
      <c r="LI264" s="263"/>
      <c r="LJ264" s="263"/>
      <c r="LK264" s="263"/>
      <c r="LL264" s="263"/>
      <c r="LM264" s="263"/>
      <c r="LN264" s="263"/>
      <c r="LO264" s="263"/>
      <c r="LP264" s="263"/>
      <c r="LQ264" s="263"/>
      <c r="LR264" s="263"/>
      <c r="LS264" s="263"/>
      <c r="LT264" s="263"/>
      <c r="LU264" s="263"/>
      <c r="LV264" s="263"/>
      <c r="LW264" s="263"/>
      <c r="LX264" s="263"/>
      <c r="LY264" s="263"/>
      <c r="LZ264" s="263"/>
      <c r="MA264" s="263"/>
      <c r="MB264" s="263"/>
      <c r="MC264" s="263"/>
      <c r="MD264" s="263"/>
      <c r="ME264" s="263"/>
      <c r="MF264" s="263"/>
      <c r="MG264" s="263"/>
      <c r="MH264" s="263"/>
      <c r="MI264" s="263"/>
      <c r="MJ264" s="263"/>
      <c r="MK264" s="263"/>
      <c r="ML264" s="263"/>
      <c r="MM264" s="263"/>
      <c r="MN264" s="263"/>
      <c r="MO264" s="263"/>
      <c r="MP264" s="263"/>
      <c r="MQ264" s="263"/>
      <c r="MR264" s="263"/>
      <c r="MS264" s="263"/>
      <c r="MT264" s="263"/>
      <c r="MU264" s="263"/>
      <c r="MV264" s="263"/>
      <c r="MW264" s="263"/>
      <c r="MX264" s="263"/>
      <c r="MY264" s="263"/>
      <c r="MZ264" s="263"/>
      <c r="NA264" s="263"/>
      <c r="NB264" s="263"/>
      <c r="NC264" s="263"/>
      <c r="ND264" s="263"/>
      <c r="NE264" s="263"/>
      <c r="NF264" s="263"/>
      <c r="NG264" s="263"/>
      <c r="NH264" s="263"/>
      <c r="NI264" s="263"/>
      <c r="NJ264" s="263"/>
      <c r="NK264" s="263"/>
      <c r="NL264" s="263"/>
      <c r="NM264" s="263"/>
      <c r="NN264" s="263"/>
      <c r="NO264" s="263"/>
      <c r="NP264" s="263"/>
      <c r="NQ264" s="263"/>
      <c r="NR264" s="263"/>
      <c r="NS264" s="263"/>
      <c r="NT264" s="263"/>
      <c r="NU264" s="263"/>
      <c r="NV264" s="263"/>
      <c r="NW264" s="263"/>
      <c r="NX264" s="263"/>
      <c r="NY264" s="263"/>
      <c r="NZ264" s="263"/>
      <c r="OA264" s="263"/>
      <c r="OB264" s="263"/>
      <c r="OC264" s="263"/>
      <c r="OD264" s="263"/>
      <c r="OE264" s="263"/>
      <c r="OF264" s="263"/>
      <c r="OG264" s="263"/>
      <c r="OH264" s="263"/>
      <c r="OI264" s="263"/>
      <c r="OJ264" s="263"/>
      <c r="OK264" s="263"/>
      <c r="OL264" s="263"/>
      <c r="OM264" s="263"/>
      <c r="ON264" s="263"/>
      <c r="OO264" s="263"/>
      <c r="OP264" s="263"/>
      <c r="OQ264" s="263"/>
      <c r="OR264" s="263"/>
      <c r="OS264" s="263"/>
      <c r="OT264" s="263"/>
      <c r="OU264" s="263"/>
      <c r="OV264" s="263"/>
      <c r="OW264" s="263"/>
      <c r="OX264" s="263"/>
      <c r="OY264" s="263"/>
      <c r="OZ264" s="263"/>
      <c r="PA264" s="263"/>
      <c r="PB264" s="263"/>
      <c r="PC264" s="263"/>
      <c r="PD264" s="263"/>
      <c r="PE264" s="263"/>
      <c r="PF264" s="263"/>
      <c r="PG264" s="263"/>
      <c r="PH264" s="263"/>
    </row>
    <row r="265">
      <c r="B265" s="34" t="str">
        <f>B249</f>
        <v>GP 1</v>
      </c>
      <c r="C265" s="548" t="str">
        <f>C249</f>
        <v>[General Partner 1 Name]</v>
      </c>
      <c r="D265" s="401"/>
      <c r="E265" s="401"/>
      <c r="F265" s="544" t="n">
        <f>IFERROR(I260/I249,"NA")</f>
        <v>512.5748663740211</v>
      </c>
      <c r="G265" s="40" t="str">
        <f>IFERROR(IF($L$57=0,XIRR($M$265:INDEX($M$265:$EN$265,1,Timing_Analysis_End_Month),$M$195:INDEX($M$195:$EN$195,1,Timing_Analysis_End_Month)),XIRR($L$265:INDEX($L$265:$EN$265,1,Timing_Analysis_End_Month+1),$L$195:INDEX($L$195:$EN$195,1,Timing_Analysis_End_Month+1))),"NA")</f>
        <v>NA</v>
      </c>
      <c r="H265" s="53" t="n">
        <f>I265/$I$246</f>
        <v>0.14712649734151045</v>
      </c>
      <c r="I265" s="449" t="n">
        <f>SUM(L265:EN265)</f>
        <v>129629306.35393623</v>
      </c>
      <c r="L265" s="421" t="str">
        <f>IF(L$227="","",-L249+L260)</f>
      </c>
      <c r="M265" s="421" t="n">
        <f t="shared" ref="M265:AQ265" si="1326">IF(M$227="","",-M249+M260)</f>
        <v>1034.8709482284305</v>
      </c>
      <c r="N265" s="421">
        <f t="shared" si="1326"/>
        <v>356.84495550849221</v>
      </c>
      <c r="O265" s="421">
        <f t="shared" si="1326"/>
        <v>-611.48774648591314</v>
      </c>
      <c r="P265" s="421">
        <f t="shared" si="1326"/>
        <v>-1953.0798222178</v>
      </c>
      <c r="Q265" s="421">
        <f t="shared" si="1326"/>
        <v>-4041.01076432437</v>
      </c>
      <c r="R265" s="421">
        <f t="shared" si="1326"/>
        <v>-4637.9315095093934</v>
      </c>
      <c r="S265" s="421">
        <f t="shared" si="1326"/>
        <v>-7591.9036945416956</v>
      </c>
      <c r="T265" s="421">
        <f t="shared" si="1326"/>
        <v>-11189.180256704381</v>
      </c>
      <c r="U265" s="421">
        <f t="shared" si="1326"/>
        <v>-15417.945062794344</v>
      </c>
      <c r="V265" s="421">
        <f t="shared" si="1326"/>
        <v>-20206.932285565919</v>
      </c>
      <c r="W265" s="421">
        <f t="shared" si="1326"/>
        <v>-25417.082957688603</v>
      </c>
      <c r="X265" s="421">
        <f t="shared" si="1326"/>
        <v>-30840.788479930088</v>
      </c>
      <c r="Y265" s="421">
        <f t="shared" si="1326"/>
        <v>-36210.718732914444</v>
      </c>
      <c r="Z265" s="421">
        <f t="shared" si="1326"/>
        <v>-41218.798098529594</v>
      </c>
      <c r="AA265" s="421">
        <f t="shared" si="1326"/>
        <v>-45544.026607764463</v>
      </c>
      <c r="AB265" s="421">
        <f t="shared" si="1326"/>
        <v>-8511.7547742184324</v>
      </c>
      <c r="AC265" s="421">
        <f t="shared" si="1326"/>
        <v>2132.798882025606</v>
      </c>
      <c r="AD265" s="421">
        <f t="shared" si="1326"/>
        <v>9162.6338853458583</v>
      </c>
      <c r="AE265" s="421">
        <f t="shared" si="1326"/>
        <v>8526.6552539441855</v>
      </c>
      <c r="AF265" s="421">
        <f t="shared" si="1326"/>
        <v>8119.9035980232757</v>
      </c>
      <c r="AG265" s="421">
        <f t="shared" si="1326"/>
        <v>9697.8539580077995</v>
      </c>
      <c r="AH265" s="421">
        <f t="shared" si="1326"/>
        <v>9326.0080022228303</v>
      </c>
      <c r="AI265" s="421">
        <f t="shared" si="1326"/>
        <v>8983.8122875686622</v>
      </c>
      <c r="AJ265" s="421">
        <f t="shared" si="1326"/>
        <v>9440.4323897729992</v>
      </c>
      <c r="AK265" s="421">
        <f t="shared" si="1326"/>
        <v>9171.201013352571</v>
      </c>
      <c r="AL265" s="421">
        <f t="shared" si="1326"/>
        <v>8940.628067843465</v>
      </c>
      <c r="AM265" s="421">
        <f t="shared" si="1326"/>
        <v>9217.608832492193</v>
      </c>
      <c r="AN265" s="421">
        <f t="shared" si="1326"/>
        <v>7488.4259171029726</v>
      </c>
      <c r="AO265" s="421">
        <f t="shared" si="1326"/>
        <v>3941.4085073169863</v>
      </c>
      <c r="AP265" s="421">
        <f t="shared" si="1326"/>
        <v>6603.0627998951859</v>
      </c>
      <c r="AQ265" s="421">
        <f t="shared" si="1326"/>
        <v>7592.8228152182564</v>
      </c>
      <c r="AR265" s="421" t="n">
        <f t="shared" ref="AR265:BW265" si="1327">IF(AR$227="","",-AR249+AR260)</f>
        <v>8329.850074644688</v>
      </c>
      <c r="AS265" s="421">
        <f t="shared" si="1327"/>
        <v>8857.6880007753171</v>
      </c>
      <c r="AT265" s="421">
        <f t="shared" si="1327"/>
        <v>9852.538805939319</v>
      </c>
      <c r="AU265" s="421">
        <f t="shared" si="1327"/>
        <v>10084.19531928773</v>
      </c>
      <c r="AV265" s="421">
        <f t="shared" si="1327"/>
        <v>10254.832066147253</v>
      </c>
      <c r="AW265" s="421">
        <f t="shared" si="1327"/>
        <v>9196.2391736383706</v>
      </c>
      <c r="AX265" s="421">
        <f t="shared" si="1327"/>
        <v>9164.5326237624631</v>
      </c>
      <c r="AY265" s="421">
        <f t="shared" si="1327"/>
        <v>9132.5882747624892</v>
      </c>
      <c r="AZ265" s="421">
        <f t="shared" si="1327"/>
        <v>9116.2037832333754</v>
      </c>
      <c r="BA265" s="421">
        <f t="shared" si="1327"/>
        <v>9083.7784721287626</v>
      </c>
      <c r="BB265" s="421">
        <f t="shared" si="1327"/>
        <v>9051.1099711908792</v>
      </c>
      <c r="BC265" s="421">
        <f t="shared" si="1327"/>
        <v>9428.5014767021239</v>
      </c>
      <c r="BD265" s="76">
        <f t="shared" si="1327"/>
        <v>9395.3411106469812</v>
      </c>
      <c r="BE265" s="76">
        <f t="shared" si="1327"/>
        <v>9361.9320418464376</v>
      </c>
      <c r="BF265" s="76">
        <f t="shared" si="1327"/>
        <v>9401.1234466965452</v>
      </c>
      <c r="BG265" s="76">
        <f t="shared" si="1327"/>
        <v>9367.2113626038681</v>
      </c>
      <c r="BH265" s="76">
        <f t="shared" si="1327"/>
        <v>9333.0449378804951</v>
      </c>
      <c r="BI265" s="76">
        <f t="shared" si="1327"/>
        <v>15944.157211904951</v>
      </c>
      <c r="BJ265" s="76">
        <f t="shared" si="1327"/>
        <v>15909.476368949336</v>
      </c>
      <c r="BK265" s="76">
        <f t="shared" si="1327"/>
        <v>15874.535419671553</v>
      </c>
      <c r="BL265" s="76">
        <f t="shared" si="1327"/>
        <v>15855.105382024189</v>
      </c>
      <c r="BM265" s="76">
        <f t="shared" si="1327"/>
        <v>15819.638353078848</v>
      </c>
      <c r="BN265" s="76">
        <f t="shared" si="1327"/>
        <v>15783.905321416414</v>
      </c>
      <c r="BO265" s="76">
        <f t="shared" si="1327"/>
        <v>16119.267431697157</v>
      </c>
      <c r="BP265" s="76">
        <f t="shared" si="1327"/>
        <v>16082.996394576756</v>
      </c>
      <c r="BQ265" s="76">
        <f t="shared" si="1327"/>
        <v>16046.453324677959</v>
      </c>
      <c r="BR265" s="76">
        <f t="shared" si="1327"/>
        <v>16085.037009879901</v>
      </c>
      <c r="BS265" s="76">
        <f t="shared" si="1327"/>
        <v>16047.943738384942</v>
      </c>
      <c r="BT265" s="76">
        <f t="shared" si="1327"/>
        <v>16010.572267353757</v>
      </c>
      <c r="BU265" s="76">
        <f t="shared" si="1327"/>
        <v>129412972.22345003</v>
      </c>
      <c r="BV265" s="76" t="str">
        <f t="shared" si="1327"/>
      </c>
      <c r="BW265" s="76" t="str">
        <f t="shared" si="1327"/>
      </c>
      <c r="BX265" s="76" t="str">
        <f t="shared" ref="BX265:DC265" si="1328">IF(BX$227="","",-BX249+BX260)</f>
      </c>
      <c r="BY265" s="76" t="str">
        <f t="shared" si="1328"/>
      </c>
      <c r="BZ265" s="76" t="str">
        <f t="shared" si="1328"/>
      </c>
      <c r="CA265" s="76" t="str">
        <f t="shared" si="1328"/>
      </c>
      <c r="CB265" s="76" t="str">
        <f t="shared" si="1328"/>
      </c>
      <c r="CC265" s="76" t="str">
        <f t="shared" si="1328"/>
      </c>
      <c r="CD265" s="76" t="str">
        <f t="shared" si="1328"/>
      </c>
      <c r="CE265" s="76" t="str">
        <f t="shared" si="1328"/>
      </c>
      <c r="CF265" s="76" t="str">
        <f t="shared" si="1328"/>
      </c>
      <c r="CG265" s="76" t="str">
        <f t="shared" si="1328"/>
      </c>
      <c r="CH265" s="76" t="str">
        <f t="shared" si="1328"/>
      </c>
      <c r="CI265" s="76" t="str">
        <f t="shared" si="1328"/>
      </c>
      <c r="CJ265" s="76" t="str">
        <f t="shared" si="1328"/>
      </c>
      <c r="CK265" s="76" t="str">
        <f t="shared" si="1328"/>
      </c>
      <c r="CL265" s="76" t="str">
        <f t="shared" si="1328"/>
      </c>
      <c r="CM265" s="76" t="str">
        <f t="shared" si="1328"/>
      </c>
      <c r="CN265" s="76" t="str">
        <f t="shared" si="1328"/>
      </c>
      <c r="CO265" s="76" t="str">
        <f t="shared" si="1328"/>
      </c>
      <c r="CP265" s="76" t="str">
        <f t="shared" si="1328"/>
      </c>
      <c r="CQ265" s="76" t="str">
        <f t="shared" si="1328"/>
      </c>
      <c r="CR265" s="76" t="str">
        <f t="shared" si="1328"/>
      </c>
      <c r="CS265" s="76" t="str">
        <f t="shared" si="1328"/>
      </c>
      <c r="CT265" s="76" t="str">
        <f t="shared" si="1328"/>
      </c>
      <c r="CU265" s="76" t="str">
        <f t="shared" si="1328"/>
      </c>
      <c r="CV265" s="76" t="str">
        <f t="shared" si="1328"/>
      </c>
      <c r="CW265" s="76" t="str">
        <f t="shared" si="1328"/>
      </c>
      <c r="CX265" s="76" t="str">
        <f t="shared" si="1328"/>
      </c>
      <c r="CY265" s="76" t="str">
        <f t="shared" si="1328"/>
      </c>
      <c r="CZ265" s="76" t="str">
        <f t="shared" si="1328"/>
      </c>
      <c r="DA265" s="76" t="str">
        <f t="shared" si="1328"/>
      </c>
      <c r="DB265" s="76" t="str">
        <f t="shared" si="1328"/>
      </c>
      <c r="DC265" s="76" t="str">
        <f t="shared" si="1328"/>
      </c>
      <c r="DD265" s="76" t="str">
        <f t="shared" ref="DD265:EN265" si="1329">IF(DD$227="","",-DD249+DD260)</f>
      </c>
      <c r="DE265" s="76" t="str">
        <f t="shared" si="1329"/>
      </c>
      <c r="DF265" s="76" t="str">
        <f t="shared" si="1329"/>
      </c>
      <c r="DG265" s="76" t="str">
        <f t="shared" si="1329"/>
      </c>
      <c r="DH265" s="76" t="str">
        <f t="shared" si="1329"/>
      </c>
      <c r="DI265" s="76" t="str">
        <f t="shared" si="1329"/>
      </c>
      <c r="DJ265" s="76" t="str">
        <f t="shared" si="1329"/>
      </c>
      <c r="DK265" s="76" t="str">
        <f t="shared" si="1329"/>
      </c>
      <c r="DL265" s="76" t="str">
        <f t="shared" si="1329"/>
      </c>
      <c r="DM265" s="76" t="str">
        <f t="shared" si="1329"/>
      </c>
      <c r="DN265" s="76" t="str">
        <f t="shared" si="1329"/>
      </c>
      <c r="DO265" s="76" t="str">
        <f t="shared" si="1329"/>
      </c>
      <c r="DP265" s="76" t="str">
        <f t="shared" si="1329"/>
      </c>
      <c r="DQ265" s="76" t="str">
        <f t="shared" si="1329"/>
      </c>
      <c r="DR265" s="76" t="str">
        <f t="shared" si="1329"/>
      </c>
      <c r="DS265" s="76" t="str">
        <f t="shared" si="1329"/>
      </c>
      <c r="DT265" s="76" t="str">
        <f t="shared" si="1329"/>
      </c>
      <c r="DU265" s="76" t="str">
        <f t="shared" si="1329"/>
      </c>
      <c r="DV265" s="76" t="str">
        <f t="shared" si="1329"/>
      </c>
      <c r="DW265" s="76" t="str">
        <f t="shared" si="1329"/>
      </c>
      <c r="DX265" s="76" t="str">
        <f t="shared" si="1329"/>
      </c>
      <c r="DY265" s="76" t="str">
        <f t="shared" si="1329"/>
      </c>
      <c r="DZ265" s="76" t="str">
        <f t="shared" si="1329"/>
      </c>
      <c r="EA265" s="76" t="str">
        <f t="shared" si="1329"/>
      </c>
      <c r="EB265" s="76" t="str">
        <f t="shared" si="1329"/>
      </c>
      <c r="EC265" s="76" t="str">
        <f t="shared" si="1329"/>
      </c>
      <c r="ED265" s="76" t="str">
        <f t="shared" si="1329"/>
      </c>
      <c r="EE265" s="76" t="str">
        <f t="shared" si="1329"/>
      </c>
      <c r="EF265" s="76" t="str">
        <f t="shared" si="1329"/>
      </c>
      <c r="EG265" s="76" t="str">
        <f t="shared" si="1329"/>
      </c>
      <c r="EH265" s="76" t="str">
        <f t="shared" si="1329"/>
      </c>
      <c r="EI265" s="76" t="str">
        <f t="shared" si="1329"/>
      </c>
      <c r="EJ265" s="76" t="str">
        <f t="shared" si="1329"/>
      </c>
      <c r="EK265" s="76" t="str">
        <f t="shared" si="1329"/>
      </c>
      <c r="EL265" s="76" t="str">
        <f t="shared" si="1329"/>
      </c>
      <c r="EM265" s="76" t="str">
        <f t="shared" si="1329"/>
      </c>
      <c r="EN265" s="76" t="str">
        <f t="shared" si="1329"/>
      </c>
      <c r="EP265" s="409" t="s">
        <v>426</v>
      </c>
      <c r="EQ265" s="18"/>
      <c r="ER265" s="18"/>
      <c r="ES265" s="18"/>
      <c r="ET265" s="18" t="s">
        <v>454</v>
      </c>
      <c r="EU265" s="18"/>
      <c r="EV265" s="422" t="n">
        <f t="shared" ref="EV265:GA265" si="1330">EV$264*$I$257</f>
        <v>0</v>
      </c>
      <c r="EW265" s="422">
        <f t="shared" si="1330"/>
        <v>0</v>
      </c>
      <c r="EX265" s="422">
        <f t="shared" si="1330"/>
        <v>0</v>
      </c>
      <c r="EY265" s="422">
        <f t="shared" si="1330"/>
        <v>0</v>
      </c>
      <c r="EZ265" s="422">
        <f t="shared" si="1330"/>
        <v>0</v>
      </c>
      <c r="FA265" s="422">
        <f t="shared" si="1330"/>
        <v>0</v>
      </c>
      <c r="FB265" s="422">
        <f t="shared" si="1330"/>
        <v>0</v>
      </c>
      <c r="FC265" s="422">
        <f t="shared" si="1330"/>
        <v>0</v>
      </c>
      <c r="FD265" s="422">
        <f t="shared" si="1330"/>
        <v>0</v>
      </c>
      <c r="FE265" s="422">
        <f t="shared" si="1330"/>
        <v>0</v>
      </c>
      <c r="FF265" s="422">
        <f t="shared" si="1330"/>
        <v>0</v>
      </c>
      <c r="FG265" s="422">
        <f t="shared" si="1330"/>
        <v>0</v>
      </c>
      <c r="FH265" s="422">
        <f t="shared" si="1330"/>
        <v>0</v>
      </c>
      <c r="FI265" s="422">
        <f t="shared" si="1330"/>
        <v>0</v>
      </c>
      <c r="FJ265" s="422">
        <f t="shared" si="1330"/>
        <v>0</v>
      </c>
      <c r="FK265" s="422">
        <f t="shared" si="1330"/>
        <v>0</v>
      </c>
      <c r="FL265" s="422">
        <f t="shared" si="1330"/>
        <v>0</v>
      </c>
      <c r="FM265" s="422">
        <f t="shared" si="1330"/>
        <v>0</v>
      </c>
      <c r="FN265" s="422">
        <f t="shared" si="1330"/>
        <v>0</v>
      </c>
      <c r="FO265" s="422">
        <f t="shared" si="1330"/>
        <v>0</v>
      </c>
      <c r="FP265" s="422">
        <f t="shared" si="1330"/>
        <v>0</v>
      </c>
      <c r="FQ265" s="422">
        <f t="shared" si="1330"/>
        <v>0</v>
      </c>
      <c r="FR265" s="422">
        <f t="shared" si="1330"/>
        <v>0</v>
      </c>
      <c r="FS265" s="422">
        <f t="shared" si="1330"/>
        <v>0</v>
      </c>
      <c r="FT265" s="422">
        <f t="shared" si="1330"/>
        <v>0</v>
      </c>
      <c r="FU265" s="422">
        <f t="shared" si="1330"/>
        <v>0</v>
      </c>
      <c r="FV265" s="422">
        <f t="shared" si="1330"/>
        <v>0</v>
      </c>
      <c r="FW265" s="422">
        <f t="shared" si="1330"/>
        <v>0</v>
      </c>
      <c r="FX265" s="422">
        <f t="shared" si="1330"/>
        <v>0</v>
      </c>
      <c r="FY265" s="422">
        <f t="shared" si="1330"/>
        <v>0</v>
      </c>
      <c r="FZ265" s="422">
        <f t="shared" si="1330"/>
        <v>0</v>
      </c>
      <c r="GA265" s="422">
        <f t="shared" si="1330"/>
        <v>0</v>
      </c>
      <c r="GB265" s="422" t="n">
        <f t="shared" ref="GB265:HG265" si="1331">GB$264*$I$257</f>
        <v>0</v>
      </c>
      <c r="GC265" s="422">
        <f t="shared" si="1331"/>
        <v>0</v>
      </c>
      <c r="GD265" s="422">
        <f t="shared" si="1331"/>
        <v>0</v>
      </c>
      <c r="GE265" s="422">
        <f t="shared" si="1331"/>
        <v>0</v>
      </c>
      <c r="GF265" s="422">
        <f t="shared" si="1331"/>
        <v>0</v>
      </c>
      <c r="GG265" s="422">
        <f t="shared" si="1331"/>
        <v>0</v>
      </c>
      <c r="GH265" s="422">
        <f t="shared" si="1331"/>
        <v>0</v>
      </c>
      <c r="GI265" s="422">
        <f t="shared" si="1331"/>
        <v>0</v>
      </c>
      <c r="GJ265" s="422">
        <f t="shared" si="1331"/>
        <v>0</v>
      </c>
      <c r="GK265" s="422">
        <f t="shared" si="1331"/>
        <v>0</v>
      </c>
      <c r="GL265" s="422">
        <f t="shared" si="1331"/>
        <v>0</v>
      </c>
      <c r="GM265" s="422">
        <f t="shared" si="1331"/>
        <v>0</v>
      </c>
      <c r="GN265" s="422">
        <f t="shared" si="1331"/>
        <v>0</v>
      </c>
      <c r="GO265" s="422">
        <f t="shared" si="1331"/>
        <v>0</v>
      </c>
      <c r="GP265" s="422">
        <f t="shared" si="1331"/>
        <v>0</v>
      </c>
      <c r="GQ265" s="422">
        <f t="shared" si="1331"/>
        <v>0</v>
      </c>
      <c r="GR265" s="422">
        <f t="shared" si="1331"/>
        <v>0</v>
      </c>
      <c r="GS265" s="422">
        <f t="shared" si="1331"/>
        <v>0</v>
      </c>
      <c r="GT265" s="422">
        <f t="shared" si="1331"/>
        <v>0</v>
      </c>
      <c r="GU265" s="422">
        <f t="shared" si="1331"/>
        <v>0</v>
      </c>
      <c r="GV265" s="422">
        <f t="shared" si="1331"/>
        <v>0</v>
      </c>
      <c r="GW265" s="422">
        <f t="shared" si="1331"/>
        <v>0</v>
      </c>
      <c r="GX265" s="422">
        <f t="shared" si="1331"/>
        <v>0</v>
      </c>
      <c r="GY265" s="422">
        <f t="shared" si="1331"/>
        <v>0</v>
      </c>
      <c r="GZ265" s="422">
        <f t="shared" si="1331"/>
        <v>0</v>
      </c>
      <c r="HA265" s="422">
        <f t="shared" si="1331"/>
        <v>0</v>
      </c>
      <c r="HB265" s="422">
        <f t="shared" si="1331"/>
        <v>0</v>
      </c>
      <c r="HC265" s="422">
        <f t="shared" si="1331"/>
        <v>0</v>
      </c>
      <c r="HD265" s="422">
        <f t="shared" si="1331"/>
        <v>0</v>
      </c>
      <c r="HE265" s="422">
        <f t="shared" si="1331"/>
        <v>169846905.64664179</v>
      </c>
      <c r="HF265" s="422">
        <f t="shared" si="1331"/>
        <v>0</v>
      </c>
      <c r="HG265" s="422">
        <f t="shared" si="1331"/>
        <v>0</v>
      </c>
      <c r="HH265" s="422" t="n">
        <f t="shared" ref="HH265:IM265" si="1332">HH$264*$I$257</f>
        <v>0</v>
      </c>
      <c r="HI265" s="422">
        <f t="shared" si="1332"/>
        <v>0</v>
      </c>
      <c r="HJ265" s="422">
        <f t="shared" si="1332"/>
        <v>0</v>
      </c>
      <c r="HK265" s="422">
        <f t="shared" si="1332"/>
        <v>0</v>
      </c>
      <c r="HL265" s="422">
        <f t="shared" si="1332"/>
        <v>0</v>
      </c>
      <c r="HM265" s="422">
        <f t="shared" si="1332"/>
        <v>0</v>
      </c>
      <c r="HN265" s="422">
        <f t="shared" si="1332"/>
        <v>0</v>
      </c>
      <c r="HO265" s="422">
        <f t="shared" si="1332"/>
        <v>0</v>
      </c>
      <c r="HP265" s="422">
        <f t="shared" si="1332"/>
        <v>0</v>
      </c>
      <c r="HQ265" s="422">
        <f t="shared" si="1332"/>
        <v>0</v>
      </c>
      <c r="HR265" s="422">
        <f t="shared" si="1332"/>
        <v>0</v>
      </c>
      <c r="HS265" s="422">
        <f t="shared" si="1332"/>
        <v>0</v>
      </c>
      <c r="HT265" s="422">
        <f t="shared" si="1332"/>
        <v>0</v>
      </c>
      <c r="HU265" s="422">
        <f t="shared" si="1332"/>
        <v>0</v>
      </c>
      <c r="HV265" s="422">
        <f t="shared" si="1332"/>
        <v>0</v>
      </c>
      <c r="HW265" s="422">
        <f t="shared" si="1332"/>
        <v>0</v>
      </c>
      <c r="HX265" s="422">
        <f t="shared" si="1332"/>
        <v>0</v>
      </c>
      <c r="HY265" s="422">
        <f t="shared" si="1332"/>
        <v>0</v>
      </c>
      <c r="HZ265" s="422">
        <f t="shared" si="1332"/>
        <v>0</v>
      </c>
      <c r="IA265" s="422">
        <f t="shared" si="1332"/>
        <v>0</v>
      </c>
      <c r="IB265" s="422">
        <f t="shared" si="1332"/>
        <v>0</v>
      </c>
      <c r="IC265" s="422">
        <f t="shared" si="1332"/>
        <v>0</v>
      </c>
      <c r="ID265" s="422">
        <f t="shared" si="1332"/>
        <v>0</v>
      </c>
      <c r="IE265" s="422">
        <f t="shared" si="1332"/>
        <v>0</v>
      </c>
      <c r="IF265" s="422">
        <f t="shared" si="1332"/>
        <v>0</v>
      </c>
      <c r="IG265" s="422">
        <f t="shared" si="1332"/>
        <v>0</v>
      </c>
      <c r="IH265" s="422">
        <f t="shared" si="1332"/>
        <v>0</v>
      </c>
      <c r="II265" s="422">
        <f t="shared" si="1332"/>
        <v>0</v>
      </c>
      <c r="IJ265" s="422">
        <f t="shared" si="1332"/>
        <v>0</v>
      </c>
      <c r="IK265" s="422">
        <f t="shared" si="1332"/>
        <v>0</v>
      </c>
      <c r="IL265" s="422">
        <f t="shared" si="1332"/>
        <v>0</v>
      </c>
      <c r="IM265" s="422">
        <f t="shared" si="1332"/>
        <v>0</v>
      </c>
      <c r="IN265" s="422" t="n">
        <f t="shared" ref="IN265:JX265" si="1333">IN$264*$I$257</f>
        <v>0</v>
      </c>
      <c r="IO265" s="422">
        <f t="shared" si="1333"/>
        <v>0</v>
      </c>
      <c r="IP265" s="422">
        <f t="shared" si="1333"/>
        <v>0</v>
      </c>
      <c r="IQ265" s="422">
        <f t="shared" si="1333"/>
        <v>0</v>
      </c>
      <c r="IR265" s="422">
        <f t="shared" si="1333"/>
        <v>0</v>
      </c>
      <c r="IS265" s="422">
        <f t="shared" si="1333"/>
        <v>0</v>
      </c>
      <c r="IT265" s="422">
        <f t="shared" si="1333"/>
        <v>0</v>
      </c>
      <c r="IU265" s="422">
        <f t="shared" si="1333"/>
        <v>0</v>
      </c>
      <c r="IV265" s="422">
        <f t="shared" si="1333"/>
        <v>0</v>
      </c>
      <c r="IW265" s="422">
        <f t="shared" si="1333"/>
        <v>0</v>
      </c>
      <c r="IX265" s="422">
        <f t="shared" si="1333"/>
        <v>0</v>
      </c>
      <c r="IY265" s="422">
        <f t="shared" si="1333"/>
        <v>0</v>
      </c>
      <c r="IZ265" s="422">
        <f t="shared" si="1333"/>
        <v>0</v>
      </c>
      <c r="JA265" s="422">
        <f t="shared" si="1333"/>
        <v>0</v>
      </c>
      <c r="JB265" s="422">
        <f t="shared" si="1333"/>
        <v>0</v>
      </c>
      <c r="JC265" s="422">
        <f t="shared" si="1333"/>
        <v>0</v>
      </c>
      <c r="JD265" s="422">
        <f t="shared" si="1333"/>
        <v>0</v>
      </c>
      <c r="JE265" s="422">
        <f t="shared" si="1333"/>
        <v>0</v>
      </c>
      <c r="JF265" s="422">
        <f t="shared" si="1333"/>
        <v>0</v>
      </c>
      <c r="JG265" s="422">
        <f t="shared" si="1333"/>
        <v>0</v>
      </c>
      <c r="JH265" s="422">
        <f t="shared" si="1333"/>
        <v>0</v>
      </c>
      <c r="JI265" s="422">
        <f t="shared" si="1333"/>
        <v>0</v>
      </c>
      <c r="JJ265" s="422">
        <f t="shared" si="1333"/>
        <v>0</v>
      </c>
      <c r="JK265" s="422">
        <f t="shared" si="1333"/>
        <v>0</v>
      </c>
      <c r="JL265" s="422">
        <f t="shared" si="1333"/>
        <v>0</v>
      </c>
      <c r="JM265" s="422">
        <f t="shared" si="1333"/>
        <v>0</v>
      </c>
      <c r="JN265" s="422">
        <f t="shared" si="1333"/>
        <v>0</v>
      </c>
      <c r="JO265" s="422">
        <f t="shared" si="1333"/>
        <v>0</v>
      </c>
      <c r="JP265" s="422">
        <f t="shared" si="1333"/>
        <v>0</v>
      </c>
      <c r="JQ265" s="422">
        <f t="shared" si="1333"/>
        <v>0</v>
      </c>
      <c r="JR265" s="422">
        <f t="shared" si="1333"/>
        <v>0</v>
      </c>
      <c r="JS265" s="422">
        <f t="shared" si="1333"/>
        <v>0</v>
      </c>
      <c r="JT265" s="422">
        <f t="shared" si="1333"/>
        <v>0</v>
      </c>
      <c r="JU265" s="422">
        <f t="shared" si="1333"/>
        <v>0</v>
      </c>
      <c r="JV265" s="422">
        <f t="shared" si="1333"/>
        <v>0</v>
      </c>
      <c r="JW265" s="422">
        <f t="shared" si="1333"/>
        <v>0</v>
      </c>
      <c r="JX265" s="422">
        <f t="shared" si="1333"/>
        <v>0</v>
      </c>
      <c r="JZ265" s="263"/>
      <c r="KA265" s="263"/>
      <c r="KB265" s="263"/>
      <c r="KC265" s="263"/>
      <c r="KD265" s="263"/>
      <c r="KE265" s="263"/>
      <c r="KF265" s="263"/>
      <c r="KG265" s="263"/>
      <c r="KH265" s="263"/>
      <c r="KI265" s="263"/>
      <c r="KJ265" s="263"/>
      <c r="KK265" s="263"/>
      <c r="KL265" s="263"/>
      <c r="KM265" s="263"/>
      <c r="KN265" s="263"/>
      <c r="KO265" s="263"/>
      <c r="KP265" s="263"/>
      <c r="KQ265" s="263"/>
      <c r="KR265" s="263"/>
      <c r="KS265" s="263"/>
      <c r="KT265" s="263"/>
      <c r="KU265" s="263"/>
      <c r="KV265" s="263"/>
      <c r="KW265" s="263"/>
      <c r="KX265" s="263"/>
      <c r="KY265" s="263"/>
      <c r="KZ265" s="263"/>
      <c r="LA265" s="263"/>
      <c r="LB265" s="263"/>
      <c r="LC265" s="263"/>
      <c r="LD265" s="263"/>
      <c r="LE265" s="263"/>
      <c r="LF265" s="263"/>
      <c r="LG265" s="263"/>
      <c r="LH265" s="263"/>
      <c r="LI265" s="263"/>
      <c r="LJ265" s="263"/>
      <c r="LK265" s="263"/>
      <c r="LL265" s="263"/>
      <c r="LM265" s="263"/>
      <c r="LN265" s="263"/>
      <c r="LO265" s="263"/>
      <c r="LP265" s="263"/>
      <c r="LQ265" s="263"/>
      <c r="LR265" s="263"/>
      <c r="LS265" s="263"/>
      <c r="LT265" s="263"/>
      <c r="LU265" s="263"/>
      <c r="LV265" s="263"/>
      <c r="LW265" s="263"/>
      <c r="LX265" s="263"/>
      <c r="LY265" s="263"/>
      <c r="LZ265" s="263"/>
      <c r="MA265" s="263"/>
      <c r="MB265" s="263"/>
      <c r="MC265" s="263"/>
      <c r="MD265" s="263"/>
      <c r="ME265" s="263"/>
      <c r="MF265" s="263"/>
      <c r="MG265" s="263"/>
      <c r="MH265" s="263"/>
      <c r="MI265" s="263"/>
      <c r="MJ265" s="263"/>
      <c r="MK265" s="263"/>
      <c r="ML265" s="263"/>
      <c r="MM265" s="263"/>
      <c r="MN265" s="263"/>
      <c r="MO265" s="263"/>
      <c r="MP265" s="263"/>
      <c r="MQ265" s="263"/>
      <c r="MR265" s="263"/>
      <c r="MS265" s="263"/>
      <c r="MT265" s="263"/>
      <c r="MU265" s="263"/>
      <c r="MV265" s="263"/>
      <c r="MW265" s="263"/>
      <c r="MX265" s="263"/>
      <c r="MY265" s="263"/>
      <c r="MZ265" s="263"/>
      <c r="NA265" s="263"/>
      <c r="NB265" s="263"/>
      <c r="NC265" s="263"/>
      <c r="ND265" s="263"/>
      <c r="NE265" s="263"/>
      <c r="NF265" s="263"/>
      <c r="NG265" s="263"/>
      <c r="NH265" s="263"/>
      <c r="NI265" s="263"/>
      <c r="NJ265" s="263"/>
      <c r="NK265" s="263"/>
      <c r="NL265" s="263"/>
      <c r="NM265" s="263"/>
      <c r="NN265" s="263"/>
      <c r="NO265" s="263"/>
      <c r="NP265" s="263"/>
      <c r="NQ265" s="263"/>
      <c r="NR265" s="263"/>
      <c r="NS265" s="263"/>
      <c r="NT265" s="263"/>
      <c r="NU265" s="263"/>
      <c r="NV265" s="263"/>
      <c r="NW265" s="263"/>
      <c r="NX265" s="263"/>
      <c r="NY265" s="263"/>
      <c r="NZ265" s="263"/>
      <c r="OA265" s="263"/>
      <c r="OB265" s="263"/>
      <c r="OC265" s="263"/>
      <c r="OD265" s="263"/>
      <c r="OE265" s="263"/>
      <c r="OF265" s="263"/>
      <c r="OG265" s="263"/>
      <c r="OH265" s="263"/>
      <c r="OI265" s="263"/>
      <c r="OJ265" s="263"/>
      <c r="OK265" s="263"/>
      <c r="OL265" s="263"/>
      <c r="OM265" s="263"/>
      <c r="ON265" s="263"/>
      <c r="OO265" s="263"/>
      <c r="OP265" s="263"/>
      <c r="OQ265" s="263"/>
      <c r="OR265" s="263"/>
      <c r="OS265" s="263"/>
      <c r="OT265" s="263"/>
      <c r="OU265" s="263"/>
      <c r="OV265" s="263"/>
      <c r="OW265" s="263"/>
      <c r="OX265" s="263"/>
      <c r="OY265" s="263"/>
      <c r="OZ265" s="263"/>
      <c r="PA265" s="263"/>
      <c r="PB265" s="263"/>
      <c r="PC265" s="263"/>
      <c r="PD265" s="263"/>
      <c r="PE265" s="263"/>
      <c r="PF265" s="263"/>
      <c r="PG265" s="263"/>
      <c r="PH265" s="263"/>
    </row>
    <row r="266">
      <c r="B266" s="415" t="str">
        <f>B250</f>
        <v>GP 2</v>
      </c>
      <c r="C266" s="548" t="str">
        <f>C250</f>
        <v>[General Partner 2 Name]</v>
      </c>
      <c r="D266" s="401"/>
      <c r="E266" s="401"/>
      <c r="F266" s="563" t="n">
        <f>IFERROR(I261/I250,"NA")</f>
        <v>20.813873045040985</v>
      </c>
      <c r="G266" s="261" t="str">
        <f>IFERROR(IF($L$57=0,XIRR($M$266:INDEX($M$266:$EN$266,1,Timing_Analysis_End_Month),$M$195:INDEX($M$195:$EN$195,1,Timing_Analysis_End_Month)),XIRR($L$266:INDEX($L$266:$EN$266,1,Timing_Analysis_End_Month+1),$L$195:INDEX($L$195:$EN$195,1,Timing_Analysis_End_Month+1))),"NA")</f>
        <v>NA</v>
      </c>
      <c r="H266" s="55" t="n">
        <f>I266/$I$246</f>
        <v>0.20593147293927203</v>
      </c>
      <c r="I266" s="424" t="n">
        <f>SUM(L266:EN266)</f>
        <v>181440831.36566678</v>
      </c>
      <c r="L266" s="426" t="str">
        <f>IF(L$227="","",-L250+L261)</f>
      </c>
      <c r="M266" s="426" t="n">
        <f t="shared" ref="M266:AQ266" si="1334">IF(M$227="","",-M250+M261)</f>
        <v>19662.548016340177</v>
      </c>
      <c r="N266" s="426">
        <f t="shared" si="1334"/>
        <v>6780.0541546613485</v>
      </c>
      <c r="O266" s="426">
        <f t="shared" si="1334"/>
        <v>-11618.26718323235</v>
      </c>
      <c r="P266" s="426">
        <f t="shared" si="1334"/>
        <v>-37108.516622138202</v>
      </c>
      <c r="Q266" s="426">
        <f t="shared" si="1334"/>
        <v>-76779.204522163025</v>
      </c>
      <c r="R266" s="426">
        <f t="shared" si="1334"/>
        <v>-88120.69868067847</v>
      </c>
      <c r="S266" s="426">
        <f t="shared" si="1334"/>
        <v>-144246.17019629222</v>
      </c>
      <c r="T266" s="426">
        <f t="shared" si="1334"/>
        <v>-212594.42487738322</v>
      </c>
      <c r="U266" s="426">
        <f t="shared" si="1334"/>
        <v>-292940.95619309251</v>
      </c>
      <c r="V266" s="426">
        <f t="shared" si="1334"/>
        <v>-383931.71342575242</v>
      </c>
      <c r="W266" s="426">
        <f t="shared" si="1334"/>
        <v>-482924.57619608339</v>
      </c>
      <c r="X266" s="426">
        <f t="shared" si="1334"/>
        <v>-585974.9811186716</v>
      </c>
      <c r="Y266" s="426">
        <f t="shared" si="1334"/>
        <v>-688003.65592537448</v>
      </c>
      <c r="Z266" s="426">
        <f t="shared" si="1334"/>
        <v>-783157.16387206223</v>
      </c>
      <c r="AA266" s="426">
        <f t="shared" si="1334"/>
        <v>-865336.50554752466</v>
      </c>
      <c r="AB266" s="426">
        <f t="shared" si="1334"/>
        <v>-161723.34071015019</v>
      </c>
      <c r="AC266" s="426">
        <f t="shared" si="1334"/>
        <v>40523.178758486509</v>
      </c>
      <c r="AD266" s="426">
        <f t="shared" si="1334"/>
        <v>174090.04382157131</v>
      </c>
      <c r="AE266" s="426">
        <f t="shared" si="1334"/>
        <v>162006.44982493951</v>
      </c>
      <c r="AF266" s="426">
        <f t="shared" si="1334"/>
        <v>154278.16836244214</v>
      </c>
      <c r="AG266" s="426">
        <f t="shared" si="1334"/>
        <v>184259.22520214817</v>
      </c>
      <c r="AH266" s="426">
        <f t="shared" si="1334"/>
        <v>177194.15204223376</v>
      </c>
      <c r="AI266" s="426">
        <f t="shared" si="1334"/>
        <v>170692.43346380457</v>
      </c>
      <c r="AJ266" s="426">
        <f t="shared" si="1334"/>
        <v>179368.21540568696</v>
      </c>
      <c r="AK266" s="426">
        <f t="shared" si="1334"/>
        <v>174252.81925369884</v>
      </c>
      <c r="AL266" s="426">
        <f t="shared" si="1334"/>
        <v>169871.93328902582</v>
      </c>
      <c r="AM266" s="426">
        <f t="shared" si="1334"/>
        <v>175134.56781735166</v>
      </c>
      <c r="AN266" s="426">
        <f t="shared" si="1334"/>
        <v>142280.09242495638</v>
      </c>
      <c r="AO266" s="426">
        <f t="shared" si="1334"/>
        <v>74886.761639022734</v>
      </c>
      <c r="AP266" s="426">
        <f t="shared" si="1334"/>
        <v>125458.19319800851</v>
      </c>
      <c r="AQ266" s="426">
        <f t="shared" si="1334"/>
        <v>144263.63348914686</v>
      </c>
      <c r="AR266" s="426" t="n">
        <f t="shared" ref="AR266:BW266" si="1335">IF(AR$227="","",-AR250+AR261)</f>
        <v>158267.15141824906</v>
      </c>
      <c r="AS266" s="426">
        <f t="shared" si="1335"/>
        <v>168296.07201473101</v>
      </c>
      <c r="AT266" s="426">
        <f t="shared" si="1335"/>
        <v>187198.23731284705</v>
      </c>
      <c r="AU266" s="426">
        <f t="shared" si="1335"/>
        <v>191599.71106646676</v>
      </c>
      <c r="AV266" s="426">
        <f t="shared" si="1335"/>
        <v>194841.8092567978</v>
      </c>
      <c r="AW266" s="426">
        <f t="shared" si="1335"/>
        <v>174728.54429912902</v>
      </c>
      <c r="AX266" s="426">
        <f t="shared" si="1335"/>
        <v>174126.11985148679</v>
      </c>
      <c r="AY266" s="426">
        <f t="shared" si="1335"/>
        <v>173519.17722048727</v>
      </c>
      <c r="AZ266" s="426">
        <f t="shared" si="1335"/>
        <v>173207.87188143402</v>
      </c>
      <c r="BA266" s="426">
        <f t="shared" si="1335"/>
        <v>172591.79097044648</v>
      </c>
      <c r="BB266" s="426">
        <f t="shared" si="1335"/>
        <v>171971.08945262659</v>
      </c>
      <c r="BC266" s="426">
        <f t="shared" si="1335"/>
        <v>179141.52805734024</v>
      </c>
      <c r="BD266" s="203">
        <f t="shared" si="1335"/>
        <v>178511.48110229263</v>
      </c>
      <c r="BE266" s="203">
        <f t="shared" si="1335"/>
        <v>177876.70879508229</v>
      </c>
      <c r="BF266" s="203">
        <f t="shared" si="1335"/>
        <v>178621.34548723436</v>
      </c>
      <c r="BG266" s="203">
        <f t="shared" si="1335"/>
        <v>177977.01588947349</v>
      </c>
      <c r="BH266" s="203">
        <f t="shared" si="1335"/>
        <v>177327.85381972938</v>
      </c>
      <c r="BI266" s="203">
        <f t="shared" si="1335"/>
        <v>302938.98702619399</v>
      </c>
      <c r="BJ266" s="203">
        <f t="shared" si="1335"/>
        <v>302280.05101003736</v>
      </c>
      <c r="BK266" s="203">
        <f t="shared" si="1335"/>
        <v>301616.17297375947</v>
      </c>
      <c r="BL266" s="203">
        <f t="shared" si="1335"/>
        <v>301247.00225845957</v>
      </c>
      <c r="BM266" s="203">
        <f t="shared" si="1335"/>
        <v>300573.12870849809</v>
      </c>
      <c r="BN266" s="203">
        <f t="shared" si="1335"/>
        <v>299894.20110691187</v>
      </c>
      <c r="BO266" s="203">
        <f t="shared" si="1335"/>
        <v>306266.08120224596</v>
      </c>
      <c r="BP266" s="203">
        <f t="shared" si="1335"/>
        <v>305576.93149695836</v>
      </c>
      <c r="BQ266" s="203">
        <f t="shared" si="1335"/>
        <v>304882.6131688811</v>
      </c>
      <c r="BR266" s="203">
        <f t="shared" si="1335"/>
        <v>305615.70318771806</v>
      </c>
      <c r="BS266" s="203">
        <f t="shared" si="1335"/>
        <v>304910.93102931377</v>
      </c>
      <c r="BT266" s="203">
        <f t="shared" si="1335"/>
        <v>304200.87307972135</v>
      </c>
      <c r="BU266" s="203">
        <f t="shared" si="1335"/>
        <v>177330482.88642931</v>
      </c>
      <c r="BV266" s="203" t="str">
        <f t="shared" si="1335"/>
      </c>
      <c r="BW266" s="203" t="str">
        <f t="shared" si="1335"/>
      </c>
      <c r="BX266" s="203" t="str">
        <f t="shared" ref="BX266:DC266" si="1336">IF(BX$227="","",-BX250+BX261)</f>
      </c>
      <c r="BY266" s="203" t="str">
        <f t="shared" si="1336"/>
      </c>
      <c r="BZ266" s="203" t="str">
        <f t="shared" si="1336"/>
      </c>
      <c r="CA266" s="203" t="str">
        <f t="shared" si="1336"/>
      </c>
      <c r="CB266" s="203" t="str">
        <f t="shared" si="1336"/>
      </c>
      <c r="CC266" s="203" t="str">
        <f t="shared" si="1336"/>
      </c>
      <c r="CD266" s="203" t="str">
        <f t="shared" si="1336"/>
      </c>
      <c r="CE266" s="203" t="str">
        <f t="shared" si="1336"/>
      </c>
      <c r="CF266" s="203" t="str">
        <f t="shared" si="1336"/>
      </c>
      <c r="CG266" s="203" t="str">
        <f t="shared" si="1336"/>
      </c>
      <c r="CH266" s="203" t="str">
        <f t="shared" si="1336"/>
      </c>
      <c r="CI266" s="203" t="str">
        <f t="shared" si="1336"/>
      </c>
      <c r="CJ266" s="203" t="str">
        <f t="shared" si="1336"/>
      </c>
      <c r="CK266" s="203" t="str">
        <f t="shared" si="1336"/>
      </c>
      <c r="CL266" s="203" t="str">
        <f t="shared" si="1336"/>
      </c>
      <c r="CM266" s="203" t="str">
        <f t="shared" si="1336"/>
      </c>
      <c r="CN266" s="203" t="str">
        <f t="shared" si="1336"/>
      </c>
      <c r="CO266" s="203" t="str">
        <f t="shared" si="1336"/>
      </c>
      <c r="CP266" s="203" t="str">
        <f t="shared" si="1336"/>
      </c>
      <c r="CQ266" s="203" t="str">
        <f t="shared" si="1336"/>
      </c>
      <c r="CR266" s="203" t="str">
        <f t="shared" si="1336"/>
      </c>
      <c r="CS266" s="203" t="str">
        <f t="shared" si="1336"/>
      </c>
      <c r="CT266" s="203" t="str">
        <f t="shared" si="1336"/>
      </c>
      <c r="CU266" s="203" t="str">
        <f t="shared" si="1336"/>
      </c>
      <c r="CV266" s="203" t="str">
        <f t="shared" si="1336"/>
      </c>
      <c r="CW266" s="203" t="str">
        <f t="shared" si="1336"/>
      </c>
      <c r="CX266" s="203" t="str">
        <f t="shared" si="1336"/>
      </c>
      <c r="CY266" s="203" t="str">
        <f t="shared" si="1336"/>
      </c>
      <c r="CZ266" s="203" t="str">
        <f t="shared" si="1336"/>
      </c>
      <c r="DA266" s="203" t="str">
        <f t="shared" si="1336"/>
      </c>
      <c r="DB266" s="203" t="str">
        <f t="shared" si="1336"/>
      </c>
      <c r="DC266" s="203" t="str">
        <f t="shared" si="1336"/>
      </c>
      <c r="DD266" s="203" t="str">
        <f t="shared" ref="DD266:EN266" si="1337">IF(DD$227="","",-DD250+DD261)</f>
      </c>
      <c r="DE266" s="203" t="str">
        <f t="shared" si="1337"/>
      </c>
      <c r="DF266" s="203" t="str">
        <f t="shared" si="1337"/>
      </c>
      <c r="DG266" s="203" t="str">
        <f t="shared" si="1337"/>
      </c>
      <c r="DH266" s="203" t="str">
        <f t="shared" si="1337"/>
      </c>
      <c r="DI266" s="203" t="str">
        <f t="shared" si="1337"/>
      </c>
      <c r="DJ266" s="203" t="str">
        <f t="shared" si="1337"/>
      </c>
      <c r="DK266" s="203" t="str">
        <f t="shared" si="1337"/>
      </c>
      <c r="DL266" s="203" t="str">
        <f t="shared" si="1337"/>
      </c>
      <c r="DM266" s="203" t="str">
        <f t="shared" si="1337"/>
      </c>
      <c r="DN266" s="203" t="str">
        <f t="shared" si="1337"/>
      </c>
      <c r="DO266" s="203" t="str">
        <f t="shared" si="1337"/>
      </c>
      <c r="DP266" s="203" t="str">
        <f t="shared" si="1337"/>
      </c>
      <c r="DQ266" s="203" t="str">
        <f t="shared" si="1337"/>
      </c>
      <c r="DR266" s="203" t="str">
        <f t="shared" si="1337"/>
      </c>
      <c r="DS266" s="203" t="str">
        <f t="shared" si="1337"/>
      </c>
      <c r="DT266" s="203" t="str">
        <f t="shared" si="1337"/>
      </c>
      <c r="DU266" s="203" t="str">
        <f t="shared" si="1337"/>
      </c>
      <c r="DV266" s="203" t="str">
        <f t="shared" si="1337"/>
      </c>
      <c r="DW266" s="203" t="str">
        <f t="shared" si="1337"/>
      </c>
      <c r="DX266" s="203" t="str">
        <f t="shared" si="1337"/>
      </c>
      <c r="DY266" s="203" t="str">
        <f t="shared" si="1337"/>
      </c>
      <c r="DZ266" s="203" t="str">
        <f t="shared" si="1337"/>
      </c>
      <c r="EA266" s="203" t="str">
        <f t="shared" si="1337"/>
      </c>
      <c r="EB266" s="203" t="str">
        <f t="shared" si="1337"/>
      </c>
      <c r="EC266" s="203" t="str">
        <f t="shared" si="1337"/>
      </c>
      <c r="ED266" s="203" t="str">
        <f t="shared" si="1337"/>
      </c>
      <c r="EE266" s="203" t="str">
        <f t="shared" si="1337"/>
      </c>
      <c r="EF266" s="203" t="str">
        <f t="shared" si="1337"/>
      </c>
      <c r="EG266" s="203" t="str">
        <f t="shared" si="1337"/>
      </c>
      <c r="EH266" s="203" t="str">
        <f t="shared" si="1337"/>
      </c>
      <c r="EI266" s="203" t="str">
        <f t="shared" si="1337"/>
      </c>
      <c r="EJ266" s="203" t="str">
        <f t="shared" si="1337"/>
      </c>
      <c r="EK266" s="203" t="str">
        <f t="shared" si="1337"/>
      </c>
      <c r="EL266" s="203" t="str">
        <f t="shared" si="1337"/>
      </c>
      <c r="EM266" s="203" t="str">
        <f t="shared" si="1337"/>
      </c>
      <c r="EN266" s="203" t="str">
        <f t="shared" si="1337"/>
      </c>
      <c r="EP266" s="220"/>
      <c r="EQ266" s="18"/>
      <c r="ER266" s="18"/>
      <c r="ES266" s="18"/>
      <c r="ET266" s="18" t="s">
        <v>442</v>
      </c>
      <c r="EU266" s="18"/>
      <c r="EV266" s="422" t="n">
        <f t="shared" ref="EV266:GA266" si="1338">EV$264*$H$257</f>
        <v>0</v>
      </c>
      <c r="EW266" s="422">
        <f t="shared" si="1338"/>
        <v>0</v>
      </c>
      <c r="EX266" s="422">
        <f t="shared" si="1338"/>
        <v>0</v>
      </c>
      <c r="EY266" s="422">
        <f t="shared" si="1338"/>
        <v>0</v>
      </c>
      <c r="EZ266" s="422">
        <f t="shared" si="1338"/>
        <v>0</v>
      </c>
      <c r="FA266" s="422">
        <f t="shared" si="1338"/>
        <v>0</v>
      </c>
      <c r="FB266" s="422">
        <f t="shared" si="1338"/>
        <v>0</v>
      </c>
      <c r="FC266" s="422">
        <f t="shared" si="1338"/>
        <v>0</v>
      </c>
      <c r="FD266" s="422">
        <f t="shared" si="1338"/>
        <v>0</v>
      </c>
      <c r="FE266" s="422">
        <f t="shared" si="1338"/>
        <v>0</v>
      </c>
      <c r="FF266" s="422">
        <f t="shared" si="1338"/>
        <v>0</v>
      </c>
      <c r="FG266" s="422">
        <f t="shared" si="1338"/>
        <v>0</v>
      </c>
      <c r="FH266" s="422">
        <f t="shared" si="1338"/>
        <v>0</v>
      </c>
      <c r="FI266" s="422">
        <f t="shared" si="1338"/>
        <v>0</v>
      </c>
      <c r="FJ266" s="422">
        <f t="shared" si="1338"/>
        <v>0</v>
      </c>
      <c r="FK266" s="422">
        <f t="shared" si="1338"/>
        <v>0</v>
      </c>
      <c r="FL266" s="422">
        <f t="shared" si="1338"/>
        <v>0</v>
      </c>
      <c r="FM266" s="422">
        <f t="shared" si="1338"/>
        <v>0</v>
      </c>
      <c r="FN266" s="422">
        <f t="shared" si="1338"/>
        <v>0</v>
      </c>
      <c r="FO266" s="422">
        <f t="shared" si="1338"/>
        <v>0</v>
      </c>
      <c r="FP266" s="422">
        <f t="shared" si="1338"/>
        <v>0</v>
      </c>
      <c r="FQ266" s="422">
        <f t="shared" si="1338"/>
        <v>0</v>
      </c>
      <c r="FR266" s="422">
        <f t="shared" si="1338"/>
        <v>0</v>
      </c>
      <c r="FS266" s="422">
        <f t="shared" si="1338"/>
        <v>0</v>
      </c>
      <c r="FT266" s="422">
        <f t="shared" si="1338"/>
        <v>0</v>
      </c>
      <c r="FU266" s="422">
        <f t="shared" si="1338"/>
        <v>0</v>
      </c>
      <c r="FV266" s="422">
        <f t="shared" si="1338"/>
        <v>0</v>
      </c>
      <c r="FW266" s="422">
        <f t="shared" si="1338"/>
        <v>0</v>
      </c>
      <c r="FX266" s="422">
        <f t="shared" si="1338"/>
        <v>0</v>
      </c>
      <c r="FY266" s="422">
        <f t="shared" si="1338"/>
        <v>0</v>
      </c>
      <c r="FZ266" s="422">
        <f t="shared" si="1338"/>
        <v>0</v>
      </c>
      <c r="GA266" s="422">
        <f t="shared" si="1338"/>
        <v>0</v>
      </c>
      <c r="GB266" s="422" t="n">
        <f t="shared" ref="GB266:HG266" si="1339">GB$264*$H$257</f>
        <v>0</v>
      </c>
      <c r="GC266" s="422">
        <f t="shared" si="1339"/>
        <v>0</v>
      </c>
      <c r="GD266" s="422">
        <f t="shared" si="1339"/>
        <v>0</v>
      </c>
      <c r="GE266" s="422">
        <f t="shared" si="1339"/>
        <v>0</v>
      </c>
      <c r="GF266" s="422">
        <f t="shared" si="1339"/>
        <v>0</v>
      </c>
      <c r="GG266" s="422">
        <f t="shared" si="1339"/>
        <v>0</v>
      </c>
      <c r="GH266" s="422">
        <f t="shared" si="1339"/>
        <v>0</v>
      </c>
      <c r="GI266" s="422">
        <f t="shared" si="1339"/>
        <v>0</v>
      </c>
      <c r="GJ266" s="422">
        <f t="shared" si="1339"/>
        <v>0</v>
      </c>
      <c r="GK266" s="422">
        <f t="shared" si="1339"/>
        <v>0</v>
      </c>
      <c r="GL266" s="422">
        <f t="shared" si="1339"/>
        <v>0</v>
      </c>
      <c r="GM266" s="422">
        <f t="shared" si="1339"/>
        <v>0</v>
      </c>
      <c r="GN266" s="422">
        <f t="shared" si="1339"/>
        <v>0</v>
      </c>
      <c r="GO266" s="422">
        <f t="shared" si="1339"/>
        <v>0</v>
      </c>
      <c r="GP266" s="422">
        <f t="shared" si="1339"/>
        <v>0</v>
      </c>
      <c r="GQ266" s="422">
        <f t="shared" si="1339"/>
        <v>0</v>
      </c>
      <c r="GR266" s="422">
        <f t="shared" si="1339"/>
        <v>0</v>
      </c>
      <c r="GS266" s="422">
        <f t="shared" si="1339"/>
        <v>0</v>
      </c>
      <c r="GT266" s="422">
        <f t="shared" si="1339"/>
        <v>0</v>
      </c>
      <c r="GU266" s="422">
        <f t="shared" si="1339"/>
        <v>0</v>
      </c>
      <c r="GV266" s="422">
        <f t="shared" si="1339"/>
        <v>0</v>
      </c>
      <c r="GW266" s="422">
        <f t="shared" si="1339"/>
        <v>0</v>
      </c>
      <c r="GX266" s="422">
        <f t="shared" si="1339"/>
        <v>0</v>
      </c>
      <c r="GY266" s="422">
        <f t="shared" si="1339"/>
        <v>0</v>
      </c>
      <c r="GZ266" s="422">
        <f t="shared" si="1339"/>
        <v>0</v>
      </c>
      <c r="HA266" s="422">
        <f t="shared" si="1339"/>
        <v>0</v>
      </c>
      <c r="HB266" s="422">
        <f t="shared" si="1339"/>
        <v>0</v>
      </c>
      <c r="HC266" s="422">
        <f t="shared" si="1339"/>
        <v>0</v>
      </c>
      <c r="HD266" s="422">
        <f t="shared" si="1339"/>
        <v>0</v>
      </c>
      <c r="HE266" s="422">
        <f t="shared" si="1339"/>
        <v>128130121.80360699</v>
      </c>
      <c r="HF266" s="422">
        <f t="shared" si="1339"/>
        <v>0</v>
      </c>
      <c r="HG266" s="422">
        <f t="shared" si="1339"/>
        <v>0</v>
      </c>
      <c r="HH266" s="422" t="n">
        <f t="shared" ref="HH266:IM266" si="1340">HH$264*$H$257</f>
        <v>0</v>
      </c>
      <c r="HI266" s="422">
        <f t="shared" si="1340"/>
        <v>0</v>
      </c>
      <c r="HJ266" s="422">
        <f t="shared" si="1340"/>
        <v>0</v>
      </c>
      <c r="HK266" s="422">
        <f t="shared" si="1340"/>
        <v>0</v>
      </c>
      <c r="HL266" s="422">
        <f t="shared" si="1340"/>
        <v>0</v>
      </c>
      <c r="HM266" s="422">
        <f t="shared" si="1340"/>
        <v>0</v>
      </c>
      <c r="HN266" s="422">
        <f t="shared" si="1340"/>
        <v>0</v>
      </c>
      <c r="HO266" s="422">
        <f t="shared" si="1340"/>
        <v>0</v>
      </c>
      <c r="HP266" s="422">
        <f t="shared" si="1340"/>
        <v>0</v>
      </c>
      <c r="HQ266" s="422">
        <f t="shared" si="1340"/>
        <v>0</v>
      </c>
      <c r="HR266" s="422">
        <f t="shared" si="1340"/>
        <v>0</v>
      </c>
      <c r="HS266" s="422">
        <f t="shared" si="1340"/>
        <v>0</v>
      </c>
      <c r="HT266" s="422">
        <f t="shared" si="1340"/>
        <v>0</v>
      </c>
      <c r="HU266" s="422">
        <f t="shared" si="1340"/>
        <v>0</v>
      </c>
      <c r="HV266" s="422">
        <f t="shared" si="1340"/>
        <v>0</v>
      </c>
      <c r="HW266" s="422">
        <f t="shared" si="1340"/>
        <v>0</v>
      </c>
      <c r="HX266" s="422">
        <f t="shared" si="1340"/>
        <v>0</v>
      </c>
      <c r="HY266" s="422">
        <f t="shared" si="1340"/>
        <v>0</v>
      </c>
      <c r="HZ266" s="422">
        <f t="shared" si="1340"/>
        <v>0</v>
      </c>
      <c r="IA266" s="422">
        <f t="shared" si="1340"/>
        <v>0</v>
      </c>
      <c r="IB266" s="422">
        <f t="shared" si="1340"/>
        <v>0</v>
      </c>
      <c r="IC266" s="422">
        <f t="shared" si="1340"/>
        <v>0</v>
      </c>
      <c r="ID266" s="422">
        <f t="shared" si="1340"/>
        <v>0</v>
      </c>
      <c r="IE266" s="422">
        <f t="shared" si="1340"/>
        <v>0</v>
      </c>
      <c r="IF266" s="422">
        <f t="shared" si="1340"/>
        <v>0</v>
      </c>
      <c r="IG266" s="422">
        <f t="shared" si="1340"/>
        <v>0</v>
      </c>
      <c r="IH266" s="422">
        <f t="shared" si="1340"/>
        <v>0</v>
      </c>
      <c r="II266" s="422">
        <f t="shared" si="1340"/>
        <v>0</v>
      </c>
      <c r="IJ266" s="422">
        <f t="shared" si="1340"/>
        <v>0</v>
      </c>
      <c r="IK266" s="422">
        <f t="shared" si="1340"/>
        <v>0</v>
      </c>
      <c r="IL266" s="422">
        <f t="shared" si="1340"/>
        <v>0</v>
      </c>
      <c r="IM266" s="422">
        <f t="shared" si="1340"/>
        <v>0</v>
      </c>
      <c r="IN266" s="422" t="n">
        <f t="shared" ref="IN266:JX266" si="1341">IN$264*$H$257</f>
        <v>0</v>
      </c>
      <c r="IO266" s="422">
        <f t="shared" si="1341"/>
        <v>0</v>
      </c>
      <c r="IP266" s="422">
        <f t="shared" si="1341"/>
        <v>0</v>
      </c>
      <c r="IQ266" s="422">
        <f t="shared" si="1341"/>
        <v>0</v>
      </c>
      <c r="IR266" s="422">
        <f t="shared" si="1341"/>
        <v>0</v>
      </c>
      <c r="IS266" s="422">
        <f t="shared" si="1341"/>
        <v>0</v>
      </c>
      <c r="IT266" s="422">
        <f t="shared" si="1341"/>
        <v>0</v>
      </c>
      <c r="IU266" s="422">
        <f t="shared" si="1341"/>
        <v>0</v>
      </c>
      <c r="IV266" s="422">
        <f t="shared" si="1341"/>
        <v>0</v>
      </c>
      <c r="IW266" s="422">
        <f t="shared" si="1341"/>
        <v>0</v>
      </c>
      <c r="IX266" s="422">
        <f t="shared" si="1341"/>
        <v>0</v>
      </c>
      <c r="IY266" s="422">
        <f t="shared" si="1341"/>
        <v>0</v>
      </c>
      <c r="IZ266" s="422">
        <f t="shared" si="1341"/>
        <v>0</v>
      </c>
      <c r="JA266" s="422">
        <f t="shared" si="1341"/>
        <v>0</v>
      </c>
      <c r="JB266" s="422">
        <f t="shared" si="1341"/>
        <v>0</v>
      </c>
      <c r="JC266" s="422">
        <f t="shared" si="1341"/>
        <v>0</v>
      </c>
      <c r="JD266" s="422">
        <f t="shared" si="1341"/>
        <v>0</v>
      </c>
      <c r="JE266" s="422">
        <f t="shared" si="1341"/>
        <v>0</v>
      </c>
      <c r="JF266" s="422">
        <f t="shared" si="1341"/>
        <v>0</v>
      </c>
      <c r="JG266" s="422">
        <f t="shared" si="1341"/>
        <v>0</v>
      </c>
      <c r="JH266" s="422">
        <f t="shared" si="1341"/>
        <v>0</v>
      </c>
      <c r="JI266" s="422">
        <f t="shared" si="1341"/>
        <v>0</v>
      </c>
      <c r="JJ266" s="422">
        <f t="shared" si="1341"/>
        <v>0</v>
      </c>
      <c r="JK266" s="422">
        <f t="shared" si="1341"/>
        <v>0</v>
      </c>
      <c r="JL266" s="422">
        <f t="shared" si="1341"/>
        <v>0</v>
      </c>
      <c r="JM266" s="422">
        <f t="shared" si="1341"/>
        <v>0</v>
      </c>
      <c r="JN266" s="422">
        <f t="shared" si="1341"/>
        <v>0</v>
      </c>
      <c r="JO266" s="422">
        <f t="shared" si="1341"/>
        <v>0</v>
      </c>
      <c r="JP266" s="422">
        <f t="shared" si="1341"/>
        <v>0</v>
      </c>
      <c r="JQ266" s="422">
        <f t="shared" si="1341"/>
        <v>0</v>
      </c>
      <c r="JR266" s="422">
        <f t="shared" si="1341"/>
        <v>0</v>
      </c>
      <c r="JS266" s="422">
        <f t="shared" si="1341"/>
        <v>0</v>
      </c>
      <c r="JT266" s="422">
        <f t="shared" si="1341"/>
        <v>0</v>
      </c>
      <c r="JU266" s="422">
        <f t="shared" si="1341"/>
        <v>0</v>
      </c>
      <c r="JV266" s="422">
        <f t="shared" si="1341"/>
        <v>0</v>
      </c>
      <c r="JW266" s="422">
        <f t="shared" si="1341"/>
        <v>0</v>
      </c>
      <c r="JX266" s="422">
        <f t="shared" si="1341"/>
        <v>0</v>
      </c>
      <c r="JZ266" s="263"/>
      <c r="KA266" s="263"/>
      <c r="KB266" s="263"/>
      <c r="KC266" s="263"/>
      <c r="KD266" s="263"/>
      <c r="KE266" s="263"/>
      <c r="KF266" s="263"/>
      <c r="KG266" s="263"/>
      <c r="KH266" s="263"/>
      <c r="KI266" s="263"/>
      <c r="KJ266" s="263"/>
      <c r="KK266" s="263"/>
      <c r="KL266" s="263"/>
      <c r="KM266" s="263"/>
      <c r="KN266" s="263"/>
      <c r="KO266" s="263"/>
      <c r="KP266" s="263"/>
      <c r="KQ266" s="263"/>
      <c r="KR266" s="263"/>
      <c r="KS266" s="263"/>
      <c r="KT266" s="263"/>
      <c r="KU266" s="263"/>
      <c r="KV266" s="263"/>
      <c r="KW266" s="263"/>
      <c r="KX266" s="263"/>
      <c r="KY266" s="263"/>
      <c r="KZ266" s="263"/>
      <c r="LA266" s="263"/>
      <c r="LB266" s="263"/>
      <c r="LC266" s="263"/>
      <c r="LD266" s="263"/>
      <c r="LE266" s="263"/>
      <c r="LF266" s="263"/>
      <c r="LG266" s="263"/>
      <c r="LH266" s="263"/>
      <c r="LI266" s="263"/>
      <c r="LJ266" s="263"/>
      <c r="LK266" s="263"/>
      <c r="LL266" s="263"/>
      <c r="LM266" s="263"/>
      <c r="LN266" s="263"/>
      <c r="LO266" s="263"/>
      <c r="LP266" s="263"/>
      <c r="LQ266" s="263"/>
      <c r="LR266" s="263"/>
      <c r="LS266" s="263"/>
      <c r="LT266" s="263"/>
      <c r="LU266" s="263"/>
      <c r="LV266" s="263"/>
      <c r="LW266" s="263"/>
      <c r="LX266" s="263"/>
      <c r="LY266" s="263"/>
      <c r="LZ266" s="263"/>
      <c r="MA266" s="263"/>
      <c r="MB266" s="263"/>
      <c r="MC266" s="263"/>
      <c r="MD266" s="263"/>
      <c r="ME266" s="263"/>
      <c r="MF266" s="263"/>
      <c r="MG266" s="263"/>
      <c r="MH266" s="263"/>
      <c r="MI266" s="263"/>
      <c r="MJ266" s="263"/>
      <c r="MK266" s="263"/>
      <c r="ML266" s="263"/>
      <c r="MM266" s="263"/>
      <c r="MN266" s="263"/>
      <c r="MO266" s="263"/>
      <c r="MP266" s="263"/>
      <c r="MQ266" s="263"/>
      <c r="MR266" s="263"/>
      <c r="MS266" s="263"/>
      <c r="MT266" s="263"/>
      <c r="MU266" s="263"/>
      <c r="MV266" s="263"/>
      <c r="MW266" s="263"/>
      <c r="MX266" s="263"/>
      <c r="MY266" s="263"/>
      <c r="MZ266" s="263"/>
      <c r="NA266" s="263"/>
      <c r="NB266" s="263"/>
      <c r="NC266" s="263"/>
      <c r="ND266" s="263"/>
      <c r="NE266" s="263"/>
      <c r="NF266" s="263"/>
      <c r="NG266" s="263"/>
      <c r="NH266" s="263"/>
      <c r="NI266" s="263"/>
      <c r="NJ266" s="263"/>
      <c r="NK266" s="263"/>
      <c r="NL266" s="263"/>
      <c r="NM266" s="263"/>
      <c r="NN266" s="263"/>
      <c r="NO266" s="263"/>
      <c r="NP266" s="263"/>
      <c r="NQ266" s="263"/>
      <c r="NR266" s="263"/>
      <c r="NS266" s="263"/>
      <c r="NT266" s="263"/>
      <c r="NU266" s="263"/>
      <c r="NV266" s="263"/>
      <c r="NW266" s="263"/>
      <c r="NX266" s="263"/>
      <c r="NY266" s="263"/>
      <c r="NZ266" s="263"/>
      <c r="OA266" s="263"/>
      <c r="OB266" s="263"/>
      <c r="OC266" s="263"/>
      <c r="OD266" s="263"/>
      <c r="OE266" s="263"/>
      <c r="OF266" s="263"/>
      <c r="OG266" s="263"/>
      <c r="OH266" s="263"/>
      <c r="OI266" s="263"/>
      <c r="OJ266" s="263"/>
      <c r="OK266" s="263"/>
      <c r="OL266" s="263"/>
      <c r="OM266" s="263"/>
      <c r="ON266" s="263"/>
      <c r="OO266" s="263"/>
      <c r="OP266" s="263"/>
      <c r="OQ266" s="263"/>
      <c r="OR266" s="263"/>
      <c r="OS266" s="263"/>
      <c r="OT266" s="263"/>
      <c r="OU266" s="263"/>
      <c r="OV266" s="263"/>
      <c r="OW266" s="263"/>
      <c r="OX266" s="263"/>
      <c r="OY266" s="263"/>
      <c r="OZ266" s="263"/>
      <c r="PA266" s="263"/>
      <c r="PB266" s="263"/>
      <c r="PC266" s="263"/>
      <c r="PD266" s="263"/>
      <c r="PE266" s="263"/>
      <c r="PF266" s="263"/>
      <c r="PG266" s="263"/>
      <c r="PH266" s="263"/>
    </row>
    <row r="267">
      <c r="B267" s="557" t="s">
        <v>153</v>
      </c>
      <c r="C267" s="558"/>
      <c r="D267" s="558"/>
      <c r="E267" s="558"/>
      <c r="F267" s="564" t="n">
        <f>IFERROR(I262/I251,"NA")</f>
        <v>34.355336047316385</v>
      </c>
      <c r="G267" s="262" t="str">
        <f>IFERROR(IF($L$57=0,XIRR($M$267:INDEX($M$267:$EN$267,1,Timing_Analysis_End_Month),$M$195:INDEX($M$195:$EN$195,1,Timing_Analysis_End_Month)),XIRR($L$267:INDEX($L$267:$EN$267,1,Timing_Analysis_End_Month+1),$L$195:INDEX($L$195:$EN$195,1,Timing_Analysis_End_Month+1))),"NA")</f>
        <v>NA</v>
      </c>
      <c r="H267" s="560" t="n">
        <f>I267/$I$246</f>
        <v>0.35305797028078245</v>
      </c>
      <c r="I267" s="561" t="n">
        <f>SUM(I265:I266)</f>
        <v>311070137.719603</v>
      </c>
      <c r="J267" s="545"/>
      <c r="K267" s="546"/>
      <c r="L267" s="562" t="str">
        <f t="shared" ref="L267:AQ267" si="1342">IF(L$227="","",SUM(L265:L266))</f>
      </c>
      <c r="M267" s="562">
        <f t="shared" si="1342"/>
        <v>20697.418964568609</v>
      </c>
      <c r="N267" s="562">
        <f t="shared" si="1342"/>
        <v>7136.8991101698412</v>
      </c>
      <c r="O267" s="562">
        <f t="shared" si="1342"/>
        <v>-12229.754929718263</v>
      </c>
      <c r="P267" s="562">
        <f t="shared" si="1342"/>
        <v>-39061.596444356001</v>
      </c>
      <c r="Q267" s="562">
        <f t="shared" si="1342"/>
        <v>-80820.215286487393</v>
      </c>
      <c r="R267" s="562">
        <f t="shared" si="1342"/>
        <v>-92758.630190187861</v>
      </c>
      <c r="S267" s="562">
        <f t="shared" si="1342"/>
        <v>-151838.07389083391</v>
      </c>
      <c r="T267" s="562">
        <f t="shared" si="1342"/>
        <v>-223783.60513408761</v>
      </c>
      <c r="U267" s="562">
        <f t="shared" si="1342"/>
        <v>-308358.90125588689</v>
      </c>
      <c r="V267" s="562">
        <f t="shared" si="1342"/>
        <v>-404138.64571131836</v>
      </c>
      <c r="W267" s="562">
        <f t="shared" si="1342"/>
        <v>-508341.65915377199</v>
      </c>
      <c r="X267" s="562">
        <f t="shared" si="1342"/>
        <v>-616815.76959860174</v>
      </c>
      <c r="Y267" s="562">
        <f t="shared" si="1342"/>
        <v>-724214.3746582889</v>
      </c>
      <c r="Z267" s="562">
        <f t="shared" si="1342"/>
        <v>-824375.9619705918</v>
      </c>
      <c r="AA267" s="562">
        <f t="shared" si="1342"/>
        <v>-910880.53215528908</v>
      </c>
      <c r="AB267" s="562">
        <f t="shared" si="1342"/>
        <v>-170235.09548436862</v>
      </c>
      <c r="AC267" s="562">
        <f t="shared" si="1342"/>
        <v>42655.977640512116</v>
      </c>
      <c r="AD267" s="562">
        <f t="shared" si="1342"/>
        <v>183252.67770691717</v>
      </c>
      <c r="AE267" s="562">
        <f t="shared" si="1342"/>
        <v>170533.1050788837</v>
      </c>
      <c r="AF267" s="562">
        <f t="shared" si="1342"/>
        <v>162398.07196046543</v>
      </c>
      <c r="AG267" s="562">
        <f t="shared" si="1342"/>
        <v>193957.07916015596</v>
      </c>
      <c r="AH267" s="562">
        <f t="shared" si="1342"/>
        <v>186520.1600444566</v>
      </c>
      <c r="AI267" s="562">
        <f t="shared" si="1342"/>
        <v>179676.24575137324</v>
      </c>
      <c r="AJ267" s="562">
        <f t="shared" si="1342"/>
        <v>188808.64779545995</v>
      </c>
      <c r="AK267" s="562">
        <f t="shared" si="1342"/>
        <v>183424.02026705141</v>
      </c>
      <c r="AL267" s="562">
        <f t="shared" si="1342"/>
        <v>178812.56135686929</v>
      </c>
      <c r="AM267" s="562">
        <f t="shared" si="1342"/>
        <v>184352.17664984387</v>
      </c>
      <c r="AN267" s="562">
        <f t="shared" si="1342"/>
        <v>149768.51834205937</v>
      </c>
      <c r="AO267" s="562">
        <f t="shared" si="1342"/>
        <v>78828.170146339718</v>
      </c>
      <c r="AP267" s="562">
        <f t="shared" si="1342"/>
        <v>132061.2559979037</v>
      </c>
      <c r="AQ267" s="562">
        <f t="shared" si="1342"/>
        <v>151856.45630436513</v>
      </c>
      <c r="AR267" s="562" t="n">
        <f t="shared" ref="AR267:BW267" si="1343">IF(AR$227="","",SUM(AR265:AR266))</f>
        <v>166597.00149289376</v>
      </c>
      <c r="AS267" s="562">
        <f t="shared" si="1343"/>
        <v>177153.76001550633</v>
      </c>
      <c r="AT267" s="562">
        <f t="shared" si="1343"/>
        <v>197050.77611878637</v>
      </c>
      <c r="AU267" s="562">
        <f t="shared" si="1343"/>
        <v>201683.9063857545</v>
      </c>
      <c r="AV267" s="562">
        <f t="shared" si="1343"/>
        <v>205096.64132294507</v>
      </c>
      <c r="AW267" s="562">
        <f t="shared" si="1343"/>
        <v>183924.78347276739</v>
      </c>
      <c r="AX267" s="562">
        <f t="shared" si="1343"/>
        <v>183290.65247524926</v>
      </c>
      <c r="AY267" s="562">
        <f t="shared" si="1343"/>
        <v>182651.76549524977</v>
      </c>
      <c r="AZ267" s="562">
        <f t="shared" si="1343"/>
        <v>182324.07566466741</v>
      </c>
      <c r="BA267" s="562">
        <f t="shared" si="1343"/>
        <v>181675.56944257524</v>
      </c>
      <c r="BB267" s="562">
        <f t="shared" si="1343"/>
        <v>181022.19942381748</v>
      </c>
      <c r="BC267" s="562">
        <f t="shared" si="1343"/>
        <v>188570.02953404238</v>
      </c>
      <c r="BD267" s="213">
        <f t="shared" si="1343"/>
        <v>187906.82221293962</v>
      </c>
      <c r="BE267" s="213">
        <f t="shared" si="1343"/>
        <v>187238.64083692874</v>
      </c>
      <c r="BF267" s="213">
        <f t="shared" si="1343"/>
        <v>188022.46893393091</v>
      </c>
      <c r="BG267" s="213">
        <f t="shared" si="1343"/>
        <v>187344.22725207737</v>
      </c>
      <c r="BH267" s="213">
        <f t="shared" si="1343"/>
        <v>186660.89875760989</v>
      </c>
      <c r="BI267" s="213">
        <f t="shared" si="1343"/>
        <v>318883.14423809893</v>
      </c>
      <c r="BJ267" s="213">
        <f t="shared" si="1343"/>
        <v>318189.52737898671</v>
      </c>
      <c r="BK267" s="213">
        <f t="shared" si="1343"/>
        <v>317490.70839343104</v>
      </c>
      <c r="BL267" s="213">
        <f t="shared" si="1343"/>
        <v>317102.10764048377</v>
      </c>
      <c r="BM267" s="213">
        <f t="shared" si="1343"/>
        <v>316392.76706157695</v>
      </c>
      <c r="BN267" s="213">
        <f t="shared" si="1343"/>
        <v>315678.10642832826</v>
      </c>
      <c r="BO267" s="213">
        <f t="shared" si="1343"/>
        <v>322385.34863394313</v>
      </c>
      <c r="BP267" s="213">
        <f t="shared" si="1343"/>
        <v>321659.9278915351</v>
      </c>
      <c r="BQ267" s="213">
        <f t="shared" si="1343"/>
        <v>320929.06649355905</v>
      </c>
      <c r="BR267" s="213">
        <f t="shared" si="1343"/>
        <v>321700.74019759794</v>
      </c>
      <c r="BS267" s="213">
        <f t="shared" si="1343"/>
        <v>320958.8747676987</v>
      </c>
      <c r="BT267" s="213">
        <f t="shared" si="1343"/>
        <v>320211.44534707512</v>
      </c>
      <c r="BU267" s="213">
        <f t="shared" si="1343"/>
        <v>306743455.10987937</v>
      </c>
      <c r="BV267" s="213" t="str">
        <f t="shared" si="1343"/>
      </c>
      <c r="BW267" s="213" t="str">
        <f t="shared" si="1343"/>
      </c>
      <c r="BX267" s="213" t="str">
        <f t="shared" ref="BX267:DC267" si="1344">IF(BX$227="","",SUM(BX265:BX266))</f>
      </c>
      <c r="BY267" s="213" t="str">
        <f t="shared" si="1344"/>
      </c>
      <c r="BZ267" s="213" t="str">
        <f t="shared" si="1344"/>
      </c>
      <c r="CA267" s="213" t="str">
        <f t="shared" si="1344"/>
      </c>
      <c r="CB267" s="213" t="str">
        <f t="shared" si="1344"/>
      </c>
      <c r="CC267" s="213" t="str">
        <f t="shared" si="1344"/>
      </c>
      <c r="CD267" s="213" t="str">
        <f t="shared" si="1344"/>
      </c>
      <c r="CE267" s="213" t="str">
        <f t="shared" si="1344"/>
      </c>
      <c r="CF267" s="213" t="str">
        <f t="shared" si="1344"/>
      </c>
      <c r="CG267" s="213" t="str">
        <f t="shared" si="1344"/>
      </c>
      <c r="CH267" s="213" t="str">
        <f t="shared" si="1344"/>
      </c>
      <c r="CI267" s="213" t="str">
        <f t="shared" si="1344"/>
      </c>
      <c r="CJ267" s="213" t="str">
        <f t="shared" si="1344"/>
      </c>
      <c r="CK267" s="213" t="str">
        <f t="shared" si="1344"/>
      </c>
      <c r="CL267" s="213" t="str">
        <f t="shared" si="1344"/>
      </c>
      <c r="CM267" s="213" t="str">
        <f t="shared" si="1344"/>
      </c>
      <c r="CN267" s="213" t="str">
        <f t="shared" si="1344"/>
      </c>
      <c r="CO267" s="213" t="str">
        <f t="shared" si="1344"/>
      </c>
      <c r="CP267" s="213" t="str">
        <f t="shared" si="1344"/>
      </c>
      <c r="CQ267" s="213" t="str">
        <f t="shared" si="1344"/>
      </c>
      <c r="CR267" s="213" t="str">
        <f t="shared" si="1344"/>
      </c>
      <c r="CS267" s="213" t="str">
        <f t="shared" si="1344"/>
      </c>
      <c r="CT267" s="213" t="str">
        <f t="shared" si="1344"/>
      </c>
      <c r="CU267" s="213" t="str">
        <f t="shared" si="1344"/>
      </c>
      <c r="CV267" s="213" t="str">
        <f t="shared" si="1344"/>
      </c>
      <c r="CW267" s="213" t="str">
        <f t="shared" si="1344"/>
      </c>
      <c r="CX267" s="213" t="str">
        <f t="shared" si="1344"/>
      </c>
      <c r="CY267" s="213" t="str">
        <f t="shared" si="1344"/>
      </c>
      <c r="CZ267" s="213" t="str">
        <f t="shared" si="1344"/>
      </c>
      <c r="DA267" s="213" t="str">
        <f t="shared" si="1344"/>
      </c>
      <c r="DB267" s="213" t="str">
        <f t="shared" si="1344"/>
      </c>
      <c r="DC267" s="213" t="str">
        <f t="shared" si="1344"/>
      </c>
      <c r="DD267" s="213" t="str">
        <f t="shared" ref="DD267:EI267" si="1345">IF(DD$227="","",SUM(DD265:DD266))</f>
      </c>
      <c r="DE267" s="213" t="str">
        <f t="shared" si="1345"/>
      </c>
      <c r="DF267" s="213" t="str">
        <f t="shared" si="1345"/>
      </c>
      <c r="DG267" s="213" t="str">
        <f t="shared" si="1345"/>
      </c>
      <c r="DH267" s="213" t="str">
        <f t="shared" si="1345"/>
      </c>
      <c r="DI267" s="213" t="str">
        <f t="shared" si="1345"/>
      </c>
      <c r="DJ267" s="213" t="str">
        <f t="shared" si="1345"/>
      </c>
      <c r="DK267" s="213" t="str">
        <f t="shared" si="1345"/>
      </c>
      <c r="DL267" s="213" t="str">
        <f t="shared" si="1345"/>
      </c>
      <c r="DM267" s="213" t="str">
        <f t="shared" si="1345"/>
      </c>
      <c r="DN267" s="213" t="str">
        <f t="shared" si="1345"/>
      </c>
      <c r="DO267" s="213" t="str">
        <f t="shared" si="1345"/>
      </c>
      <c r="DP267" s="213" t="str">
        <f t="shared" si="1345"/>
      </c>
      <c r="DQ267" s="213" t="str">
        <f t="shared" si="1345"/>
      </c>
      <c r="DR267" s="213" t="str">
        <f t="shared" si="1345"/>
      </c>
      <c r="DS267" s="213" t="str">
        <f t="shared" si="1345"/>
      </c>
      <c r="DT267" s="213" t="str">
        <f t="shared" si="1345"/>
      </c>
      <c r="DU267" s="213" t="str">
        <f t="shared" si="1345"/>
      </c>
      <c r="DV267" s="213" t="str">
        <f t="shared" si="1345"/>
      </c>
      <c r="DW267" s="213" t="str">
        <f t="shared" si="1345"/>
      </c>
      <c r="DX267" s="213" t="str">
        <f t="shared" si="1345"/>
      </c>
      <c r="DY267" s="213" t="str">
        <f t="shared" si="1345"/>
      </c>
      <c r="DZ267" s="213" t="str">
        <f t="shared" si="1345"/>
      </c>
      <c r="EA267" s="213" t="str">
        <f t="shared" si="1345"/>
      </c>
      <c r="EB267" s="213" t="str">
        <f t="shared" si="1345"/>
      </c>
      <c r="EC267" s="213" t="str">
        <f t="shared" si="1345"/>
      </c>
      <c r="ED267" s="213" t="str">
        <f t="shared" si="1345"/>
      </c>
      <c r="EE267" s="213" t="str">
        <f t="shared" si="1345"/>
      </c>
      <c r="EF267" s="213" t="str">
        <f t="shared" si="1345"/>
      </c>
      <c r="EG267" s="213" t="str">
        <f t="shared" si="1345"/>
      </c>
      <c r="EH267" s="213" t="str">
        <f t="shared" si="1345"/>
      </c>
      <c r="EI267" s="213" t="str">
        <f t="shared" si="1345"/>
      </c>
      <c r="EJ267" s="213" t="str">
        <f>IF(EJ$227="","",SUM(EJ265:EJ266))</f>
      </c>
      <c r="EK267" s="213" t="str">
        <f>IF(EK$227="","",SUM(EK265:EK266))</f>
      </c>
      <c r="EL267" s="213" t="str">
        <f>IF(EL$227="","",SUM(EL265:EL266))</f>
      </c>
      <c r="EM267" s="213" t="str">
        <f>IF(EM$227="","",SUM(EM265:EM266))</f>
      </c>
      <c r="EN267" s="213" t="str">
        <f>IF(EN$227="","",SUM(EN265:EN266))</f>
      </c>
      <c r="EO267" s="546"/>
      <c r="EP267" s="409"/>
      <c r="EQ267" s="18"/>
      <c r="ER267" s="18"/>
      <c r="ES267" s="18"/>
      <c r="ET267" s="18" t="s">
        <v>430</v>
      </c>
      <c r="EU267" s="18"/>
      <c r="EV267" s="422" t="n">
        <f>SUM(EV265:EV266)</f>
        <v>0</v>
      </c>
      <c r="EW267" s="422" t="n">
        <f t="shared" ref="EW267:HH267" si="1346">SUM(EW265:EW266)</f>
        <v>0</v>
      </c>
      <c r="EX267" s="422">
        <f t="shared" si="1346"/>
        <v>0</v>
      </c>
      <c r="EY267" s="422">
        <f t="shared" si="1346"/>
        <v>0</v>
      </c>
      <c r="EZ267" s="422">
        <f t="shared" si="1346"/>
        <v>0</v>
      </c>
      <c r="FA267" s="422">
        <f t="shared" si="1346"/>
        <v>0</v>
      </c>
      <c r="FB267" s="422">
        <f t="shared" si="1346"/>
        <v>0</v>
      </c>
      <c r="FC267" s="422">
        <f t="shared" si="1346"/>
        <v>0</v>
      </c>
      <c r="FD267" s="422">
        <f t="shared" si="1346"/>
        <v>0</v>
      </c>
      <c r="FE267" s="422">
        <f t="shared" si="1346"/>
        <v>0</v>
      </c>
      <c r="FF267" s="422">
        <f t="shared" si="1346"/>
        <v>0</v>
      </c>
      <c r="FG267" s="422">
        <f t="shared" si="1346"/>
        <v>0</v>
      </c>
      <c r="FH267" s="422">
        <f t="shared" si="1346"/>
        <v>0</v>
      </c>
      <c r="FI267" s="422">
        <f t="shared" si="1346"/>
        <v>0</v>
      </c>
      <c r="FJ267" s="422">
        <f t="shared" si="1346"/>
        <v>0</v>
      </c>
      <c r="FK267" s="422">
        <f t="shared" si="1346"/>
        <v>0</v>
      </c>
      <c r="FL267" s="422">
        <f t="shared" si="1346"/>
        <v>0</v>
      </c>
      <c r="FM267" s="422">
        <f t="shared" si="1346"/>
        <v>0</v>
      </c>
      <c r="FN267" s="422">
        <f t="shared" si="1346"/>
        <v>0</v>
      </c>
      <c r="FO267" s="422">
        <f t="shared" si="1346"/>
        <v>0</v>
      </c>
      <c r="FP267" s="422">
        <f t="shared" si="1346"/>
        <v>0</v>
      </c>
      <c r="FQ267" s="422">
        <f t="shared" si="1346"/>
        <v>0</v>
      </c>
      <c r="FR267" s="422">
        <f t="shared" si="1346"/>
        <v>0</v>
      </c>
      <c r="FS267" s="422">
        <f t="shared" si="1346"/>
        <v>0</v>
      </c>
      <c r="FT267" s="422">
        <f t="shared" si="1346"/>
        <v>0</v>
      </c>
      <c r="FU267" s="422">
        <f t="shared" si="1346"/>
        <v>0</v>
      </c>
      <c r="FV267" s="422">
        <f t="shared" si="1346"/>
        <v>0</v>
      </c>
      <c r="FW267" s="422">
        <f t="shared" si="1346"/>
        <v>0</v>
      </c>
      <c r="FX267" s="422">
        <f t="shared" si="1346"/>
        <v>0</v>
      </c>
      <c r="FY267" s="422">
        <f t="shared" si="1346"/>
        <v>0</v>
      </c>
      <c r="FZ267" s="422">
        <f t="shared" si="1346"/>
        <v>0</v>
      </c>
      <c r="GA267" s="422">
        <f t="shared" si="1346"/>
        <v>0</v>
      </c>
      <c r="GB267" s="422">
        <f t="shared" si="1346"/>
        <v>0</v>
      </c>
      <c r="GC267" s="422">
        <f t="shared" si="1346"/>
        <v>0</v>
      </c>
      <c r="GD267" s="422">
        <f t="shared" si="1346"/>
        <v>0</v>
      </c>
      <c r="GE267" s="422">
        <f t="shared" si="1346"/>
        <v>0</v>
      </c>
      <c r="GF267" s="422">
        <f t="shared" si="1346"/>
        <v>0</v>
      </c>
      <c r="GG267" s="422">
        <f t="shared" si="1346"/>
        <v>0</v>
      </c>
      <c r="GH267" s="422">
        <f t="shared" si="1346"/>
        <v>0</v>
      </c>
      <c r="GI267" s="422">
        <f t="shared" si="1346"/>
        <v>0</v>
      </c>
      <c r="GJ267" s="422">
        <f t="shared" si="1346"/>
        <v>0</v>
      </c>
      <c r="GK267" s="422">
        <f t="shared" si="1346"/>
        <v>0</v>
      </c>
      <c r="GL267" s="422">
        <f t="shared" si="1346"/>
        <v>0</v>
      </c>
      <c r="GM267" s="422">
        <f t="shared" si="1346"/>
        <v>0</v>
      </c>
      <c r="GN267" s="422">
        <f t="shared" si="1346"/>
        <v>0</v>
      </c>
      <c r="GO267" s="422">
        <f t="shared" si="1346"/>
        <v>0</v>
      </c>
      <c r="GP267" s="422">
        <f t="shared" si="1346"/>
        <v>0</v>
      </c>
      <c r="GQ267" s="422">
        <f t="shared" si="1346"/>
        <v>0</v>
      </c>
      <c r="GR267" s="422">
        <f t="shared" si="1346"/>
        <v>0</v>
      </c>
      <c r="GS267" s="422">
        <f t="shared" si="1346"/>
        <v>0</v>
      </c>
      <c r="GT267" s="422">
        <f t="shared" si="1346"/>
        <v>0</v>
      </c>
      <c r="GU267" s="422">
        <f t="shared" si="1346"/>
        <v>0</v>
      </c>
      <c r="GV267" s="422">
        <f t="shared" si="1346"/>
        <v>0</v>
      </c>
      <c r="GW267" s="422">
        <f t="shared" si="1346"/>
        <v>0</v>
      </c>
      <c r="GX267" s="422">
        <f t="shared" si="1346"/>
        <v>0</v>
      </c>
      <c r="GY267" s="422">
        <f t="shared" si="1346"/>
        <v>0</v>
      </c>
      <c r="GZ267" s="422">
        <f t="shared" si="1346"/>
        <v>0</v>
      </c>
      <c r="HA267" s="422">
        <f t="shared" si="1346"/>
        <v>0</v>
      </c>
      <c r="HB267" s="422">
        <f t="shared" si="1346"/>
        <v>0</v>
      </c>
      <c r="HC267" s="422">
        <f t="shared" si="1346"/>
        <v>0</v>
      </c>
      <c r="HD267" s="422">
        <f t="shared" si="1346"/>
        <v>0</v>
      </c>
      <c r="HE267" s="422">
        <f t="shared" si="1346"/>
        <v>297977027.45024878</v>
      </c>
      <c r="HF267" s="422">
        <f t="shared" si="1346"/>
        <v>0</v>
      </c>
      <c r="HG267" s="422">
        <f t="shared" si="1346"/>
        <v>0</v>
      </c>
      <c r="HH267" s="422">
        <f t="shared" si="1346"/>
        <v>0</v>
      </c>
      <c r="HI267" s="422" t="n">
        <f t="shared" ref="HI267:JT267" si="1347">SUM(HI265:HI266)</f>
        <v>0</v>
      </c>
      <c r="HJ267" s="422">
        <f t="shared" si="1347"/>
        <v>0</v>
      </c>
      <c r="HK267" s="422">
        <f t="shared" si="1347"/>
        <v>0</v>
      </c>
      <c r="HL267" s="422">
        <f t="shared" si="1347"/>
        <v>0</v>
      </c>
      <c r="HM267" s="422">
        <f t="shared" si="1347"/>
        <v>0</v>
      </c>
      <c r="HN267" s="422">
        <f t="shared" si="1347"/>
        <v>0</v>
      </c>
      <c r="HO267" s="422">
        <f t="shared" si="1347"/>
        <v>0</v>
      </c>
      <c r="HP267" s="422">
        <f t="shared" si="1347"/>
        <v>0</v>
      </c>
      <c r="HQ267" s="422">
        <f t="shared" si="1347"/>
        <v>0</v>
      </c>
      <c r="HR267" s="422">
        <f t="shared" si="1347"/>
        <v>0</v>
      </c>
      <c r="HS267" s="422">
        <f t="shared" si="1347"/>
        <v>0</v>
      </c>
      <c r="HT267" s="422">
        <f t="shared" si="1347"/>
        <v>0</v>
      </c>
      <c r="HU267" s="422">
        <f t="shared" si="1347"/>
        <v>0</v>
      </c>
      <c r="HV267" s="422">
        <f t="shared" si="1347"/>
        <v>0</v>
      </c>
      <c r="HW267" s="422">
        <f t="shared" si="1347"/>
        <v>0</v>
      </c>
      <c r="HX267" s="422">
        <f t="shared" si="1347"/>
        <v>0</v>
      </c>
      <c r="HY267" s="422">
        <f t="shared" si="1347"/>
        <v>0</v>
      </c>
      <c r="HZ267" s="422">
        <f t="shared" si="1347"/>
        <v>0</v>
      </c>
      <c r="IA267" s="422">
        <f t="shared" si="1347"/>
        <v>0</v>
      </c>
      <c r="IB267" s="422">
        <f t="shared" si="1347"/>
        <v>0</v>
      </c>
      <c r="IC267" s="422">
        <f t="shared" si="1347"/>
        <v>0</v>
      </c>
      <c r="ID267" s="422">
        <f t="shared" si="1347"/>
        <v>0</v>
      </c>
      <c r="IE267" s="422">
        <f t="shared" si="1347"/>
        <v>0</v>
      </c>
      <c r="IF267" s="422">
        <f t="shared" si="1347"/>
        <v>0</v>
      </c>
      <c r="IG267" s="422">
        <f t="shared" si="1347"/>
        <v>0</v>
      </c>
      <c r="IH267" s="422">
        <f t="shared" si="1347"/>
        <v>0</v>
      </c>
      <c r="II267" s="422">
        <f t="shared" si="1347"/>
        <v>0</v>
      </c>
      <c r="IJ267" s="422">
        <f t="shared" si="1347"/>
        <v>0</v>
      </c>
      <c r="IK267" s="422">
        <f t="shared" si="1347"/>
        <v>0</v>
      </c>
      <c r="IL267" s="422">
        <f t="shared" si="1347"/>
        <v>0</v>
      </c>
      <c r="IM267" s="422">
        <f t="shared" si="1347"/>
        <v>0</v>
      </c>
      <c r="IN267" s="422">
        <f t="shared" si="1347"/>
        <v>0</v>
      </c>
      <c r="IO267" s="422">
        <f t="shared" si="1347"/>
        <v>0</v>
      </c>
      <c r="IP267" s="422">
        <f t="shared" si="1347"/>
        <v>0</v>
      </c>
      <c r="IQ267" s="422">
        <f t="shared" si="1347"/>
        <v>0</v>
      </c>
      <c r="IR267" s="422">
        <f t="shared" si="1347"/>
        <v>0</v>
      </c>
      <c r="IS267" s="422">
        <f t="shared" si="1347"/>
        <v>0</v>
      </c>
      <c r="IT267" s="422">
        <f t="shared" si="1347"/>
        <v>0</v>
      </c>
      <c r="IU267" s="422">
        <f t="shared" si="1347"/>
        <v>0</v>
      </c>
      <c r="IV267" s="422">
        <f t="shared" si="1347"/>
        <v>0</v>
      </c>
      <c r="IW267" s="422">
        <f t="shared" si="1347"/>
        <v>0</v>
      </c>
      <c r="IX267" s="422">
        <f t="shared" si="1347"/>
        <v>0</v>
      </c>
      <c r="IY267" s="422">
        <f t="shared" si="1347"/>
        <v>0</v>
      </c>
      <c r="IZ267" s="422">
        <f t="shared" si="1347"/>
        <v>0</v>
      </c>
      <c r="JA267" s="422">
        <f t="shared" si="1347"/>
        <v>0</v>
      </c>
      <c r="JB267" s="422">
        <f t="shared" si="1347"/>
        <v>0</v>
      </c>
      <c r="JC267" s="422">
        <f t="shared" si="1347"/>
        <v>0</v>
      </c>
      <c r="JD267" s="422">
        <f t="shared" si="1347"/>
        <v>0</v>
      </c>
      <c r="JE267" s="422">
        <f t="shared" si="1347"/>
        <v>0</v>
      </c>
      <c r="JF267" s="422">
        <f t="shared" si="1347"/>
        <v>0</v>
      </c>
      <c r="JG267" s="422">
        <f t="shared" si="1347"/>
        <v>0</v>
      </c>
      <c r="JH267" s="422">
        <f t="shared" si="1347"/>
        <v>0</v>
      </c>
      <c r="JI267" s="422">
        <f t="shared" si="1347"/>
        <v>0</v>
      </c>
      <c r="JJ267" s="422">
        <f t="shared" si="1347"/>
        <v>0</v>
      </c>
      <c r="JK267" s="422">
        <f t="shared" si="1347"/>
        <v>0</v>
      </c>
      <c r="JL267" s="422">
        <f t="shared" si="1347"/>
        <v>0</v>
      </c>
      <c r="JM267" s="422">
        <f t="shared" si="1347"/>
        <v>0</v>
      </c>
      <c r="JN267" s="422">
        <f t="shared" si="1347"/>
        <v>0</v>
      </c>
      <c r="JO267" s="422">
        <f t="shared" si="1347"/>
        <v>0</v>
      </c>
      <c r="JP267" s="422">
        <f t="shared" si="1347"/>
        <v>0</v>
      </c>
      <c r="JQ267" s="422">
        <f t="shared" si="1347"/>
        <v>0</v>
      </c>
      <c r="JR267" s="422">
        <f t="shared" si="1347"/>
        <v>0</v>
      </c>
      <c r="JS267" s="422">
        <f t="shared" si="1347"/>
        <v>0</v>
      </c>
      <c r="JT267" s="422">
        <f t="shared" si="1347"/>
        <v>0</v>
      </c>
      <c r="JU267" s="422" t="n">
        <f t="shared" ref="JU267:JX267" si="1348">SUM(JU265:JU266)</f>
        <v>0</v>
      </c>
      <c r="JV267" s="422">
        <f t="shared" si="1348"/>
        <v>0</v>
      </c>
      <c r="JW267" s="422">
        <f t="shared" si="1348"/>
        <v>0</v>
      </c>
      <c r="JX267" s="422">
        <f t="shared" si="1348"/>
        <v>0</v>
      </c>
      <c r="JZ267" s="263"/>
      <c r="KA267" s="263"/>
      <c r="KB267" s="263"/>
      <c r="KC267" s="263"/>
      <c r="KD267" s="263"/>
      <c r="KE267" s="263"/>
      <c r="KF267" s="263"/>
      <c r="KG267" s="263"/>
      <c r="KH267" s="263"/>
      <c r="KI267" s="263"/>
      <c r="KJ267" s="263"/>
      <c r="KK267" s="263"/>
      <c r="KL267" s="263"/>
      <c r="KM267" s="263"/>
      <c r="KN267" s="263"/>
      <c r="KO267" s="263"/>
      <c r="KP267" s="263"/>
      <c r="KQ267" s="263"/>
      <c r="KR267" s="263"/>
      <c r="KS267" s="263"/>
      <c r="KT267" s="263"/>
      <c r="KU267" s="263"/>
      <c r="KV267" s="263"/>
      <c r="KW267" s="263"/>
      <c r="KX267" s="263"/>
      <c r="KY267" s="263"/>
      <c r="KZ267" s="263"/>
      <c r="LA267" s="263"/>
      <c r="LB267" s="263"/>
      <c r="LC267" s="263"/>
      <c r="LD267" s="263"/>
      <c r="LE267" s="263"/>
      <c r="LF267" s="263"/>
      <c r="LG267" s="263"/>
      <c r="LH267" s="263"/>
      <c r="LI267" s="263"/>
      <c r="LJ267" s="263"/>
      <c r="LK267" s="263"/>
      <c r="LL267" s="263"/>
      <c r="LM267" s="263"/>
      <c r="LN267" s="263"/>
      <c r="LO267" s="263"/>
      <c r="LP267" s="263"/>
      <c r="LQ267" s="263"/>
      <c r="LR267" s="263"/>
      <c r="LS267" s="263"/>
      <c r="LT267" s="263"/>
      <c r="LU267" s="263"/>
      <c r="LV267" s="263"/>
      <c r="LW267" s="263"/>
      <c r="LX267" s="263"/>
      <c r="LY267" s="263"/>
      <c r="LZ267" s="263"/>
      <c r="MA267" s="263"/>
      <c r="MB267" s="263"/>
      <c r="MC267" s="263"/>
      <c r="MD267" s="263"/>
      <c r="ME267" s="263"/>
      <c r="MF267" s="263"/>
      <c r="MG267" s="263"/>
      <c r="MH267" s="263"/>
      <c r="MI267" s="263"/>
      <c r="MJ267" s="263"/>
      <c r="MK267" s="263"/>
      <c r="ML267" s="263"/>
      <c r="MM267" s="263"/>
      <c r="MN267" s="263"/>
      <c r="MO267" s="263"/>
      <c r="MP267" s="263"/>
      <c r="MQ267" s="263"/>
      <c r="MR267" s="263"/>
      <c r="MS267" s="263"/>
      <c r="MT267" s="263"/>
      <c r="MU267" s="263"/>
      <c r="MV267" s="263"/>
      <c r="MW267" s="263"/>
      <c r="MX267" s="263"/>
      <c r="MY267" s="263"/>
      <c r="MZ267" s="263"/>
      <c r="NA267" s="263"/>
      <c r="NB267" s="263"/>
      <c r="NC267" s="263"/>
      <c r="ND267" s="263"/>
      <c r="NE267" s="263"/>
      <c r="NF267" s="263"/>
      <c r="NG267" s="263"/>
      <c r="NH267" s="263"/>
      <c r="NI267" s="263"/>
      <c r="NJ267" s="263"/>
      <c r="NK267" s="263"/>
      <c r="NL267" s="263"/>
      <c r="NM267" s="263"/>
      <c r="NN267" s="263"/>
      <c r="NO267" s="263"/>
      <c r="NP267" s="263"/>
      <c r="NQ267" s="263"/>
      <c r="NR267" s="263"/>
      <c r="NS267" s="263"/>
      <c r="NT267" s="263"/>
      <c r="NU267" s="263"/>
      <c r="NV267" s="263"/>
      <c r="NW267" s="263"/>
      <c r="NX267" s="263"/>
      <c r="NY267" s="263"/>
      <c r="NZ267" s="263"/>
      <c r="OA267" s="263"/>
      <c r="OB267" s="263"/>
      <c r="OC267" s="263"/>
      <c r="OD267" s="263"/>
      <c r="OE267" s="263"/>
      <c r="OF267" s="263"/>
      <c r="OG267" s="263"/>
      <c r="OH267" s="263"/>
      <c r="OI267" s="263"/>
      <c r="OJ267" s="263"/>
      <c r="OK267" s="263"/>
      <c r="OL267" s="263"/>
      <c r="OM267" s="263"/>
      <c r="ON267" s="263"/>
      <c r="OO267" s="263"/>
      <c r="OP267" s="263"/>
      <c r="OQ267" s="263"/>
      <c r="OR267" s="263"/>
      <c r="OS267" s="263"/>
      <c r="OT267" s="263"/>
      <c r="OU267" s="263"/>
      <c r="OV267" s="263"/>
      <c r="OW267" s="263"/>
      <c r="OX267" s="263"/>
      <c r="OY267" s="263"/>
      <c r="OZ267" s="263"/>
      <c r="PA267" s="263"/>
      <c r="PB267" s="263"/>
      <c r="PC267" s="263"/>
      <c r="PD267" s="263"/>
      <c r="PE267" s="263"/>
      <c r="PF267" s="263"/>
      <c r="PG267" s="263"/>
      <c r="PH267" s="263"/>
    </row>
    <row r="268">
      <c r="B268" s="6"/>
      <c r="C268" s="392"/>
      <c r="D268" s="392"/>
      <c r="E268" s="392"/>
      <c r="F268" s="392"/>
      <c r="G268" s="392"/>
      <c r="H268" s="392"/>
      <c r="I268" s="392"/>
      <c r="J268" s="391"/>
      <c r="K268" s="392"/>
      <c r="L268" s="392"/>
      <c r="M268" s="392"/>
      <c r="N268" s="392"/>
      <c r="O268" s="392"/>
      <c r="P268" s="392"/>
      <c r="Q268" s="392"/>
      <c r="R268" s="392"/>
      <c r="S268" s="392"/>
      <c r="T268" s="392"/>
      <c r="U268" s="392"/>
      <c r="V268" s="392"/>
      <c r="W268" s="392"/>
      <c r="X268" s="392"/>
      <c r="Y268" s="392"/>
      <c r="Z268" s="392"/>
      <c r="AA268" s="392"/>
      <c r="AB268" s="392"/>
      <c r="AC268" s="392"/>
      <c r="AD268" s="392"/>
      <c r="AE268" s="392"/>
      <c r="AF268" s="392"/>
      <c r="AG268" s="392"/>
      <c r="AH268" s="392"/>
      <c r="AI268" s="392"/>
      <c r="AJ268" s="392"/>
      <c r="AK268" s="392"/>
      <c r="AL268" s="392"/>
      <c r="AM268" s="392"/>
      <c r="AN268" s="392"/>
      <c r="AO268" s="392"/>
      <c r="AP268" s="392"/>
      <c r="AQ268" s="392"/>
      <c r="AR268" s="392"/>
      <c r="AS268" s="392"/>
      <c r="AT268" s="392"/>
      <c r="AU268" s="392"/>
      <c r="AV268" s="392"/>
      <c r="AW268" s="392"/>
      <c r="AX268" s="392"/>
      <c r="AY268" s="392"/>
      <c r="AZ268" s="392"/>
      <c r="BA268" s="392"/>
      <c r="BB268" s="392"/>
      <c r="BC268" s="392"/>
      <c r="BD268" s="392"/>
      <c r="BE268" s="392"/>
      <c r="BF268" s="392"/>
      <c r="BG268" s="392"/>
      <c r="BH268" s="392"/>
      <c r="BI268" s="392"/>
      <c r="BJ268" s="392"/>
      <c r="BK268" s="392"/>
      <c r="BL268" s="392"/>
      <c r="BM268" s="392"/>
      <c r="BN268" s="392"/>
      <c r="BO268" s="392"/>
      <c r="BP268" s="392"/>
      <c r="BQ268" s="392"/>
      <c r="BR268" s="392"/>
      <c r="BS268" s="392"/>
      <c r="BT268" s="392"/>
      <c r="BU268" s="392"/>
      <c r="BV268" s="392"/>
      <c r="BW268" s="392"/>
      <c r="BX268" s="392"/>
      <c r="BY268" s="392"/>
      <c r="BZ268" s="392"/>
      <c r="CA268" s="392"/>
      <c r="CB268" s="392"/>
      <c r="CC268" s="392"/>
      <c r="CD268" s="392"/>
      <c r="CE268" s="392"/>
      <c r="CF268" s="392"/>
      <c r="CG268" s="392"/>
      <c r="CH268" s="392"/>
      <c r="CI268" s="392"/>
      <c r="CJ268" s="392"/>
      <c r="CK268" s="392"/>
      <c r="CL268" s="392"/>
      <c r="CM268" s="392"/>
      <c r="CN268" s="392"/>
      <c r="CO268" s="392"/>
      <c r="CP268" s="392"/>
      <c r="CQ268" s="392"/>
      <c r="CR268" s="392"/>
      <c r="CS268" s="392"/>
      <c r="CT268" s="392"/>
      <c r="CU268" s="392"/>
      <c r="CV268" s="392"/>
      <c r="CW268" s="392"/>
      <c r="CX268" s="392"/>
      <c r="CY268" s="392"/>
      <c r="CZ268" s="392"/>
      <c r="DA268" s="392"/>
      <c r="DB268" s="392"/>
      <c r="DC268" s="392"/>
      <c r="DD268" s="392"/>
      <c r="DE268" s="392"/>
      <c r="DF268" s="392"/>
      <c r="DG268" s="392"/>
      <c r="DH268" s="392"/>
      <c r="DI268" s="392"/>
      <c r="DJ268" s="392"/>
      <c r="DK268" s="392"/>
      <c r="DL268" s="392"/>
      <c r="DM268" s="392"/>
      <c r="DN268" s="392"/>
      <c r="DO268" s="392"/>
      <c r="DP268" s="392"/>
      <c r="DQ268" s="392"/>
      <c r="DR268" s="392"/>
      <c r="DS268" s="392"/>
      <c r="DT268" s="392"/>
      <c r="DU268" s="392"/>
      <c r="DV268" s="392"/>
      <c r="DW268" s="392"/>
      <c r="DX268" s="392"/>
      <c r="DY268" s="392"/>
      <c r="DZ268" s="392"/>
      <c r="EA268" s="392"/>
      <c r="EB268" s="392"/>
      <c r="EC268" s="392"/>
      <c r="ED268" s="392"/>
      <c r="EE268" s="392"/>
      <c r="EF268" s="392"/>
      <c r="EG268" s="392"/>
      <c r="EH268" s="392"/>
      <c r="EI268" s="392"/>
      <c r="EJ268" s="392"/>
      <c r="EK268" s="392"/>
      <c r="EL268" s="392"/>
      <c r="EM268" s="392"/>
      <c r="EN268" s="392"/>
      <c r="EO268" s="392"/>
      <c r="EP268" s="220"/>
      <c r="EQ268" s="18"/>
      <c r="ER268" s="18"/>
      <c r="ES268" s="18"/>
      <c r="ET268" s="18"/>
      <c r="EU268" s="18"/>
      <c r="EV268" s="18"/>
      <c r="EW268" s="18"/>
      <c r="EX268" s="18"/>
      <c r="EY268" s="18"/>
      <c r="EZ268" s="18"/>
      <c r="FA268" s="18"/>
      <c r="FB268" s="18"/>
      <c r="FC268" s="18"/>
      <c r="FD268" s="18"/>
      <c r="FE268" s="18"/>
      <c r="FF268" s="18"/>
      <c r="FG268" s="18"/>
      <c r="FH268" s="18"/>
      <c r="FI268" s="18"/>
      <c r="FJ268" s="18"/>
      <c r="FK268" s="18"/>
      <c r="FL268" s="18"/>
      <c r="FM268" s="18"/>
      <c r="FN268" s="18"/>
      <c r="FO268" s="18"/>
      <c r="FP268" s="18"/>
      <c r="FQ268" s="18"/>
      <c r="FR268" s="18"/>
      <c r="FS268" s="18"/>
      <c r="FT268" s="18"/>
      <c r="FU268" s="18"/>
      <c r="FV268" s="18"/>
      <c r="FW268" s="18"/>
      <c r="FX268" s="18"/>
      <c r="FY268" s="18"/>
      <c r="FZ268" s="18"/>
      <c r="GA268" s="18"/>
      <c r="GB268" s="18"/>
      <c r="GC268" s="18"/>
      <c r="GD268" s="18"/>
      <c r="GE268" s="18"/>
      <c r="GF268" s="18"/>
      <c r="GG268" s="18"/>
      <c r="GH268" s="18"/>
      <c r="GI268" s="18"/>
      <c r="GJ268" s="18"/>
      <c r="GK268" s="18"/>
      <c r="GL268" s="18"/>
      <c r="GM268" s="18"/>
      <c r="GN268" s="18"/>
      <c r="GO268" s="18"/>
      <c r="GP268" s="18"/>
      <c r="GQ268" s="18"/>
      <c r="GR268" s="18"/>
      <c r="GS268" s="18"/>
      <c r="GT268" s="18"/>
      <c r="GU268" s="18"/>
      <c r="GV268" s="18"/>
      <c r="GW268" s="18"/>
      <c r="GX268" s="18"/>
      <c r="GY268" s="18"/>
      <c r="GZ268" s="18"/>
      <c r="HA268" s="18"/>
      <c r="HB268" s="18"/>
      <c r="HC268" s="18"/>
      <c r="HD268" s="18"/>
      <c r="HE268" s="18"/>
      <c r="HF268" s="18"/>
      <c r="HG268" s="18"/>
      <c r="HH268" s="18"/>
      <c r="HI268" s="18"/>
      <c r="HJ268" s="18"/>
      <c r="HK268" s="18"/>
      <c r="HL268" s="18"/>
      <c r="HM268" s="18"/>
      <c r="HN268" s="18"/>
      <c r="HO268" s="18"/>
      <c r="HP268" s="18"/>
      <c r="HQ268" s="18"/>
      <c r="HR268" s="18"/>
      <c r="HS268" s="18"/>
      <c r="HT268" s="18"/>
      <c r="HU268" s="18"/>
      <c r="HV268" s="18"/>
      <c r="HW268" s="18"/>
      <c r="HX268" s="18"/>
      <c r="HY268" s="18"/>
      <c r="HZ268" s="18"/>
      <c r="IA268" s="18"/>
      <c r="IB268" s="18"/>
      <c r="IC268" s="18"/>
      <c r="ID268" s="18"/>
      <c r="IE268" s="18"/>
      <c r="IF268" s="18"/>
      <c r="IG268" s="18"/>
      <c r="IH268" s="18"/>
      <c r="II268" s="18"/>
      <c r="IJ268" s="18"/>
      <c r="IK268" s="18"/>
      <c r="IL268" s="18"/>
      <c r="IM268" s="18"/>
      <c r="IN268" s="18"/>
      <c r="IO268" s="18"/>
      <c r="IP268" s="18"/>
      <c r="IQ268" s="18"/>
      <c r="IR268" s="18"/>
      <c r="IS268" s="18"/>
      <c r="IT268" s="18"/>
      <c r="IU268" s="18"/>
      <c r="IV268" s="18"/>
      <c r="IW268" s="18"/>
      <c r="IX268" s="18"/>
      <c r="IY268" s="18"/>
      <c r="IZ268" s="18"/>
      <c r="JA268" s="18"/>
      <c r="JB268" s="18"/>
      <c r="JC268" s="18"/>
      <c r="JD268" s="18"/>
      <c r="JE268" s="18"/>
      <c r="JF268" s="18"/>
      <c r="JG268" s="18"/>
      <c r="JH268" s="18"/>
      <c r="JI268" s="18"/>
      <c r="JJ268" s="18"/>
      <c r="JK268" s="18"/>
      <c r="JL268" s="18"/>
      <c r="JM268" s="18"/>
      <c r="JN268" s="18"/>
      <c r="JO268" s="18"/>
      <c r="JP268" s="18"/>
      <c r="JQ268" s="18"/>
      <c r="JR268" s="18"/>
      <c r="JS268" s="18"/>
      <c r="JT268" s="18"/>
      <c r="JU268" s="18"/>
      <c r="JV268" s="18"/>
      <c r="JW268" s="18"/>
      <c r="JX268" s="18"/>
      <c r="JZ268" s="263"/>
      <c r="KA268" s="263"/>
      <c r="KB268" s="263"/>
      <c r="KC268" s="263"/>
      <c r="KD268" s="263"/>
      <c r="KE268" s="263"/>
      <c r="KF268" s="263"/>
      <c r="KG268" s="263"/>
      <c r="KH268" s="263"/>
      <c r="KI268" s="263"/>
      <c r="KJ268" s="263"/>
      <c r="KK268" s="263"/>
      <c r="KL268" s="263"/>
      <c r="KM268" s="263"/>
      <c r="KN268" s="263"/>
      <c r="KO268" s="263"/>
      <c r="KP268" s="263"/>
      <c r="KQ268" s="263"/>
      <c r="KR268" s="263"/>
      <c r="KS268" s="263"/>
      <c r="KT268" s="263"/>
      <c r="KU268" s="263"/>
      <c r="KV268" s="263"/>
      <c r="KW268" s="263"/>
      <c r="KX268" s="263"/>
      <c r="KY268" s="263"/>
      <c r="KZ268" s="263"/>
      <c r="LA268" s="263"/>
      <c r="LB268" s="263"/>
      <c r="LC268" s="263"/>
      <c r="LD268" s="263"/>
      <c r="LE268" s="263"/>
      <c r="LF268" s="263"/>
      <c r="LG268" s="263"/>
      <c r="LH268" s="263"/>
      <c r="LI268" s="263"/>
      <c r="LJ268" s="263"/>
      <c r="LK268" s="263"/>
      <c r="LL268" s="263"/>
      <c r="LM268" s="263"/>
      <c r="LN268" s="263"/>
      <c r="LO268" s="263"/>
      <c r="LP268" s="263"/>
      <c r="LQ268" s="263"/>
      <c r="LR268" s="263"/>
      <c r="LS268" s="263"/>
      <c r="LT268" s="263"/>
      <c r="LU268" s="263"/>
      <c r="LV268" s="263"/>
      <c r="LW268" s="263"/>
      <c r="LX268" s="263"/>
      <c r="LY268" s="263"/>
      <c r="LZ268" s="263"/>
      <c r="MA268" s="263"/>
      <c r="MB268" s="263"/>
      <c r="MC268" s="263"/>
      <c r="MD268" s="263"/>
      <c r="ME268" s="263"/>
      <c r="MF268" s="263"/>
      <c r="MG268" s="263"/>
      <c r="MH268" s="263"/>
      <c r="MI268" s="263"/>
      <c r="MJ268" s="263"/>
      <c r="MK268" s="263"/>
      <c r="ML268" s="263"/>
      <c r="MM268" s="263"/>
      <c r="MN268" s="263"/>
      <c r="MO268" s="263"/>
      <c r="MP268" s="263"/>
      <c r="MQ268" s="263"/>
      <c r="MR268" s="263"/>
      <c r="MS268" s="263"/>
      <c r="MT268" s="263"/>
      <c r="MU268" s="263"/>
      <c r="MV268" s="263"/>
      <c r="MW268" s="263"/>
      <c r="MX268" s="263"/>
      <c r="MY268" s="263"/>
      <c r="MZ268" s="263"/>
      <c r="NA268" s="263"/>
      <c r="NB268" s="263"/>
      <c r="NC268" s="263"/>
      <c r="ND268" s="263"/>
      <c r="NE268" s="263"/>
      <c r="NF268" s="263"/>
      <c r="NG268" s="263"/>
      <c r="NH268" s="263"/>
      <c r="NI268" s="263"/>
      <c r="NJ268" s="263"/>
      <c r="NK268" s="263"/>
      <c r="NL268" s="263"/>
      <c r="NM268" s="263"/>
      <c r="NN268" s="263"/>
      <c r="NO268" s="263"/>
      <c r="NP268" s="263"/>
      <c r="NQ268" s="263"/>
      <c r="NR268" s="263"/>
      <c r="NS268" s="263"/>
      <c r="NT268" s="263"/>
      <c r="NU268" s="263"/>
      <c r="NV268" s="263"/>
      <c r="NW268" s="263"/>
      <c r="NX268" s="263"/>
      <c r="NY268" s="263"/>
      <c r="NZ268" s="263"/>
      <c r="OA268" s="263"/>
      <c r="OB268" s="263"/>
      <c r="OC268" s="263"/>
      <c r="OD268" s="263"/>
      <c r="OE268" s="263"/>
      <c r="OF268" s="263"/>
      <c r="OG268" s="263"/>
      <c r="OH268" s="263"/>
      <c r="OI268" s="263"/>
      <c r="OJ268" s="263"/>
      <c r="OK268" s="263"/>
      <c r="OL268" s="263"/>
      <c r="OM268" s="263"/>
      <c r="ON268" s="263"/>
      <c r="OO268" s="263"/>
      <c r="OP268" s="263"/>
      <c r="OQ268" s="263"/>
      <c r="OR268" s="263"/>
      <c r="OS268" s="263"/>
      <c r="OT268" s="263"/>
      <c r="OU268" s="263"/>
      <c r="OV268" s="263"/>
      <c r="OW268" s="263"/>
      <c r="OX268" s="263"/>
      <c r="OY268" s="263"/>
      <c r="OZ268" s="263"/>
      <c r="PA268" s="263"/>
      <c r="PB268" s="263"/>
      <c r="PC268" s="263"/>
      <c r="PD268" s="263"/>
      <c r="PE268" s="263"/>
      <c r="PF268" s="263"/>
      <c r="PG268" s="263"/>
      <c r="PH268" s="263"/>
    </row>
    <row r="269">
      <c r="B269" s="2" t="s">
        <v>455</v>
      </c>
      <c r="C269" s="392"/>
      <c r="D269" s="391"/>
      <c r="E269" s="391"/>
      <c r="F269" s="391"/>
      <c r="G269" s="391"/>
      <c r="H269" s="392"/>
      <c r="I269" s="392"/>
      <c r="J269" s="399"/>
      <c r="K269" s="400"/>
      <c r="L269" s="400"/>
      <c r="M269" s="400"/>
      <c r="N269" s="400"/>
      <c r="O269" s="400"/>
      <c r="P269" s="400"/>
      <c r="Q269" s="400"/>
      <c r="R269" s="400"/>
      <c r="S269" s="400"/>
      <c r="T269" s="400"/>
      <c r="U269" s="400"/>
      <c r="V269" s="400"/>
      <c r="W269" s="400"/>
      <c r="X269" s="400"/>
      <c r="Y269" s="400"/>
      <c r="Z269" s="400"/>
      <c r="AA269" s="400"/>
      <c r="AB269" s="400"/>
      <c r="AC269" s="400"/>
      <c r="AD269" s="400"/>
      <c r="AE269" s="400"/>
      <c r="AF269" s="400"/>
      <c r="AG269" s="400"/>
      <c r="AH269" s="400"/>
      <c r="AI269" s="400"/>
      <c r="AJ269" s="400"/>
      <c r="AK269" s="400"/>
      <c r="AL269" s="400"/>
      <c r="AM269" s="400"/>
      <c r="AN269" s="400"/>
      <c r="AO269" s="400"/>
      <c r="AP269" s="400"/>
      <c r="AQ269" s="400"/>
      <c r="AR269" s="400"/>
      <c r="AS269" s="400"/>
      <c r="AT269" s="400"/>
      <c r="AU269" s="400"/>
      <c r="AV269" s="400"/>
      <c r="AW269" s="400"/>
      <c r="AX269" s="400"/>
      <c r="AY269" s="400"/>
      <c r="AZ269" s="400"/>
      <c r="BA269" s="400"/>
      <c r="BB269" s="400"/>
      <c r="BC269" s="400"/>
      <c r="BD269" s="400"/>
      <c r="BE269" s="400"/>
      <c r="BF269" s="400"/>
      <c r="BG269" s="400"/>
      <c r="BH269" s="400"/>
      <c r="BI269" s="400"/>
      <c r="BJ269" s="400"/>
      <c r="BK269" s="400"/>
      <c r="BL269" s="400"/>
      <c r="BM269" s="400"/>
      <c r="BN269" s="400"/>
      <c r="BO269" s="400"/>
      <c r="BP269" s="400"/>
      <c r="BQ269" s="400"/>
      <c r="BR269" s="400"/>
      <c r="BS269" s="400"/>
      <c r="BT269" s="400"/>
      <c r="BU269" s="400"/>
      <c r="BV269" s="400"/>
      <c r="BW269" s="400"/>
      <c r="BX269" s="400"/>
      <c r="BY269" s="400"/>
      <c r="BZ269" s="400"/>
      <c r="CA269" s="400"/>
      <c r="CB269" s="400"/>
      <c r="CC269" s="400"/>
      <c r="CD269" s="400"/>
      <c r="CE269" s="400"/>
      <c r="CF269" s="400"/>
      <c r="CG269" s="400"/>
      <c r="CH269" s="400"/>
      <c r="CI269" s="400"/>
      <c r="CJ269" s="400"/>
      <c r="CK269" s="400"/>
      <c r="CL269" s="400"/>
      <c r="CM269" s="400"/>
      <c r="CN269" s="400"/>
      <c r="CO269" s="400"/>
      <c r="CP269" s="400"/>
      <c r="CQ269" s="400"/>
      <c r="CR269" s="400"/>
      <c r="CS269" s="400"/>
      <c r="CT269" s="400"/>
      <c r="CU269" s="400"/>
      <c r="CV269" s="400"/>
      <c r="CW269" s="400"/>
      <c r="CX269" s="400"/>
      <c r="CY269" s="400"/>
      <c r="CZ269" s="400"/>
      <c r="DA269" s="400"/>
      <c r="DB269" s="400"/>
      <c r="DC269" s="400"/>
      <c r="DD269" s="400"/>
      <c r="DE269" s="400"/>
      <c r="DF269" s="400"/>
      <c r="DG269" s="400"/>
      <c r="DH269" s="400"/>
      <c r="DI269" s="400"/>
      <c r="DJ269" s="400"/>
      <c r="DK269" s="400"/>
      <c r="DL269" s="400"/>
      <c r="DM269" s="400"/>
      <c r="DN269" s="400"/>
      <c r="DO269" s="400"/>
      <c r="DP269" s="400"/>
      <c r="DQ269" s="400"/>
      <c r="DR269" s="400"/>
      <c r="DS269" s="400"/>
      <c r="DT269" s="400"/>
      <c r="DU269" s="400"/>
      <c r="DV269" s="400"/>
      <c r="DW269" s="400"/>
      <c r="DX269" s="400"/>
      <c r="DY269" s="400"/>
      <c r="DZ269" s="400"/>
      <c r="EA269" s="400"/>
      <c r="EB269" s="400"/>
      <c r="EC269" s="400"/>
      <c r="ED269" s="400"/>
      <c r="EE269" s="400"/>
      <c r="EF269" s="400"/>
      <c r="EG269" s="400"/>
      <c r="EH269" s="400"/>
      <c r="EI269" s="400"/>
      <c r="EJ269" s="400"/>
      <c r="EK269" s="400"/>
      <c r="EL269" s="400"/>
      <c r="EM269" s="400"/>
      <c r="EN269" s="565"/>
      <c r="EO269" s="400"/>
      <c r="EP269" s="220"/>
      <c r="EQ269" s="18"/>
      <c r="ER269" s="18"/>
      <c r="ES269" s="18"/>
      <c r="ET269" s="18"/>
      <c r="EU269" s="18"/>
      <c r="EV269" s="18"/>
      <c r="EW269" s="18"/>
      <c r="EX269" s="18"/>
      <c r="EY269" s="18"/>
      <c r="EZ269" s="18"/>
      <c r="FA269" s="18"/>
      <c r="FB269" s="18"/>
      <c r="FC269" s="18"/>
      <c r="FD269" s="18"/>
      <c r="FE269" s="18"/>
      <c r="FF269" s="18"/>
      <c r="FG269" s="18"/>
      <c r="FH269" s="18"/>
      <c r="FI269" s="18"/>
      <c r="FJ269" s="18"/>
      <c r="FK269" s="18"/>
      <c r="FL269" s="18"/>
      <c r="FM269" s="18"/>
      <c r="FN269" s="18"/>
      <c r="FO269" s="18"/>
      <c r="FP269" s="18"/>
      <c r="FQ269" s="18"/>
      <c r="FR269" s="18"/>
      <c r="FS269" s="18"/>
      <c r="FT269" s="18"/>
      <c r="FU269" s="18"/>
      <c r="FV269" s="18"/>
      <c r="FW269" s="18"/>
      <c r="FX269" s="18"/>
      <c r="FY269" s="18"/>
      <c r="FZ269" s="18"/>
      <c r="GA269" s="18"/>
      <c r="GB269" s="18"/>
      <c r="GC269" s="18"/>
      <c r="GD269" s="18"/>
      <c r="GE269" s="18"/>
      <c r="GF269" s="18"/>
      <c r="GG269" s="18"/>
      <c r="GH269" s="18"/>
      <c r="GI269" s="18"/>
      <c r="GJ269" s="18"/>
      <c r="GK269" s="18"/>
      <c r="GL269" s="18"/>
      <c r="GM269" s="18"/>
      <c r="GN269" s="18"/>
      <c r="GO269" s="18"/>
      <c r="GP269" s="18"/>
      <c r="GQ269" s="18"/>
      <c r="GR269" s="18"/>
      <c r="GS269" s="18"/>
      <c r="GT269" s="18"/>
      <c r="GU269" s="18"/>
      <c r="GV269" s="18"/>
      <c r="GW269" s="18"/>
      <c r="GX269" s="18"/>
      <c r="GY269" s="18"/>
      <c r="GZ269" s="18"/>
      <c r="HA269" s="18"/>
      <c r="HB269" s="18"/>
      <c r="HC269" s="18"/>
      <c r="HD269" s="18"/>
      <c r="HE269" s="18"/>
      <c r="HF269" s="18"/>
      <c r="HG269" s="18"/>
      <c r="HH269" s="18"/>
      <c r="HI269" s="18"/>
      <c r="HJ269" s="18"/>
      <c r="HK269" s="18"/>
      <c r="HL269" s="18"/>
      <c r="HM269" s="18"/>
      <c r="HN269" s="18"/>
      <c r="HO269" s="18"/>
      <c r="HP269" s="18"/>
      <c r="HQ269" s="18"/>
      <c r="HR269" s="18"/>
      <c r="HS269" s="18"/>
      <c r="HT269" s="18"/>
      <c r="HU269" s="18"/>
      <c r="HV269" s="18"/>
      <c r="HW269" s="18"/>
      <c r="HX269" s="18"/>
      <c r="HY269" s="18"/>
      <c r="HZ269" s="18"/>
      <c r="IA269" s="18"/>
      <c r="IB269" s="18"/>
      <c r="IC269" s="18"/>
      <c r="ID269" s="18"/>
      <c r="IE269" s="18"/>
      <c r="IF269" s="18"/>
      <c r="IG269" s="18"/>
      <c r="IH269" s="18"/>
      <c r="II269" s="18"/>
      <c r="IJ269" s="18"/>
      <c r="IK269" s="18"/>
      <c r="IL269" s="18"/>
      <c r="IM269" s="18"/>
      <c r="IN269" s="18"/>
      <c r="IO269" s="18"/>
      <c r="IP269" s="18"/>
      <c r="IQ269" s="18"/>
      <c r="IR269" s="18"/>
      <c r="IS269" s="18"/>
      <c r="IT269" s="18"/>
      <c r="IU269" s="18"/>
      <c r="IV269" s="18"/>
      <c r="IW269" s="18"/>
      <c r="IX269" s="18"/>
      <c r="IY269" s="18"/>
      <c r="IZ269" s="18"/>
      <c r="JA269" s="18"/>
      <c r="JB269" s="18"/>
      <c r="JC269" s="18"/>
      <c r="JD269" s="18"/>
      <c r="JE269" s="18"/>
      <c r="JF269" s="18"/>
      <c r="JG269" s="18"/>
      <c r="JH269" s="18"/>
      <c r="JI269" s="18"/>
      <c r="JJ269" s="18"/>
      <c r="JK269" s="18"/>
      <c r="JL269" s="18"/>
      <c r="JM269" s="18"/>
      <c r="JN269" s="18"/>
      <c r="JO269" s="18"/>
      <c r="JP269" s="18"/>
      <c r="JQ269" s="18"/>
      <c r="JR269" s="18"/>
      <c r="JS269" s="18"/>
      <c r="JT269" s="18"/>
      <c r="JU269" s="18"/>
      <c r="JV269" s="18"/>
      <c r="JW269" s="18"/>
      <c r="JX269" s="18"/>
      <c r="JZ269" s="263"/>
      <c r="KA269" s="263"/>
      <c r="KB269" s="263"/>
      <c r="KC269" s="263"/>
      <c r="KD269" s="263"/>
      <c r="KE269" s="263"/>
      <c r="KF269" s="263"/>
      <c r="KG269" s="263"/>
      <c r="KH269" s="263"/>
      <c r="KI269" s="263"/>
      <c r="KJ269" s="263"/>
      <c r="KK269" s="263"/>
      <c r="KL269" s="263"/>
      <c r="KM269" s="263"/>
      <c r="KN269" s="263"/>
      <c r="KO269" s="263"/>
      <c r="KP269" s="263"/>
      <c r="KQ269" s="263"/>
      <c r="KR269" s="263"/>
      <c r="KS269" s="263"/>
      <c r="KT269" s="263"/>
      <c r="KU269" s="263"/>
      <c r="KV269" s="263"/>
      <c r="KW269" s="263"/>
      <c r="KX269" s="263"/>
      <c r="KY269" s="263"/>
      <c r="KZ269" s="263"/>
      <c r="LA269" s="263"/>
      <c r="LB269" s="263"/>
      <c r="LC269" s="263"/>
      <c r="LD269" s="263"/>
      <c r="LE269" s="263"/>
      <c r="LF269" s="263"/>
      <c r="LG269" s="263"/>
      <c r="LH269" s="263"/>
      <c r="LI269" s="263"/>
      <c r="LJ269" s="263"/>
      <c r="LK269" s="263"/>
      <c r="LL269" s="263"/>
      <c r="LM269" s="263"/>
      <c r="LN269" s="263"/>
      <c r="LO269" s="263"/>
      <c r="LP269" s="263"/>
      <c r="LQ269" s="263"/>
      <c r="LR269" s="263"/>
      <c r="LS269" s="263"/>
      <c r="LT269" s="263"/>
      <c r="LU269" s="263"/>
      <c r="LV269" s="263"/>
      <c r="LW269" s="263"/>
      <c r="LX269" s="263"/>
      <c r="LY269" s="263"/>
      <c r="LZ269" s="263"/>
      <c r="MA269" s="263"/>
      <c r="MB269" s="263"/>
      <c r="MC269" s="263"/>
      <c r="MD269" s="263"/>
      <c r="ME269" s="263"/>
      <c r="MF269" s="263"/>
      <c r="MG269" s="263"/>
      <c r="MH269" s="263"/>
      <c r="MI269" s="263"/>
      <c r="MJ269" s="263"/>
      <c r="MK269" s="263"/>
      <c r="ML269" s="263"/>
      <c r="MM269" s="263"/>
      <c r="MN269" s="263"/>
      <c r="MO269" s="263"/>
      <c r="MP269" s="263"/>
      <c r="MQ269" s="263"/>
      <c r="MR269" s="263"/>
      <c r="MS269" s="263"/>
      <c r="MT269" s="263"/>
      <c r="MU269" s="263"/>
      <c r="MV269" s="263"/>
      <c r="MW269" s="263"/>
      <c r="MX269" s="263"/>
      <c r="MY269" s="263"/>
      <c r="MZ269" s="263"/>
      <c r="NA269" s="263"/>
      <c r="NB269" s="263"/>
      <c r="NC269" s="263"/>
      <c r="ND269" s="263"/>
      <c r="NE269" s="263"/>
      <c r="NF269" s="263"/>
      <c r="NG269" s="263"/>
      <c r="NH269" s="263"/>
      <c r="NI269" s="263"/>
      <c r="NJ269" s="263"/>
      <c r="NK269" s="263"/>
      <c r="NL269" s="263"/>
      <c r="NM269" s="263"/>
      <c r="NN269" s="263"/>
      <c r="NO269" s="263"/>
      <c r="NP269" s="263"/>
      <c r="NQ269" s="263"/>
      <c r="NR269" s="263"/>
      <c r="NS269" s="263"/>
      <c r="NT269" s="263"/>
      <c r="NU269" s="263"/>
      <c r="NV269" s="263"/>
      <c r="NW269" s="263"/>
      <c r="NX269" s="263"/>
      <c r="NY269" s="263"/>
      <c r="NZ269" s="263"/>
      <c r="OA269" s="263"/>
      <c r="OB269" s="263"/>
      <c r="OC269" s="263"/>
      <c r="OD269" s="263"/>
      <c r="OE269" s="263"/>
      <c r="OF269" s="263"/>
      <c r="OG269" s="263"/>
      <c r="OH269" s="263"/>
      <c r="OI269" s="263"/>
      <c r="OJ269" s="263"/>
      <c r="OK269" s="263"/>
      <c r="OL269" s="263"/>
      <c r="OM269" s="263"/>
      <c r="ON269" s="263"/>
      <c r="OO269" s="263"/>
      <c r="OP269" s="263"/>
      <c r="OQ269" s="263"/>
      <c r="OR269" s="263"/>
      <c r="OS269" s="263"/>
      <c r="OT269" s="263"/>
      <c r="OU269" s="263"/>
      <c r="OV269" s="263"/>
      <c r="OW269" s="263"/>
      <c r="OX269" s="263"/>
      <c r="OY269" s="263"/>
      <c r="OZ269" s="263"/>
      <c r="PA269" s="263"/>
      <c r="PB269" s="263"/>
      <c r="PC269" s="263"/>
      <c r="PD269" s="263"/>
      <c r="PE269" s="263"/>
      <c r="PF269" s="263"/>
      <c r="PG269" s="263"/>
      <c r="PH269" s="263"/>
    </row>
    <row r="270">
      <c r="B270" s="34"/>
      <c r="C270" s="566" t="s">
        <v>456</v>
      </c>
      <c r="D270" s="34"/>
      <c r="E270" s="34"/>
      <c r="F270" s="34"/>
      <c r="G270" s="415" t="s">
        <v>457</v>
      </c>
      <c r="H270" s="34"/>
      <c r="I270" s="403"/>
      <c r="J270" s="399"/>
      <c r="K270" s="400"/>
      <c r="L270" s="400"/>
      <c r="M270" s="400"/>
      <c r="N270" s="400"/>
      <c r="O270" s="400"/>
      <c r="P270" s="400"/>
      <c r="Q270" s="400"/>
      <c r="R270" s="400"/>
      <c r="S270" s="400"/>
      <c r="T270" s="400"/>
      <c r="U270" s="400"/>
      <c r="V270" s="400"/>
      <c r="W270" s="400"/>
      <c r="X270" s="400"/>
      <c r="Y270" s="400"/>
      <c r="Z270" s="400"/>
      <c r="AA270" s="400"/>
      <c r="AB270" s="400"/>
      <c r="AC270" s="400"/>
      <c r="AD270" s="400"/>
      <c r="AE270" s="400"/>
      <c r="AF270" s="400"/>
      <c r="AG270" s="400"/>
      <c r="AH270" s="400"/>
      <c r="AI270" s="400"/>
      <c r="AJ270" s="400"/>
      <c r="AK270" s="400"/>
      <c r="AL270" s="400"/>
      <c r="AM270" s="400"/>
      <c r="AN270" s="400"/>
      <c r="AO270" s="400"/>
      <c r="AP270" s="400"/>
      <c r="AQ270" s="400"/>
      <c r="AR270" s="400"/>
      <c r="AS270" s="400"/>
      <c r="AT270" s="400"/>
      <c r="AU270" s="400"/>
      <c r="AV270" s="400"/>
      <c r="AW270" s="400"/>
      <c r="AX270" s="400"/>
      <c r="AY270" s="400"/>
      <c r="AZ270" s="400"/>
      <c r="BA270" s="400"/>
      <c r="BB270" s="400"/>
      <c r="BC270" s="400"/>
      <c r="BD270" s="400"/>
      <c r="BE270" s="400"/>
      <c r="BF270" s="400"/>
      <c r="BG270" s="400"/>
      <c r="BH270" s="400"/>
      <c r="BI270" s="400"/>
      <c r="BJ270" s="400"/>
      <c r="BK270" s="400"/>
      <c r="BL270" s="400"/>
      <c r="BM270" s="400"/>
      <c r="BN270" s="400"/>
      <c r="BO270" s="400"/>
      <c r="BP270" s="400"/>
      <c r="BQ270" s="400"/>
      <c r="BR270" s="400"/>
      <c r="BS270" s="400"/>
      <c r="BT270" s="400"/>
      <c r="BU270" s="400"/>
      <c r="BV270" s="400"/>
      <c r="BW270" s="400"/>
      <c r="BX270" s="400"/>
      <c r="BY270" s="400"/>
      <c r="BZ270" s="400"/>
      <c r="CA270" s="400"/>
      <c r="CB270" s="400"/>
      <c r="CC270" s="400"/>
      <c r="CD270" s="400"/>
      <c r="CE270" s="400"/>
      <c r="CF270" s="400"/>
      <c r="CG270" s="400"/>
      <c r="CH270" s="400"/>
      <c r="CI270" s="400"/>
      <c r="CJ270" s="400"/>
      <c r="CK270" s="400"/>
      <c r="CL270" s="400"/>
      <c r="CM270" s="400"/>
      <c r="CN270" s="400"/>
      <c r="CO270" s="400"/>
      <c r="CP270" s="400"/>
      <c r="CQ270" s="400"/>
      <c r="CR270" s="400"/>
      <c r="CS270" s="400"/>
      <c r="CT270" s="400"/>
      <c r="CU270" s="400"/>
      <c r="CV270" s="400"/>
      <c r="CW270" s="400"/>
      <c r="CX270" s="400"/>
      <c r="CY270" s="400"/>
      <c r="CZ270" s="400"/>
      <c r="DA270" s="400"/>
      <c r="DB270" s="400"/>
      <c r="DC270" s="400"/>
      <c r="DD270" s="400"/>
      <c r="DE270" s="400"/>
      <c r="DF270" s="400"/>
      <c r="DG270" s="400"/>
      <c r="DH270" s="400"/>
      <c r="DI270" s="400"/>
      <c r="DJ270" s="400"/>
      <c r="DK270" s="400"/>
      <c r="DL270" s="400"/>
      <c r="DM270" s="400"/>
      <c r="DN270" s="400"/>
      <c r="DO270" s="400"/>
      <c r="DP270" s="400"/>
      <c r="DQ270" s="400"/>
      <c r="DR270" s="400"/>
      <c r="DS270" s="400"/>
      <c r="DT270" s="400"/>
      <c r="DU270" s="400"/>
      <c r="DV270" s="400"/>
      <c r="DW270" s="400"/>
      <c r="DX270" s="400"/>
      <c r="DY270" s="400"/>
      <c r="DZ270" s="400"/>
      <c r="EA270" s="400"/>
      <c r="EB270" s="400"/>
      <c r="EC270" s="400"/>
      <c r="ED270" s="400"/>
      <c r="EE270" s="400"/>
      <c r="EF270" s="400"/>
      <c r="EG270" s="400"/>
      <c r="EH270" s="400"/>
      <c r="EI270" s="400"/>
      <c r="EJ270" s="400"/>
      <c r="EK270" s="400"/>
      <c r="EL270" s="400"/>
      <c r="EM270" s="400"/>
      <c r="EN270" s="400"/>
      <c r="EO270" s="400"/>
      <c r="EP270" s="409"/>
      <c r="EQ270" s="18"/>
      <c r="ER270" s="18"/>
      <c r="ES270" s="18"/>
      <c r="ET270" s="18"/>
      <c r="EU270" s="18"/>
      <c r="EV270" s="82"/>
      <c r="EW270" s="82"/>
      <c r="EX270" s="82"/>
      <c r="EY270" s="82"/>
      <c r="EZ270" s="82"/>
      <c r="FA270" s="82"/>
      <c r="FB270" s="82"/>
      <c r="FC270" s="82"/>
      <c r="FD270" s="82"/>
      <c r="FE270" s="82"/>
      <c r="FF270" s="82"/>
      <c r="FG270" s="82"/>
      <c r="FH270" s="82"/>
      <c r="FI270" s="82"/>
      <c r="FJ270" s="82"/>
      <c r="FK270" s="82"/>
      <c r="FL270" s="82"/>
      <c r="FM270" s="82"/>
      <c r="FN270" s="82"/>
      <c r="FO270" s="82"/>
      <c r="FP270" s="82"/>
      <c r="FQ270" s="82"/>
      <c r="FR270" s="82"/>
      <c r="FS270" s="82"/>
      <c r="FT270" s="82"/>
      <c r="FU270" s="82"/>
      <c r="FV270" s="82"/>
      <c r="FW270" s="82"/>
      <c r="FX270" s="82"/>
      <c r="FY270" s="82"/>
      <c r="FZ270" s="82"/>
      <c r="GA270" s="82"/>
      <c r="GB270" s="82"/>
      <c r="GC270" s="82"/>
      <c r="GD270" s="82"/>
      <c r="GE270" s="82"/>
      <c r="GF270" s="82"/>
      <c r="GG270" s="82"/>
      <c r="GH270" s="82"/>
      <c r="GI270" s="82"/>
      <c r="GJ270" s="82"/>
      <c r="GK270" s="82"/>
      <c r="GL270" s="82"/>
      <c r="GM270" s="82"/>
      <c r="GN270" s="82"/>
      <c r="GO270" s="82"/>
      <c r="GP270" s="82"/>
      <c r="GQ270" s="82"/>
      <c r="GR270" s="82"/>
      <c r="GS270" s="82"/>
      <c r="GT270" s="82"/>
      <c r="GU270" s="82"/>
      <c r="GV270" s="82"/>
      <c r="GW270" s="82"/>
      <c r="GX270" s="82"/>
      <c r="GY270" s="82"/>
      <c r="GZ270" s="82"/>
      <c r="HA270" s="82"/>
      <c r="HB270" s="82"/>
      <c r="HC270" s="82"/>
      <c r="HD270" s="82"/>
      <c r="HE270" s="82"/>
      <c r="HF270" s="82"/>
      <c r="HG270" s="82"/>
      <c r="HH270" s="82"/>
      <c r="HI270" s="82"/>
      <c r="HJ270" s="82"/>
      <c r="HK270" s="82"/>
      <c r="HL270" s="82"/>
      <c r="HM270" s="82"/>
      <c r="HN270" s="82"/>
      <c r="HO270" s="82"/>
      <c r="HP270" s="82"/>
      <c r="HQ270" s="82"/>
      <c r="HR270" s="82"/>
      <c r="HS270" s="82"/>
      <c r="HT270" s="82"/>
      <c r="HU270" s="82"/>
      <c r="HV270" s="82"/>
      <c r="HW270" s="82"/>
      <c r="HX270" s="82"/>
      <c r="HY270" s="82"/>
      <c r="HZ270" s="82"/>
      <c r="IA270" s="82"/>
      <c r="IB270" s="82"/>
      <c r="IC270" s="82"/>
      <c r="ID270" s="82"/>
      <c r="IE270" s="82"/>
      <c r="IF270" s="82"/>
      <c r="IG270" s="82"/>
      <c r="IH270" s="82"/>
      <c r="II270" s="82"/>
      <c r="IJ270" s="82"/>
      <c r="IK270" s="82"/>
      <c r="IL270" s="82"/>
      <c r="IM270" s="82"/>
      <c r="IN270" s="82"/>
      <c r="IO270" s="82"/>
      <c r="IP270" s="82"/>
      <c r="IQ270" s="82"/>
      <c r="IR270" s="82"/>
      <c r="IS270" s="82"/>
      <c r="IT270" s="82"/>
      <c r="IU270" s="82"/>
      <c r="IV270" s="82"/>
      <c r="IW270" s="82"/>
      <c r="IX270" s="82"/>
      <c r="IY270" s="82"/>
      <c r="IZ270" s="82"/>
      <c r="JA270" s="82"/>
      <c r="JB270" s="82"/>
      <c r="JC270" s="82"/>
      <c r="JD270" s="82"/>
      <c r="JE270" s="82"/>
      <c r="JF270" s="82"/>
      <c r="JG270" s="82"/>
      <c r="JH270" s="82"/>
      <c r="JI270" s="82"/>
      <c r="JJ270" s="82"/>
      <c r="JK270" s="82"/>
      <c r="JL270" s="82"/>
      <c r="JM270" s="82"/>
      <c r="JN270" s="82"/>
      <c r="JO270" s="82"/>
      <c r="JP270" s="82"/>
      <c r="JQ270" s="82"/>
      <c r="JR270" s="82"/>
      <c r="JS270" s="82"/>
      <c r="JT270" s="82"/>
      <c r="JU270" s="82"/>
      <c r="JV270" s="82"/>
      <c r="JW270" s="82"/>
      <c r="JX270" s="82"/>
      <c r="JZ270" s="263"/>
      <c r="KA270" s="263"/>
      <c r="KB270" s="263"/>
      <c r="KC270" s="263"/>
      <c r="KD270" s="263"/>
      <c r="KE270" s="263"/>
      <c r="KF270" s="263"/>
      <c r="KG270" s="263"/>
      <c r="KH270" s="263"/>
      <c r="KI270" s="263"/>
      <c r="KJ270" s="263"/>
      <c r="KK270" s="263"/>
      <c r="KL270" s="263"/>
      <c r="KM270" s="263"/>
      <c r="KN270" s="263"/>
      <c r="KO270" s="263"/>
      <c r="KP270" s="263"/>
      <c r="KQ270" s="263"/>
      <c r="KR270" s="263"/>
      <c r="KS270" s="263"/>
      <c r="KT270" s="263"/>
      <c r="KU270" s="263"/>
      <c r="KV270" s="263"/>
      <c r="KW270" s="263"/>
      <c r="KX270" s="263"/>
      <c r="KY270" s="263"/>
      <c r="KZ270" s="263"/>
      <c r="LA270" s="263"/>
      <c r="LB270" s="263"/>
      <c r="LC270" s="263"/>
      <c r="LD270" s="263"/>
      <c r="LE270" s="263"/>
      <c r="LF270" s="263"/>
      <c r="LG270" s="263"/>
      <c r="LH270" s="263"/>
      <c r="LI270" s="263"/>
      <c r="LJ270" s="263"/>
      <c r="LK270" s="263"/>
      <c r="LL270" s="263"/>
      <c r="LM270" s="263"/>
      <c r="LN270" s="263"/>
      <c r="LO270" s="263"/>
      <c r="LP270" s="263"/>
      <c r="LQ270" s="263"/>
      <c r="LR270" s="263"/>
      <c r="LS270" s="263"/>
      <c r="LT270" s="263"/>
      <c r="LU270" s="263"/>
      <c r="LV270" s="263"/>
      <c r="LW270" s="263"/>
      <c r="LX270" s="263"/>
      <c r="LY270" s="263"/>
      <c r="LZ270" s="263"/>
      <c r="MA270" s="263"/>
      <c r="MB270" s="263"/>
      <c r="MC270" s="263"/>
      <c r="MD270" s="263"/>
      <c r="ME270" s="263"/>
      <c r="MF270" s="263"/>
      <c r="MG270" s="263"/>
      <c r="MH270" s="263"/>
      <c r="MI270" s="263"/>
      <c r="MJ270" s="263"/>
      <c r="MK270" s="263"/>
      <c r="ML270" s="263"/>
      <c r="MM270" s="263"/>
      <c r="MN270" s="263"/>
      <c r="MO270" s="263"/>
      <c r="MP270" s="263"/>
      <c r="MQ270" s="263"/>
      <c r="MR270" s="263"/>
      <c r="MS270" s="263"/>
      <c r="MT270" s="263"/>
      <c r="MU270" s="263"/>
      <c r="MV270" s="263"/>
      <c r="MW270" s="263"/>
      <c r="MX270" s="263"/>
      <c r="MY270" s="263"/>
      <c r="MZ270" s="263"/>
      <c r="NA270" s="263"/>
      <c r="NB270" s="263"/>
      <c r="NC270" s="263"/>
      <c r="ND270" s="263"/>
      <c r="NE270" s="263"/>
      <c r="NF270" s="263"/>
      <c r="NG270" s="263"/>
      <c r="NH270" s="263"/>
      <c r="NI270" s="263"/>
      <c r="NJ270" s="263"/>
      <c r="NK270" s="263"/>
      <c r="NL270" s="263"/>
      <c r="NM270" s="263"/>
      <c r="NN270" s="263"/>
      <c r="NO270" s="263"/>
      <c r="NP270" s="263"/>
      <c r="NQ270" s="263"/>
      <c r="NR270" s="263"/>
      <c r="NS270" s="263"/>
      <c r="NT270" s="263"/>
      <c r="NU270" s="263"/>
      <c r="NV270" s="263"/>
      <c r="NW270" s="263"/>
      <c r="NX270" s="263"/>
      <c r="NY270" s="263"/>
      <c r="NZ270" s="263"/>
      <c r="OA270" s="263"/>
      <c r="OB270" s="263"/>
      <c r="OC270" s="263"/>
      <c r="OD270" s="263"/>
      <c r="OE270" s="263"/>
      <c r="OF270" s="263"/>
      <c r="OG270" s="263"/>
      <c r="OH270" s="263"/>
      <c r="OI270" s="263"/>
      <c r="OJ270" s="263"/>
      <c r="OK270" s="263"/>
      <c r="OL270" s="263"/>
      <c r="OM270" s="263"/>
      <c r="ON270" s="263"/>
      <c r="OO270" s="263"/>
      <c r="OP270" s="263"/>
      <c r="OQ270" s="263"/>
      <c r="OR270" s="263"/>
      <c r="OS270" s="263"/>
      <c r="OT270" s="263"/>
      <c r="OU270" s="263"/>
      <c r="OV270" s="263"/>
      <c r="OW270" s="263"/>
      <c r="OX270" s="263"/>
      <c r="OY270" s="263"/>
      <c r="OZ270" s="263"/>
      <c r="PA270" s="263"/>
      <c r="PB270" s="263"/>
      <c r="PC270" s="263"/>
      <c r="PD270" s="263"/>
      <c r="PE270" s="263"/>
      <c r="PF270" s="263"/>
      <c r="PG270" s="263"/>
      <c r="PH270" s="263"/>
    </row>
    <row r="271">
      <c r="B271" s="34"/>
      <c r="C271" s="567" t="s">
        <v>458</v>
      </c>
      <c r="D271" s="501" t="s">
        <v>459</v>
      </c>
      <c r="E271" s="453" t="s">
        <v>460</v>
      </c>
      <c r="F271" s="453"/>
      <c r="G271" s="463" t="s">
        <v>83</v>
      </c>
      <c r="H271" s="501" t="s">
        <v>459</v>
      </c>
      <c r="I271" s="453" t="s">
        <v>460</v>
      </c>
      <c r="J271" s="399"/>
      <c r="K271" s="400"/>
      <c r="L271" s="400"/>
      <c r="M271" s="400"/>
      <c r="N271" s="400"/>
      <c r="O271" s="400"/>
      <c r="P271" s="400"/>
      <c r="Q271" s="400"/>
      <c r="R271" s="400"/>
      <c r="S271" s="400"/>
      <c r="T271" s="400"/>
      <c r="U271" s="400"/>
      <c r="V271" s="400"/>
      <c r="W271" s="400"/>
      <c r="X271" s="400"/>
      <c r="Y271" s="400"/>
      <c r="Z271" s="400"/>
      <c r="AA271" s="400"/>
      <c r="AB271" s="400"/>
      <c r="AC271" s="400"/>
      <c r="AD271" s="400"/>
      <c r="AE271" s="400"/>
      <c r="AF271" s="400"/>
      <c r="AG271" s="400"/>
      <c r="AH271" s="400"/>
      <c r="AI271" s="400"/>
      <c r="AJ271" s="400"/>
      <c r="AK271" s="400"/>
      <c r="AL271" s="400"/>
      <c r="AM271" s="400"/>
      <c r="AN271" s="400"/>
      <c r="AO271" s="400"/>
      <c r="AP271" s="400"/>
      <c r="AQ271" s="400"/>
      <c r="AR271" s="400"/>
      <c r="AS271" s="400"/>
      <c r="AT271" s="400"/>
      <c r="AU271" s="400"/>
      <c r="AV271" s="400"/>
      <c r="AW271" s="400"/>
      <c r="AX271" s="400"/>
      <c r="AY271" s="400"/>
      <c r="AZ271" s="400"/>
      <c r="BA271" s="400"/>
      <c r="BB271" s="400"/>
      <c r="BC271" s="400"/>
      <c r="BD271" s="400"/>
      <c r="BE271" s="400"/>
      <c r="BF271" s="400"/>
      <c r="BG271" s="400"/>
      <c r="BH271" s="400"/>
      <c r="BI271" s="400"/>
      <c r="BJ271" s="400"/>
      <c r="BK271" s="400"/>
      <c r="BL271" s="400"/>
      <c r="BM271" s="400"/>
      <c r="BN271" s="400"/>
      <c r="BO271" s="400"/>
      <c r="BP271" s="400"/>
      <c r="BQ271" s="400"/>
      <c r="BR271" s="400"/>
      <c r="BS271" s="400"/>
      <c r="BT271" s="400"/>
      <c r="BU271" s="400"/>
      <c r="BV271" s="400"/>
      <c r="BW271" s="400"/>
      <c r="BX271" s="400"/>
      <c r="BY271" s="400"/>
      <c r="BZ271" s="400"/>
      <c r="CA271" s="400"/>
      <c r="CB271" s="400"/>
      <c r="CC271" s="400"/>
      <c r="CD271" s="400"/>
      <c r="CE271" s="400"/>
      <c r="CF271" s="400"/>
      <c r="CG271" s="400"/>
      <c r="CH271" s="400"/>
      <c r="CI271" s="400"/>
      <c r="CJ271" s="400"/>
      <c r="CK271" s="400"/>
      <c r="CL271" s="400"/>
      <c r="CM271" s="400"/>
      <c r="CN271" s="400"/>
      <c r="CO271" s="400"/>
      <c r="CP271" s="400"/>
      <c r="CQ271" s="400"/>
      <c r="CR271" s="400"/>
      <c r="CS271" s="400"/>
      <c r="CT271" s="400"/>
      <c r="CU271" s="400"/>
      <c r="CV271" s="400"/>
      <c r="CW271" s="400"/>
      <c r="CX271" s="400"/>
      <c r="CY271" s="400"/>
      <c r="CZ271" s="400"/>
      <c r="DA271" s="400"/>
      <c r="DB271" s="400"/>
      <c r="DC271" s="400"/>
      <c r="DD271" s="400"/>
      <c r="DE271" s="400"/>
      <c r="DF271" s="400"/>
      <c r="DG271" s="400"/>
      <c r="DH271" s="400"/>
      <c r="DI271" s="400"/>
      <c r="DJ271" s="400"/>
      <c r="DK271" s="400"/>
      <c r="DL271" s="400"/>
      <c r="DM271" s="400"/>
      <c r="DN271" s="400"/>
      <c r="DO271" s="400"/>
      <c r="DP271" s="400"/>
      <c r="DQ271" s="400"/>
      <c r="DR271" s="400"/>
      <c r="DS271" s="400"/>
      <c r="DT271" s="400"/>
      <c r="DU271" s="400"/>
      <c r="DV271" s="400"/>
      <c r="DW271" s="400"/>
      <c r="DX271" s="400"/>
      <c r="DY271" s="400"/>
      <c r="DZ271" s="400"/>
      <c r="EA271" s="400"/>
      <c r="EB271" s="400"/>
      <c r="EC271" s="400"/>
      <c r="ED271" s="400"/>
      <c r="EE271" s="400"/>
      <c r="EF271" s="400"/>
      <c r="EG271" s="400"/>
      <c r="EH271" s="400"/>
      <c r="EI271" s="400"/>
      <c r="EJ271" s="400"/>
      <c r="EK271" s="400"/>
      <c r="EL271" s="400"/>
      <c r="EM271" s="400"/>
      <c r="EN271" s="400"/>
      <c r="EO271" s="400"/>
      <c r="EP271" s="409"/>
      <c r="EQ271" s="18"/>
      <c r="ER271" s="18"/>
      <c r="ES271" s="18"/>
      <c r="ET271" s="18"/>
      <c r="EU271" s="18"/>
      <c r="EV271" s="82"/>
      <c r="EW271" s="82"/>
      <c r="EX271" s="82"/>
      <c r="EY271" s="82"/>
      <c r="EZ271" s="82"/>
      <c r="FA271" s="82"/>
      <c r="FB271" s="82"/>
      <c r="FC271" s="82"/>
      <c r="FD271" s="82"/>
      <c r="FE271" s="82"/>
      <c r="FF271" s="82"/>
      <c r="FG271" s="82"/>
      <c r="FH271" s="82"/>
      <c r="FI271" s="82"/>
      <c r="FJ271" s="82"/>
      <c r="FK271" s="82"/>
      <c r="FL271" s="82"/>
      <c r="FM271" s="82"/>
      <c r="FN271" s="82"/>
      <c r="FO271" s="82"/>
      <c r="FP271" s="82"/>
      <c r="FQ271" s="82"/>
      <c r="FR271" s="82"/>
      <c r="FS271" s="82"/>
      <c r="FT271" s="82"/>
      <c r="FU271" s="82"/>
      <c r="FV271" s="82"/>
      <c r="FW271" s="82"/>
      <c r="FX271" s="82"/>
      <c r="FY271" s="82"/>
      <c r="FZ271" s="82"/>
      <c r="GA271" s="82"/>
      <c r="GB271" s="82"/>
      <c r="GC271" s="82"/>
      <c r="GD271" s="82"/>
      <c r="GE271" s="82"/>
      <c r="GF271" s="82"/>
      <c r="GG271" s="82"/>
      <c r="GH271" s="82"/>
      <c r="GI271" s="82"/>
      <c r="GJ271" s="82"/>
      <c r="GK271" s="82"/>
      <c r="GL271" s="82"/>
      <c r="GM271" s="82"/>
      <c r="GN271" s="82"/>
      <c r="GO271" s="82"/>
      <c r="GP271" s="82"/>
      <c r="GQ271" s="82"/>
      <c r="GR271" s="82"/>
      <c r="GS271" s="82"/>
      <c r="GT271" s="82"/>
      <c r="GU271" s="82"/>
      <c r="GV271" s="82"/>
      <c r="GW271" s="82"/>
      <c r="GX271" s="82"/>
      <c r="GY271" s="82"/>
      <c r="GZ271" s="82"/>
      <c r="HA271" s="82"/>
      <c r="HB271" s="82"/>
      <c r="HC271" s="82"/>
      <c r="HD271" s="82"/>
      <c r="HE271" s="82"/>
      <c r="HF271" s="82"/>
      <c r="HG271" s="82"/>
      <c r="HH271" s="82"/>
      <c r="HI271" s="82"/>
      <c r="HJ271" s="82"/>
      <c r="HK271" s="82"/>
      <c r="HL271" s="82"/>
      <c r="HM271" s="82"/>
      <c r="HN271" s="82"/>
      <c r="HO271" s="82"/>
      <c r="HP271" s="82"/>
      <c r="HQ271" s="82"/>
      <c r="HR271" s="82"/>
      <c r="HS271" s="82"/>
      <c r="HT271" s="82"/>
      <c r="HU271" s="82"/>
      <c r="HV271" s="82"/>
      <c r="HW271" s="82"/>
      <c r="HX271" s="82"/>
      <c r="HY271" s="82"/>
      <c r="HZ271" s="82"/>
      <c r="IA271" s="82"/>
      <c r="IB271" s="82"/>
      <c r="IC271" s="82"/>
      <c r="ID271" s="82"/>
      <c r="IE271" s="82"/>
      <c r="IF271" s="82"/>
      <c r="IG271" s="82"/>
      <c r="IH271" s="82"/>
      <c r="II271" s="82"/>
      <c r="IJ271" s="82"/>
      <c r="IK271" s="82"/>
      <c r="IL271" s="82"/>
      <c r="IM271" s="82"/>
      <c r="IN271" s="82"/>
      <c r="IO271" s="82"/>
      <c r="IP271" s="82"/>
      <c r="IQ271" s="82"/>
      <c r="IR271" s="82"/>
      <c r="IS271" s="82"/>
      <c r="IT271" s="82"/>
      <c r="IU271" s="82"/>
      <c r="IV271" s="82"/>
      <c r="IW271" s="82"/>
      <c r="IX271" s="82"/>
      <c r="IY271" s="82"/>
      <c r="IZ271" s="82"/>
      <c r="JA271" s="82"/>
      <c r="JB271" s="82"/>
      <c r="JC271" s="82"/>
      <c r="JD271" s="82"/>
      <c r="JE271" s="82"/>
      <c r="JF271" s="82"/>
      <c r="JG271" s="82"/>
      <c r="JH271" s="82"/>
      <c r="JI271" s="82"/>
      <c r="JJ271" s="82"/>
      <c r="JK271" s="82"/>
      <c r="JL271" s="82"/>
      <c r="JM271" s="82"/>
      <c r="JN271" s="82"/>
      <c r="JO271" s="82"/>
      <c r="JP271" s="82"/>
      <c r="JQ271" s="82"/>
      <c r="JR271" s="82"/>
      <c r="JS271" s="82"/>
      <c r="JT271" s="82"/>
      <c r="JU271" s="82"/>
      <c r="JV271" s="82"/>
      <c r="JW271" s="82"/>
      <c r="JX271" s="82"/>
      <c r="JZ271" s="263"/>
      <c r="KA271" s="263"/>
      <c r="KB271" s="263"/>
      <c r="KC271" s="263"/>
      <c r="KD271" s="263"/>
      <c r="KE271" s="263"/>
      <c r="KF271" s="263"/>
      <c r="KG271" s="263"/>
      <c r="KH271" s="263"/>
      <c r="KI271" s="263"/>
      <c r="KJ271" s="263"/>
      <c r="KK271" s="263"/>
      <c r="KL271" s="263"/>
      <c r="KM271" s="263"/>
      <c r="KN271" s="263"/>
      <c r="KO271" s="263"/>
      <c r="KP271" s="263"/>
      <c r="KQ271" s="263"/>
      <c r="KR271" s="263"/>
      <c r="KS271" s="263"/>
      <c r="KT271" s="263"/>
      <c r="KU271" s="263"/>
      <c r="KV271" s="263"/>
      <c r="KW271" s="263"/>
      <c r="KX271" s="263"/>
      <c r="KY271" s="263"/>
      <c r="KZ271" s="263"/>
      <c r="LA271" s="263"/>
      <c r="LB271" s="263"/>
      <c r="LC271" s="263"/>
      <c r="LD271" s="263"/>
      <c r="LE271" s="263"/>
      <c r="LF271" s="263"/>
      <c r="LG271" s="263"/>
      <c r="LH271" s="263"/>
      <c r="LI271" s="263"/>
      <c r="LJ271" s="263"/>
      <c r="LK271" s="263"/>
      <c r="LL271" s="263"/>
      <c r="LM271" s="263"/>
      <c r="LN271" s="263"/>
      <c r="LO271" s="263"/>
      <c r="LP271" s="263"/>
      <c r="LQ271" s="263"/>
      <c r="LR271" s="263"/>
      <c r="LS271" s="263"/>
      <c r="LT271" s="263"/>
      <c r="LU271" s="263"/>
      <c r="LV271" s="263"/>
      <c r="LW271" s="263"/>
      <c r="LX271" s="263"/>
      <c r="LY271" s="263"/>
      <c r="LZ271" s="263"/>
      <c r="MA271" s="263"/>
      <c r="MB271" s="263"/>
      <c r="MC271" s="263"/>
      <c r="MD271" s="263"/>
      <c r="ME271" s="263"/>
      <c r="MF271" s="263"/>
      <c r="MG271" s="263"/>
      <c r="MH271" s="263"/>
      <c r="MI271" s="263"/>
      <c r="MJ271" s="263"/>
      <c r="MK271" s="263"/>
      <c r="ML271" s="263"/>
      <c r="MM271" s="263"/>
      <c r="MN271" s="263"/>
      <c r="MO271" s="263"/>
      <c r="MP271" s="263"/>
      <c r="MQ271" s="263"/>
      <c r="MR271" s="263"/>
      <c r="MS271" s="263"/>
      <c r="MT271" s="263"/>
      <c r="MU271" s="263"/>
      <c r="MV271" s="263"/>
      <c r="MW271" s="263"/>
      <c r="MX271" s="263"/>
      <c r="MY271" s="263"/>
      <c r="MZ271" s="263"/>
      <c r="NA271" s="263"/>
      <c r="NB271" s="263"/>
      <c r="NC271" s="263"/>
      <c r="ND271" s="263"/>
      <c r="NE271" s="263"/>
      <c r="NF271" s="263"/>
      <c r="NG271" s="263"/>
      <c r="NH271" s="263"/>
      <c r="NI271" s="263"/>
      <c r="NJ271" s="263"/>
      <c r="NK271" s="263"/>
      <c r="NL271" s="263"/>
      <c r="NM271" s="263"/>
      <c r="NN271" s="263"/>
      <c r="NO271" s="263"/>
      <c r="NP271" s="263"/>
      <c r="NQ271" s="263"/>
      <c r="NR271" s="263"/>
      <c r="NS271" s="263"/>
      <c r="NT271" s="263"/>
      <c r="NU271" s="263"/>
      <c r="NV271" s="263"/>
      <c r="NW271" s="263"/>
      <c r="NX271" s="263"/>
      <c r="NY271" s="263"/>
      <c r="NZ271" s="263"/>
      <c r="OA271" s="263"/>
      <c r="OB271" s="263"/>
      <c r="OC271" s="263"/>
      <c r="OD271" s="263"/>
      <c r="OE271" s="263"/>
      <c r="OF271" s="263"/>
      <c r="OG271" s="263"/>
      <c r="OH271" s="263"/>
      <c r="OI271" s="263"/>
      <c r="OJ271" s="263"/>
      <c r="OK271" s="263"/>
      <c r="OL271" s="263"/>
      <c r="OM271" s="263"/>
      <c r="ON271" s="263"/>
      <c r="OO271" s="263"/>
      <c r="OP271" s="263"/>
      <c r="OQ271" s="263"/>
      <c r="OR271" s="263"/>
      <c r="OS271" s="263"/>
      <c r="OT271" s="263"/>
      <c r="OU271" s="263"/>
      <c r="OV271" s="263"/>
      <c r="OW271" s="263"/>
      <c r="OX271" s="263"/>
      <c r="OY271" s="263"/>
      <c r="OZ271" s="263"/>
      <c r="PA271" s="263"/>
      <c r="PB271" s="263"/>
      <c r="PC271" s="263"/>
      <c r="PD271" s="263"/>
      <c r="PE271" s="263"/>
      <c r="PF271" s="263"/>
      <c r="PG271" s="263"/>
      <c r="PH271" s="263"/>
    </row>
    <row r="272">
      <c r="B272" s="463" t="s">
        <v>461</v>
      </c>
      <c r="C272" s="132" t="n">
        <f>G129</f>
        <v>0</v>
      </c>
      <c r="D272" s="129" t="n">
        <f>$I$217</f>
        <v>1029.0903474765305</v>
      </c>
      <c r="E272" s="568" t="n">
        <f>$G$212</f>
        <v>9.688789923849196</v>
      </c>
      <c r="F272" s="463" t="s">
        <v>461</v>
      </c>
      <c r="G272" s="130" t="n">
        <f>I162</f>
        <v>0.0675</v>
      </c>
      <c r="H272" s="129" t="n">
        <f>$I$217</f>
        <v>1029.0903474765305</v>
      </c>
      <c r="I272" s="568" t="n">
        <f>$G$212</f>
        <v>9.688789923849196</v>
      </c>
      <c r="J272" s="399"/>
      <c r="K272" s="400"/>
      <c r="L272" s="400"/>
      <c r="M272" s="400"/>
      <c r="N272" s="400"/>
      <c r="O272" s="400"/>
      <c r="P272" s="400"/>
      <c r="Q272" s="400"/>
      <c r="R272" s="400"/>
      <c r="S272" s="400"/>
      <c r="T272" s="400"/>
      <c r="U272" s="400"/>
      <c r="V272" s="400"/>
      <c r="W272" s="400"/>
      <c r="X272" s="400"/>
      <c r="Y272" s="400"/>
      <c r="Z272" s="400"/>
      <c r="AA272" s="400"/>
      <c r="AB272" s="400"/>
      <c r="AC272" s="400"/>
      <c r="AD272" s="400"/>
      <c r="AE272" s="400"/>
      <c r="AF272" s="400"/>
      <c r="AG272" s="400"/>
      <c r="AH272" s="400"/>
      <c r="AI272" s="400"/>
      <c r="AJ272" s="400"/>
      <c r="AK272" s="400"/>
      <c r="AL272" s="400"/>
      <c r="AM272" s="400"/>
      <c r="AN272" s="400"/>
      <c r="AO272" s="400"/>
      <c r="AP272" s="400"/>
      <c r="AQ272" s="400"/>
      <c r="AR272" s="400"/>
      <c r="AS272" s="400"/>
      <c r="AT272" s="400"/>
      <c r="AU272" s="400"/>
      <c r="AV272" s="400"/>
      <c r="AW272" s="400"/>
      <c r="AX272" s="400"/>
      <c r="AY272" s="400"/>
      <c r="AZ272" s="400"/>
      <c r="BA272" s="400"/>
      <c r="BB272" s="400"/>
      <c r="BC272" s="400"/>
      <c r="BD272" s="400"/>
      <c r="BE272" s="400"/>
      <c r="BF272" s="400"/>
      <c r="BG272" s="400"/>
      <c r="BH272" s="400"/>
      <c r="BI272" s="400"/>
      <c r="BJ272" s="400"/>
      <c r="BK272" s="400"/>
      <c r="BL272" s="400"/>
      <c r="BM272" s="400"/>
      <c r="BN272" s="400"/>
      <c r="BO272" s="400"/>
      <c r="BP272" s="400"/>
      <c r="BQ272" s="400"/>
      <c r="BR272" s="400"/>
      <c r="BS272" s="400"/>
      <c r="BT272" s="400"/>
      <c r="BU272" s="400"/>
      <c r="BV272" s="400"/>
      <c r="BW272" s="400"/>
      <c r="BX272" s="400"/>
      <c r="BY272" s="400"/>
      <c r="BZ272" s="400"/>
      <c r="CA272" s="400"/>
      <c r="CB272" s="400"/>
      <c r="CC272" s="400"/>
      <c r="CD272" s="400"/>
      <c r="CE272" s="400"/>
      <c r="CF272" s="400"/>
      <c r="CG272" s="400"/>
      <c r="CH272" s="400"/>
      <c r="CI272" s="400"/>
      <c r="CJ272" s="400"/>
      <c r="CK272" s="400"/>
      <c r="CL272" s="400"/>
      <c r="CM272" s="400"/>
      <c r="CN272" s="400"/>
      <c r="CO272" s="400"/>
      <c r="CP272" s="400"/>
      <c r="CQ272" s="400"/>
      <c r="CR272" s="400"/>
      <c r="CS272" s="400"/>
      <c r="CT272" s="400"/>
      <c r="CU272" s="400"/>
      <c r="CV272" s="400"/>
      <c r="CW272" s="400"/>
      <c r="CX272" s="400"/>
      <c r="CY272" s="400"/>
      <c r="CZ272" s="400"/>
      <c r="DA272" s="400"/>
      <c r="DB272" s="400"/>
      <c r="DC272" s="400"/>
      <c r="DD272" s="400"/>
      <c r="DE272" s="400"/>
      <c r="DF272" s="400"/>
      <c r="DG272" s="400"/>
      <c r="DH272" s="400"/>
      <c r="DI272" s="400"/>
      <c r="DJ272" s="400"/>
      <c r="DK272" s="400"/>
      <c r="DL272" s="400"/>
      <c r="DM272" s="400"/>
      <c r="DN272" s="400"/>
      <c r="DO272" s="400"/>
      <c r="DP272" s="400"/>
      <c r="DQ272" s="400"/>
      <c r="DR272" s="400"/>
      <c r="DS272" s="400"/>
      <c r="DT272" s="400"/>
      <c r="DU272" s="400"/>
      <c r="DV272" s="400"/>
      <c r="DW272" s="400"/>
      <c r="DX272" s="400"/>
      <c r="DY272" s="400"/>
      <c r="DZ272" s="400"/>
      <c r="EA272" s="400"/>
      <c r="EB272" s="400"/>
      <c r="EC272" s="400"/>
      <c r="ED272" s="400"/>
      <c r="EE272" s="400"/>
      <c r="EF272" s="400"/>
      <c r="EG272" s="400"/>
      <c r="EH272" s="400"/>
      <c r="EI272" s="400"/>
      <c r="EJ272" s="400"/>
      <c r="EK272" s="400"/>
      <c r="EL272" s="400"/>
      <c r="EM272" s="400"/>
      <c r="EN272" s="400"/>
      <c r="EO272" s="400"/>
      <c r="EP272" s="409"/>
      <c r="EQ272" s="18"/>
      <c r="ER272" s="18"/>
      <c r="ES272" s="18"/>
      <c r="ET272" s="18"/>
      <c r="EU272" s="18"/>
      <c r="EV272" s="82"/>
      <c r="EW272" s="82"/>
      <c r="EX272" s="82"/>
      <c r="EY272" s="82"/>
      <c r="EZ272" s="82"/>
      <c r="FA272" s="82"/>
      <c r="FB272" s="82"/>
      <c r="FC272" s="82"/>
      <c r="FD272" s="82"/>
      <c r="FE272" s="82"/>
      <c r="FF272" s="82"/>
      <c r="FG272" s="82"/>
      <c r="FH272" s="82"/>
      <c r="FI272" s="82"/>
      <c r="FJ272" s="82"/>
      <c r="FK272" s="82"/>
      <c r="FL272" s="82"/>
      <c r="FM272" s="82"/>
      <c r="FN272" s="82"/>
      <c r="FO272" s="82"/>
      <c r="FP272" s="82"/>
      <c r="FQ272" s="82"/>
      <c r="FR272" s="82"/>
      <c r="FS272" s="82"/>
      <c r="FT272" s="82"/>
      <c r="FU272" s="82"/>
      <c r="FV272" s="82"/>
      <c r="FW272" s="82"/>
      <c r="FX272" s="82"/>
      <c r="FY272" s="82"/>
      <c r="FZ272" s="82"/>
      <c r="GA272" s="82"/>
      <c r="GB272" s="82"/>
      <c r="GC272" s="82"/>
      <c r="GD272" s="82"/>
      <c r="GE272" s="82"/>
      <c r="GF272" s="82"/>
      <c r="GG272" s="82"/>
      <c r="GH272" s="82"/>
      <c r="GI272" s="82"/>
      <c r="GJ272" s="82"/>
      <c r="GK272" s="82"/>
      <c r="GL272" s="82"/>
      <c r="GM272" s="82"/>
      <c r="GN272" s="82"/>
      <c r="GO272" s="82"/>
      <c r="GP272" s="82"/>
      <c r="GQ272" s="82"/>
      <c r="GR272" s="82"/>
      <c r="GS272" s="82"/>
      <c r="GT272" s="82"/>
      <c r="GU272" s="82"/>
      <c r="GV272" s="82"/>
      <c r="GW272" s="82"/>
      <c r="GX272" s="82"/>
      <c r="GY272" s="82"/>
      <c r="GZ272" s="82"/>
      <c r="HA272" s="82"/>
      <c r="HB272" s="82"/>
      <c r="HC272" s="82"/>
      <c r="HD272" s="82"/>
      <c r="HE272" s="82"/>
      <c r="HF272" s="82"/>
      <c r="HG272" s="82"/>
      <c r="HH272" s="82"/>
      <c r="HI272" s="82"/>
      <c r="HJ272" s="82"/>
      <c r="HK272" s="82"/>
      <c r="HL272" s="82"/>
      <c r="HM272" s="82"/>
      <c r="HN272" s="82"/>
      <c r="HO272" s="82"/>
      <c r="HP272" s="82"/>
      <c r="HQ272" s="82"/>
      <c r="HR272" s="82"/>
      <c r="HS272" s="82"/>
      <c r="HT272" s="82"/>
      <c r="HU272" s="82"/>
      <c r="HV272" s="82"/>
      <c r="HW272" s="82"/>
      <c r="HX272" s="82"/>
      <c r="HY272" s="82"/>
      <c r="HZ272" s="82"/>
      <c r="IA272" s="82"/>
      <c r="IB272" s="82"/>
      <c r="IC272" s="82"/>
      <c r="ID272" s="82"/>
      <c r="IE272" s="82"/>
      <c r="IF272" s="82"/>
      <c r="IG272" s="82"/>
      <c r="IH272" s="82"/>
      <c r="II272" s="82"/>
      <c r="IJ272" s="82"/>
      <c r="IK272" s="82"/>
      <c r="IL272" s="82"/>
      <c r="IM272" s="82"/>
      <c r="IN272" s="82"/>
      <c r="IO272" s="82"/>
      <c r="IP272" s="82"/>
      <c r="IQ272" s="82"/>
      <c r="IR272" s="82"/>
      <c r="IS272" s="82"/>
      <c r="IT272" s="82"/>
      <c r="IU272" s="82"/>
      <c r="IV272" s="82"/>
      <c r="IW272" s="82"/>
      <c r="IX272" s="82"/>
      <c r="IY272" s="82"/>
      <c r="IZ272" s="82"/>
      <c r="JA272" s="82"/>
      <c r="JB272" s="82"/>
      <c r="JC272" s="82"/>
      <c r="JD272" s="82"/>
      <c r="JE272" s="82"/>
      <c r="JF272" s="82"/>
      <c r="JG272" s="82"/>
      <c r="JH272" s="82"/>
      <c r="JI272" s="82"/>
      <c r="JJ272" s="82"/>
      <c r="JK272" s="82"/>
      <c r="JL272" s="82"/>
      <c r="JM272" s="82"/>
      <c r="JN272" s="82"/>
      <c r="JO272" s="82"/>
      <c r="JP272" s="82"/>
      <c r="JQ272" s="82"/>
      <c r="JR272" s="82"/>
      <c r="JS272" s="82"/>
      <c r="JT272" s="82"/>
      <c r="JU272" s="82"/>
      <c r="JV272" s="82"/>
      <c r="JW272" s="82"/>
      <c r="JX272" s="82"/>
      <c r="JZ272" s="263"/>
      <c r="KA272" s="263"/>
      <c r="KB272" s="263"/>
      <c r="KC272" s="263"/>
      <c r="KD272" s="263"/>
      <c r="KE272" s="263"/>
      <c r="KF272" s="263"/>
      <c r="KG272" s="263"/>
      <c r="KH272" s="263"/>
      <c r="KI272" s="263"/>
      <c r="KJ272" s="263"/>
      <c r="KK272" s="263"/>
      <c r="KL272" s="263"/>
      <c r="KM272" s="263"/>
      <c r="KN272" s="263"/>
      <c r="KO272" s="263"/>
      <c r="KP272" s="263"/>
      <c r="KQ272" s="263"/>
      <c r="KR272" s="263"/>
      <c r="KS272" s="263"/>
      <c r="KT272" s="263"/>
      <c r="KU272" s="263"/>
      <c r="KV272" s="263"/>
      <c r="KW272" s="263"/>
      <c r="KX272" s="263"/>
      <c r="KY272" s="263"/>
      <c r="KZ272" s="263"/>
      <c r="LA272" s="263"/>
      <c r="LB272" s="263"/>
      <c r="LC272" s="263"/>
      <c r="LD272" s="263"/>
      <c r="LE272" s="263"/>
      <c r="LF272" s="263"/>
      <c r="LG272" s="263"/>
      <c r="LH272" s="263"/>
      <c r="LI272" s="263"/>
      <c r="LJ272" s="263"/>
      <c r="LK272" s="263"/>
      <c r="LL272" s="263"/>
      <c r="LM272" s="263"/>
      <c r="LN272" s="263"/>
      <c r="LO272" s="263"/>
      <c r="LP272" s="263"/>
      <c r="LQ272" s="263"/>
      <c r="LR272" s="263"/>
      <c r="LS272" s="263"/>
      <c r="LT272" s="263"/>
      <c r="LU272" s="263"/>
      <c r="LV272" s="263"/>
      <c r="LW272" s="263"/>
      <c r="LX272" s="263"/>
      <c r="LY272" s="263"/>
      <c r="LZ272" s="263"/>
      <c r="MA272" s="263"/>
      <c r="MB272" s="263"/>
      <c r="MC272" s="263"/>
      <c r="MD272" s="263"/>
      <c r="ME272" s="263"/>
      <c r="MF272" s="263"/>
      <c r="MG272" s="263"/>
      <c r="MH272" s="263"/>
      <c r="MI272" s="263"/>
      <c r="MJ272" s="263"/>
      <c r="MK272" s="263"/>
      <c r="ML272" s="263"/>
      <c r="MM272" s="263"/>
      <c r="MN272" s="263"/>
      <c r="MO272" s="263"/>
      <c r="MP272" s="263"/>
      <c r="MQ272" s="263"/>
      <c r="MR272" s="263"/>
      <c r="MS272" s="263"/>
      <c r="MT272" s="263"/>
      <c r="MU272" s="263"/>
      <c r="MV272" s="263"/>
      <c r="MW272" s="263"/>
      <c r="MX272" s="263"/>
      <c r="MY272" s="263"/>
      <c r="MZ272" s="263"/>
      <c r="NA272" s="263"/>
      <c r="NB272" s="263"/>
      <c r="NC272" s="263"/>
      <c r="ND272" s="263"/>
      <c r="NE272" s="263"/>
      <c r="NF272" s="263"/>
      <c r="NG272" s="263"/>
      <c r="NH272" s="263"/>
      <c r="NI272" s="263"/>
      <c r="NJ272" s="263"/>
      <c r="NK272" s="263"/>
      <c r="NL272" s="263"/>
      <c r="NM272" s="263"/>
      <c r="NN272" s="263"/>
      <c r="NO272" s="263"/>
      <c r="NP272" s="263"/>
      <c r="NQ272" s="263"/>
      <c r="NR272" s="263"/>
      <c r="NS272" s="263"/>
      <c r="NT272" s="263"/>
      <c r="NU272" s="263"/>
      <c r="NV272" s="263"/>
      <c r="NW272" s="263"/>
      <c r="NX272" s="263"/>
      <c r="NY272" s="263"/>
      <c r="NZ272" s="263"/>
      <c r="OA272" s="263"/>
      <c r="OB272" s="263"/>
      <c r="OC272" s="263"/>
      <c r="OD272" s="263"/>
      <c r="OE272" s="263"/>
      <c r="OF272" s="263"/>
      <c r="OG272" s="263"/>
      <c r="OH272" s="263"/>
      <c r="OI272" s="263"/>
      <c r="OJ272" s="263"/>
      <c r="OK272" s="263"/>
      <c r="OL272" s="263"/>
      <c r="OM272" s="263"/>
      <c r="ON272" s="263"/>
      <c r="OO272" s="263"/>
      <c r="OP272" s="263"/>
      <c r="OQ272" s="263"/>
      <c r="OR272" s="263"/>
      <c r="OS272" s="263"/>
      <c r="OT272" s="263"/>
      <c r="OU272" s="263"/>
      <c r="OV272" s="263"/>
      <c r="OW272" s="263"/>
      <c r="OX272" s="263"/>
      <c r="OY272" s="263"/>
      <c r="OZ272" s="263"/>
      <c r="PA272" s="263"/>
      <c r="PB272" s="263"/>
      <c r="PC272" s="263"/>
      <c r="PD272" s="263"/>
      <c r="PE272" s="263"/>
      <c r="PF272" s="263"/>
      <c r="PG272" s="263"/>
      <c r="PH272" s="263"/>
    </row>
    <row r="273">
      <c r="B273" s="402" t="s">
        <v>462</v>
      </c>
      <c r="C273" s="133">
        <v>0.06</v>
      </c>
      <c r="D273" s="129" t="n">
        <f t="dataTable" ref="D273:E277" dt2D="0" dtr="0" r1="G129"/>
        <v>1029.0903474765305</v>
      </c>
      <c r="E273" s="568" t="n">
        <v>9.6887899238492</v>
      </c>
      <c r="F273" s="402" t="s">
        <v>462</v>
      </c>
      <c r="G273" s="131">
        <v>0.06</v>
      </c>
      <c r="H273" s="129" t="n">
        <f t="dataTable" ref="H273:I277" dt2D="0" dtr="0" r1="I162"/>
        <v>1029.0903474765305</v>
      </c>
      <c r="I273" s="568" t="n">
        <v>9.6887899238492</v>
      </c>
      <c r="J273" s="399"/>
      <c r="K273" s="400"/>
      <c r="L273" s="400"/>
      <c r="M273" s="400"/>
      <c r="N273" s="400"/>
      <c r="O273" s="400"/>
      <c r="P273" s="400"/>
      <c r="Q273" s="400"/>
      <c r="R273" s="400"/>
      <c r="S273" s="400"/>
      <c r="T273" s="400"/>
      <c r="U273" s="400"/>
      <c r="V273" s="400"/>
      <c r="W273" s="400"/>
      <c r="X273" s="400"/>
      <c r="Y273" s="400"/>
      <c r="Z273" s="400"/>
      <c r="AA273" s="400"/>
      <c r="AB273" s="400"/>
      <c r="AC273" s="400"/>
      <c r="AD273" s="400"/>
      <c r="AE273" s="400"/>
      <c r="AF273" s="400"/>
      <c r="AG273" s="400"/>
      <c r="AH273" s="400"/>
      <c r="AI273" s="400"/>
      <c r="AJ273" s="400"/>
      <c r="AK273" s="400"/>
      <c r="AL273" s="400"/>
      <c r="AM273" s="400"/>
      <c r="AN273" s="400"/>
      <c r="AO273" s="400"/>
      <c r="AP273" s="400"/>
      <c r="AQ273" s="400"/>
      <c r="AR273" s="400"/>
      <c r="AS273" s="400"/>
      <c r="AT273" s="400"/>
      <c r="AU273" s="400"/>
      <c r="AV273" s="400"/>
      <c r="AW273" s="400"/>
      <c r="AX273" s="400"/>
      <c r="AY273" s="400"/>
      <c r="AZ273" s="400"/>
      <c r="BA273" s="400"/>
      <c r="BB273" s="400"/>
      <c r="BC273" s="400"/>
      <c r="BD273" s="400"/>
      <c r="BE273" s="400"/>
      <c r="BF273" s="400"/>
      <c r="BG273" s="400"/>
      <c r="BH273" s="400"/>
      <c r="BI273" s="400"/>
      <c r="BJ273" s="400"/>
      <c r="BK273" s="400"/>
      <c r="BL273" s="400"/>
      <c r="BM273" s="400"/>
      <c r="BN273" s="400"/>
      <c r="BO273" s="400"/>
      <c r="BP273" s="400"/>
      <c r="BQ273" s="400"/>
      <c r="BR273" s="400"/>
      <c r="BS273" s="400"/>
      <c r="BT273" s="400"/>
      <c r="BU273" s="400"/>
      <c r="BV273" s="400"/>
      <c r="BW273" s="400"/>
      <c r="BX273" s="400"/>
      <c r="BY273" s="400"/>
      <c r="BZ273" s="400"/>
      <c r="CA273" s="400"/>
      <c r="CB273" s="400"/>
      <c r="CC273" s="400"/>
      <c r="CD273" s="400"/>
      <c r="CE273" s="400"/>
      <c r="CF273" s="400"/>
      <c r="CG273" s="400"/>
      <c r="CH273" s="400"/>
      <c r="CI273" s="400"/>
      <c r="CJ273" s="400"/>
      <c r="CK273" s="400"/>
      <c r="CL273" s="400"/>
      <c r="CM273" s="400"/>
      <c r="CN273" s="400"/>
      <c r="CO273" s="400"/>
      <c r="CP273" s="400"/>
      <c r="CQ273" s="400"/>
      <c r="CR273" s="400"/>
      <c r="CS273" s="400"/>
      <c r="CT273" s="400"/>
      <c r="CU273" s="400"/>
      <c r="CV273" s="400"/>
      <c r="CW273" s="400"/>
      <c r="CX273" s="400"/>
      <c r="CY273" s="400"/>
      <c r="CZ273" s="400"/>
      <c r="DA273" s="400"/>
      <c r="DB273" s="400"/>
      <c r="DC273" s="400"/>
      <c r="DD273" s="400"/>
      <c r="DE273" s="400"/>
      <c r="DF273" s="400"/>
      <c r="DG273" s="400"/>
      <c r="DH273" s="400"/>
      <c r="DI273" s="400"/>
      <c r="DJ273" s="400"/>
      <c r="DK273" s="400"/>
      <c r="DL273" s="400"/>
      <c r="DM273" s="400"/>
      <c r="DN273" s="400"/>
      <c r="DO273" s="400"/>
      <c r="DP273" s="400"/>
      <c r="DQ273" s="400"/>
      <c r="DR273" s="400"/>
      <c r="DS273" s="400"/>
      <c r="DT273" s="400"/>
      <c r="DU273" s="400"/>
      <c r="DV273" s="400"/>
      <c r="DW273" s="400"/>
      <c r="DX273" s="400"/>
      <c r="DY273" s="400"/>
      <c r="DZ273" s="400"/>
      <c r="EA273" s="400"/>
      <c r="EB273" s="400"/>
      <c r="EC273" s="400"/>
      <c r="ED273" s="400"/>
      <c r="EE273" s="400"/>
      <c r="EF273" s="400"/>
      <c r="EG273" s="400"/>
      <c r="EH273" s="400"/>
      <c r="EI273" s="400"/>
      <c r="EJ273" s="400"/>
      <c r="EK273" s="400"/>
      <c r="EL273" s="400"/>
      <c r="EM273" s="400"/>
      <c r="EN273" s="400"/>
      <c r="EO273" s="400"/>
      <c r="EP273" s="409"/>
      <c r="EQ273" s="18"/>
      <c r="ER273" s="18"/>
      <c r="ES273" s="18"/>
      <c r="ET273" s="18"/>
      <c r="EU273" s="18"/>
      <c r="EV273" s="82"/>
      <c r="EW273" s="82"/>
      <c r="EX273" s="82"/>
      <c r="EY273" s="82"/>
      <c r="EZ273" s="82"/>
      <c r="FA273" s="82"/>
      <c r="FB273" s="82"/>
      <c r="FC273" s="82"/>
      <c r="FD273" s="82"/>
      <c r="FE273" s="82"/>
      <c r="FF273" s="82"/>
      <c r="FG273" s="82"/>
      <c r="FH273" s="82"/>
      <c r="FI273" s="82"/>
      <c r="FJ273" s="82"/>
      <c r="FK273" s="82"/>
      <c r="FL273" s="82"/>
      <c r="FM273" s="82"/>
      <c r="FN273" s="82"/>
      <c r="FO273" s="82"/>
      <c r="FP273" s="82"/>
      <c r="FQ273" s="82"/>
      <c r="FR273" s="82"/>
      <c r="FS273" s="82"/>
      <c r="FT273" s="82"/>
      <c r="FU273" s="82"/>
      <c r="FV273" s="82"/>
      <c r="FW273" s="82"/>
      <c r="FX273" s="82"/>
      <c r="FY273" s="82"/>
      <c r="FZ273" s="82"/>
      <c r="GA273" s="82"/>
      <c r="GB273" s="82"/>
      <c r="GC273" s="82"/>
      <c r="GD273" s="82"/>
      <c r="GE273" s="82"/>
      <c r="GF273" s="82"/>
      <c r="GG273" s="82"/>
      <c r="GH273" s="82"/>
      <c r="GI273" s="82"/>
      <c r="GJ273" s="82"/>
      <c r="GK273" s="82"/>
      <c r="GL273" s="82"/>
      <c r="GM273" s="82"/>
      <c r="GN273" s="82"/>
      <c r="GO273" s="82"/>
      <c r="GP273" s="82"/>
      <c r="GQ273" s="82"/>
      <c r="GR273" s="82"/>
      <c r="GS273" s="82"/>
      <c r="GT273" s="82"/>
      <c r="GU273" s="82"/>
      <c r="GV273" s="82"/>
      <c r="GW273" s="82"/>
      <c r="GX273" s="82"/>
      <c r="GY273" s="82"/>
      <c r="GZ273" s="82"/>
      <c r="HA273" s="82"/>
      <c r="HB273" s="82"/>
      <c r="HC273" s="82"/>
      <c r="HD273" s="82"/>
      <c r="HE273" s="82"/>
      <c r="HF273" s="82"/>
      <c r="HG273" s="82"/>
      <c r="HH273" s="82"/>
      <c r="HI273" s="82"/>
      <c r="HJ273" s="82"/>
      <c r="HK273" s="82"/>
      <c r="HL273" s="82"/>
      <c r="HM273" s="82"/>
      <c r="HN273" s="82"/>
      <c r="HO273" s="82"/>
      <c r="HP273" s="82"/>
      <c r="HQ273" s="82"/>
      <c r="HR273" s="82"/>
      <c r="HS273" s="82"/>
      <c r="HT273" s="82"/>
      <c r="HU273" s="82"/>
      <c r="HV273" s="82"/>
      <c r="HW273" s="82"/>
      <c r="HX273" s="82"/>
      <c r="HY273" s="82"/>
      <c r="HZ273" s="82"/>
      <c r="IA273" s="82"/>
      <c r="IB273" s="82"/>
      <c r="IC273" s="82"/>
      <c r="ID273" s="82"/>
      <c r="IE273" s="82"/>
      <c r="IF273" s="82"/>
      <c r="IG273" s="82"/>
      <c r="IH273" s="82"/>
      <c r="II273" s="82"/>
      <c r="IJ273" s="82"/>
      <c r="IK273" s="82"/>
      <c r="IL273" s="82"/>
      <c r="IM273" s="82"/>
      <c r="IN273" s="82"/>
      <c r="IO273" s="82"/>
      <c r="IP273" s="82"/>
      <c r="IQ273" s="82"/>
      <c r="IR273" s="82"/>
      <c r="IS273" s="82"/>
      <c r="IT273" s="82"/>
      <c r="IU273" s="82"/>
      <c r="IV273" s="82"/>
      <c r="IW273" s="82"/>
      <c r="IX273" s="82"/>
      <c r="IY273" s="82"/>
      <c r="IZ273" s="82"/>
      <c r="JA273" s="82"/>
      <c r="JB273" s="82"/>
      <c r="JC273" s="82"/>
      <c r="JD273" s="82"/>
      <c r="JE273" s="82"/>
      <c r="JF273" s="82"/>
      <c r="JG273" s="82"/>
      <c r="JH273" s="82"/>
      <c r="JI273" s="82"/>
      <c r="JJ273" s="82"/>
      <c r="JK273" s="82"/>
      <c r="JL273" s="82"/>
      <c r="JM273" s="82"/>
      <c r="JN273" s="82"/>
      <c r="JO273" s="82"/>
      <c r="JP273" s="82"/>
      <c r="JQ273" s="82"/>
      <c r="JR273" s="82"/>
      <c r="JS273" s="82"/>
      <c r="JT273" s="82"/>
      <c r="JU273" s="82"/>
      <c r="JV273" s="82"/>
      <c r="JW273" s="82"/>
      <c r="JX273" s="82"/>
      <c r="JZ273" s="263"/>
      <c r="KA273" s="263"/>
      <c r="KB273" s="263"/>
      <c r="KC273" s="263"/>
      <c r="KD273" s="263"/>
      <c r="KE273" s="263"/>
      <c r="KF273" s="263"/>
      <c r="KG273" s="263"/>
      <c r="KH273" s="263"/>
      <c r="KI273" s="263"/>
      <c r="KJ273" s="263"/>
      <c r="KK273" s="263"/>
      <c r="KL273" s="263"/>
      <c r="KM273" s="263"/>
      <c r="KN273" s="263"/>
      <c r="KO273" s="263"/>
      <c r="KP273" s="263"/>
      <c r="KQ273" s="263"/>
      <c r="KR273" s="263"/>
      <c r="KS273" s="263"/>
      <c r="KT273" s="263"/>
      <c r="KU273" s="263"/>
      <c r="KV273" s="263"/>
      <c r="KW273" s="263"/>
      <c r="KX273" s="263"/>
      <c r="KY273" s="263"/>
      <c r="KZ273" s="263"/>
      <c r="LA273" s="263"/>
      <c r="LB273" s="263"/>
      <c r="LC273" s="263"/>
      <c r="LD273" s="263"/>
      <c r="LE273" s="263"/>
      <c r="LF273" s="263"/>
      <c r="LG273" s="263"/>
      <c r="LH273" s="263"/>
      <c r="LI273" s="263"/>
      <c r="LJ273" s="263"/>
      <c r="LK273" s="263"/>
      <c r="LL273" s="263"/>
      <c r="LM273" s="263"/>
      <c r="LN273" s="263"/>
      <c r="LO273" s="263"/>
      <c r="LP273" s="263"/>
      <c r="LQ273" s="263"/>
      <c r="LR273" s="263"/>
      <c r="LS273" s="263"/>
      <c r="LT273" s="263"/>
      <c r="LU273" s="263"/>
      <c r="LV273" s="263"/>
      <c r="LW273" s="263"/>
      <c r="LX273" s="263"/>
      <c r="LY273" s="263"/>
      <c r="LZ273" s="263"/>
      <c r="MA273" s="263"/>
      <c r="MB273" s="263"/>
      <c r="MC273" s="263"/>
      <c r="MD273" s="263"/>
      <c r="ME273" s="263"/>
      <c r="MF273" s="263"/>
      <c r="MG273" s="263"/>
      <c r="MH273" s="263"/>
      <c r="MI273" s="263"/>
      <c r="MJ273" s="263"/>
      <c r="MK273" s="263"/>
      <c r="ML273" s="263"/>
      <c r="MM273" s="263"/>
      <c r="MN273" s="263"/>
      <c r="MO273" s="263"/>
      <c r="MP273" s="263"/>
      <c r="MQ273" s="263"/>
      <c r="MR273" s="263"/>
      <c r="MS273" s="263"/>
      <c r="MT273" s="263"/>
      <c r="MU273" s="263"/>
      <c r="MV273" s="263"/>
      <c r="MW273" s="263"/>
      <c r="MX273" s="263"/>
      <c r="MY273" s="263"/>
      <c r="MZ273" s="263"/>
      <c r="NA273" s="263"/>
      <c r="NB273" s="263"/>
      <c r="NC273" s="263"/>
      <c r="ND273" s="263"/>
      <c r="NE273" s="263"/>
      <c r="NF273" s="263"/>
      <c r="NG273" s="263"/>
      <c r="NH273" s="263"/>
      <c r="NI273" s="263"/>
      <c r="NJ273" s="263"/>
      <c r="NK273" s="263"/>
      <c r="NL273" s="263"/>
      <c r="NM273" s="263"/>
      <c r="NN273" s="263"/>
      <c r="NO273" s="263"/>
      <c r="NP273" s="263"/>
      <c r="NQ273" s="263"/>
      <c r="NR273" s="263"/>
      <c r="NS273" s="263"/>
      <c r="NT273" s="263"/>
      <c r="NU273" s="263"/>
      <c r="NV273" s="263"/>
      <c r="NW273" s="263"/>
      <c r="NX273" s="263"/>
      <c r="NY273" s="263"/>
      <c r="NZ273" s="263"/>
      <c r="OA273" s="263"/>
      <c r="OB273" s="263"/>
      <c r="OC273" s="263"/>
      <c r="OD273" s="263"/>
      <c r="OE273" s="263"/>
      <c r="OF273" s="263"/>
      <c r="OG273" s="263"/>
      <c r="OH273" s="263"/>
      <c r="OI273" s="263"/>
      <c r="OJ273" s="263"/>
      <c r="OK273" s="263"/>
      <c r="OL273" s="263"/>
      <c r="OM273" s="263"/>
      <c r="ON273" s="263"/>
      <c r="OO273" s="263"/>
      <c r="OP273" s="263"/>
      <c r="OQ273" s="263"/>
      <c r="OR273" s="263"/>
      <c r="OS273" s="263"/>
      <c r="OT273" s="263"/>
      <c r="OU273" s="263"/>
      <c r="OV273" s="263"/>
      <c r="OW273" s="263"/>
      <c r="OX273" s="263"/>
      <c r="OY273" s="263"/>
      <c r="OZ273" s="263"/>
      <c r="PA273" s="263"/>
      <c r="PB273" s="263"/>
      <c r="PC273" s="263"/>
      <c r="PD273" s="263"/>
      <c r="PE273" s="263"/>
      <c r="PF273" s="263"/>
      <c r="PG273" s="263"/>
      <c r="PH273" s="263"/>
    </row>
    <row r="274">
      <c r="B274" s="402" t="s">
        <v>463</v>
      </c>
      <c r="C274" s="133">
        <v>7.0000000000000007E-2</v>
      </c>
      <c r="D274" s="129" t="n">
        <v>1029.0903474765305</v>
      </c>
      <c r="E274" s="568" t="n">
        <v>9.6887899238492</v>
      </c>
      <c r="F274" s="402" t="s">
        <v>463</v>
      </c>
      <c r="G274" s="131">
        <v>6.25E-2</v>
      </c>
      <c r="H274" s="129" t="n">
        <v>1029.0903474765305</v>
      </c>
      <c r="I274" s="568" t="n">
        <v>9.6887899238492</v>
      </c>
      <c r="J274" s="399"/>
      <c r="K274" s="400"/>
      <c r="L274" s="400"/>
      <c r="M274" s="400"/>
      <c r="N274" s="400"/>
      <c r="O274" s="400"/>
      <c r="P274" s="400"/>
      <c r="Q274" s="400"/>
      <c r="R274" s="400"/>
      <c r="S274" s="400"/>
      <c r="T274" s="400"/>
      <c r="U274" s="400"/>
      <c r="V274" s="400"/>
      <c r="W274" s="400"/>
      <c r="X274" s="400"/>
      <c r="Y274" s="400"/>
      <c r="Z274" s="400"/>
      <c r="AA274" s="400"/>
      <c r="AB274" s="400"/>
      <c r="AC274" s="400"/>
      <c r="AD274" s="400"/>
      <c r="AE274" s="400"/>
      <c r="AF274" s="400"/>
      <c r="AG274" s="400"/>
      <c r="AH274" s="400"/>
      <c r="AI274" s="400"/>
      <c r="AJ274" s="400"/>
      <c r="AK274" s="400"/>
      <c r="AL274" s="400"/>
      <c r="AM274" s="400"/>
      <c r="AN274" s="400"/>
      <c r="AO274" s="400"/>
      <c r="AP274" s="400"/>
      <c r="AQ274" s="400"/>
      <c r="AR274" s="400"/>
      <c r="AS274" s="400"/>
      <c r="AT274" s="400"/>
      <c r="AU274" s="400"/>
      <c r="AV274" s="400"/>
      <c r="AW274" s="400"/>
      <c r="AX274" s="400"/>
      <c r="AY274" s="400"/>
      <c r="AZ274" s="400"/>
      <c r="BA274" s="400"/>
      <c r="BB274" s="400"/>
      <c r="BC274" s="400"/>
      <c r="BD274" s="400"/>
      <c r="BE274" s="400"/>
      <c r="BF274" s="400"/>
      <c r="BG274" s="400"/>
      <c r="BH274" s="400"/>
      <c r="BI274" s="400"/>
      <c r="BJ274" s="400"/>
      <c r="BK274" s="400"/>
      <c r="BL274" s="400"/>
      <c r="BM274" s="400"/>
      <c r="BN274" s="400"/>
      <c r="BO274" s="400"/>
      <c r="BP274" s="400"/>
      <c r="BQ274" s="400"/>
      <c r="BR274" s="400"/>
      <c r="BS274" s="400"/>
      <c r="BT274" s="400"/>
      <c r="BU274" s="400"/>
      <c r="BV274" s="400"/>
      <c r="BW274" s="400"/>
      <c r="BX274" s="400"/>
      <c r="BY274" s="400"/>
      <c r="BZ274" s="400"/>
      <c r="CA274" s="400"/>
      <c r="CB274" s="400"/>
      <c r="CC274" s="400"/>
      <c r="CD274" s="400"/>
      <c r="CE274" s="400"/>
      <c r="CF274" s="400"/>
      <c r="CG274" s="400"/>
      <c r="CH274" s="400"/>
      <c r="CI274" s="400"/>
      <c r="CJ274" s="400"/>
      <c r="CK274" s="400"/>
      <c r="CL274" s="400"/>
      <c r="CM274" s="400"/>
      <c r="CN274" s="400"/>
      <c r="CO274" s="400"/>
      <c r="CP274" s="400"/>
      <c r="CQ274" s="400"/>
      <c r="CR274" s="400"/>
      <c r="CS274" s="400"/>
      <c r="CT274" s="400"/>
      <c r="CU274" s="400"/>
      <c r="CV274" s="400"/>
      <c r="CW274" s="400"/>
      <c r="CX274" s="400"/>
      <c r="CY274" s="400"/>
      <c r="CZ274" s="400"/>
      <c r="DA274" s="400"/>
      <c r="DB274" s="400"/>
      <c r="DC274" s="400"/>
      <c r="DD274" s="400"/>
      <c r="DE274" s="400"/>
      <c r="DF274" s="400"/>
      <c r="DG274" s="400"/>
      <c r="DH274" s="400"/>
      <c r="DI274" s="400"/>
      <c r="DJ274" s="400"/>
      <c r="DK274" s="400"/>
      <c r="DL274" s="400"/>
      <c r="DM274" s="400"/>
      <c r="DN274" s="400"/>
      <c r="DO274" s="400"/>
      <c r="DP274" s="400"/>
      <c r="DQ274" s="400"/>
      <c r="DR274" s="400"/>
      <c r="DS274" s="400"/>
      <c r="DT274" s="400"/>
      <c r="DU274" s="400"/>
      <c r="DV274" s="400"/>
      <c r="DW274" s="400"/>
      <c r="DX274" s="400"/>
      <c r="DY274" s="400"/>
      <c r="DZ274" s="400"/>
      <c r="EA274" s="400"/>
      <c r="EB274" s="400"/>
      <c r="EC274" s="400"/>
      <c r="ED274" s="400"/>
      <c r="EE274" s="400"/>
      <c r="EF274" s="400"/>
      <c r="EG274" s="400"/>
      <c r="EH274" s="400"/>
      <c r="EI274" s="400"/>
      <c r="EJ274" s="400"/>
      <c r="EK274" s="400"/>
      <c r="EL274" s="400"/>
      <c r="EM274" s="400"/>
      <c r="EN274" s="400"/>
      <c r="EO274" s="400"/>
      <c r="EP274" s="409"/>
      <c r="EQ274" s="18"/>
      <c r="ER274" s="18"/>
      <c r="ES274" s="18"/>
      <c r="ET274" s="18"/>
      <c r="EU274" s="18"/>
      <c r="EV274" s="82"/>
      <c r="EW274" s="82"/>
      <c r="EX274" s="82"/>
      <c r="EY274" s="82"/>
      <c r="EZ274" s="82"/>
      <c r="FA274" s="82"/>
      <c r="FB274" s="82"/>
      <c r="FC274" s="82"/>
      <c r="FD274" s="82"/>
      <c r="FE274" s="82"/>
      <c r="FF274" s="82"/>
      <c r="FG274" s="82"/>
      <c r="FH274" s="82"/>
      <c r="FI274" s="82"/>
      <c r="FJ274" s="82"/>
      <c r="FK274" s="82"/>
      <c r="FL274" s="82"/>
      <c r="FM274" s="82"/>
      <c r="FN274" s="82"/>
      <c r="FO274" s="82"/>
      <c r="FP274" s="82"/>
      <c r="FQ274" s="82"/>
      <c r="FR274" s="82"/>
      <c r="FS274" s="82"/>
      <c r="FT274" s="82"/>
      <c r="FU274" s="82"/>
      <c r="FV274" s="82"/>
      <c r="FW274" s="82"/>
      <c r="FX274" s="82"/>
      <c r="FY274" s="82"/>
      <c r="FZ274" s="82"/>
      <c r="GA274" s="82"/>
      <c r="GB274" s="82"/>
      <c r="GC274" s="82"/>
      <c r="GD274" s="82"/>
      <c r="GE274" s="82"/>
      <c r="GF274" s="82"/>
      <c r="GG274" s="82"/>
      <c r="GH274" s="82"/>
      <c r="GI274" s="82"/>
      <c r="GJ274" s="82"/>
      <c r="GK274" s="82"/>
      <c r="GL274" s="82"/>
      <c r="GM274" s="82"/>
      <c r="GN274" s="82"/>
      <c r="GO274" s="82"/>
      <c r="GP274" s="82"/>
      <c r="GQ274" s="82"/>
      <c r="GR274" s="82"/>
      <c r="GS274" s="82"/>
      <c r="GT274" s="82"/>
      <c r="GU274" s="82"/>
      <c r="GV274" s="82"/>
      <c r="GW274" s="82"/>
      <c r="GX274" s="82"/>
      <c r="GY274" s="82"/>
      <c r="GZ274" s="82"/>
      <c r="HA274" s="82"/>
      <c r="HB274" s="82"/>
      <c r="HC274" s="82"/>
      <c r="HD274" s="82"/>
      <c r="HE274" s="82"/>
      <c r="HF274" s="82"/>
      <c r="HG274" s="82"/>
      <c r="HH274" s="82"/>
      <c r="HI274" s="82"/>
      <c r="HJ274" s="82"/>
      <c r="HK274" s="82"/>
      <c r="HL274" s="82"/>
      <c r="HM274" s="82"/>
      <c r="HN274" s="82"/>
      <c r="HO274" s="82"/>
      <c r="HP274" s="82"/>
      <c r="HQ274" s="82"/>
      <c r="HR274" s="82"/>
      <c r="HS274" s="82"/>
      <c r="HT274" s="82"/>
      <c r="HU274" s="82"/>
      <c r="HV274" s="82"/>
      <c r="HW274" s="82"/>
      <c r="HX274" s="82"/>
      <c r="HY274" s="82"/>
      <c r="HZ274" s="82"/>
      <c r="IA274" s="82"/>
      <c r="IB274" s="82"/>
      <c r="IC274" s="82"/>
      <c r="ID274" s="82"/>
      <c r="IE274" s="82"/>
      <c r="IF274" s="82"/>
      <c r="IG274" s="82"/>
      <c r="IH274" s="82"/>
      <c r="II274" s="82"/>
      <c r="IJ274" s="82"/>
      <c r="IK274" s="82"/>
      <c r="IL274" s="82"/>
      <c r="IM274" s="82"/>
      <c r="IN274" s="82"/>
      <c r="IO274" s="82"/>
      <c r="IP274" s="82"/>
      <c r="IQ274" s="82"/>
      <c r="IR274" s="82"/>
      <c r="IS274" s="82"/>
      <c r="IT274" s="82"/>
      <c r="IU274" s="82"/>
      <c r="IV274" s="82"/>
      <c r="IW274" s="82"/>
      <c r="IX274" s="82"/>
      <c r="IY274" s="82"/>
      <c r="IZ274" s="82"/>
      <c r="JA274" s="82"/>
      <c r="JB274" s="82"/>
      <c r="JC274" s="82"/>
      <c r="JD274" s="82"/>
      <c r="JE274" s="82"/>
      <c r="JF274" s="82"/>
      <c r="JG274" s="82"/>
      <c r="JH274" s="82"/>
      <c r="JI274" s="82"/>
      <c r="JJ274" s="82"/>
      <c r="JK274" s="82"/>
      <c r="JL274" s="82"/>
      <c r="JM274" s="82"/>
      <c r="JN274" s="82"/>
      <c r="JO274" s="82"/>
      <c r="JP274" s="82"/>
      <c r="JQ274" s="82"/>
      <c r="JR274" s="82"/>
      <c r="JS274" s="82"/>
      <c r="JT274" s="82"/>
      <c r="JU274" s="82"/>
      <c r="JV274" s="82"/>
      <c r="JW274" s="82"/>
      <c r="JX274" s="82"/>
      <c r="JZ274" s="263"/>
      <c r="KA274" s="263"/>
      <c r="KB274" s="263"/>
      <c r="KC274" s="263"/>
      <c r="KD274" s="263"/>
      <c r="KE274" s="263"/>
      <c r="KF274" s="263"/>
      <c r="KG274" s="263"/>
      <c r="KH274" s="263"/>
      <c r="KI274" s="263"/>
      <c r="KJ274" s="263"/>
      <c r="KK274" s="263"/>
      <c r="KL274" s="263"/>
      <c r="KM274" s="263"/>
      <c r="KN274" s="263"/>
      <c r="KO274" s="263"/>
      <c r="KP274" s="263"/>
      <c r="KQ274" s="263"/>
      <c r="KR274" s="263"/>
      <c r="KS274" s="263"/>
      <c r="KT274" s="263"/>
      <c r="KU274" s="263"/>
      <c r="KV274" s="263"/>
      <c r="KW274" s="263"/>
      <c r="KX274" s="263"/>
      <c r="KY274" s="263"/>
      <c r="KZ274" s="263"/>
      <c r="LA274" s="263"/>
      <c r="LB274" s="263"/>
      <c r="LC274" s="263"/>
      <c r="LD274" s="263"/>
      <c r="LE274" s="263"/>
      <c r="LF274" s="263"/>
      <c r="LG274" s="263"/>
      <c r="LH274" s="263"/>
      <c r="LI274" s="263"/>
      <c r="LJ274" s="263"/>
      <c r="LK274" s="263"/>
      <c r="LL274" s="263"/>
      <c r="LM274" s="263"/>
      <c r="LN274" s="263"/>
      <c r="LO274" s="263"/>
      <c r="LP274" s="263"/>
      <c r="LQ274" s="263"/>
      <c r="LR274" s="263"/>
      <c r="LS274" s="263"/>
      <c r="LT274" s="263"/>
      <c r="LU274" s="263"/>
      <c r="LV274" s="263"/>
      <c r="LW274" s="263"/>
      <c r="LX274" s="263"/>
      <c r="LY274" s="263"/>
      <c r="LZ274" s="263"/>
      <c r="MA274" s="263"/>
      <c r="MB274" s="263"/>
      <c r="MC274" s="263"/>
      <c r="MD274" s="263"/>
      <c r="ME274" s="263"/>
      <c r="MF274" s="263"/>
      <c r="MG274" s="263"/>
      <c r="MH274" s="263"/>
      <c r="MI274" s="263"/>
      <c r="MJ274" s="263"/>
      <c r="MK274" s="263"/>
      <c r="ML274" s="263"/>
      <c r="MM274" s="263"/>
      <c r="MN274" s="263"/>
      <c r="MO274" s="263"/>
      <c r="MP274" s="263"/>
      <c r="MQ274" s="263"/>
      <c r="MR274" s="263"/>
      <c r="MS274" s="263"/>
      <c r="MT274" s="263"/>
      <c r="MU274" s="263"/>
      <c r="MV274" s="263"/>
      <c r="MW274" s="263"/>
      <c r="MX274" s="263"/>
      <c r="MY274" s="263"/>
      <c r="MZ274" s="263"/>
      <c r="NA274" s="263"/>
      <c r="NB274" s="263"/>
      <c r="NC274" s="263"/>
      <c r="ND274" s="263"/>
      <c r="NE274" s="263"/>
      <c r="NF274" s="263"/>
      <c r="NG274" s="263"/>
      <c r="NH274" s="263"/>
      <c r="NI274" s="263"/>
      <c r="NJ274" s="263"/>
      <c r="NK274" s="263"/>
      <c r="NL274" s="263"/>
      <c r="NM274" s="263"/>
      <c r="NN274" s="263"/>
      <c r="NO274" s="263"/>
      <c r="NP274" s="263"/>
      <c r="NQ274" s="263"/>
      <c r="NR274" s="263"/>
      <c r="NS274" s="263"/>
      <c r="NT274" s="263"/>
      <c r="NU274" s="263"/>
      <c r="NV274" s="263"/>
      <c r="NW274" s="263"/>
      <c r="NX274" s="263"/>
      <c r="NY274" s="263"/>
      <c r="NZ274" s="263"/>
      <c r="OA274" s="263"/>
      <c r="OB274" s="263"/>
      <c r="OC274" s="263"/>
      <c r="OD274" s="263"/>
      <c r="OE274" s="263"/>
      <c r="OF274" s="263"/>
      <c r="OG274" s="263"/>
      <c r="OH274" s="263"/>
      <c r="OI274" s="263"/>
      <c r="OJ274" s="263"/>
      <c r="OK274" s="263"/>
      <c r="OL274" s="263"/>
      <c r="OM274" s="263"/>
      <c r="ON274" s="263"/>
      <c r="OO274" s="263"/>
      <c r="OP274" s="263"/>
      <c r="OQ274" s="263"/>
      <c r="OR274" s="263"/>
      <c r="OS274" s="263"/>
      <c r="OT274" s="263"/>
      <c r="OU274" s="263"/>
      <c r="OV274" s="263"/>
      <c r="OW274" s="263"/>
      <c r="OX274" s="263"/>
      <c r="OY274" s="263"/>
      <c r="OZ274" s="263"/>
      <c r="PA274" s="263"/>
      <c r="PB274" s="263"/>
      <c r="PC274" s="263"/>
      <c r="PD274" s="263"/>
      <c r="PE274" s="263"/>
      <c r="PF274" s="263"/>
      <c r="PG274" s="263"/>
      <c r="PH274" s="263"/>
    </row>
    <row r="275">
      <c r="B275" s="402" t="s">
        <v>464</v>
      </c>
      <c r="C275" s="133">
        <v>0.08</v>
      </c>
      <c r="D275" s="129" t="n">
        <v>1029.0903474765305</v>
      </c>
      <c r="E275" s="568" t="n">
        <v>9.6887899238492</v>
      </c>
      <c r="F275" s="402" t="s">
        <v>464</v>
      </c>
      <c r="G275" s="131">
        <v>6.5000000000000002E-2</v>
      </c>
      <c r="H275" s="129" t="n">
        <v>1029.0903474765305</v>
      </c>
      <c r="I275" s="568" t="n">
        <v>9.6887899238492</v>
      </c>
      <c r="J275" s="399"/>
      <c r="K275" s="400"/>
      <c r="L275" s="400"/>
      <c r="M275" s="400"/>
      <c r="N275" s="400"/>
      <c r="O275" s="400"/>
      <c r="P275" s="400"/>
      <c r="Q275" s="400"/>
      <c r="R275" s="400"/>
      <c r="S275" s="400"/>
      <c r="T275" s="400"/>
      <c r="U275" s="400"/>
      <c r="V275" s="400"/>
      <c r="W275" s="400"/>
      <c r="X275" s="400"/>
      <c r="Y275" s="400"/>
      <c r="Z275" s="400"/>
      <c r="AA275" s="400"/>
      <c r="AB275" s="400"/>
      <c r="AC275" s="400"/>
      <c r="AD275" s="400"/>
      <c r="AE275" s="400"/>
      <c r="AF275" s="400"/>
      <c r="AG275" s="400"/>
      <c r="AH275" s="400"/>
      <c r="AI275" s="400"/>
      <c r="AJ275" s="400"/>
      <c r="AK275" s="400"/>
      <c r="AL275" s="400"/>
      <c r="AM275" s="400"/>
      <c r="AN275" s="400"/>
      <c r="AO275" s="400"/>
      <c r="AP275" s="400"/>
      <c r="AQ275" s="400"/>
      <c r="AR275" s="400"/>
      <c r="AS275" s="400"/>
      <c r="AT275" s="400"/>
      <c r="AU275" s="400"/>
      <c r="AV275" s="400"/>
      <c r="AW275" s="400"/>
      <c r="AX275" s="400"/>
      <c r="AY275" s="400"/>
      <c r="AZ275" s="400"/>
      <c r="BA275" s="400"/>
      <c r="BB275" s="400"/>
      <c r="BC275" s="400"/>
      <c r="BD275" s="400"/>
      <c r="BE275" s="400"/>
      <c r="BF275" s="400"/>
      <c r="BG275" s="400"/>
      <c r="BH275" s="400"/>
      <c r="BI275" s="400"/>
      <c r="BJ275" s="400"/>
      <c r="BK275" s="400"/>
      <c r="BL275" s="400"/>
      <c r="BM275" s="400"/>
      <c r="BN275" s="400"/>
      <c r="BO275" s="400"/>
      <c r="BP275" s="400"/>
      <c r="BQ275" s="400"/>
      <c r="BR275" s="400"/>
      <c r="BS275" s="400"/>
      <c r="BT275" s="400"/>
      <c r="BU275" s="400"/>
      <c r="BV275" s="400"/>
      <c r="BW275" s="400"/>
      <c r="BX275" s="400"/>
      <c r="BY275" s="400"/>
      <c r="BZ275" s="400"/>
      <c r="CA275" s="400"/>
      <c r="CB275" s="400"/>
      <c r="CC275" s="400"/>
      <c r="CD275" s="400"/>
      <c r="CE275" s="400"/>
      <c r="CF275" s="400"/>
      <c r="CG275" s="400"/>
      <c r="CH275" s="400"/>
      <c r="CI275" s="400"/>
      <c r="CJ275" s="400"/>
      <c r="CK275" s="400"/>
      <c r="CL275" s="400"/>
      <c r="CM275" s="400"/>
      <c r="CN275" s="400"/>
      <c r="CO275" s="400"/>
      <c r="CP275" s="400"/>
      <c r="CQ275" s="400"/>
      <c r="CR275" s="400"/>
      <c r="CS275" s="400"/>
      <c r="CT275" s="400"/>
      <c r="CU275" s="400"/>
      <c r="CV275" s="400"/>
      <c r="CW275" s="400"/>
      <c r="CX275" s="400"/>
      <c r="CY275" s="400"/>
      <c r="CZ275" s="400"/>
      <c r="DA275" s="400"/>
      <c r="DB275" s="400"/>
      <c r="DC275" s="400"/>
      <c r="DD275" s="400"/>
      <c r="DE275" s="400"/>
      <c r="DF275" s="400"/>
      <c r="DG275" s="400"/>
      <c r="DH275" s="400"/>
      <c r="DI275" s="400"/>
      <c r="DJ275" s="400"/>
      <c r="DK275" s="400"/>
      <c r="DL275" s="400"/>
      <c r="DM275" s="400"/>
      <c r="DN275" s="400"/>
      <c r="DO275" s="400"/>
      <c r="DP275" s="400"/>
      <c r="DQ275" s="400"/>
      <c r="DR275" s="400"/>
      <c r="DS275" s="400"/>
      <c r="DT275" s="400"/>
      <c r="DU275" s="400"/>
      <c r="DV275" s="400"/>
      <c r="DW275" s="400"/>
      <c r="DX275" s="400"/>
      <c r="DY275" s="400"/>
      <c r="DZ275" s="400"/>
      <c r="EA275" s="400"/>
      <c r="EB275" s="400"/>
      <c r="EC275" s="400"/>
      <c r="ED275" s="400"/>
      <c r="EE275" s="400"/>
      <c r="EF275" s="400"/>
      <c r="EG275" s="400"/>
      <c r="EH275" s="400"/>
      <c r="EI275" s="400"/>
      <c r="EJ275" s="400"/>
      <c r="EK275" s="400"/>
      <c r="EL275" s="400"/>
      <c r="EM275" s="400"/>
      <c r="EN275" s="400"/>
      <c r="EO275" s="400"/>
      <c r="EP275" s="409"/>
      <c r="EQ275" s="18"/>
      <c r="ER275" s="18"/>
      <c r="ES275" s="18"/>
      <c r="ET275" s="18"/>
      <c r="EU275" s="18"/>
      <c r="EV275" s="82"/>
      <c r="EW275" s="82"/>
      <c r="EX275" s="82"/>
      <c r="EY275" s="82"/>
      <c r="EZ275" s="82"/>
      <c r="FA275" s="82"/>
      <c r="FB275" s="82"/>
      <c r="FC275" s="82"/>
      <c r="FD275" s="82"/>
      <c r="FE275" s="82"/>
      <c r="FF275" s="82"/>
      <c r="FG275" s="82"/>
      <c r="FH275" s="82"/>
      <c r="FI275" s="82"/>
      <c r="FJ275" s="82"/>
      <c r="FK275" s="82"/>
      <c r="FL275" s="82"/>
      <c r="FM275" s="82"/>
      <c r="FN275" s="82"/>
      <c r="FO275" s="82"/>
      <c r="FP275" s="82"/>
      <c r="FQ275" s="82"/>
      <c r="FR275" s="82"/>
      <c r="FS275" s="82"/>
      <c r="FT275" s="82"/>
      <c r="FU275" s="82"/>
      <c r="FV275" s="82"/>
      <c r="FW275" s="82"/>
      <c r="FX275" s="82"/>
      <c r="FY275" s="82"/>
      <c r="FZ275" s="82"/>
      <c r="GA275" s="82"/>
      <c r="GB275" s="82"/>
      <c r="GC275" s="82"/>
      <c r="GD275" s="82"/>
      <c r="GE275" s="82"/>
      <c r="GF275" s="82"/>
      <c r="GG275" s="82"/>
      <c r="GH275" s="82"/>
      <c r="GI275" s="82"/>
      <c r="GJ275" s="82"/>
      <c r="GK275" s="82"/>
      <c r="GL275" s="82"/>
      <c r="GM275" s="82"/>
      <c r="GN275" s="82"/>
      <c r="GO275" s="82"/>
      <c r="GP275" s="82"/>
      <c r="GQ275" s="82"/>
      <c r="GR275" s="82"/>
      <c r="GS275" s="82"/>
      <c r="GT275" s="82"/>
      <c r="GU275" s="82"/>
      <c r="GV275" s="82"/>
      <c r="GW275" s="82"/>
      <c r="GX275" s="82"/>
      <c r="GY275" s="82"/>
      <c r="GZ275" s="82"/>
      <c r="HA275" s="82"/>
      <c r="HB275" s="82"/>
      <c r="HC275" s="82"/>
      <c r="HD275" s="82"/>
      <c r="HE275" s="82"/>
      <c r="HF275" s="82"/>
      <c r="HG275" s="82"/>
      <c r="HH275" s="82"/>
      <c r="HI275" s="82"/>
      <c r="HJ275" s="82"/>
      <c r="HK275" s="82"/>
      <c r="HL275" s="82"/>
      <c r="HM275" s="82"/>
      <c r="HN275" s="82"/>
      <c r="HO275" s="82"/>
      <c r="HP275" s="82"/>
      <c r="HQ275" s="82"/>
      <c r="HR275" s="82"/>
      <c r="HS275" s="82"/>
      <c r="HT275" s="82"/>
      <c r="HU275" s="82"/>
      <c r="HV275" s="82"/>
      <c r="HW275" s="82"/>
      <c r="HX275" s="82"/>
      <c r="HY275" s="82"/>
      <c r="HZ275" s="82"/>
      <c r="IA275" s="82"/>
      <c r="IB275" s="82"/>
      <c r="IC275" s="82"/>
      <c r="ID275" s="82"/>
      <c r="IE275" s="82"/>
      <c r="IF275" s="82"/>
      <c r="IG275" s="82"/>
      <c r="IH275" s="82"/>
      <c r="II275" s="82"/>
      <c r="IJ275" s="82"/>
      <c r="IK275" s="82"/>
      <c r="IL275" s="82"/>
      <c r="IM275" s="82"/>
      <c r="IN275" s="82"/>
      <c r="IO275" s="82"/>
      <c r="IP275" s="82"/>
      <c r="IQ275" s="82"/>
      <c r="IR275" s="82"/>
      <c r="IS275" s="82"/>
      <c r="IT275" s="82"/>
      <c r="IU275" s="82"/>
      <c r="IV275" s="82"/>
      <c r="IW275" s="82"/>
      <c r="IX275" s="82"/>
      <c r="IY275" s="82"/>
      <c r="IZ275" s="82"/>
      <c r="JA275" s="82"/>
      <c r="JB275" s="82"/>
      <c r="JC275" s="82"/>
      <c r="JD275" s="82"/>
      <c r="JE275" s="82"/>
      <c r="JF275" s="82"/>
      <c r="JG275" s="82"/>
      <c r="JH275" s="82"/>
      <c r="JI275" s="82"/>
      <c r="JJ275" s="82"/>
      <c r="JK275" s="82"/>
      <c r="JL275" s="82"/>
      <c r="JM275" s="82"/>
      <c r="JN275" s="82"/>
      <c r="JO275" s="82"/>
      <c r="JP275" s="82"/>
      <c r="JQ275" s="82"/>
      <c r="JR275" s="82"/>
      <c r="JS275" s="82"/>
      <c r="JT275" s="82"/>
      <c r="JU275" s="82"/>
      <c r="JV275" s="82"/>
      <c r="JW275" s="82"/>
      <c r="JX275" s="82"/>
      <c r="JZ275" s="263"/>
      <c r="KA275" s="263"/>
      <c r="KB275" s="263"/>
      <c r="KC275" s="263"/>
      <c r="KD275" s="263"/>
      <c r="KE275" s="263"/>
      <c r="KF275" s="263"/>
      <c r="KG275" s="263"/>
      <c r="KH275" s="263"/>
      <c r="KI275" s="263"/>
      <c r="KJ275" s="263"/>
      <c r="KK275" s="263"/>
      <c r="KL275" s="263"/>
      <c r="KM275" s="263"/>
      <c r="KN275" s="263"/>
      <c r="KO275" s="263"/>
      <c r="KP275" s="263"/>
      <c r="KQ275" s="263"/>
      <c r="KR275" s="263"/>
      <c r="KS275" s="263"/>
      <c r="KT275" s="263"/>
      <c r="KU275" s="263"/>
      <c r="KV275" s="263"/>
      <c r="KW275" s="263"/>
      <c r="KX275" s="263"/>
      <c r="KY275" s="263"/>
      <c r="KZ275" s="263"/>
      <c r="LA275" s="263"/>
      <c r="LB275" s="263"/>
      <c r="LC275" s="263"/>
      <c r="LD275" s="263"/>
      <c r="LE275" s="263"/>
      <c r="LF275" s="263"/>
      <c r="LG275" s="263"/>
      <c r="LH275" s="263"/>
      <c r="LI275" s="263"/>
      <c r="LJ275" s="263"/>
      <c r="LK275" s="263"/>
      <c r="LL275" s="263"/>
      <c r="LM275" s="263"/>
      <c r="LN275" s="263"/>
      <c r="LO275" s="263"/>
      <c r="LP275" s="263"/>
      <c r="LQ275" s="263"/>
      <c r="LR275" s="263"/>
      <c r="LS275" s="263"/>
      <c r="LT275" s="263"/>
      <c r="LU275" s="263"/>
      <c r="LV275" s="263"/>
      <c r="LW275" s="263"/>
      <c r="LX275" s="263"/>
      <c r="LY275" s="263"/>
      <c r="LZ275" s="263"/>
      <c r="MA275" s="263"/>
      <c r="MB275" s="263"/>
      <c r="MC275" s="263"/>
      <c r="MD275" s="263"/>
      <c r="ME275" s="263"/>
      <c r="MF275" s="263"/>
      <c r="MG275" s="263"/>
      <c r="MH275" s="263"/>
      <c r="MI275" s="263"/>
      <c r="MJ275" s="263"/>
      <c r="MK275" s="263"/>
      <c r="ML275" s="263"/>
      <c r="MM275" s="263"/>
      <c r="MN275" s="263"/>
      <c r="MO275" s="263"/>
      <c r="MP275" s="263"/>
      <c r="MQ275" s="263"/>
      <c r="MR275" s="263"/>
      <c r="MS275" s="263"/>
      <c r="MT275" s="263"/>
      <c r="MU275" s="263"/>
      <c r="MV275" s="263"/>
      <c r="MW275" s="263"/>
      <c r="MX275" s="263"/>
      <c r="MY275" s="263"/>
      <c r="MZ275" s="263"/>
      <c r="NA275" s="263"/>
      <c r="NB275" s="263"/>
      <c r="NC275" s="263"/>
      <c r="ND275" s="263"/>
      <c r="NE275" s="263"/>
      <c r="NF275" s="263"/>
      <c r="NG275" s="263"/>
      <c r="NH275" s="263"/>
      <c r="NI275" s="263"/>
      <c r="NJ275" s="263"/>
      <c r="NK275" s="263"/>
      <c r="NL275" s="263"/>
      <c r="NM275" s="263"/>
      <c r="NN275" s="263"/>
      <c r="NO275" s="263"/>
      <c r="NP275" s="263"/>
      <c r="NQ275" s="263"/>
      <c r="NR275" s="263"/>
      <c r="NS275" s="263"/>
      <c r="NT275" s="263"/>
      <c r="NU275" s="263"/>
      <c r="NV275" s="263"/>
      <c r="NW275" s="263"/>
      <c r="NX275" s="263"/>
      <c r="NY275" s="263"/>
      <c r="NZ275" s="263"/>
      <c r="OA275" s="263"/>
      <c r="OB275" s="263"/>
      <c r="OC275" s="263"/>
      <c r="OD275" s="263"/>
      <c r="OE275" s="263"/>
      <c r="OF275" s="263"/>
      <c r="OG275" s="263"/>
      <c r="OH275" s="263"/>
      <c r="OI275" s="263"/>
      <c r="OJ275" s="263"/>
      <c r="OK275" s="263"/>
      <c r="OL275" s="263"/>
      <c r="OM275" s="263"/>
      <c r="ON275" s="263"/>
      <c r="OO275" s="263"/>
      <c r="OP275" s="263"/>
      <c r="OQ275" s="263"/>
      <c r="OR275" s="263"/>
      <c r="OS275" s="263"/>
      <c r="OT275" s="263"/>
      <c r="OU275" s="263"/>
      <c r="OV275" s="263"/>
      <c r="OW275" s="263"/>
      <c r="OX275" s="263"/>
      <c r="OY275" s="263"/>
      <c r="OZ275" s="263"/>
      <c r="PA275" s="263"/>
      <c r="PB275" s="263"/>
      <c r="PC275" s="263"/>
      <c r="PD275" s="263"/>
      <c r="PE275" s="263"/>
      <c r="PF275" s="263"/>
      <c r="PG275" s="263"/>
      <c r="PH275" s="263"/>
    </row>
    <row r="276">
      <c r="B276" s="402" t="s">
        <v>465</v>
      </c>
      <c r="C276" s="133">
        <v>0.09</v>
      </c>
      <c r="D276" s="129" t="n">
        <v>1029.0903474765305</v>
      </c>
      <c r="E276" s="568" t="n">
        <v>9.6887899238492</v>
      </c>
      <c r="F276" s="402" t="s">
        <v>465</v>
      </c>
      <c r="G276" s="131">
        <v>6.7500000000000004E-2</v>
      </c>
      <c r="H276" s="129" t="n">
        <v>1029.0903474765305</v>
      </c>
      <c r="I276" s="568" t="n">
        <v>9.6887899238492</v>
      </c>
      <c r="J276" s="399"/>
      <c r="K276" s="400"/>
      <c r="L276" s="400"/>
      <c r="M276" s="400"/>
      <c r="N276" s="400"/>
      <c r="O276" s="400"/>
      <c r="P276" s="400"/>
      <c r="Q276" s="400"/>
      <c r="R276" s="400"/>
      <c r="S276" s="400"/>
      <c r="T276" s="400"/>
      <c r="U276" s="400"/>
      <c r="V276" s="400"/>
      <c r="W276" s="400"/>
      <c r="X276" s="400"/>
      <c r="Y276" s="400"/>
      <c r="Z276" s="400"/>
      <c r="AA276" s="400"/>
      <c r="AB276" s="400"/>
      <c r="AC276" s="400"/>
      <c r="AD276" s="400"/>
      <c r="AE276" s="400"/>
      <c r="AF276" s="400"/>
      <c r="AG276" s="400"/>
      <c r="AH276" s="400"/>
      <c r="AI276" s="400"/>
      <c r="AJ276" s="400"/>
      <c r="AK276" s="400"/>
      <c r="AL276" s="400"/>
      <c r="AM276" s="400"/>
      <c r="AN276" s="400"/>
      <c r="AO276" s="400"/>
      <c r="AP276" s="400"/>
      <c r="AQ276" s="400"/>
      <c r="AR276" s="400"/>
      <c r="AS276" s="400"/>
      <c r="AT276" s="400"/>
      <c r="AU276" s="400"/>
      <c r="AV276" s="400"/>
      <c r="AW276" s="400"/>
      <c r="AX276" s="400"/>
      <c r="AY276" s="400"/>
      <c r="AZ276" s="400"/>
      <c r="BA276" s="400"/>
      <c r="BB276" s="400"/>
      <c r="BC276" s="400"/>
      <c r="BD276" s="400"/>
      <c r="BE276" s="400"/>
      <c r="BF276" s="400"/>
      <c r="BG276" s="400"/>
      <c r="BH276" s="400"/>
      <c r="BI276" s="400"/>
      <c r="BJ276" s="400"/>
      <c r="BK276" s="400"/>
      <c r="BL276" s="400"/>
      <c r="BM276" s="400"/>
      <c r="BN276" s="400"/>
      <c r="BO276" s="400"/>
      <c r="BP276" s="400"/>
      <c r="BQ276" s="400"/>
      <c r="BR276" s="400"/>
      <c r="BS276" s="400"/>
      <c r="BT276" s="400"/>
      <c r="BU276" s="400"/>
      <c r="BV276" s="400"/>
      <c r="BW276" s="400"/>
      <c r="BX276" s="400"/>
      <c r="BY276" s="400"/>
      <c r="BZ276" s="400"/>
      <c r="CA276" s="400"/>
      <c r="CB276" s="400"/>
      <c r="CC276" s="400"/>
      <c r="CD276" s="400"/>
      <c r="CE276" s="400"/>
      <c r="CF276" s="400"/>
      <c r="CG276" s="400"/>
      <c r="CH276" s="400"/>
      <c r="CI276" s="400"/>
      <c r="CJ276" s="400"/>
      <c r="CK276" s="400"/>
      <c r="CL276" s="400"/>
      <c r="CM276" s="400"/>
      <c r="CN276" s="400"/>
      <c r="CO276" s="400"/>
      <c r="CP276" s="400"/>
      <c r="CQ276" s="400"/>
      <c r="CR276" s="400"/>
      <c r="CS276" s="400"/>
      <c r="CT276" s="400"/>
      <c r="CU276" s="400"/>
      <c r="CV276" s="400"/>
      <c r="CW276" s="400"/>
      <c r="CX276" s="400"/>
      <c r="CY276" s="400"/>
      <c r="CZ276" s="400"/>
      <c r="DA276" s="400"/>
      <c r="DB276" s="400"/>
      <c r="DC276" s="400"/>
      <c r="DD276" s="400"/>
      <c r="DE276" s="400"/>
      <c r="DF276" s="400"/>
      <c r="DG276" s="400"/>
      <c r="DH276" s="400"/>
      <c r="DI276" s="400"/>
      <c r="DJ276" s="400"/>
      <c r="DK276" s="400"/>
      <c r="DL276" s="400"/>
      <c r="DM276" s="400"/>
      <c r="DN276" s="400"/>
      <c r="DO276" s="400"/>
      <c r="DP276" s="400"/>
      <c r="DQ276" s="400"/>
      <c r="DR276" s="400"/>
      <c r="DS276" s="400"/>
      <c r="DT276" s="400"/>
      <c r="DU276" s="400"/>
      <c r="DV276" s="400"/>
      <c r="DW276" s="400"/>
      <c r="DX276" s="400"/>
      <c r="DY276" s="400"/>
      <c r="DZ276" s="400"/>
      <c r="EA276" s="400"/>
      <c r="EB276" s="400"/>
      <c r="EC276" s="400"/>
      <c r="ED276" s="400"/>
      <c r="EE276" s="400"/>
      <c r="EF276" s="400"/>
      <c r="EG276" s="400"/>
      <c r="EH276" s="400"/>
      <c r="EI276" s="400"/>
      <c r="EJ276" s="400"/>
      <c r="EK276" s="400"/>
      <c r="EL276" s="400"/>
      <c r="EM276" s="400"/>
      <c r="EN276" s="400"/>
      <c r="EO276" s="400"/>
      <c r="EP276" s="409"/>
      <c r="EQ276" s="18"/>
      <c r="ER276" s="18"/>
      <c r="ES276" s="18"/>
      <c r="ET276" s="18"/>
      <c r="EU276" s="18"/>
      <c r="EV276" s="82"/>
      <c r="EW276" s="82"/>
      <c r="EX276" s="82"/>
      <c r="EY276" s="82"/>
      <c r="EZ276" s="82"/>
      <c r="FA276" s="82"/>
      <c r="FB276" s="82"/>
      <c r="FC276" s="82"/>
      <c r="FD276" s="82"/>
      <c r="FE276" s="82"/>
      <c r="FF276" s="82"/>
      <c r="FG276" s="82"/>
      <c r="FH276" s="82"/>
      <c r="FI276" s="82"/>
      <c r="FJ276" s="82"/>
      <c r="FK276" s="82"/>
      <c r="FL276" s="82"/>
      <c r="FM276" s="82"/>
      <c r="FN276" s="82"/>
      <c r="FO276" s="82"/>
      <c r="FP276" s="82"/>
      <c r="FQ276" s="82"/>
      <c r="FR276" s="82"/>
      <c r="FS276" s="82"/>
      <c r="FT276" s="82"/>
      <c r="FU276" s="82"/>
      <c r="FV276" s="82"/>
      <c r="FW276" s="82"/>
      <c r="FX276" s="82"/>
      <c r="FY276" s="82"/>
      <c r="FZ276" s="82"/>
      <c r="GA276" s="82"/>
      <c r="GB276" s="82"/>
      <c r="GC276" s="82"/>
      <c r="GD276" s="82"/>
      <c r="GE276" s="82"/>
      <c r="GF276" s="82"/>
      <c r="GG276" s="82"/>
      <c r="GH276" s="82"/>
      <c r="GI276" s="82"/>
      <c r="GJ276" s="82"/>
      <c r="GK276" s="82"/>
      <c r="GL276" s="82"/>
      <c r="GM276" s="82"/>
      <c r="GN276" s="82"/>
      <c r="GO276" s="82"/>
      <c r="GP276" s="82"/>
      <c r="GQ276" s="82"/>
      <c r="GR276" s="82"/>
      <c r="GS276" s="82"/>
      <c r="GT276" s="82"/>
      <c r="GU276" s="82"/>
      <c r="GV276" s="82"/>
      <c r="GW276" s="82"/>
      <c r="GX276" s="82"/>
      <c r="GY276" s="82"/>
      <c r="GZ276" s="82"/>
      <c r="HA276" s="82"/>
      <c r="HB276" s="82"/>
      <c r="HC276" s="82"/>
      <c r="HD276" s="82"/>
      <c r="HE276" s="82"/>
      <c r="HF276" s="82"/>
      <c r="HG276" s="82"/>
      <c r="HH276" s="82"/>
      <c r="HI276" s="82"/>
      <c r="HJ276" s="82"/>
      <c r="HK276" s="82"/>
      <c r="HL276" s="82"/>
      <c r="HM276" s="82"/>
      <c r="HN276" s="82"/>
      <c r="HO276" s="82"/>
      <c r="HP276" s="82"/>
      <c r="HQ276" s="82"/>
      <c r="HR276" s="82"/>
      <c r="HS276" s="82"/>
      <c r="HT276" s="82"/>
      <c r="HU276" s="82"/>
      <c r="HV276" s="82"/>
      <c r="HW276" s="82"/>
      <c r="HX276" s="82"/>
      <c r="HY276" s="82"/>
      <c r="HZ276" s="82"/>
      <c r="IA276" s="82"/>
      <c r="IB276" s="82"/>
      <c r="IC276" s="82"/>
      <c r="ID276" s="82"/>
      <c r="IE276" s="82"/>
      <c r="IF276" s="82"/>
      <c r="IG276" s="82"/>
      <c r="IH276" s="82"/>
      <c r="II276" s="82"/>
      <c r="IJ276" s="82"/>
      <c r="IK276" s="82"/>
      <c r="IL276" s="82"/>
      <c r="IM276" s="82"/>
      <c r="IN276" s="82"/>
      <c r="IO276" s="82"/>
      <c r="IP276" s="82"/>
      <c r="IQ276" s="82"/>
      <c r="IR276" s="82"/>
      <c r="IS276" s="82"/>
      <c r="IT276" s="82"/>
      <c r="IU276" s="82"/>
      <c r="IV276" s="82"/>
      <c r="IW276" s="82"/>
      <c r="IX276" s="82"/>
      <c r="IY276" s="82"/>
      <c r="IZ276" s="82"/>
      <c r="JA276" s="82"/>
      <c r="JB276" s="82"/>
      <c r="JC276" s="82"/>
      <c r="JD276" s="82"/>
      <c r="JE276" s="82"/>
      <c r="JF276" s="82"/>
      <c r="JG276" s="82"/>
      <c r="JH276" s="82"/>
      <c r="JI276" s="82"/>
      <c r="JJ276" s="82"/>
      <c r="JK276" s="82"/>
      <c r="JL276" s="82"/>
      <c r="JM276" s="82"/>
      <c r="JN276" s="82"/>
      <c r="JO276" s="82"/>
      <c r="JP276" s="82"/>
      <c r="JQ276" s="82"/>
      <c r="JR276" s="82"/>
      <c r="JS276" s="82"/>
      <c r="JT276" s="82"/>
      <c r="JU276" s="82"/>
      <c r="JV276" s="82"/>
      <c r="JW276" s="82"/>
      <c r="JX276" s="82"/>
      <c r="JZ276" s="263"/>
      <c r="KA276" s="263"/>
      <c r="KB276" s="263"/>
      <c r="KC276" s="263"/>
      <c r="KD276" s="263"/>
      <c r="KE276" s="263"/>
      <c r="KF276" s="263"/>
      <c r="KG276" s="263"/>
      <c r="KH276" s="263"/>
      <c r="KI276" s="263"/>
      <c r="KJ276" s="263"/>
      <c r="KK276" s="263"/>
      <c r="KL276" s="263"/>
      <c r="KM276" s="263"/>
      <c r="KN276" s="263"/>
      <c r="KO276" s="263"/>
      <c r="KP276" s="263"/>
      <c r="KQ276" s="263"/>
      <c r="KR276" s="263"/>
      <c r="KS276" s="263"/>
      <c r="KT276" s="263"/>
      <c r="KU276" s="263"/>
      <c r="KV276" s="263"/>
      <c r="KW276" s="263"/>
      <c r="KX276" s="263"/>
      <c r="KY276" s="263"/>
      <c r="KZ276" s="263"/>
      <c r="LA276" s="263"/>
      <c r="LB276" s="263"/>
      <c r="LC276" s="263"/>
      <c r="LD276" s="263"/>
      <c r="LE276" s="263"/>
      <c r="LF276" s="263"/>
      <c r="LG276" s="263"/>
      <c r="LH276" s="263"/>
      <c r="LI276" s="263"/>
      <c r="LJ276" s="263"/>
      <c r="LK276" s="263"/>
      <c r="LL276" s="263"/>
      <c r="LM276" s="263"/>
      <c r="LN276" s="263"/>
      <c r="LO276" s="263"/>
      <c r="LP276" s="263"/>
      <c r="LQ276" s="263"/>
      <c r="LR276" s="263"/>
      <c r="LS276" s="263"/>
      <c r="LT276" s="263"/>
      <c r="LU276" s="263"/>
      <c r="LV276" s="263"/>
      <c r="LW276" s="263"/>
      <c r="LX276" s="263"/>
      <c r="LY276" s="263"/>
      <c r="LZ276" s="263"/>
      <c r="MA276" s="263"/>
      <c r="MB276" s="263"/>
      <c r="MC276" s="263"/>
      <c r="MD276" s="263"/>
      <c r="ME276" s="263"/>
      <c r="MF276" s="263"/>
      <c r="MG276" s="263"/>
      <c r="MH276" s="263"/>
      <c r="MI276" s="263"/>
      <c r="MJ276" s="263"/>
      <c r="MK276" s="263"/>
      <c r="ML276" s="263"/>
      <c r="MM276" s="263"/>
      <c r="MN276" s="263"/>
      <c r="MO276" s="263"/>
      <c r="MP276" s="263"/>
      <c r="MQ276" s="263"/>
      <c r="MR276" s="263"/>
      <c r="MS276" s="263"/>
      <c r="MT276" s="263"/>
      <c r="MU276" s="263"/>
      <c r="MV276" s="263"/>
      <c r="MW276" s="263"/>
      <c r="MX276" s="263"/>
      <c r="MY276" s="263"/>
      <c r="MZ276" s="263"/>
      <c r="NA276" s="263"/>
      <c r="NB276" s="263"/>
      <c r="NC276" s="263"/>
      <c r="ND276" s="263"/>
      <c r="NE276" s="263"/>
      <c r="NF276" s="263"/>
      <c r="NG276" s="263"/>
      <c r="NH276" s="263"/>
      <c r="NI276" s="263"/>
      <c r="NJ276" s="263"/>
      <c r="NK276" s="263"/>
      <c r="NL276" s="263"/>
      <c r="NM276" s="263"/>
      <c r="NN276" s="263"/>
      <c r="NO276" s="263"/>
      <c r="NP276" s="263"/>
      <c r="NQ276" s="263"/>
      <c r="NR276" s="263"/>
      <c r="NS276" s="263"/>
      <c r="NT276" s="263"/>
      <c r="NU276" s="263"/>
      <c r="NV276" s="263"/>
      <c r="NW276" s="263"/>
      <c r="NX276" s="263"/>
      <c r="NY276" s="263"/>
      <c r="NZ276" s="263"/>
      <c r="OA276" s="263"/>
      <c r="OB276" s="263"/>
      <c r="OC276" s="263"/>
      <c r="OD276" s="263"/>
      <c r="OE276" s="263"/>
      <c r="OF276" s="263"/>
      <c r="OG276" s="263"/>
      <c r="OH276" s="263"/>
      <c r="OI276" s="263"/>
      <c r="OJ276" s="263"/>
      <c r="OK276" s="263"/>
      <c r="OL276" s="263"/>
      <c r="OM276" s="263"/>
      <c r="ON276" s="263"/>
      <c r="OO276" s="263"/>
      <c r="OP276" s="263"/>
      <c r="OQ276" s="263"/>
      <c r="OR276" s="263"/>
      <c r="OS276" s="263"/>
      <c r="OT276" s="263"/>
      <c r="OU276" s="263"/>
      <c r="OV276" s="263"/>
      <c r="OW276" s="263"/>
      <c r="OX276" s="263"/>
      <c r="OY276" s="263"/>
      <c r="OZ276" s="263"/>
      <c r="PA276" s="263"/>
      <c r="PB276" s="263"/>
      <c r="PC276" s="263"/>
      <c r="PD276" s="263"/>
      <c r="PE276" s="263"/>
      <c r="PF276" s="263"/>
      <c r="PG276" s="263"/>
      <c r="PH276" s="263"/>
    </row>
    <row r="277">
      <c r="B277" s="402" t="s">
        <v>466</v>
      </c>
      <c r="C277" s="133">
        <v>0.1</v>
      </c>
      <c r="D277" s="129" t="n">
        <v>1029.0903474765305</v>
      </c>
      <c r="E277" s="568" t="n">
        <v>9.6887899238492</v>
      </c>
      <c r="F277" s="402" t="s">
        <v>466</v>
      </c>
      <c r="G277" s="131">
        <v>7.0000000000000007E-2</v>
      </c>
      <c r="H277" s="129" t="n">
        <v>1029.0903474765305</v>
      </c>
      <c r="I277" s="568" t="n">
        <v>9.6887899238492</v>
      </c>
      <c r="J277" s="399"/>
      <c r="K277" s="400"/>
      <c r="L277" s="400"/>
      <c r="M277" s="400"/>
      <c r="N277" s="400"/>
      <c r="O277" s="400"/>
      <c r="P277" s="400"/>
      <c r="Q277" s="400"/>
      <c r="R277" s="400"/>
      <c r="S277" s="400"/>
      <c r="T277" s="400"/>
      <c r="U277" s="400"/>
      <c r="V277" s="400"/>
      <c r="W277" s="400"/>
      <c r="X277" s="400"/>
      <c r="Y277" s="400"/>
      <c r="Z277" s="400"/>
      <c r="AA277" s="400"/>
      <c r="AB277" s="400"/>
      <c r="AC277" s="400"/>
      <c r="AD277" s="400"/>
      <c r="AE277" s="400"/>
      <c r="AF277" s="400"/>
      <c r="AG277" s="400"/>
      <c r="AH277" s="400"/>
      <c r="AI277" s="400"/>
      <c r="AJ277" s="400"/>
      <c r="AK277" s="400"/>
      <c r="AL277" s="400"/>
      <c r="AM277" s="400"/>
      <c r="AN277" s="400"/>
      <c r="AO277" s="400"/>
      <c r="AP277" s="400"/>
      <c r="AQ277" s="400"/>
      <c r="AR277" s="400"/>
      <c r="AS277" s="400"/>
      <c r="AT277" s="400"/>
      <c r="AU277" s="400"/>
      <c r="AV277" s="400"/>
      <c r="AW277" s="400"/>
      <c r="AX277" s="400"/>
      <c r="AY277" s="400"/>
      <c r="AZ277" s="400"/>
      <c r="BA277" s="400"/>
      <c r="BB277" s="400"/>
      <c r="BC277" s="400"/>
      <c r="BD277" s="400"/>
      <c r="BE277" s="400"/>
      <c r="BF277" s="400"/>
      <c r="BG277" s="400"/>
      <c r="BH277" s="400"/>
      <c r="BI277" s="400"/>
      <c r="BJ277" s="400"/>
      <c r="BK277" s="400"/>
      <c r="BL277" s="400"/>
      <c r="BM277" s="400"/>
      <c r="BN277" s="400"/>
      <c r="BO277" s="400"/>
      <c r="BP277" s="400"/>
      <c r="BQ277" s="400"/>
      <c r="BR277" s="400"/>
      <c r="BS277" s="400"/>
      <c r="BT277" s="400"/>
      <c r="BU277" s="400"/>
      <c r="BV277" s="400"/>
      <c r="BW277" s="400"/>
      <c r="BX277" s="400"/>
      <c r="BY277" s="400"/>
      <c r="BZ277" s="400"/>
      <c r="CA277" s="400"/>
      <c r="CB277" s="400"/>
      <c r="CC277" s="400"/>
      <c r="CD277" s="400"/>
      <c r="CE277" s="400"/>
      <c r="CF277" s="400"/>
      <c r="CG277" s="400"/>
      <c r="CH277" s="400"/>
      <c r="CI277" s="400"/>
      <c r="CJ277" s="400"/>
      <c r="CK277" s="400"/>
      <c r="CL277" s="400"/>
      <c r="CM277" s="400"/>
      <c r="CN277" s="400"/>
      <c r="CO277" s="400"/>
      <c r="CP277" s="400"/>
      <c r="CQ277" s="400"/>
      <c r="CR277" s="400"/>
      <c r="CS277" s="400"/>
      <c r="CT277" s="400"/>
      <c r="CU277" s="400"/>
      <c r="CV277" s="400"/>
      <c r="CW277" s="400"/>
      <c r="CX277" s="400"/>
      <c r="CY277" s="400"/>
      <c r="CZ277" s="400"/>
      <c r="DA277" s="400"/>
      <c r="DB277" s="400"/>
      <c r="DC277" s="400"/>
      <c r="DD277" s="400"/>
      <c r="DE277" s="400"/>
      <c r="DF277" s="400"/>
      <c r="DG277" s="400"/>
      <c r="DH277" s="400"/>
      <c r="DI277" s="400"/>
      <c r="DJ277" s="400"/>
      <c r="DK277" s="400"/>
      <c r="DL277" s="400"/>
      <c r="DM277" s="400"/>
      <c r="DN277" s="400"/>
      <c r="DO277" s="400"/>
      <c r="DP277" s="400"/>
      <c r="DQ277" s="400"/>
      <c r="DR277" s="400"/>
      <c r="DS277" s="400"/>
      <c r="DT277" s="400"/>
      <c r="DU277" s="400"/>
      <c r="DV277" s="400"/>
      <c r="DW277" s="400"/>
      <c r="DX277" s="400"/>
      <c r="DY277" s="400"/>
      <c r="DZ277" s="400"/>
      <c r="EA277" s="400"/>
      <c r="EB277" s="400"/>
      <c r="EC277" s="400"/>
      <c r="ED277" s="400"/>
      <c r="EE277" s="400"/>
      <c r="EF277" s="400"/>
      <c r="EG277" s="400"/>
      <c r="EH277" s="400"/>
      <c r="EI277" s="400"/>
      <c r="EJ277" s="400"/>
      <c r="EK277" s="400"/>
      <c r="EL277" s="400"/>
      <c r="EM277" s="400"/>
      <c r="EN277" s="400"/>
      <c r="EO277" s="400"/>
      <c r="EP277" s="409"/>
      <c r="EQ277" s="18"/>
      <c r="ER277" s="18"/>
      <c r="ES277" s="18"/>
      <c r="ET277" s="18"/>
      <c r="EU277" s="18"/>
      <c r="EV277" s="82"/>
      <c r="EW277" s="82"/>
      <c r="EX277" s="82"/>
      <c r="EY277" s="82"/>
      <c r="EZ277" s="82"/>
      <c r="FA277" s="82"/>
      <c r="FB277" s="82"/>
      <c r="FC277" s="82"/>
      <c r="FD277" s="82"/>
      <c r="FE277" s="82"/>
      <c r="FF277" s="82"/>
      <c r="FG277" s="82"/>
      <c r="FH277" s="82"/>
      <c r="FI277" s="82"/>
      <c r="FJ277" s="82"/>
      <c r="FK277" s="82"/>
      <c r="FL277" s="82"/>
      <c r="FM277" s="82"/>
      <c r="FN277" s="82"/>
      <c r="FO277" s="82"/>
      <c r="FP277" s="82"/>
      <c r="FQ277" s="82"/>
      <c r="FR277" s="82"/>
      <c r="FS277" s="82"/>
      <c r="FT277" s="82"/>
      <c r="FU277" s="82"/>
      <c r="FV277" s="82"/>
      <c r="FW277" s="82"/>
      <c r="FX277" s="82"/>
      <c r="FY277" s="82"/>
      <c r="FZ277" s="82"/>
      <c r="GA277" s="82"/>
      <c r="GB277" s="82"/>
      <c r="GC277" s="82"/>
      <c r="GD277" s="82"/>
      <c r="GE277" s="82"/>
      <c r="GF277" s="82"/>
      <c r="GG277" s="82"/>
      <c r="GH277" s="82"/>
      <c r="GI277" s="82"/>
      <c r="GJ277" s="82"/>
      <c r="GK277" s="82"/>
      <c r="GL277" s="82"/>
      <c r="GM277" s="82"/>
      <c r="GN277" s="82"/>
      <c r="GO277" s="82"/>
      <c r="GP277" s="82"/>
      <c r="GQ277" s="82"/>
      <c r="GR277" s="82"/>
      <c r="GS277" s="82"/>
      <c r="GT277" s="82"/>
      <c r="GU277" s="82"/>
      <c r="GV277" s="82"/>
      <c r="GW277" s="82"/>
      <c r="GX277" s="82"/>
      <c r="GY277" s="82"/>
      <c r="GZ277" s="82"/>
      <c r="HA277" s="82"/>
      <c r="HB277" s="82"/>
      <c r="HC277" s="82"/>
      <c r="HD277" s="82"/>
      <c r="HE277" s="82"/>
      <c r="HF277" s="82"/>
      <c r="HG277" s="82"/>
      <c r="HH277" s="82"/>
      <c r="HI277" s="82"/>
      <c r="HJ277" s="82"/>
      <c r="HK277" s="82"/>
      <c r="HL277" s="82"/>
      <c r="HM277" s="82"/>
      <c r="HN277" s="82"/>
      <c r="HO277" s="82"/>
      <c r="HP277" s="82"/>
      <c r="HQ277" s="82"/>
      <c r="HR277" s="82"/>
      <c r="HS277" s="82"/>
      <c r="HT277" s="82"/>
      <c r="HU277" s="82"/>
      <c r="HV277" s="82"/>
      <c r="HW277" s="82"/>
      <c r="HX277" s="82"/>
      <c r="HY277" s="82"/>
      <c r="HZ277" s="82"/>
      <c r="IA277" s="82"/>
      <c r="IB277" s="82"/>
      <c r="IC277" s="82"/>
      <c r="ID277" s="82"/>
      <c r="IE277" s="82"/>
      <c r="IF277" s="82"/>
      <c r="IG277" s="82"/>
      <c r="IH277" s="82"/>
      <c r="II277" s="82"/>
      <c r="IJ277" s="82"/>
      <c r="IK277" s="82"/>
      <c r="IL277" s="82"/>
      <c r="IM277" s="82"/>
      <c r="IN277" s="82"/>
      <c r="IO277" s="82"/>
      <c r="IP277" s="82"/>
      <c r="IQ277" s="82"/>
      <c r="IR277" s="82"/>
      <c r="IS277" s="82"/>
      <c r="IT277" s="82"/>
      <c r="IU277" s="82"/>
      <c r="IV277" s="82"/>
      <c r="IW277" s="82"/>
      <c r="IX277" s="82"/>
      <c r="IY277" s="82"/>
      <c r="IZ277" s="82"/>
      <c r="JA277" s="82"/>
      <c r="JB277" s="82"/>
      <c r="JC277" s="82"/>
      <c r="JD277" s="82"/>
      <c r="JE277" s="82"/>
      <c r="JF277" s="82"/>
      <c r="JG277" s="82"/>
      <c r="JH277" s="82"/>
      <c r="JI277" s="82"/>
      <c r="JJ277" s="82"/>
      <c r="JK277" s="82"/>
      <c r="JL277" s="82"/>
      <c r="JM277" s="82"/>
      <c r="JN277" s="82"/>
      <c r="JO277" s="82"/>
      <c r="JP277" s="82"/>
      <c r="JQ277" s="82"/>
      <c r="JR277" s="82"/>
      <c r="JS277" s="82"/>
      <c r="JT277" s="82"/>
      <c r="JU277" s="82"/>
      <c r="JV277" s="82"/>
      <c r="JW277" s="82"/>
      <c r="JX277" s="82"/>
      <c r="JZ277" s="263"/>
      <c r="KA277" s="263"/>
      <c r="KB277" s="263"/>
      <c r="KC277" s="263"/>
      <c r="KD277" s="263"/>
      <c r="KE277" s="263"/>
      <c r="KF277" s="263"/>
      <c r="KG277" s="263"/>
      <c r="KH277" s="263"/>
      <c r="KI277" s="263"/>
      <c r="KJ277" s="263"/>
      <c r="KK277" s="263"/>
      <c r="KL277" s="263"/>
      <c r="KM277" s="263"/>
      <c r="KN277" s="263"/>
      <c r="KO277" s="263"/>
      <c r="KP277" s="263"/>
      <c r="KQ277" s="263"/>
      <c r="KR277" s="263"/>
      <c r="KS277" s="263"/>
      <c r="KT277" s="263"/>
      <c r="KU277" s="263"/>
      <c r="KV277" s="263"/>
      <c r="KW277" s="263"/>
      <c r="KX277" s="263"/>
      <c r="KY277" s="263"/>
      <c r="KZ277" s="263"/>
      <c r="LA277" s="263"/>
      <c r="LB277" s="263"/>
      <c r="LC277" s="263"/>
      <c r="LD277" s="263"/>
      <c r="LE277" s="263"/>
      <c r="LF277" s="263"/>
      <c r="LG277" s="263"/>
      <c r="LH277" s="263"/>
      <c r="LI277" s="263"/>
      <c r="LJ277" s="263"/>
      <c r="LK277" s="263"/>
      <c r="LL277" s="263"/>
      <c r="LM277" s="263"/>
      <c r="LN277" s="263"/>
      <c r="LO277" s="263"/>
      <c r="LP277" s="263"/>
      <c r="LQ277" s="263"/>
      <c r="LR277" s="263"/>
      <c r="LS277" s="263"/>
      <c r="LT277" s="263"/>
      <c r="LU277" s="263"/>
      <c r="LV277" s="263"/>
      <c r="LW277" s="263"/>
      <c r="LX277" s="263"/>
      <c r="LY277" s="263"/>
      <c r="LZ277" s="263"/>
      <c r="MA277" s="263"/>
      <c r="MB277" s="263"/>
      <c r="MC277" s="263"/>
      <c r="MD277" s="263"/>
      <c r="ME277" s="263"/>
      <c r="MF277" s="263"/>
      <c r="MG277" s="263"/>
      <c r="MH277" s="263"/>
      <c r="MI277" s="263"/>
      <c r="MJ277" s="263"/>
      <c r="MK277" s="263"/>
      <c r="ML277" s="263"/>
      <c r="MM277" s="263"/>
      <c r="MN277" s="263"/>
      <c r="MO277" s="263"/>
      <c r="MP277" s="263"/>
      <c r="MQ277" s="263"/>
      <c r="MR277" s="263"/>
      <c r="MS277" s="263"/>
      <c r="MT277" s="263"/>
      <c r="MU277" s="263"/>
      <c r="MV277" s="263"/>
      <c r="MW277" s="263"/>
      <c r="MX277" s="263"/>
      <c r="MY277" s="263"/>
      <c r="MZ277" s="263"/>
      <c r="NA277" s="263"/>
      <c r="NB277" s="263"/>
      <c r="NC277" s="263"/>
      <c r="ND277" s="263"/>
      <c r="NE277" s="263"/>
      <c r="NF277" s="263"/>
      <c r="NG277" s="263"/>
      <c r="NH277" s="263"/>
      <c r="NI277" s="263"/>
      <c r="NJ277" s="263"/>
      <c r="NK277" s="263"/>
      <c r="NL277" s="263"/>
      <c r="NM277" s="263"/>
      <c r="NN277" s="263"/>
      <c r="NO277" s="263"/>
      <c r="NP277" s="263"/>
      <c r="NQ277" s="263"/>
      <c r="NR277" s="263"/>
      <c r="NS277" s="263"/>
      <c r="NT277" s="263"/>
      <c r="NU277" s="263"/>
      <c r="NV277" s="263"/>
      <c r="NW277" s="263"/>
      <c r="NX277" s="263"/>
      <c r="NY277" s="263"/>
      <c r="NZ277" s="263"/>
      <c r="OA277" s="263"/>
      <c r="OB277" s="263"/>
      <c r="OC277" s="263"/>
      <c r="OD277" s="263"/>
      <c r="OE277" s="263"/>
      <c r="OF277" s="263"/>
      <c r="OG277" s="263"/>
      <c r="OH277" s="263"/>
      <c r="OI277" s="263"/>
      <c r="OJ277" s="263"/>
      <c r="OK277" s="263"/>
      <c r="OL277" s="263"/>
      <c r="OM277" s="263"/>
      <c r="ON277" s="263"/>
      <c r="OO277" s="263"/>
      <c r="OP277" s="263"/>
      <c r="OQ277" s="263"/>
      <c r="OR277" s="263"/>
      <c r="OS277" s="263"/>
      <c r="OT277" s="263"/>
      <c r="OU277" s="263"/>
      <c r="OV277" s="263"/>
      <c r="OW277" s="263"/>
      <c r="OX277" s="263"/>
      <c r="OY277" s="263"/>
      <c r="OZ277" s="263"/>
      <c r="PA277" s="263"/>
      <c r="PB277" s="263"/>
      <c r="PC277" s="263"/>
      <c r="PD277" s="263"/>
      <c r="PE277" s="263"/>
      <c r="PF277" s="263"/>
      <c r="PG277" s="263"/>
      <c r="PH277" s="263"/>
    </row>
    <row r="278">
      <c r="B278" s="34"/>
      <c r="C278" s="569"/>
      <c r="D278" s="34"/>
      <c r="E278" s="448"/>
      <c r="F278" s="448"/>
      <c r="G278" s="34"/>
      <c r="H278" s="34"/>
      <c r="I278" s="448"/>
      <c r="J278" s="399"/>
      <c r="K278" s="400"/>
      <c r="L278" s="400"/>
      <c r="M278" s="400"/>
      <c r="N278" s="400"/>
      <c r="O278" s="400"/>
      <c r="P278" s="400"/>
      <c r="Q278" s="400"/>
      <c r="R278" s="400"/>
      <c r="S278" s="400"/>
      <c r="T278" s="400"/>
      <c r="U278" s="400"/>
      <c r="V278" s="400"/>
      <c r="W278" s="400"/>
      <c r="X278" s="400"/>
      <c r="Y278" s="400"/>
      <c r="Z278" s="400"/>
      <c r="AA278" s="400"/>
      <c r="AB278" s="400"/>
      <c r="AC278" s="400"/>
      <c r="AD278" s="400"/>
      <c r="AE278" s="400"/>
      <c r="AF278" s="400"/>
      <c r="AG278" s="400"/>
      <c r="AH278" s="400"/>
      <c r="AI278" s="400"/>
      <c r="AJ278" s="400"/>
      <c r="AK278" s="400"/>
      <c r="AL278" s="400"/>
      <c r="AM278" s="400"/>
      <c r="AN278" s="400"/>
      <c r="AO278" s="400"/>
      <c r="AP278" s="400"/>
      <c r="AQ278" s="400"/>
      <c r="AR278" s="400"/>
      <c r="AS278" s="400"/>
      <c r="AT278" s="400"/>
      <c r="AU278" s="400"/>
      <c r="AV278" s="400"/>
      <c r="AW278" s="400"/>
      <c r="AX278" s="400"/>
      <c r="AY278" s="400"/>
      <c r="AZ278" s="400"/>
      <c r="BA278" s="400"/>
      <c r="BB278" s="400"/>
      <c r="BC278" s="400"/>
      <c r="BD278" s="400"/>
      <c r="BE278" s="400"/>
      <c r="BF278" s="400"/>
      <c r="BG278" s="400"/>
      <c r="BH278" s="400"/>
      <c r="BI278" s="400"/>
      <c r="BJ278" s="400"/>
      <c r="BK278" s="400"/>
      <c r="BL278" s="400"/>
      <c r="BM278" s="400"/>
      <c r="BN278" s="400"/>
      <c r="BO278" s="400"/>
      <c r="BP278" s="400"/>
      <c r="BQ278" s="400"/>
      <c r="BR278" s="400"/>
      <c r="BS278" s="400"/>
      <c r="BT278" s="400"/>
      <c r="BU278" s="400"/>
      <c r="BV278" s="400"/>
      <c r="BW278" s="400"/>
      <c r="BX278" s="400"/>
      <c r="BY278" s="400"/>
      <c r="BZ278" s="400"/>
      <c r="CA278" s="400"/>
      <c r="CB278" s="400"/>
      <c r="CC278" s="400"/>
      <c r="CD278" s="400"/>
      <c r="CE278" s="400"/>
      <c r="CF278" s="400"/>
      <c r="CG278" s="400"/>
      <c r="CH278" s="400"/>
      <c r="CI278" s="400"/>
      <c r="CJ278" s="400"/>
      <c r="CK278" s="400"/>
      <c r="CL278" s="400"/>
      <c r="CM278" s="400"/>
      <c r="CN278" s="400"/>
      <c r="CO278" s="400"/>
      <c r="CP278" s="400"/>
      <c r="CQ278" s="400"/>
      <c r="CR278" s="400"/>
      <c r="CS278" s="400"/>
      <c r="CT278" s="400"/>
      <c r="CU278" s="400"/>
      <c r="CV278" s="400"/>
      <c r="CW278" s="400"/>
      <c r="CX278" s="400"/>
      <c r="CY278" s="400"/>
      <c r="CZ278" s="400"/>
      <c r="DA278" s="400"/>
      <c r="DB278" s="400"/>
      <c r="DC278" s="400"/>
      <c r="DD278" s="400"/>
      <c r="DE278" s="400"/>
      <c r="DF278" s="400"/>
      <c r="DG278" s="400"/>
      <c r="DH278" s="400"/>
      <c r="DI278" s="400"/>
      <c r="DJ278" s="400"/>
      <c r="DK278" s="400"/>
      <c r="DL278" s="400"/>
      <c r="DM278" s="400"/>
      <c r="DN278" s="400"/>
      <c r="DO278" s="400"/>
      <c r="DP278" s="400"/>
      <c r="DQ278" s="400"/>
      <c r="DR278" s="400"/>
      <c r="DS278" s="400"/>
      <c r="DT278" s="400"/>
      <c r="DU278" s="400"/>
      <c r="DV278" s="400"/>
      <c r="DW278" s="400"/>
      <c r="DX278" s="400"/>
      <c r="DY278" s="400"/>
      <c r="DZ278" s="400"/>
      <c r="EA278" s="400"/>
      <c r="EB278" s="400"/>
      <c r="EC278" s="400"/>
      <c r="ED278" s="400"/>
      <c r="EE278" s="400"/>
      <c r="EF278" s="400"/>
      <c r="EG278" s="400"/>
      <c r="EH278" s="400"/>
      <c r="EI278" s="400"/>
      <c r="EJ278" s="400"/>
      <c r="EK278" s="400"/>
      <c r="EL278" s="400"/>
      <c r="EM278" s="400"/>
      <c r="EN278" s="400"/>
      <c r="EO278" s="400"/>
      <c r="EP278" s="409"/>
      <c r="EQ278" s="18"/>
      <c r="ER278" s="18"/>
      <c r="ES278" s="18"/>
      <c r="ET278" s="18"/>
      <c r="EU278" s="18"/>
      <c r="EV278" s="82"/>
      <c r="EW278" s="82"/>
      <c r="EX278" s="82"/>
      <c r="EY278" s="82"/>
      <c r="EZ278" s="82"/>
      <c r="FA278" s="82"/>
      <c r="FB278" s="82"/>
      <c r="FC278" s="82"/>
      <c r="FD278" s="82"/>
      <c r="FE278" s="82"/>
      <c r="FF278" s="82"/>
      <c r="FG278" s="82"/>
      <c r="FH278" s="82"/>
      <c r="FI278" s="82"/>
      <c r="FJ278" s="82"/>
      <c r="FK278" s="82"/>
      <c r="FL278" s="82"/>
      <c r="FM278" s="82"/>
      <c r="FN278" s="82"/>
      <c r="FO278" s="82"/>
      <c r="FP278" s="82"/>
      <c r="FQ278" s="82"/>
      <c r="FR278" s="82"/>
      <c r="FS278" s="82"/>
      <c r="FT278" s="82"/>
      <c r="FU278" s="82"/>
      <c r="FV278" s="82"/>
      <c r="FW278" s="82"/>
      <c r="FX278" s="82"/>
      <c r="FY278" s="82"/>
      <c r="FZ278" s="82"/>
      <c r="GA278" s="82"/>
      <c r="GB278" s="82"/>
      <c r="GC278" s="82"/>
      <c r="GD278" s="82"/>
      <c r="GE278" s="82"/>
      <c r="GF278" s="82"/>
      <c r="GG278" s="82"/>
      <c r="GH278" s="82"/>
      <c r="GI278" s="82"/>
      <c r="GJ278" s="82"/>
      <c r="GK278" s="82"/>
      <c r="GL278" s="82"/>
      <c r="GM278" s="82"/>
      <c r="GN278" s="82"/>
      <c r="GO278" s="82"/>
      <c r="GP278" s="82"/>
      <c r="GQ278" s="82"/>
      <c r="GR278" s="82"/>
      <c r="GS278" s="82"/>
      <c r="GT278" s="82"/>
      <c r="GU278" s="82"/>
      <c r="GV278" s="82"/>
      <c r="GW278" s="82"/>
      <c r="GX278" s="82"/>
      <c r="GY278" s="82"/>
      <c r="GZ278" s="82"/>
      <c r="HA278" s="82"/>
      <c r="HB278" s="82"/>
      <c r="HC278" s="82"/>
      <c r="HD278" s="82"/>
      <c r="HE278" s="82"/>
      <c r="HF278" s="82"/>
      <c r="HG278" s="82"/>
      <c r="HH278" s="82"/>
      <c r="HI278" s="82"/>
      <c r="HJ278" s="82"/>
      <c r="HK278" s="82"/>
      <c r="HL278" s="82"/>
      <c r="HM278" s="82"/>
      <c r="HN278" s="82"/>
      <c r="HO278" s="82"/>
      <c r="HP278" s="82"/>
      <c r="HQ278" s="82"/>
      <c r="HR278" s="82"/>
      <c r="HS278" s="82"/>
      <c r="HT278" s="82"/>
      <c r="HU278" s="82"/>
      <c r="HV278" s="82"/>
      <c r="HW278" s="82"/>
      <c r="HX278" s="82"/>
      <c r="HY278" s="82"/>
      <c r="HZ278" s="82"/>
      <c r="IA278" s="82"/>
      <c r="IB278" s="82"/>
      <c r="IC278" s="82"/>
      <c r="ID278" s="82"/>
      <c r="IE278" s="82"/>
      <c r="IF278" s="82"/>
      <c r="IG278" s="82"/>
      <c r="IH278" s="82"/>
      <c r="II278" s="82"/>
      <c r="IJ278" s="82"/>
      <c r="IK278" s="82"/>
      <c r="IL278" s="82"/>
      <c r="IM278" s="82"/>
      <c r="IN278" s="82"/>
      <c r="IO278" s="82"/>
      <c r="IP278" s="82"/>
      <c r="IQ278" s="82"/>
      <c r="IR278" s="82"/>
      <c r="IS278" s="82"/>
      <c r="IT278" s="82"/>
      <c r="IU278" s="82"/>
      <c r="IV278" s="82"/>
      <c r="IW278" s="82"/>
      <c r="IX278" s="82"/>
      <c r="IY278" s="82"/>
      <c r="IZ278" s="82"/>
      <c r="JA278" s="82"/>
      <c r="JB278" s="82"/>
      <c r="JC278" s="82"/>
      <c r="JD278" s="82"/>
      <c r="JE278" s="82"/>
      <c r="JF278" s="82"/>
      <c r="JG278" s="82"/>
      <c r="JH278" s="82"/>
      <c r="JI278" s="82"/>
      <c r="JJ278" s="82"/>
      <c r="JK278" s="82"/>
      <c r="JL278" s="82"/>
      <c r="JM278" s="82"/>
      <c r="JN278" s="82"/>
      <c r="JO278" s="82"/>
      <c r="JP278" s="82"/>
      <c r="JQ278" s="82"/>
      <c r="JR278" s="82"/>
      <c r="JS278" s="82"/>
      <c r="JT278" s="82"/>
      <c r="JU278" s="82"/>
      <c r="JV278" s="82"/>
      <c r="JW278" s="82"/>
      <c r="JX278" s="82"/>
      <c r="JZ278" s="263"/>
      <c r="KA278" s="263"/>
      <c r="KB278" s="263"/>
      <c r="KC278" s="263"/>
      <c r="KD278" s="263"/>
      <c r="KE278" s="263"/>
      <c r="KF278" s="263"/>
      <c r="KG278" s="263"/>
      <c r="KH278" s="263"/>
      <c r="KI278" s="263"/>
      <c r="KJ278" s="263"/>
      <c r="KK278" s="263"/>
      <c r="KL278" s="263"/>
      <c r="KM278" s="263"/>
      <c r="KN278" s="263"/>
      <c r="KO278" s="263"/>
      <c r="KP278" s="263"/>
      <c r="KQ278" s="263"/>
      <c r="KR278" s="263"/>
      <c r="KS278" s="263"/>
      <c r="KT278" s="263"/>
      <c r="KU278" s="263"/>
      <c r="KV278" s="263"/>
      <c r="KW278" s="263"/>
      <c r="KX278" s="263"/>
      <c r="KY278" s="263"/>
      <c r="KZ278" s="263"/>
      <c r="LA278" s="263"/>
      <c r="LB278" s="263"/>
      <c r="LC278" s="263"/>
      <c r="LD278" s="263"/>
      <c r="LE278" s="263"/>
      <c r="LF278" s="263"/>
      <c r="LG278" s="263"/>
      <c r="LH278" s="263"/>
      <c r="LI278" s="263"/>
      <c r="LJ278" s="263"/>
      <c r="LK278" s="263"/>
      <c r="LL278" s="263"/>
      <c r="LM278" s="263"/>
      <c r="LN278" s="263"/>
      <c r="LO278" s="263"/>
      <c r="LP278" s="263"/>
      <c r="LQ278" s="263"/>
      <c r="LR278" s="263"/>
      <c r="LS278" s="263"/>
      <c r="LT278" s="263"/>
      <c r="LU278" s="263"/>
      <c r="LV278" s="263"/>
      <c r="LW278" s="263"/>
      <c r="LX278" s="263"/>
      <c r="LY278" s="263"/>
      <c r="LZ278" s="263"/>
      <c r="MA278" s="263"/>
      <c r="MB278" s="263"/>
      <c r="MC278" s="263"/>
      <c r="MD278" s="263"/>
      <c r="ME278" s="263"/>
      <c r="MF278" s="263"/>
      <c r="MG278" s="263"/>
      <c r="MH278" s="263"/>
      <c r="MI278" s="263"/>
      <c r="MJ278" s="263"/>
      <c r="MK278" s="263"/>
      <c r="ML278" s="263"/>
      <c r="MM278" s="263"/>
      <c r="MN278" s="263"/>
      <c r="MO278" s="263"/>
      <c r="MP278" s="263"/>
      <c r="MQ278" s="263"/>
      <c r="MR278" s="263"/>
      <c r="MS278" s="263"/>
      <c r="MT278" s="263"/>
      <c r="MU278" s="263"/>
      <c r="MV278" s="263"/>
      <c r="MW278" s="263"/>
      <c r="MX278" s="263"/>
      <c r="MY278" s="263"/>
      <c r="MZ278" s="263"/>
      <c r="NA278" s="263"/>
      <c r="NB278" s="263"/>
      <c r="NC278" s="263"/>
      <c r="ND278" s="263"/>
      <c r="NE278" s="263"/>
      <c r="NF278" s="263"/>
      <c r="NG278" s="263"/>
      <c r="NH278" s="263"/>
      <c r="NI278" s="263"/>
      <c r="NJ278" s="263"/>
      <c r="NK278" s="263"/>
      <c r="NL278" s="263"/>
      <c r="NM278" s="263"/>
      <c r="NN278" s="263"/>
      <c r="NO278" s="263"/>
      <c r="NP278" s="263"/>
      <c r="NQ278" s="263"/>
      <c r="NR278" s="263"/>
      <c r="NS278" s="263"/>
      <c r="NT278" s="263"/>
      <c r="NU278" s="263"/>
      <c r="NV278" s="263"/>
      <c r="NW278" s="263"/>
      <c r="NX278" s="263"/>
      <c r="NY278" s="263"/>
      <c r="NZ278" s="263"/>
      <c r="OA278" s="263"/>
      <c r="OB278" s="263"/>
      <c r="OC278" s="263"/>
      <c r="OD278" s="263"/>
      <c r="OE278" s="263"/>
      <c r="OF278" s="263"/>
      <c r="OG278" s="263"/>
      <c r="OH278" s="263"/>
      <c r="OI278" s="263"/>
      <c r="OJ278" s="263"/>
      <c r="OK278" s="263"/>
      <c r="OL278" s="263"/>
      <c r="OM278" s="263"/>
      <c r="ON278" s="263"/>
      <c r="OO278" s="263"/>
      <c r="OP278" s="263"/>
      <c r="OQ278" s="263"/>
      <c r="OR278" s="263"/>
      <c r="OS278" s="263"/>
      <c r="OT278" s="263"/>
      <c r="OU278" s="263"/>
      <c r="OV278" s="263"/>
      <c r="OW278" s="263"/>
      <c r="OX278" s="263"/>
      <c r="OY278" s="263"/>
      <c r="OZ278" s="263"/>
      <c r="PA278" s="263"/>
      <c r="PB278" s="263"/>
      <c r="PC278" s="263"/>
      <c r="PD278" s="263"/>
      <c r="PE278" s="263"/>
      <c r="PF278" s="263"/>
      <c r="PG278" s="263"/>
      <c r="PH278" s="263"/>
    </row>
    <row r="279">
      <c r="B279" s="34"/>
      <c r="C279" s="566" t="s">
        <v>467</v>
      </c>
      <c r="D279" s="34"/>
      <c r="E279" s="431"/>
      <c r="F279" s="431"/>
      <c r="G279" s="415" t="s">
        <v>468</v>
      </c>
      <c r="H279" s="34"/>
      <c r="I279" s="431"/>
      <c r="J279" s="399"/>
      <c r="K279" s="400"/>
      <c r="L279" s="400"/>
      <c r="M279" s="400"/>
      <c r="N279" s="400"/>
      <c r="O279" s="400"/>
      <c r="P279" s="400"/>
      <c r="Q279" s="400"/>
      <c r="R279" s="400"/>
      <c r="S279" s="400"/>
      <c r="T279" s="400"/>
      <c r="U279" s="400"/>
      <c r="V279" s="400"/>
      <c r="W279" s="400"/>
      <c r="X279" s="400"/>
      <c r="Y279" s="400"/>
      <c r="Z279" s="400"/>
      <c r="AA279" s="400"/>
      <c r="AB279" s="400"/>
      <c r="AC279" s="400"/>
      <c r="AD279" s="400"/>
      <c r="AE279" s="400"/>
      <c r="AF279" s="400"/>
      <c r="AG279" s="400"/>
      <c r="AH279" s="400"/>
      <c r="AI279" s="400"/>
      <c r="AJ279" s="400"/>
      <c r="AK279" s="400"/>
      <c r="AL279" s="400"/>
      <c r="AM279" s="400"/>
      <c r="AN279" s="400"/>
      <c r="AO279" s="400"/>
      <c r="AP279" s="400"/>
      <c r="AQ279" s="400"/>
      <c r="AR279" s="400"/>
      <c r="AS279" s="400"/>
      <c r="AT279" s="400"/>
      <c r="AU279" s="400"/>
      <c r="AV279" s="400"/>
      <c r="AW279" s="400"/>
      <c r="AX279" s="400"/>
      <c r="AY279" s="400"/>
      <c r="AZ279" s="400"/>
      <c r="BA279" s="400"/>
      <c r="BB279" s="400"/>
      <c r="BC279" s="400"/>
      <c r="BD279" s="400"/>
      <c r="BE279" s="400"/>
      <c r="BF279" s="400"/>
      <c r="BG279" s="400"/>
      <c r="BH279" s="400"/>
      <c r="BI279" s="400"/>
      <c r="BJ279" s="400"/>
      <c r="BK279" s="400"/>
      <c r="BL279" s="400"/>
      <c r="BM279" s="400"/>
      <c r="BN279" s="400"/>
      <c r="BO279" s="400"/>
      <c r="BP279" s="400"/>
      <c r="BQ279" s="400"/>
      <c r="BR279" s="400"/>
      <c r="BS279" s="400"/>
      <c r="BT279" s="400"/>
      <c r="BU279" s="400"/>
      <c r="BV279" s="400"/>
      <c r="BW279" s="400"/>
      <c r="BX279" s="400"/>
      <c r="BY279" s="400"/>
      <c r="BZ279" s="400"/>
      <c r="CA279" s="400"/>
      <c r="CB279" s="400"/>
      <c r="CC279" s="400"/>
      <c r="CD279" s="400"/>
      <c r="CE279" s="400"/>
      <c r="CF279" s="400"/>
      <c r="CG279" s="400"/>
      <c r="CH279" s="400"/>
      <c r="CI279" s="400"/>
      <c r="CJ279" s="400"/>
      <c r="CK279" s="400"/>
      <c r="CL279" s="400"/>
      <c r="CM279" s="400"/>
      <c r="CN279" s="400"/>
      <c r="CO279" s="400"/>
      <c r="CP279" s="400"/>
      <c r="CQ279" s="400"/>
      <c r="CR279" s="400"/>
      <c r="CS279" s="400"/>
      <c r="CT279" s="400"/>
      <c r="CU279" s="400"/>
      <c r="CV279" s="400"/>
      <c r="CW279" s="400"/>
      <c r="CX279" s="400"/>
      <c r="CY279" s="400"/>
      <c r="CZ279" s="400"/>
      <c r="DA279" s="400"/>
      <c r="DB279" s="400"/>
      <c r="DC279" s="400"/>
      <c r="DD279" s="400"/>
      <c r="DE279" s="400"/>
      <c r="DF279" s="400"/>
      <c r="DG279" s="400"/>
      <c r="DH279" s="400"/>
      <c r="DI279" s="400"/>
      <c r="DJ279" s="400"/>
      <c r="DK279" s="400"/>
      <c r="DL279" s="400"/>
      <c r="DM279" s="400"/>
      <c r="DN279" s="400"/>
      <c r="DO279" s="400"/>
      <c r="DP279" s="400"/>
      <c r="DQ279" s="400"/>
      <c r="DR279" s="400"/>
      <c r="DS279" s="400"/>
      <c r="DT279" s="400"/>
      <c r="DU279" s="400"/>
      <c r="DV279" s="400"/>
      <c r="DW279" s="400"/>
      <c r="DX279" s="400"/>
      <c r="DY279" s="400"/>
      <c r="DZ279" s="400"/>
      <c r="EA279" s="400"/>
      <c r="EB279" s="400"/>
      <c r="EC279" s="400"/>
      <c r="ED279" s="400"/>
      <c r="EE279" s="400"/>
      <c r="EF279" s="400"/>
      <c r="EG279" s="400"/>
      <c r="EH279" s="400"/>
      <c r="EI279" s="400"/>
      <c r="EJ279" s="400"/>
      <c r="EK279" s="400"/>
      <c r="EL279" s="400"/>
      <c r="EM279" s="400"/>
      <c r="EN279" s="400"/>
      <c r="EO279" s="400"/>
      <c r="EP279" s="409"/>
      <c r="EQ279" s="18"/>
      <c r="ER279" s="18"/>
      <c r="ES279" s="18"/>
      <c r="ET279" s="18"/>
      <c r="EU279" s="18"/>
      <c r="EV279" s="82"/>
      <c r="EW279" s="82"/>
      <c r="EX279" s="82"/>
      <c r="EY279" s="82"/>
      <c r="EZ279" s="82"/>
      <c r="FA279" s="82"/>
      <c r="FB279" s="82"/>
      <c r="FC279" s="82"/>
      <c r="FD279" s="82"/>
      <c r="FE279" s="82"/>
      <c r="FF279" s="82"/>
      <c r="FG279" s="82"/>
      <c r="FH279" s="82"/>
      <c r="FI279" s="82"/>
      <c r="FJ279" s="82"/>
      <c r="FK279" s="82"/>
      <c r="FL279" s="82"/>
      <c r="FM279" s="82"/>
      <c r="FN279" s="82"/>
      <c r="FO279" s="82"/>
      <c r="FP279" s="82"/>
      <c r="FQ279" s="82"/>
      <c r="FR279" s="82"/>
      <c r="FS279" s="82"/>
      <c r="FT279" s="82"/>
      <c r="FU279" s="82"/>
      <c r="FV279" s="82"/>
      <c r="FW279" s="82"/>
      <c r="FX279" s="82"/>
      <c r="FY279" s="82"/>
      <c r="FZ279" s="82"/>
      <c r="GA279" s="82"/>
      <c r="GB279" s="82"/>
      <c r="GC279" s="82"/>
      <c r="GD279" s="82"/>
      <c r="GE279" s="82"/>
      <c r="GF279" s="82"/>
      <c r="GG279" s="82"/>
      <c r="GH279" s="82"/>
      <c r="GI279" s="82"/>
      <c r="GJ279" s="82"/>
      <c r="GK279" s="82"/>
      <c r="GL279" s="82"/>
      <c r="GM279" s="82"/>
      <c r="GN279" s="82"/>
      <c r="GO279" s="82"/>
      <c r="GP279" s="82"/>
      <c r="GQ279" s="82"/>
      <c r="GR279" s="82"/>
      <c r="GS279" s="82"/>
      <c r="GT279" s="82"/>
      <c r="GU279" s="82"/>
      <c r="GV279" s="82"/>
      <c r="GW279" s="82"/>
      <c r="GX279" s="82"/>
      <c r="GY279" s="82"/>
      <c r="GZ279" s="82"/>
      <c r="HA279" s="82"/>
      <c r="HB279" s="82"/>
      <c r="HC279" s="82"/>
      <c r="HD279" s="82"/>
      <c r="HE279" s="82"/>
      <c r="HF279" s="82"/>
      <c r="HG279" s="82"/>
      <c r="HH279" s="82"/>
      <c r="HI279" s="82"/>
      <c r="HJ279" s="82"/>
      <c r="HK279" s="82"/>
      <c r="HL279" s="82"/>
      <c r="HM279" s="82"/>
      <c r="HN279" s="82"/>
      <c r="HO279" s="82"/>
      <c r="HP279" s="82"/>
      <c r="HQ279" s="82"/>
      <c r="HR279" s="82"/>
      <c r="HS279" s="82"/>
      <c r="HT279" s="82"/>
      <c r="HU279" s="82"/>
      <c r="HV279" s="82"/>
      <c r="HW279" s="82"/>
      <c r="HX279" s="82"/>
      <c r="HY279" s="82"/>
      <c r="HZ279" s="82"/>
      <c r="IA279" s="82"/>
      <c r="IB279" s="82"/>
      <c r="IC279" s="82"/>
      <c r="ID279" s="82"/>
      <c r="IE279" s="82"/>
      <c r="IF279" s="82"/>
      <c r="IG279" s="82"/>
      <c r="IH279" s="82"/>
      <c r="II279" s="82"/>
      <c r="IJ279" s="82"/>
      <c r="IK279" s="82"/>
      <c r="IL279" s="82"/>
      <c r="IM279" s="82"/>
      <c r="IN279" s="82"/>
      <c r="IO279" s="82"/>
      <c r="IP279" s="82"/>
      <c r="IQ279" s="82"/>
      <c r="IR279" s="82"/>
      <c r="IS279" s="82"/>
      <c r="IT279" s="82"/>
      <c r="IU279" s="82"/>
      <c r="IV279" s="82"/>
      <c r="IW279" s="82"/>
      <c r="IX279" s="82"/>
      <c r="IY279" s="82"/>
      <c r="IZ279" s="82"/>
      <c r="JA279" s="82"/>
      <c r="JB279" s="82"/>
      <c r="JC279" s="82"/>
      <c r="JD279" s="82"/>
      <c r="JE279" s="82"/>
      <c r="JF279" s="82"/>
      <c r="JG279" s="82"/>
      <c r="JH279" s="82"/>
      <c r="JI279" s="82"/>
      <c r="JJ279" s="82"/>
      <c r="JK279" s="82"/>
      <c r="JL279" s="82"/>
      <c r="JM279" s="82"/>
      <c r="JN279" s="82"/>
      <c r="JO279" s="82"/>
      <c r="JP279" s="82"/>
      <c r="JQ279" s="82"/>
      <c r="JR279" s="82"/>
      <c r="JS279" s="82"/>
      <c r="JT279" s="82"/>
      <c r="JU279" s="82"/>
      <c r="JV279" s="82"/>
      <c r="JW279" s="82"/>
      <c r="JX279" s="82"/>
      <c r="JZ279" s="263"/>
      <c r="KA279" s="263"/>
      <c r="KB279" s="263"/>
      <c r="KC279" s="263"/>
      <c r="KD279" s="263"/>
      <c r="KE279" s="263"/>
      <c r="KF279" s="263"/>
      <c r="KG279" s="263"/>
      <c r="KH279" s="263"/>
      <c r="KI279" s="263"/>
      <c r="KJ279" s="263"/>
      <c r="KK279" s="263"/>
      <c r="KL279" s="263"/>
      <c r="KM279" s="263"/>
      <c r="KN279" s="263"/>
      <c r="KO279" s="263"/>
      <c r="KP279" s="263"/>
      <c r="KQ279" s="263"/>
      <c r="KR279" s="263"/>
      <c r="KS279" s="263"/>
      <c r="KT279" s="263"/>
      <c r="KU279" s="263"/>
      <c r="KV279" s="263"/>
      <c r="KW279" s="263"/>
      <c r="KX279" s="263"/>
      <c r="KY279" s="263"/>
      <c r="KZ279" s="263"/>
      <c r="LA279" s="263"/>
      <c r="LB279" s="263"/>
      <c r="LC279" s="263"/>
      <c r="LD279" s="263"/>
      <c r="LE279" s="263"/>
      <c r="LF279" s="263"/>
      <c r="LG279" s="263"/>
      <c r="LH279" s="263"/>
      <c r="LI279" s="263"/>
      <c r="LJ279" s="263"/>
      <c r="LK279" s="263"/>
      <c r="LL279" s="263"/>
      <c r="LM279" s="263"/>
      <c r="LN279" s="263"/>
      <c r="LO279" s="263"/>
      <c r="LP279" s="263"/>
      <c r="LQ279" s="263"/>
      <c r="LR279" s="263"/>
      <c r="LS279" s="263"/>
      <c r="LT279" s="263"/>
      <c r="LU279" s="263"/>
      <c r="LV279" s="263"/>
      <c r="LW279" s="263"/>
      <c r="LX279" s="263"/>
      <c r="LY279" s="263"/>
      <c r="LZ279" s="263"/>
      <c r="MA279" s="263"/>
      <c r="MB279" s="263"/>
      <c r="MC279" s="263"/>
      <c r="MD279" s="263"/>
      <c r="ME279" s="263"/>
      <c r="MF279" s="263"/>
      <c r="MG279" s="263"/>
      <c r="MH279" s="263"/>
      <c r="MI279" s="263"/>
      <c r="MJ279" s="263"/>
      <c r="MK279" s="263"/>
      <c r="ML279" s="263"/>
      <c r="MM279" s="263"/>
      <c r="MN279" s="263"/>
      <c r="MO279" s="263"/>
      <c r="MP279" s="263"/>
      <c r="MQ279" s="263"/>
      <c r="MR279" s="263"/>
      <c r="MS279" s="263"/>
      <c r="MT279" s="263"/>
      <c r="MU279" s="263"/>
      <c r="MV279" s="263"/>
      <c r="MW279" s="263"/>
      <c r="MX279" s="263"/>
      <c r="MY279" s="263"/>
      <c r="MZ279" s="263"/>
      <c r="NA279" s="263"/>
      <c r="NB279" s="263"/>
      <c r="NC279" s="263"/>
      <c r="ND279" s="263"/>
      <c r="NE279" s="263"/>
      <c r="NF279" s="263"/>
      <c r="NG279" s="263"/>
      <c r="NH279" s="263"/>
      <c r="NI279" s="263"/>
      <c r="NJ279" s="263"/>
      <c r="NK279" s="263"/>
      <c r="NL279" s="263"/>
      <c r="NM279" s="263"/>
      <c r="NN279" s="263"/>
      <c r="NO279" s="263"/>
      <c r="NP279" s="263"/>
      <c r="NQ279" s="263"/>
      <c r="NR279" s="263"/>
      <c r="NS279" s="263"/>
      <c r="NT279" s="263"/>
      <c r="NU279" s="263"/>
      <c r="NV279" s="263"/>
      <c r="NW279" s="263"/>
      <c r="NX279" s="263"/>
      <c r="NY279" s="263"/>
      <c r="NZ279" s="263"/>
      <c r="OA279" s="263"/>
      <c r="OB279" s="263"/>
      <c r="OC279" s="263"/>
      <c r="OD279" s="263"/>
      <c r="OE279" s="263"/>
      <c r="OF279" s="263"/>
      <c r="OG279" s="263"/>
      <c r="OH279" s="263"/>
      <c r="OI279" s="263"/>
      <c r="OJ279" s="263"/>
      <c r="OK279" s="263"/>
      <c r="OL279" s="263"/>
      <c r="OM279" s="263"/>
      <c r="ON279" s="263"/>
      <c r="OO279" s="263"/>
      <c r="OP279" s="263"/>
      <c r="OQ279" s="263"/>
      <c r="OR279" s="263"/>
      <c r="OS279" s="263"/>
      <c r="OT279" s="263"/>
      <c r="OU279" s="263"/>
      <c r="OV279" s="263"/>
      <c r="OW279" s="263"/>
      <c r="OX279" s="263"/>
      <c r="OY279" s="263"/>
      <c r="OZ279" s="263"/>
      <c r="PA279" s="263"/>
      <c r="PB279" s="263"/>
      <c r="PC279" s="263"/>
      <c r="PD279" s="263"/>
      <c r="PE279" s="263"/>
      <c r="PF279" s="263"/>
      <c r="PG279" s="263"/>
      <c r="PH279" s="263"/>
    </row>
    <row r="280">
      <c r="B280" s="34"/>
      <c r="C280" s="570" t="s">
        <v>469</v>
      </c>
      <c r="D280" s="501" t="s">
        <v>459</v>
      </c>
      <c r="E280" s="453" t="s">
        <v>460</v>
      </c>
      <c r="F280" s="453"/>
      <c r="G280" s="463" t="s">
        <v>470</v>
      </c>
      <c r="H280" s="501" t="s">
        <v>459</v>
      </c>
      <c r="I280" s="453" t="s">
        <v>460</v>
      </c>
      <c r="J280" s="399"/>
      <c r="K280" s="400"/>
      <c r="L280" s="400"/>
      <c r="M280" s="400"/>
      <c r="N280" s="400"/>
      <c r="O280" s="400"/>
      <c r="P280" s="400"/>
      <c r="Q280" s="400"/>
      <c r="R280" s="400"/>
      <c r="S280" s="400"/>
      <c r="T280" s="400"/>
      <c r="U280" s="400"/>
      <c r="V280" s="400"/>
      <c r="W280" s="400"/>
      <c r="X280" s="400"/>
      <c r="Y280" s="400"/>
      <c r="Z280" s="400"/>
      <c r="AA280" s="400"/>
      <c r="AB280" s="400"/>
      <c r="AC280" s="400"/>
      <c r="AD280" s="400"/>
      <c r="AE280" s="400"/>
      <c r="AF280" s="400"/>
      <c r="AG280" s="400"/>
      <c r="AH280" s="400"/>
      <c r="AI280" s="400"/>
      <c r="AJ280" s="400"/>
      <c r="AK280" s="400"/>
      <c r="AL280" s="400"/>
      <c r="AM280" s="400"/>
      <c r="AN280" s="400"/>
      <c r="AO280" s="400"/>
      <c r="AP280" s="400"/>
      <c r="AQ280" s="400"/>
      <c r="AR280" s="400"/>
      <c r="AS280" s="400"/>
      <c r="AT280" s="400"/>
      <c r="AU280" s="400"/>
      <c r="AV280" s="400"/>
      <c r="AW280" s="400"/>
      <c r="AX280" s="400"/>
      <c r="AY280" s="400"/>
      <c r="AZ280" s="400"/>
      <c r="BA280" s="400"/>
      <c r="BB280" s="400"/>
      <c r="BC280" s="400"/>
      <c r="BD280" s="400"/>
      <c r="BE280" s="400"/>
      <c r="BF280" s="400"/>
      <c r="BG280" s="400"/>
      <c r="BH280" s="400"/>
      <c r="BI280" s="400"/>
      <c r="BJ280" s="400"/>
      <c r="BK280" s="400"/>
      <c r="BL280" s="400"/>
      <c r="BM280" s="400"/>
      <c r="BN280" s="400"/>
      <c r="BO280" s="400"/>
      <c r="BP280" s="400"/>
      <c r="BQ280" s="400"/>
      <c r="BR280" s="400"/>
      <c r="BS280" s="400"/>
      <c r="BT280" s="400"/>
      <c r="BU280" s="400"/>
      <c r="BV280" s="400"/>
      <c r="BW280" s="400"/>
      <c r="BX280" s="400"/>
      <c r="BY280" s="400"/>
      <c r="BZ280" s="400"/>
      <c r="CA280" s="400"/>
      <c r="CB280" s="400"/>
      <c r="CC280" s="400"/>
      <c r="CD280" s="400"/>
      <c r="CE280" s="400"/>
      <c r="CF280" s="400"/>
      <c r="CG280" s="400"/>
      <c r="CH280" s="400"/>
      <c r="CI280" s="400"/>
      <c r="CJ280" s="400"/>
      <c r="CK280" s="400"/>
      <c r="CL280" s="400"/>
      <c r="CM280" s="400"/>
      <c r="CN280" s="400"/>
      <c r="CO280" s="400"/>
      <c r="CP280" s="400"/>
      <c r="CQ280" s="400"/>
      <c r="CR280" s="400"/>
      <c r="CS280" s="400"/>
      <c r="CT280" s="400"/>
      <c r="CU280" s="400"/>
      <c r="CV280" s="400"/>
      <c r="CW280" s="400"/>
      <c r="CX280" s="400"/>
      <c r="CY280" s="400"/>
      <c r="CZ280" s="400"/>
      <c r="DA280" s="400"/>
      <c r="DB280" s="400"/>
      <c r="DC280" s="400"/>
      <c r="DD280" s="400"/>
      <c r="DE280" s="400"/>
      <c r="DF280" s="400"/>
      <c r="DG280" s="400"/>
      <c r="DH280" s="400"/>
      <c r="DI280" s="400"/>
      <c r="DJ280" s="400"/>
      <c r="DK280" s="400"/>
      <c r="DL280" s="400"/>
      <c r="DM280" s="400"/>
      <c r="DN280" s="400"/>
      <c r="DO280" s="400"/>
      <c r="DP280" s="400"/>
      <c r="DQ280" s="400"/>
      <c r="DR280" s="400"/>
      <c r="DS280" s="400"/>
      <c r="DT280" s="400"/>
      <c r="DU280" s="400"/>
      <c r="DV280" s="400"/>
      <c r="DW280" s="400"/>
      <c r="DX280" s="400"/>
      <c r="DY280" s="400"/>
      <c r="DZ280" s="400"/>
      <c r="EA280" s="400"/>
      <c r="EB280" s="400"/>
      <c r="EC280" s="400"/>
      <c r="ED280" s="400"/>
      <c r="EE280" s="400"/>
      <c r="EF280" s="400"/>
      <c r="EG280" s="400"/>
      <c r="EH280" s="400"/>
      <c r="EI280" s="400"/>
      <c r="EJ280" s="400"/>
      <c r="EK280" s="400"/>
      <c r="EL280" s="400"/>
      <c r="EM280" s="400"/>
      <c r="EN280" s="400"/>
      <c r="EO280" s="400"/>
      <c r="EP280" s="409"/>
      <c r="EQ280" s="18"/>
      <c r="ER280" s="18"/>
      <c r="ES280" s="18"/>
      <c r="ET280" s="18"/>
      <c r="EU280" s="18"/>
      <c r="EV280" s="82"/>
      <c r="EW280" s="82"/>
      <c r="EX280" s="82"/>
      <c r="EY280" s="82"/>
      <c r="EZ280" s="82"/>
      <c r="FA280" s="82"/>
      <c r="FB280" s="82"/>
      <c r="FC280" s="82"/>
      <c r="FD280" s="82"/>
      <c r="FE280" s="82"/>
      <c r="FF280" s="82"/>
      <c r="FG280" s="82"/>
      <c r="FH280" s="82"/>
      <c r="FI280" s="82"/>
      <c r="FJ280" s="82"/>
      <c r="FK280" s="82"/>
      <c r="FL280" s="82"/>
      <c r="FM280" s="82"/>
      <c r="FN280" s="82"/>
      <c r="FO280" s="82"/>
      <c r="FP280" s="82"/>
      <c r="FQ280" s="82"/>
      <c r="FR280" s="82"/>
      <c r="FS280" s="82"/>
      <c r="FT280" s="82"/>
      <c r="FU280" s="82"/>
      <c r="FV280" s="82"/>
      <c r="FW280" s="82"/>
      <c r="FX280" s="82"/>
      <c r="FY280" s="82"/>
      <c r="FZ280" s="82"/>
      <c r="GA280" s="82"/>
      <c r="GB280" s="82"/>
      <c r="GC280" s="82"/>
      <c r="GD280" s="82"/>
      <c r="GE280" s="82"/>
      <c r="GF280" s="82"/>
      <c r="GG280" s="82"/>
      <c r="GH280" s="82"/>
      <c r="GI280" s="82"/>
      <c r="GJ280" s="82"/>
      <c r="GK280" s="82"/>
      <c r="GL280" s="82"/>
      <c r="GM280" s="82"/>
      <c r="GN280" s="82"/>
      <c r="GO280" s="82"/>
      <c r="GP280" s="82"/>
      <c r="GQ280" s="82"/>
      <c r="GR280" s="82"/>
      <c r="GS280" s="82"/>
      <c r="GT280" s="82"/>
      <c r="GU280" s="82"/>
      <c r="GV280" s="82"/>
      <c r="GW280" s="82"/>
      <c r="GX280" s="82"/>
      <c r="GY280" s="82"/>
      <c r="GZ280" s="82"/>
      <c r="HA280" s="82"/>
      <c r="HB280" s="82"/>
      <c r="HC280" s="82"/>
      <c r="HD280" s="82"/>
      <c r="HE280" s="82"/>
      <c r="HF280" s="82"/>
      <c r="HG280" s="82"/>
      <c r="HH280" s="82"/>
      <c r="HI280" s="82"/>
      <c r="HJ280" s="82"/>
      <c r="HK280" s="82"/>
      <c r="HL280" s="82"/>
      <c r="HM280" s="82"/>
      <c r="HN280" s="82"/>
      <c r="HO280" s="82"/>
      <c r="HP280" s="82"/>
      <c r="HQ280" s="82"/>
      <c r="HR280" s="82"/>
      <c r="HS280" s="82"/>
      <c r="HT280" s="82"/>
      <c r="HU280" s="82"/>
      <c r="HV280" s="82"/>
      <c r="HW280" s="82"/>
      <c r="HX280" s="82"/>
      <c r="HY280" s="82"/>
      <c r="HZ280" s="82"/>
      <c r="IA280" s="82"/>
      <c r="IB280" s="82"/>
      <c r="IC280" s="82"/>
      <c r="ID280" s="82"/>
      <c r="IE280" s="82"/>
      <c r="IF280" s="82"/>
      <c r="IG280" s="82"/>
      <c r="IH280" s="82"/>
      <c r="II280" s="82"/>
      <c r="IJ280" s="82"/>
      <c r="IK280" s="82"/>
      <c r="IL280" s="82"/>
      <c r="IM280" s="82"/>
      <c r="IN280" s="82"/>
      <c r="IO280" s="82"/>
      <c r="IP280" s="82"/>
      <c r="IQ280" s="82"/>
      <c r="IR280" s="82"/>
      <c r="IS280" s="82"/>
      <c r="IT280" s="82"/>
      <c r="IU280" s="82"/>
      <c r="IV280" s="82"/>
      <c r="IW280" s="82"/>
      <c r="IX280" s="82"/>
      <c r="IY280" s="82"/>
      <c r="IZ280" s="82"/>
      <c r="JA280" s="82"/>
      <c r="JB280" s="82"/>
      <c r="JC280" s="82"/>
      <c r="JD280" s="82"/>
      <c r="JE280" s="82"/>
      <c r="JF280" s="82"/>
      <c r="JG280" s="82"/>
      <c r="JH280" s="82"/>
      <c r="JI280" s="82"/>
      <c r="JJ280" s="82"/>
      <c r="JK280" s="82"/>
      <c r="JL280" s="82"/>
      <c r="JM280" s="82"/>
      <c r="JN280" s="82"/>
      <c r="JO280" s="82"/>
      <c r="JP280" s="82"/>
      <c r="JQ280" s="82"/>
      <c r="JR280" s="82"/>
      <c r="JS280" s="82"/>
      <c r="JT280" s="82"/>
      <c r="JU280" s="82"/>
      <c r="JV280" s="82"/>
      <c r="JW280" s="82"/>
      <c r="JX280" s="82"/>
      <c r="JZ280" s="263"/>
      <c r="KA280" s="263"/>
      <c r="KB280" s="263"/>
      <c r="KC280" s="263"/>
      <c r="KD280" s="263"/>
      <c r="KE280" s="263"/>
      <c r="KF280" s="263"/>
      <c r="KG280" s="263"/>
      <c r="KH280" s="263"/>
      <c r="KI280" s="263"/>
      <c r="KJ280" s="263"/>
      <c r="KK280" s="263"/>
      <c r="KL280" s="263"/>
      <c r="KM280" s="263"/>
      <c r="KN280" s="263"/>
      <c r="KO280" s="263"/>
      <c r="KP280" s="263"/>
      <c r="KQ280" s="263"/>
      <c r="KR280" s="263"/>
      <c r="KS280" s="263"/>
      <c r="KT280" s="263"/>
      <c r="KU280" s="263"/>
      <c r="KV280" s="263"/>
      <c r="KW280" s="263"/>
      <c r="KX280" s="263"/>
      <c r="KY280" s="263"/>
      <c r="KZ280" s="263"/>
      <c r="LA280" s="263"/>
      <c r="LB280" s="263"/>
      <c r="LC280" s="263"/>
      <c r="LD280" s="263"/>
      <c r="LE280" s="263"/>
      <c r="LF280" s="263"/>
      <c r="LG280" s="263"/>
      <c r="LH280" s="263"/>
      <c r="LI280" s="263"/>
      <c r="LJ280" s="263"/>
      <c r="LK280" s="263"/>
      <c r="LL280" s="263"/>
      <c r="LM280" s="263"/>
      <c r="LN280" s="263"/>
      <c r="LO280" s="263"/>
      <c r="LP280" s="263"/>
      <c r="LQ280" s="263"/>
      <c r="LR280" s="263"/>
      <c r="LS280" s="263"/>
      <c r="LT280" s="263"/>
      <c r="LU280" s="263"/>
      <c r="LV280" s="263"/>
      <c r="LW280" s="263"/>
      <c r="LX280" s="263"/>
      <c r="LY280" s="263"/>
      <c r="LZ280" s="263"/>
      <c r="MA280" s="263"/>
      <c r="MB280" s="263"/>
      <c r="MC280" s="263"/>
      <c r="MD280" s="263"/>
      <c r="ME280" s="263"/>
      <c r="MF280" s="263"/>
      <c r="MG280" s="263"/>
      <c r="MH280" s="263"/>
      <c r="MI280" s="263"/>
      <c r="MJ280" s="263"/>
      <c r="MK280" s="263"/>
      <c r="ML280" s="263"/>
      <c r="MM280" s="263"/>
      <c r="MN280" s="263"/>
      <c r="MO280" s="263"/>
      <c r="MP280" s="263"/>
      <c r="MQ280" s="263"/>
      <c r="MR280" s="263"/>
      <c r="MS280" s="263"/>
      <c r="MT280" s="263"/>
      <c r="MU280" s="263"/>
      <c r="MV280" s="263"/>
      <c r="MW280" s="263"/>
      <c r="MX280" s="263"/>
      <c r="MY280" s="263"/>
      <c r="MZ280" s="263"/>
      <c r="NA280" s="263"/>
      <c r="NB280" s="263"/>
      <c r="NC280" s="263"/>
      <c r="ND280" s="263"/>
      <c r="NE280" s="263"/>
      <c r="NF280" s="263"/>
      <c r="NG280" s="263"/>
      <c r="NH280" s="263"/>
      <c r="NI280" s="263"/>
      <c r="NJ280" s="263"/>
      <c r="NK280" s="263"/>
      <c r="NL280" s="263"/>
      <c r="NM280" s="263"/>
      <c r="NN280" s="263"/>
      <c r="NO280" s="263"/>
      <c r="NP280" s="263"/>
      <c r="NQ280" s="263"/>
      <c r="NR280" s="263"/>
      <c r="NS280" s="263"/>
      <c r="NT280" s="263"/>
      <c r="NU280" s="263"/>
      <c r="NV280" s="263"/>
      <c r="NW280" s="263"/>
      <c r="NX280" s="263"/>
      <c r="NY280" s="263"/>
      <c r="NZ280" s="263"/>
      <c r="OA280" s="263"/>
      <c r="OB280" s="263"/>
      <c r="OC280" s="263"/>
      <c r="OD280" s="263"/>
      <c r="OE280" s="263"/>
      <c r="OF280" s="263"/>
      <c r="OG280" s="263"/>
      <c r="OH280" s="263"/>
      <c r="OI280" s="263"/>
      <c r="OJ280" s="263"/>
      <c r="OK280" s="263"/>
      <c r="OL280" s="263"/>
      <c r="OM280" s="263"/>
      <c r="ON280" s="263"/>
      <c r="OO280" s="263"/>
      <c r="OP280" s="263"/>
      <c r="OQ280" s="263"/>
      <c r="OR280" s="263"/>
      <c r="OS280" s="263"/>
      <c r="OT280" s="263"/>
      <c r="OU280" s="263"/>
      <c r="OV280" s="263"/>
      <c r="OW280" s="263"/>
      <c r="OX280" s="263"/>
      <c r="OY280" s="263"/>
      <c r="OZ280" s="263"/>
      <c r="PA280" s="263"/>
      <c r="PB280" s="263"/>
      <c r="PC280" s="263"/>
      <c r="PD280" s="263"/>
      <c r="PE280" s="263"/>
      <c r="PF280" s="263"/>
      <c r="PG280" s="263"/>
      <c r="PH280" s="263"/>
    </row>
    <row r="281">
      <c r="B281" s="463" t="s">
        <v>461</v>
      </c>
      <c r="C281" s="132" t="n">
        <f>G93</f>
        <v>0.035</v>
      </c>
      <c r="D281" s="129" t="n">
        <f>$I$217</f>
        <v>1029.0903474765305</v>
      </c>
      <c r="E281" s="568" t="n">
        <f>$G$212</f>
        <v>9.688789923849196</v>
      </c>
      <c r="F281" s="463" t="s">
        <v>461</v>
      </c>
      <c r="G281" s="130" t="n">
        <f>F134</f>
        <v>0.02</v>
      </c>
      <c r="H281" s="129" t="n">
        <f>$I$217</f>
        <v>1029.0903474765305</v>
      </c>
      <c r="I281" s="568" t="n">
        <f>$G$212</f>
        <v>9.688789923849196</v>
      </c>
      <c r="J281" s="399"/>
      <c r="K281" s="400"/>
      <c r="L281" s="400"/>
      <c r="M281" s="400"/>
      <c r="N281" s="400"/>
      <c r="O281" s="400"/>
      <c r="P281" s="400"/>
      <c r="Q281" s="400"/>
      <c r="R281" s="400"/>
      <c r="S281" s="400"/>
      <c r="T281" s="400"/>
      <c r="U281" s="400"/>
      <c r="V281" s="400"/>
      <c r="W281" s="400"/>
      <c r="X281" s="400"/>
      <c r="Y281" s="400"/>
      <c r="Z281" s="400"/>
      <c r="AA281" s="400"/>
      <c r="AB281" s="400"/>
      <c r="AC281" s="400"/>
      <c r="AD281" s="400"/>
      <c r="AE281" s="400"/>
      <c r="AF281" s="400"/>
      <c r="AG281" s="400"/>
      <c r="AH281" s="400"/>
      <c r="AI281" s="400"/>
      <c r="AJ281" s="400"/>
      <c r="AK281" s="400"/>
      <c r="AL281" s="400"/>
      <c r="AM281" s="400"/>
      <c r="AN281" s="400"/>
      <c r="AO281" s="400"/>
      <c r="AP281" s="400"/>
      <c r="AQ281" s="400"/>
      <c r="AR281" s="400"/>
      <c r="AS281" s="400"/>
      <c r="AT281" s="400"/>
      <c r="AU281" s="400"/>
      <c r="AV281" s="400"/>
      <c r="AW281" s="400"/>
      <c r="AX281" s="400"/>
      <c r="AY281" s="400"/>
      <c r="AZ281" s="400"/>
      <c r="BA281" s="400"/>
      <c r="BB281" s="400"/>
      <c r="BC281" s="400"/>
      <c r="BD281" s="400"/>
      <c r="BE281" s="400"/>
      <c r="BF281" s="400"/>
      <c r="BG281" s="400"/>
      <c r="BH281" s="400"/>
      <c r="BI281" s="400"/>
      <c r="BJ281" s="400"/>
      <c r="BK281" s="400"/>
      <c r="BL281" s="400"/>
      <c r="BM281" s="400"/>
      <c r="BN281" s="400"/>
      <c r="BO281" s="400"/>
      <c r="BP281" s="400"/>
      <c r="BQ281" s="400"/>
      <c r="BR281" s="400"/>
      <c r="BS281" s="400"/>
      <c r="BT281" s="400"/>
      <c r="BU281" s="400"/>
      <c r="BV281" s="400"/>
      <c r="BW281" s="400"/>
      <c r="BX281" s="400"/>
      <c r="BY281" s="400"/>
      <c r="BZ281" s="400"/>
      <c r="CA281" s="400"/>
      <c r="CB281" s="400"/>
      <c r="CC281" s="400"/>
      <c r="CD281" s="400"/>
      <c r="CE281" s="400"/>
      <c r="CF281" s="400"/>
      <c r="CG281" s="400"/>
      <c r="CH281" s="400"/>
      <c r="CI281" s="400"/>
      <c r="CJ281" s="400"/>
      <c r="CK281" s="400"/>
      <c r="CL281" s="400"/>
      <c r="CM281" s="400"/>
      <c r="CN281" s="400"/>
      <c r="CO281" s="400"/>
      <c r="CP281" s="400"/>
      <c r="CQ281" s="400"/>
      <c r="CR281" s="400"/>
      <c r="CS281" s="400"/>
      <c r="CT281" s="400"/>
      <c r="CU281" s="400"/>
      <c r="CV281" s="400"/>
      <c r="CW281" s="400"/>
      <c r="CX281" s="400"/>
      <c r="CY281" s="400"/>
      <c r="CZ281" s="400"/>
      <c r="DA281" s="400"/>
      <c r="DB281" s="400"/>
      <c r="DC281" s="400"/>
      <c r="DD281" s="400"/>
      <c r="DE281" s="400"/>
      <c r="DF281" s="400"/>
      <c r="DG281" s="400"/>
      <c r="DH281" s="400"/>
      <c r="DI281" s="400"/>
      <c r="DJ281" s="400"/>
      <c r="DK281" s="400"/>
      <c r="DL281" s="400"/>
      <c r="DM281" s="400"/>
      <c r="DN281" s="400"/>
      <c r="DO281" s="400"/>
      <c r="DP281" s="400"/>
      <c r="DQ281" s="400"/>
      <c r="DR281" s="400"/>
      <c r="DS281" s="400"/>
      <c r="DT281" s="400"/>
      <c r="DU281" s="400"/>
      <c r="DV281" s="400"/>
      <c r="DW281" s="400"/>
      <c r="DX281" s="400"/>
      <c r="DY281" s="400"/>
      <c r="DZ281" s="400"/>
      <c r="EA281" s="400"/>
      <c r="EB281" s="400"/>
      <c r="EC281" s="400"/>
      <c r="ED281" s="400"/>
      <c r="EE281" s="400"/>
      <c r="EF281" s="400"/>
      <c r="EG281" s="400"/>
      <c r="EH281" s="400"/>
      <c r="EI281" s="400"/>
      <c r="EJ281" s="400"/>
      <c r="EK281" s="400"/>
      <c r="EL281" s="400"/>
      <c r="EM281" s="400"/>
      <c r="EN281" s="400"/>
      <c r="EO281" s="400"/>
      <c r="EP281" s="409"/>
      <c r="EQ281" s="18"/>
      <c r="ER281" s="18"/>
      <c r="ES281" s="18"/>
      <c r="ET281" s="18"/>
      <c r="EU281" s="18"/>
      <c r="EV281" s="82"/>
      <c r="EW281" s="82"/>
      <c r="EX281" s="82"/>
      <c r="EY281" s="82"/>
      <c r="EZ281" s="82"/>
      <c r="FA281" s="82"/>
      <c r="FB281" s="82"/>
      <c r="FC281" s="82"/>
      <c r="FD281" s="82"/>
      <c r="FE281" s="82"/>
      <c r="FF281" s="82"/>
      <c r="FG281" s="82"/>
      <c r="FH281" s="82"/>
      <c r="FI281" s="82"/>
      <c r="FJ281" s="82"/>
      <c r="FK281" s="82"/>
      <c r="FL281" s="82"/>
      <c r="FM281" s="82"/>
      <c r="FN281" s="82"/>
      <c r="FO281" s="82"/>
      <c r="FP281" s="82"/>
      <c r="FQ281" s="82"/>
      <c r="FR281" s="82"/>
      <c r="FS281" s="82"/>
      <c r="FT281" s="82"/>
      <c r="FU281" s="82"/>
      <c r="FV281" s="82"/>
      <c r="FW281" s="82"/>
      <c r="FX281" s="82"/>
      <c r="FY281" s="82"/>
      <c r="FZ281" s="82"/>
      <c r="GA281" s="82"/>
      <c r="GB281" s="82"/>
      <c r="GC281" s="82"/>
      <c r="GD281" s="82"/>
      <c r="GE281" s="82"/>
      <c r="GF281" s="82"/>
      <c r="GG281" s="82"/>
      <c r="GH281" s="82"/>
      <c r="GI281" s="82"/>
      <c r="GJ281" s="82"/>
      <c r="GK281" s="82"/>
      <c r="GL281" s="82"/>
      <c r="GM281" s="82"/>
      <c r="GN281" s="82"/>
      <c r="GO281" s="82"/>
      <c r="GP281" s="82"/>
      <c r="GQ281" s="82"/>
      <c r="GR281" s="82"/>
      <c r="GS281" s="82"/>
      <c r="GT281" s="82"/>
      <c r="GU281" s="82"/>
      <c r="GV281" s="82"/>
      <c r="GW281" s="82"/>
      <c r="GX281" s="82"/>
      <c r="GY281" s="82"/>
      <c r="GZ281" s="82"/>
      <c r="HA281" s="82"/>
      <c r="HB281" s="82"/>
      <c r="HC281" s="82"/>
      <c r="HD281" s="82"/>
      <c r="HE281" s="82"/>
      <c r="HF281" s="82"/>
      <c r="HG281" s="82"/>
      <c r="HH281" s="82"/>
      <c r="HI281" s="82"/>
      <c r="HJ281" s="82"/>
      <c r="HK281" s="82"/>
      <c r="HL281" s="82"/>
      <c r="HM281" s="82"/>
      <c r="HN281" s="82"/>
      <c r="HO281" s="82"/>
      <c r="HP281" s="82"/>
      <c r="HQ281" s="82"/>
      <c r="HR281" s="82"/>
      <c r="HS281" s="82"/>
      <c r="HT281" s="82"/>
      <c r="HU281" s="82"/>
      <c r="HV281" s="82"/>
      <c r="HW281" s="82"/>
      <c r="HX281" s="82"/>
      <c r="HY281" s="82"/>
      <c r="HZ281" s="82"/>
      <c r="IA281" s="82"/>
      <c r="IB281" s="82"/>
      <c r="IC281" s="82"/>
      <c r="ID281" s="82"/>
      <c r="IE281" s="82"/>
      <c r="IF281" s="82"/>
      <c r="IG281" s="82"/>
      <c r="IH281" s="82"/>
      <c r="II281" s="82"/>
      <c r="IJ281" s="82"/>
      <c r="IK281" s="82"/>
      <c r="IL281" s="82"/>
      <c r="IM281" s="82"/>
      <c r="IN281" s="82"/>
      <c r="IO281" s="82"/>
      <c r="IP281" s="82"/>
      <c r="IQ281" s="82"/>
      <c r="IR281" s="82"/>
      <c r="IS281" s="82"/>
      <c r="IT281" s="82"/>
      <c r="IU281" s="82"/>
      <c r="IV281" s="82"/>
      <c r="IW281" s="82"/>
      <c r="IX281" s="82"/>
      <c r="IY281" s="82"/>
      <c r="IZ281" s="82"/>
      <c r="JA281" s="82"/>
      <c r="JB281" s="82"/>
      <c r="JC281" s="82"/>
      <c r="JD281" s="82"/>
      <c r="JE281" s="82"/>
      <c r="JF281" s="82"/>
      <c r="JG281" s="82"/>
      <c r="JH281" s="82"/>
      <c r="JI281" s="82"/>
      <c r="JJ281" s="82"/>
      <c r="JK281" s="82"/>
      <c r="JL281" s="82"/>
      <c r="JM281" s="82"/>
      <c r="JN281" s="82"/>
      <c r="JO281" s="82"/>
      <c r="JP281" s="82"/>
      <c r="JQ281" s="82"/>
      <c r="JR281" s="82"/>
      <c r="JS281" s="82"/>
      <c r="JT281" s="82"/>
      <c r="JU281" s="82"/>
      <c r="JV281" s="82"/>
      <c r="JW281" s="82"/>
      <c r="JX281" s="82"/>
      <c r="JZ281" s="263"/>
      <c r="KA281" s="263"/>
      <c r="KB281" s="263"/>
      <c r="KC281" s="263"/>
      <c r="KD281" s="263"/>
      <c r="KE281" s="263"/>
      <c r="KF281" s="263"/>
      <c r="KG281" s="263"/>
      <c r="KH281" s="263"/>
      <c r="KI281" s="263"/>
      <c r="KJ281" s="263"/>
      <c r="KK281" s="263"/>
      <c r="KL281" s="263"/>
      <c r="KM281" s="263"/>
      <c r="KN281" s="263"/>
      <c r="KO281" s="263"/>
      <c r="KP281" s="263"/>
      <c r="KQ281" s="263"/>
      <c r="KR281" s="263"/>
      <c r="KS281" s="263"/>
      <c r="KT281" s="263"/>
      <c r="KU281" s="263"/>
      <c r="KV281" s="263"/>
      <c r="KW281" s="263"/>
      <c r="KX281" s="263"/>
      <c r="KY281" s="263"/>
      <c r="KZ281" s="263"/>
      <c r="LA281" s="263"/>
      <c r="LB281" s="263"/>
      <c r="LC281" s="263"/>
      <c r="LD281" s="263"/>
      <c r="LE281" s="263"/>
      <c r="LF281" s="263"/>
      <c r="LG281" s="263"/>
      <c r="LH281" s="263"/>
      <c r="LI281" s="263"/>
      <c r="LJ281" s="263"/>
      <c r="LK281" s="263"/>
      <c r="LL281" s="263"/>
      <c r="LM281" s="263"/>
      <c r="LN281" s="263"/>
      <c r="LO281" s="263"/>
      <c r="LP281" s="263"/>
      <c r="LQ281" s="263"/>
      <c r="LR281" s="263"/>
      <c r="LS281" s="263"/>
      <c r="LT281" s="263"/>
      <c r="LU281" s="263"/>
      <c r="LV281" s="263"/>
      <c r="LW281" s="263"/>
      <c r="LX281" s="263"/>
      <c r="LY281" s="263"/>
      <c r="LZ281" s="263"/>
      <c r="MA281" s="263"/>
      <c r="MB281" s="263"/>
      <c r="MC281" s="263"/>
      <c r="MD281" s="263"/>
      <c r="ME281" s="263"/>
      <c r="MF281" s="263"/>
      <c r="MG281" s="263"/>
      <c r="MH281" s="263"/>
      <c r="MI281" s="263"/>
      <c r="MJ281" s="263"/>
      <c r="MK281" s="263"/>
      <c r="ML281" s="263"/>
      <c r="MM281" s="263"/>
      <c r="MN281" s="263"/>
      <c r="MO281" s="263"/>
      <c r="MP281" s="263"/>
      <c r="MQ281" s="263"/>
      <c r="MR281" s="263"/>
      <c r="MS281" s="263"/>
      <c r="MT281" s="263"/>
      <c r="MU281" s="263"/>
      <c r="MV281" s="263"/>
      <c r="MW281" s="263"/>
      <c r="MX281" s="263"/>
      <c r="MY281" s="263"/>
      <c r="MZ281" s="263"/>
      <c r="NA281" s="263"/>
      <c r="NB281" s="263"/>
      <c r="NC281" s="263"/>
      <c r="ND281" s="263"/>
      <c r="NE281" s="263"/>
      <c r="NF281" s="263"/>
      <c r="NG281" s="263"/>
      <c r="NH281" s="263"/>
      <c r="NI281" s="263"/>
      <c r="NJ281" s="263"/>
      <c r="NK281" s="263"/>
      <c r="NL281" s="263"/>
      <c r="NM281" s="263"/>
      <c r="NN281" s="263"/>
      <c r="NO281" s="263"/>
      <c r="NP281" s="263"/>
      <c r="NQ281" s="263"/>
      <c r="NR281" s="263"/>
      <c r="NS281" s="263"/>
      <c r="NT281" s="263"/>
      <c r="NU281" s="263"/>
      <c r="NV281" s="263"/>
      <c r="NW281" s="263"/>
      <c r="NX281" s="263"/>
      <c r="NY281" s="263"/>
      <c r="NZ281" s="263"/>
      <c r="OA281" s="263"/>
      <c r="OB281" s="263"/>
      <c r="OC281" s="263"/>
      <c r="OD281" s="263"/>
      <c r="OE281" s="263"/>
      <c r="OF281" s="263"/>
      <c r="OG281" s="263"/>
      <c r="OH281" s="263"/>
      <c r="OI281" s="263"/>
      <c r="OJ281" s="263"/>
      <c r="OK281" s="263"/>
      <c r="OL281" s="263"/>
      <c r="OM281" s="263"/>
      <c r="ON281" s="263"/>
      <c r="OO281" s="263"/>
      <c r="OP281" s="263"/>
      <c r="OQ281" s="263"/>
      <c r="OR281" s="263"/>
      <c r="OS281" s="263"/>
      <c r="OT281" s="263"/>
      <c r="OU281" s="263"/>
      <c r="OV281" s="263"/>
      <c r="OW281" s="263"/>
      <c r="OX281" s="263"/>
      <c r="OY281" s="263"/>
      <c r="OZ281" s="263"/>
      <c r="PA281" s="263"/>
      <c r="PB281" s="263"/>
      <c r="PC281" s="263"/>
      <c r="PD281" s="263"/>
      <c r="PE281" s="263"/>
      <c r="PF281" s="263"/>
      <c r="PG281" s="263"/>
      <c r="PH281" s="263"/>
    </row>
    <row r="282">
      <c r="B282" s="402" t="s">
        <v>462</v>
      </c>
      <c r="C282" s="133">
        <v>1.7500000000000002E-2</v>
      </c>
      <c r="D282" s="129" t="n">
        <f t="dataTable" ref="D282:E286" dt2D="0" dtr="0" r1="G93"/>
        <v>1029.0903474765305</v>
      </c>
      <c r="E282" s="568" t="n">
        <v>9.6887899238492</v>
      </c>
      <c r="F282" s="402" t="s">
        <v>462</v>
      </c>
      <c r="G282" s="131">
        <v>2.2499999999999999E-2</v>
      </c>
      <c r="H282" s="129" t="n">
        <f t="dataTable" ref="H282:I286" dt2D="0" dtr="0" r1="F134"/>
        <v>1029.0903474765305</v>
      </c>
      <c r="I282" s="568" t="n">
        <v>9.6887899238492</v>
      </c>
      <c r="J282" s="399"/>
      <c r="K282" s="400"/>
      <c r="L282" s="400"/>
      <c r="M282" s="400"/>
      <c r="N282" s="400"/>
      <c r="O282" s="400"/>
      <c r="P282" s="400"/>
      <c r="Q282" s="400"/>
      <c r="R282" s="400"/>
      <c r="S282" s="400"/>
      <c r="T282" s="400"/>
      <c r="U282" s="400"/>
      <c r="V282" s="400"/>
      <c r="W282" s="400"/>
      <c r="X282" s="400"/>
      <c r="Y282" s="400"/>
      <c r="Z282" s="400"/>
      <c r="AA282" s="400"/>
      <c r="AB282" s="400"/>
      <c r="AC282" s="400"/>
      <c r="AD282" s="400"/>
      <c r="AE282" s="400"/>
      <c r="AF282" s="400"/>
      <c r="AG282" s="400"/>
      <c r="AH282" s="400"/>
      <c r="AI282" s="400"/>
      <c r="AJ282" s="400"/>
      <c r="AK282" s="400"/>
      <c r="AL282" s="400"/>
      <c r="AM282" s="400"/>
      <c r="AN282" s="400"/>
      <c r="AO282" s="400"/>
      <c r="AP282" s="400"/>
      <c r="AQ282" s="400"/>
      <c r="AR282" s="400"/>
      <c r="AS282" s="400"/>
      <c r="AT282" s="400"/>
      <c r="AU282" s="400"/>
      <c r="AV282" s="400"/>
      <c r="AW282" s="400"/>
      <c r="AX282" s="400"/>
      <c r="AY282" s="400"/>
      <c r="AZ282" s="400"/>
      <c r="BA282" s="400"/>
      <c r="BB282" s="400"/>
      <c r="BC282" s="400"/>
      <c r="BD282" s="400"/>
      <c r="BE282" s="400"/>
      <c r="BF282" s="400"/>
      <c r="BG282" s="400"/>
      <c r="BH282" s="400"/>
      <c r="BI282" s="400"/>
      <c r="BJ282" s="400"/>
      <c r="BK282" s="400"/>
      <c r="BL282" s="400"/>
      <c r="BM282" s="400"/>
      <c r="BN282" s="400"/>
      <c r="BO282" s="400"/>
      <c r="BP282" s="400"/>
      <c r="BQ282" s="400"/>
      <c r="BR282" s="400"/>
      <c r="BS282" s="400"/>
      <c r="BT282" s="400"/>
      <c r="BU282" s="400"/>
      <c r="BV282" s="400"/>
      <c r="BW282" s="400"/>
      <c r="BX282" s="400"/>
      <c r="BY282" s="400"/>
      <c r="BZ282" s="400"/>
      <c r="CA282" s="400"/>
      <c r="CB282" s="400"/>
      <c r="CC282" s="400"/>
      <c r="CD282" s="400"/>
      <c r="CE282" s="400"/>
      <c r="CF282" s="400"/>
      <c r="CG282" s="400"/>
      <c r="CH282" s="400"/>
      <c r="CI282" s="400"/>
      <c r="CJ282" s="400"/>
      <c r="CK282" s="400"/>
      <c r="CL282" s="400"/>
      <c r="CM282" s="400"/>
      <c r="CN282" s="400"/>
      <c r="CO282" s="400"/>
      <c r="CP282" s="400"/>
      <c r="CQ282" s="400"/>
      <c r="CR282" s="400"/>
      <c r="CS282" s="400"/>
      <c r="CT282" s="400"/>
      <c r="CU282" s="400"/>
      <c r="CV282" s="400"/>
      <c r="CW282" s="400"/>
      <c r="CX282" s="400"/>
      <c r="CY282" s="400"/>
      <c r="CZ282" s="400"/>
      <c r="DA282" s="400"/>
      <c r="DB282" s="400"/>
      <c r="DC282" s="400"/>
      <c r="DD282" s="400"/>
      <c r="DE282" s="400"/>
      <c r="DF282" s="400"/>
      <c r="DG282" s="400"/>
      <c r="DH282" s="400"/>
      <c r="DI282" s="400"/>
      <c r="DJ282" s="400"/>
      <c r="DK282" s="400"/>
      <c r="DL282" s="400"/>
      <c r="DM282" s="400"/>
      <c r="DN282" s="400"/>
      <c r="DO282" s="400"/>
      <c r="DP282" s="400"/>
      <c r="DQ282" s="400"/>
      <c r="DR282" s="400"/>
      <c r="DS282" s="400"/>
      <c r="DT282" s="400"/>
      <c r="DU282" s="400"/>
      <c r="DV282" s="400"/>
      <c r="DW282" s="400"/>
      <c r="DX282" s="400"/>
      <c r="DY282" s="400"/>
      <c r="DZ282" s="400"/>
      <c r="EA282" s="400"/>
      <c r="EB282" s="400"/>
      <c r="EC282" s="400"/>
      <c r="ED282" s="400"/>
      <c r="EE282" s="400"/>
      <c r="EF282" s="400"/>
      <c r="EG282" s="400"/>
      <c r="EH282" s="400"/>
      <c r="EI282" s="400"/>
      <c r="EJ282" s="400"/>
      <c r="EK282" s="400"/>
      <c r="EL282" s="400"/>
      <c r="EM282" s="400"/>
      <c r="EN282" s="400"/>
      <c r="EO282" s="400"/>
      <c r="EP282" s="409"/>
      <c r="EQ282" s="18"/>
      <c r="ER282" s="18"/>
      <c r="ES282" s="18"/>
      <c r="ET282" s="18"/>
      <c r="EU282" s="18"/>
      <c r="EV282" s="82"/>
      <c r="EW282" s="82"/>
      <c r="EX282" s="82"/>
      <c r="EY282" s="82"/>
      <c r="EZ282" s="82"/>
      <c r="FA282" s="82"/>
      <c r="FB282" s="82"/>
      <c r="FC282" s="82"/>
      <c r="FD282" s="82"/>
      <c r="FE282" s="82"/>
      <c r="FF282" s="82"/>
      <c r="FG282" s="82"/>
      <c r="FH282" s="82"/>
      <c r="FI282" s="82"/>
      <c r="FJ282" s="82"/>
      <c r="FK282" s="82"/>
      <c r="FL282" s="82"/>
      <c r="FM282" s="82"/>
      <c r="FN282" s="82"/>
      <c r="FO282" s="82"/>
      <c r="FP282" s="82"/>
      <c r="FQ282" s="82"/>
      <c r="FR282" s="82"/>
      <c r="FS282" s="82"/>
      <c r="FT282" s="82"/>
      <c r="FU282" s="82"/>
      <c r="FV282" s="82"/>
      <c r="FW282" s="82"/>
      <c r="FX282" s="82"/>
      <c r="FY282" s="82"/>
      <c r="FZ282" s="82"/>
      <c r="GA282" s="82"/>
      <c r="GB282" s="82"/>
      <c r="GC282" s="82"/>
      <c r="GD282" s="82"/>
      <c r="GE282" s="82"/>
      <c r="GF282" s="82"/>
      <c r="GG282" s="82"/>
      <c r="GH282" s="82"/>
      <c r="GI282" s="82"/>
      <c r="GJ282" s="82"/>
      <c r="GK282" s="82"/>
      <c r="GL282" s="82"/>
      <c r="GM282" s="82"/>
      <c r="GN282" s="82"/>
      <c r="GO282" s="82"/>
      <c r="GP282" s="82"/>
      <c r="GQ282" s="82"/>
      <c r="GR282" s="82"/>
      <c r="GS282" s="82"/>
      <c r="GT282" s="82"/>
      <c r="GU282" s="82"/>
      <c r="GV282" s="82"/>
      <c r="GW282" s="82"/>
      <c r="GX282" s="82"/>
      <c r="GY282" s="82"/>
      <c r="GZ282" s="82"/>
      <c r="HA282" s="82"/>
      <c r="HB282" s="82"/>
      <c r="HC282" s="82"/>
      <c r="HD282" s="82"/>
      <c r="HE282" s="82"/>
      <c r="HF282" s="82"/>
      <c r="HG282" s="82"/>
      <c r="HH282" s="82"/>
      <c r="HI282" s="82"/>
      <c r="HJ282" s="82"/>
      <c r="HK282" s="82"/>
      <c r="HL282" s="82"/>
      <c r="HM282" s="82"/>
      <c r="HN282" s="82"/>
      <c r="HO282" s="82"/>
      <c r="HP282" s="82"/>
      <c r="HQ282" s="82"/>
      <c r="HR282" s="82"/>
      <c r="HS282" s="82"/>
      <c r="HT282" s="82"/>
      <c r="HU282" s="82"/>
      <c r="HV282" s="82"/>
      <c r="HW282" s="82"/>
      <c r="HX282" s="82"/>
      <c r="HY282" s="82"/>
      <c r="HZ282" s="82"/>
      <c r="IA282" s="82"/>
      <c r="IB282" s="82"/>
      <c r="IC282" s="82"/>
      <c r="ID282" s="82"/>
      <c r="IE282" s="82"/>
      <c r="IF282" s="82"/>
      <c r="IG282" s="82"/>
      <c r="IH282" s="82"/>
      <c r="II282" s="82"/>
      <c r="IJ282" s="82"/>
      <c r="IK282" s="82"/>
      <c r="IL282" s="82"/>
      <c r="IM282" s="82"/>
      <c r="IN282" s="82"/>
      <c r="IO282" s="82"/>
      <c r="IP282" s="82"/>
      <c r="IQ282" s="82"/>
      <c r="IR282" s="82"/>
      <c r="IS282" s="82"/>
      <c r="IT282" s="82"/>
      <c r="IU282" s="82"/>
      <c r="IV282" s="82"/>
      <c r="IW282" s="82"/>
      <c r="IX282" s="82"/>
      <c r="IY282" s="82"/>
      <c r="IZ282" s="82"/>
      <c r="JA282" s="82"/>
      <c r="JB282" s="82"/>
      <c r="JC282" s="82"/>
      <c r="JD282" s="82"/>
      <c r="JE282" s="82"/>
      <c r="JF282" s="82"/>
      <c r="JG282" s="82"/>
      <c r="JH282" s="82"/>
      <c r="JI282" s="82"/>
      <c r="JJ282" s="82"/>
      <c r="JK282" s="82"/>
      <c r="JL282" s="82"/>
      <c r="JM282" s="82"/>
      <c r="JN282" s="82"/>
      <c r="JO282" s="82"/>
      <c r="JP282" s="82"/>
      <c r="JQ282" s="82"/>
      <c r="JR282" s="82"/>
      <c r="JS282" s="82"/>
      <c r="JT282" s="82"/>
      <c r="JU282" s="82"/>
      <c r="JV282" s="82"/>
      <c r="JW282" s="82"/>
      <c r="JX282" s="82"/>
      <c r="JZ282" s="263"/>
      <c r="KA282" s="263"/>
      <c r="KB282" s="263"/>
      <c r="KC282" s="263"/>
      <c r="KD282" s="263"/>
      <c r="KE282" s="263"/>
      <c r="KF282" s="263"/>
      <c r="KG282" s="263"/>
      <c r="KH282" s="263"/>
      <c r="KI282" s="263"/>
      <c r="KJ282" s="263"/>
      <c r="KK282" s="263"/>
      <c r="KL282" s="263"/>
      <c r="KM282" s="263"/>
      <c r="KN282" s="263"/>
      <c r="KO282" s="263"/>
      <c r="KP282" s="263"/>
      <c r="KQ282" s="263"/>
      <c r="KR282" s="263"/>
      <c r="KS282" s="263"/>
      <c r="KT282" s="263"/>
      <c r="KU282" s="263"/>
      <c r="KV282" s="263"/>
      <c r="KW282" s="263"/>
      <c r="KX282" s="263"/>
      <c r="KY282" s="263"/>
      <c r="KZ282" s="263"/>
      <c r="LA282" s="263"/>
      <c r="LB282" s="263"/>
      <c r="LC282" s="263"/>
      <c r="LD282" s="263"/>
      <c r="LE282" s="263"/>
      <c r="LF282" s="263"/>
      <c r="LG282" s="263"/>
      <c r="LH282" s="263"/>
      <c r="LI282" s="263"/>
      <c r="LJ282" s="263"/>
      <c r="LK282" s="263"/>
      <c r="LL282" s="263"/>
      <c r="LM282" s="263"/>
      <c r="LN282" s="263"/>
      <c r="LO282" s="263"/>
      <c r="LP282" s="263"/>
      <c r="LQ282" s="263"/>
      <c r="LR282" s="263"/>
      <c r="LS282" s="263"/>
      <c r="LT282" s="263"/>
      <c r="LU282" s="263"/>
      <c r="LV282" s="263"/>
      <c r="LW282" s="263"/>
      <c r="LX282" s="263"/>
      <c r="LY282" s="263"/>
      <c r="LZ282" s="263"/>
      <c r="MA282" s="263"/>
      <c r="MB282" s="263"/>
      <c r="MC282" s="263"/>
      <c r="MD282" s="263"/>
      <c r="ME282" s="263"/>
      <c r="MF282" s="263"/>
      <c r="MG282" s="263"/>
      <c r="MH282" s="263"/>
      <c r="MI282" s="263"/>
      <c r="MJ282" s="263"/>
      <c r="MK282" s="263"/>
      <c r="ML282" s="263"/>
      <c r="MM282" s="263"/>
      <c r="MN282" s="263"/>
      <c r="MO282" s="263"/>
      <c r="MP282" s="263"/>
      <c r="MQ282" s="263"/>
      <c r="MR282" s="263"/>
      <c r="MS282" s="263"/>
      <c r="MT282" s="263"/>
      <c r="MU282" s="263"/>
      <c r="MV282" s="263"/>
      <c r="MW282" s="263"/>
      <c r="MX282" s="263"/>
      <c r="MY282" s="263"/>
      <c r="MZ282" s="263"/>
      <c r="NA282" s="263"/>
      <c r="NB282" s="263"/>
      <c r="NC282" s="263"/>
      <c r="ND282" s="263"/>
      <c r="NE282" s="263"/>
      <c r="NF282" s="263"/>
      <c r="NG282" s="263"/>
      <c r="NH282" s="263"/>
      <c r="NI282" s="263"/>
      <c r="NJ282" s="263"/>
      <c r="NK282" s="263"/>
      <c r="NL282" s="263"/>
      <c r="NM282" s="263"/>
      <c r="NN282" s="263"/>
      <c r="NO282" s="263"/>
      <c r="NP282" s="263"/>
      <c r="NQ282" s="263"/>
      <c r="NR282" s="263"/>
      <c r="NS282" s="263"/>
      <c r="NT282" s="263"/>
      <c r="NU282" s="263"/>
      <c r="NV282" s="263"/>
      <c r="NW282" s="263"/>
      <c r="NX282" s="263"/>
      <c r="NY282" s="263"/>
      <c r="NZ282" s="263"/>
      <c r="OA282" s="263"/>
      <c r="OB282" s="263"/>
      <c r="OC282" s="263"/>
      <c r="OD282" s="263"/>
      <c r="OE282" s="263"/>
      <c r="OF282" s="263"/>
      <c r="OG282" s="263"/>
      <c r="OH282" s="263"/>
      <c r="OI282" s="263"/>
      <c r="OJ282" s="263"/>
      <c r="OK282" s="263"/>
      <c r="OL282" s="263"/>
      <c r="OM282" s="263"/>
      <c r="ON282" s="263"/>
      <c r="OO282" s="263"/>
      <c r="OP282" s="263"/>
      <c r="OQ282" s="263"/>
      <c r="OR282" s="263"/>
      <c r="OS282" s="263"/>
      <c r="OT282" s="263"/>
      <c r="OU282" s="263"/>
      <c r="OV282" s="263"/>
      <c r="OW282" s="263"/>
      <c r="OX282" s="263"/>
      <c r="OY282" s="263"/>
      <c r="OZ282" s="263"/>
      <c r="PA282" s="263"/>
      <c r="PB282" s="263"/>
      <c r="PC282" s="263"/>
      <c r="PD282" s="263"/>
      <c r="PE282" s="263"/>
      <c r="PF282" s="263"/>
      <c r="PG282" s="263"/>
      <c r="PH282" s="263"/>
    </row>
    <row r="283">
      <c r="B283" s="402" t="s">
        <v>463</v>
      </c>
      <c r="C283" s="133">
        <v>1.4999999999999999E-2</v>
      </c>
      <c r="D283" s="129" t="n">
        <v>1029.0903474765305</v>
      </c>
      <c r="E283" s="568" t="n">
        <v>9.6887899238492</v>
      </c>
      <c r="F283" s="402" t="s">
        <v>463</v>
      </c>
      <c r="G283" s="131">
        <v>2.5000000000000001E-2</v>
      </c>
      <c r="H283" s="129" t="n">
        <v>1029.0903474765305</v>
      </c>
      <c r="I283" s="568" t="n">
        <v>9.6887899238492</v>
      </c>
      <c r="J283" s="399"/>
      <c r="K283" s="400"/>
      <c r="L283" s="400"/>
      <c r="M283" s="400"/>
      <c r="N283" s="400"/>
      <c r="O283" s="400"/>
      <c r="P283" s="400"/>
      <c r="Q283" s="400"/>
      <c r="R283" s="400"/>
      <c r="S283" s="400"/>
      <c r="T283" s="400"/>
      <c r="U283" s="400"/>
      <c r="V283" s="400"/>
      <c r="W283" s="400"/>
      <c r="X283" s="400"/>
      <c r="Y283" s="400"/>
      <c r="Z283" s="400"/>
      <c r="AA283" s="400"/>
      <c r="AB283" s="400"/>
      <c r="AC283" s="400"/>
      <c r="AD283" s="400"/>
      <c r="AE283" s="400"/>
      <c r="AF283" s="400"/>
      <c r="AG283" s="400"/>
      <c r="AH283" s="400"/>
      <c r="AI283" s="400"/>
      <c r="AJ283" s="400"/>
      <c r="AK283" s="400"/>
      <c r="AL283" s="400"/>
      <c r="AM283" s="400"/>
      <c r="AN283" s="400"/>
      <c r="AO283" s="400"/>
      <c r="AP283" s="400"/>
      <c r="AQ283" s="400"/>
      <c r="AR283" s="400"/>
      <c r="AS283" s="400"/>
      <c r="AT283" s="400"/>
      <c r="AU283" s="400"/>
      <c r="AV283" s="400"/>
      <c r="AW283" s="400"/>
      <c r="AX283" s="400"/>
      <c r="AY283" s="400"/>
      <c r="AZ283" s="400"/>
      <c r="BA283" s="400"/>
      <c r="BB283" s="400"/>
      <c r="BC283" s="400"/>
      <c r="BD283" s="400"/>
      <c r="BE283" s="400"/>
      <c r="BF283" s="400"/>
      <c r="BG283" s="400"/>
      <c r="BH283" s="400"/>
      <c r="BI283" s="400"/>
      <c r="BJ283" s="400"/>
      <c r="BK283" s="400"/>
      <c r="BL283" s="400"/>
      <c r="BM283" s="400"/>
      <c r="BN283" s="400"/>
      <c r="BO283" s="400"/>
      <c r="BP283" s="400"/>
      <c r="BQ283" s="400"/>
      <c r="BR283" s="400"/>
      <c r="BS283" s="400"/>
      <c r="BT283" s="400"/>
      <c r="BU283" s="400"/>
      <c r="BV283" s="400"/>
      <c r="BW283" s="400"/>
      <c r="BX283" s="400"/>
      <c r="BY283" s="400"/>
      <c r="BZ283" s="400"/>
      <c r="CA283" s="400"/>
      <c r="CB283" s="400"/>
      <c r="CC283" s="400"/>
      <c r="CD283" s="400"/>
      <c r="CE283" s="400"/>
      <c r="CF283" s="400"/>
      <c r="CG283" s="400"/>
      <c r="CH283" s="400"/>
      <c r="CI283" s="400"/>
      <c r="CJ283" s="400"/>
      <c r="CK283" s="400"/>
      <c r="CL283" s="400"/>
      <c r="CM283" s="400"/>
      <c r="CN283" s="400"/>
      <c r="CO283" s="400"/>
      <c r="CP283" s="400"/>
      <c r="CQ283" s="400"/>
      <c r="CR283" s="400"/>
      <c r="CS283" s="400"/>
      <c r="CT283" s="400"/>
      <c r="CU283" s="400"/>
      <c r="CV283" s="400"/>
      <c r="CW283" s="400"/>
      <c r="CX283" s="400"/>
      <c r="CY283" s="400"/>
      <c r="CZ283" s="400"/>
      <c r="DA283" s="400"/>
      <c r="DB283" s="400"/>
      <c r="DC283" s="400"/>
      <c r="DD283" s="400"/>
      <c r="DE283" s="400"/>
      <c r="DF283" s="400"/>
      <c r="DG283" s="400"/>
      <c r="DH283" s="400"/>
      <c r="DI283" s="400"/>
      <c r="DJ283" s="400"/>
      <c r="DK283" s="400"/>
      <c r="DL283" s="400"/>
      <c r="DM283" s="400"/>
      <c r="DN283" s="400"/>
      <c r="DO283" s="400"/>
      <c r="DP283" s="400"/>
      <c r="DQ283" s="400"/>
      <c r="DR283" s="400"/>
      <c r="DS283" s="400"/>
      <c r="DT283" s="400"/>
      <c r="DU283" s="400"/>
      <c r="DV283" s="400"/>
      <c r="DW283" s="400"/>
      <c r="DX283" s="400"/>
      <c r="DY283" s="400"/>
      <c r="DZ283" s="400"/>
      <c r="EA283" s="400"/>
      <c r="EB283" s="400"/>
      <c r="EC283" s="400"/>
      <c r="ED283" s="400"/>
      <c r="EE283" s="400"/>
      <c r="EF283" s="400"/>
      <c r="EG283" s="400"/>
      <c r="EH283" s="400"/>
      <c r="EI283" s="400"/>
      <c r="EJ283" s="400"/>
      <c r="EK283" s="400"/>
      <c r="EL283" s="400"/>
      <c r="EM283" s="400"/>
      <c r="EN283" s="400"/>
      <c r="EO283" s="400"/>
      <c r="EP283" s="409"/>
      <c r="EQ283" s="18"/>
      <c r="ER283" s="18"/>
      <c r="ES283" s="18"/>
      <c r="ET283" s="18"/>
      <c r="EU283" s="18"/>
      <c r="EV283" s="82"/>
      <c r="EW283" s="82"/>
      <c r="EX283" s="82"/>
      <c r="EY283" s="82"/>
      <c r="EZ283" s="82"/>
      <c r="FA283" s="82"/>
      <c r="FB283" s="82"/>
      <c r="FC283" s="82"/>
      <c r="FD283" s="82"/>
      <c r="FE283" s="82"/>
      <c r="FF283" s="82"/>
      <c r="FG283" s="82"/>
      <c r="FH283" s="82"/>
      <c r="FI283" s="82"/>
      <c r="FJ283" s="82"/>
      <c r="FK283" s="82"/>
      <c r="FL283" s="82"/>
      <c r="FM283" s="82"/>
      <c r="FN283" s="82"/>
      <c r="FO283" s="82"/>
      <c r="FP283" s="82"/>
      <c r="FQ283" s="82"/>
      <c r="FR283" s="82"/>
      <c r="FS283" s="82"/>
      <c r="FT283" s="82"/>
      <c r="FU283" s="82"/>
      <c r="FV283" s="82"/>
      <c r="FW283" s="82"/>
      <c r="FX283" s="82"/>
      <c r="FY283" s="82"/>
      <c r="FZ283" s="82"/>
      <c r="GA283" s="82"/>
      <c r="GB283" s="82"/>
      <c r="GC283" s="82"/>
      <c r="GD283" s="82"/>
      <c r="GE283" s="82"/>
      <c r="GF283" s="82"/>
      <c r="GG283" s="82"/>
      <c r="GH283" s="82"/>
      <c r="GI283" s="82"/>
      <c r="GJ283" s="82"/>
      <c r="GK283" s="82"/>
      <c r="GL283" s="82"/>
      <c r="GM283" s="82"/>
      <c r="GN283" s="82"/>
      <c r="GO283" s="82"/>
      <c r="GP283" s="82"/>
      <c r="GQ283" s="82"/>
      <c r="GR283" s="82"/>
      <c r="GS283" s="82"/>
      <c r="GT283" s="82"/>
      <c r="GU283" s="82"/>
      <c r="GV283" s="82"/>
      <c r="GW283" s="82"/>
      <c r="GX283" s="82"/>
      <c r="GY283" s="82"/>
      <c r="GZ283" s="82"/>
      <c r="HA283" s="82"/>
      <c r="HB283" s="82"/>
      <c r="HC283" s="82"/>
      <c r="HD283" s="82"/>
      <c r="HE283" s="82"/>
      <c r="HF283" s="82"/>
      <c r="HG283" s="82"/>
      <c r="HH283" s="82"/>
      <c r="HI283" s="82"/>
      <c r="HJ283" s="82"/>
      <c r="HK283" s="82"/>
      <c r="HL283" s="82"/>
      <c r="HM283" s="82"/>
      <c r="HN283" s="82"/>
      <c r="HO283" s="82"/>
      <c r="HP283" s="82"/>
      <c r="HQ283" s="82"/>
      <c r="HR283" s="82"/>
      <c r="HS283" s="82"/>
      <c r="HT283" s="82"/>
      <c r="HU283" s="82"/>
      <c r="HV283" s="82"/>
      <c r="HW283" s="82"/>
      <c r="HX283" s="82"/>
      <c r="HY283" s="82"/>
      <c r="HZ283" s="82"/>
      <c r="IA283" s="82"/>
      <c r="IB283" s="82"/>
      <c r="IC283" s="82"/>
      <c r="ID283" s="82"/>
      <c r="IE283" s="82"/>
      <c r="IF283" s="82"/>
      <c r="IG283" s="82"/>
      <c r="IH283" s="82"/>
      <c r="II283" s="82"/>
      <c r="IJ283" s="82"/>
      <c r="IK283" s="82"/>
      <c r="IL283" s="82"/>
      <c r="IM283" s="82"/>
      <c r="IN283" s="82"/>
      <c r="IO283" s="82"/>
      <c r="IP283" s="82"/>
      <c r="IQ283" s="82"/>
      <c r="IR283" s="82"/>
      <c r="IS283" s="82"/>
      <c r="IT283" s="82"/>
      <c r="IU283" s="82"/>
      <c r="IV283" s="82"/>
      <c r="IW283" s="82"/>
      <c r="IX283" s="82"/>
      <c r="IY283" s="82"/>
      <c r="IZ283" s="82"/>
      <c r="JA283" s="82"/>
      <c r="JB283" s="82"/>
      <c r="JC283" s="82"/>
      <c r="JD283" s="82"/>
      <c r="JE283" s="82"/>
      <c r="JF283" s="82"/>
      <c r="JG283" s="82"/>
      <c r="JH283" s="82"/>
      <c r="JI283" s="82"/>
      <c r="JJ283" s="82"/>
      <c r="JK283" s="82"/>
      <c r="JL283" s="82"/>
      <c r="JM283" s="82"/>
      <c r="JN283" s="82"/>
      <c r="JO283" s="82"/>
      <c r="JP283" s="82"/>
      <c r="JQ283" s="82"/>
      <c r="JR283" s="82"/>
      <c r="JS283" s="82"/>
      <c r="JT283" s="82"/>
      <c r="JU283" s="82"/>
      <c r="JV283" s="82"/>
      <c r="JW283" s="82"/>
      <c r="JX283" s="82"/>
      <c r="JZ283" s="263"/>
      <c r="KA283" s="263"/>
      <c r="KB283" s="263"/>
      <c r="KC283" s="263"/>
      <c r="KD283" s="263"/>
      <c r="KE283" s="263"/>
      <c r="KF283" s="263"/>
      <c r="KG283" s="263"/>
      <c r="KH283" s="263"/>
      <c r="KI283" s="263"/>
      <c r="KJ283" s="263"/>
      <c r="KK283" s="263"/>
      <c r="KL283" s="263"/>
      <c r="KM283" s="263"/>
      <c r="KN283" s="263"/>
      <c r="KO283" s="263"/>
      <c r="KP283" s="263"/>
      <c r="KQ283" s="263"/>
      <c r="KR283" s="263"/>
      <c r="KS283" s="263"/>
      <c r="KT283" s="263"/>
      <c r="KU283" s="263"/>
      <c r="KV283" s="263"/>
      <c r="KW283" s="263"/>
      <c r="KX283" s="263"/>
      <c r="KY283" s="263"/>
      <c r="KZ283" s="263"/>
      <c r="LA283" s="263"/>
      <c r="LB283" s="263"/>
      <c r="LC283" s="263"/>
      <c r="LD283" s="263"/>
      <c r="LE283" s="263"/>
      <c r="LF283" s="263"/>
      <c r="LG283" s="263"/>
      <c r="LH283" s="263"/>
      <c r="LI283" s="263"/>
      <c r="LJ283" s="263"/>
      <c r="LK283" s="263"/>
      <c r="LL283" s="263"/>
      <c r="LM283" s="263"/>
      <c r="LN283" s="263"/>
      <c r="LO283" s="263"/>
      <c r="LP283" s="263"/>
      <c r="LQ283" s="263"/>
      <c r="LR283" s="263"/>
      <c r="LS283" s="263"/>
      <c r="LT283" s="263"/>
      <c r="LU283" s="263"/>
      <c r="LV283" s="263"/>
      <c r="LW283" s="263"/>
      <c r="LX283" s="263"/>
      <c r="LY283" s="263"/>
      <c r="LZ283" s="263"/>
      <c r="MA283" s="263"/>
      <c r="MB283" s="263"/>
      <c r="MC283" s="263"/>
      <c r="MD283" s="263"/>
      <c r="ME283" s="263"/>
      <c r="MF283" s="263"/>
      <c r="MG283" s="263"/>
      <c r="MH283" s="263"/>
      <c r="MI283" s="263"/>
      <c r="MJ283" s="263"/>
      <c r="MK283" s="263"/>
      <c r="ML283" s="263"/>
      <c r="MM283" s="263"/>
      <c r="MN283" s="263"/>
      <c r="MO283" s="263"/>
      <c r="MP283" s="263"/>
      <c r="MQ283" s="263"/>
      <c r="MR283" s="263"/>
      <c r="MS283" s="263"/>
      <c r="MT283" s="263"/>
      <c r="MU283" s="263"/>
      <c r="MV283" s="263"/>
      <c r="MW283" s="263"/>
      <c r="MX283" s="263"/>
      <c r="MY283" s="263"/>
      <c r="MZ283" s="263"/>
      <c r="NA283" s="263"/>
      <c r="NB283" s="263"/>
      <c r="NC283" s="263"/>
      <c r="ND283" s="263"/>
      <c r="NE283" s="263"/>
      <c r="NF283" s="263"/>
      <c r="NG283" s="263"/>
      <c r="NH283" s="263"/>
      <c r="NI283" s="263"/>
      <c r="NJ283" s="263"/>
      <c r="NK283" s="263"/>
      <c r="NL283" s="263"/>
      <c r="NM283" s="263"/>
      <c r="NN283" s="263"/>
      <c r="NO283" s="263"/>
      <c r="NP283" s="263"/>
      <c r="NQ283" s="263"/>
      <c r="NR283" s="263"/>
      <c r="NS283" s="263"/>
      <c r="NT283" s="263"/>
      <c r="NU283" s="263"/>
      <c r="NV283" s="263"/>
      <c r="NW283" s="263"/>
      <c r="NX283" s="263"/>
      <c r="NY283" s="263"/>
      <c r="NZ283" s="263"/>
      <c r="OA283" s="263"/>
      <c r="OB283" s="263"/>
      <c r="OC283" s="263"/>
      <c r="OD283" s="263"/>
      <c r="OE283" s="263"/>
      <c r="OF283" s="263"/>
      <c r="OG283" s="263"/>
      <c r="OH283" s="263"/>
      <c r="OI283" s="263"/>
      <c r="OJ283" s="263"/>
      <c r="OK283" s="263"/>
      <c r="OL283" s="263"/>
      <c r="OM283" s="263"/>
      <c r="ON283" s="263"/>
      <c r="OO283" s="263"/>
      <c r="OP283" s="263"/>
      <c r="OQ283" s="263"/>
      <c r="OR283" s="263"/>
      <c r="OS283" s="263"/>
      <c r="OT283" s="263"/>
      <c r="OU283" s="263"/>
      <c r="OV283" s="263"/>
      <c r="OW283" s="263"/>
      <c r="OX283" s="263"/>
      <c r="OY283" s="263"/>
      <c r="OZ283" s="263"/>
      <c r="PA283" s="263"/>
      <c r="PB283" s="263"/>
      <c r="PC283" s="263"/>
      <c r="PD283" s="263"/>
      <c r="PE283" s="263"/>
      <c r="PF283" s="263"/>
      <c r="PG283" s="263"/>
      <c r="PH283" s="263"/>
    </row>
    <row r="284">
      <c r="B284" s="402" t="s">
        <v>464</v>
      </c>
      <c r="C284" s="133">
        <v>1.2500000000000001E-2</v>
      </c>
      <c r="D284" s="129" t="n">
        <v>1029.0903474765305</v>
      </c>
      <c r="E284" s="568" t="n">
        <v>9.6887899238492</v>
      </c>
      <c r="F284" s="402" t="s">
        <v>464</v>
      </c>
      <c r="G284" s="131">
        <v>2.75E-2</v>
      </c>
      <c r="H284" s="129" t="n">
        <v>1029.0903474765305</v>
      </c>
      <c r="I284" s="568" t="n">
        <v>9.6887899238492</v>
      </c>
      <c r="J284" s="399"/>
      <c r="K284" s="400"/>
      <c r="L284" s="400"/>
      <c r="M284" s="400"/>
      <c r="N284" s="400"/>
      <c r="O284" s="400"/>
      <c r="P284" s="400"/>
      <c r="Q284" s="400"/>
      <c r="R284" s="400"/>
      <c r="S284" s="400"/>
      <c r="T284" s="400"/>
      <c r="U284" s="400"/>
      <c r="V284" s="400"/>
      <c r="W284" s="400"/>
      <c r="X284" s="400"/>
      <c r="Y284" s="400"/>
      <c r="Z284" s="400"/>
      <c r="AA284" s="400"/>
      <c r="AB284" s="400"/>
      <c r="AC284" s="400"/>
      <c r="AD284" s="400"/>
      <c r="AE284" s="400"/>
      <c r="AF284" s="400"/>
      <c r="AG284" s="400"/>
      <c r="AH284" s="400"/>
      <c r="AI284" s="400"/>
      <c r="AJ284" s="400"/>
      <c r="AK284" s="400"/>
      <c r="AL284" s="400"/>
      <c r="AM284" s="400"/>
      <c r="AN284" s="400"/>
      <c r="AO284" s="400"/>
      <c r="AP284" s="400"/>
      <c r="AQ284" s="400"/>
      <c r="AR284" s="400"/>
      <c r="AS284" s="400"/>
      <c r="AT284" s="400"/>
      <c r="AU284" s="400"/>
      <c r="AV284" s="400"/>
      <c r="AW284" s="400"/>
      <c r="AX284" s="400"/>
      <c r="AY284" s="400"/>
      <c r="AZ284" s="400"/>
      <c r="BA284" s="400"/>
      <c r="BB284" s="400"/>
      <c r="BC284" s="400"/>
      <c r="BD284" s="400"/>
      <c r="BE284" s="400"/>
      <c r="BF284" s="400"/>
      <c r="BG284" s="400"/>
      <c r="BH284" s="400"/>
      <c r="BI284" s="400"/>
      <c r="BJ284" s="400"/>
      <c r="BK284" s="400"/>
      <c r="BL284" s="400"/>
      <c r="BM284" s="400"/>
      <c r="BN284" s="400"/>
      <c r="BO284" s="400"/>
      <c r="BP284" s="400"/>
      <c r="BQ284" s="400"/>
      <c r="BR284" s="400"/>
      <c r="BS284" s="400"/>
      <c r="BT284" s="400"/>
      <c r="BU284" s="400"/>
      <c r="BV284" s="400"/>
      <c r="BW284" s="400"/>
      <c r="BX284" s="400"/>
      <c r="BY284" s="400"/>
      <c r="BZ284" s="400"/>
      <c r="CA284" s="400"/>
      <c r="CB284" s="400"/>
      <c r="CC284" s="400"/>
      <c r="CD284" s="400"/>
      <c r="CE284" s="400"/>
      <c r="CF284" s="400"/>
      <c r="CG284" s="400"/>
      <c r="CH284" s="400"/>
      <c r="CI284" s="400"/>
      <c r="CJ284" s="400"/>
      <c r="CK284" s="400"/>
      <c r="CL284" s="400"/>
      <c r="CM284" s="400"/>
      <c r="CN284" s="400"/>
      <c r="CO284" s="400"/>
      <c r="CP284" s="400"/>
      <c r="CQ284" s="400"/>
      <c r="CR284" s="400"/>
      <c r="CS284" s="400"/>
      <c r="CT284" s="400"/>
      <c r="CU284" s="400"/>
      <c r="CV284" s="400"/>
      <c r="CW284" s="400"/>
      <c r="CX284" s="400"/>
      <c r="CY284" s="400"/>
      <c r="CZ284" s="400"/>
      <c r="DA284" s="400"/>
      <c r="DB284" s="400"/>
      <c r="DC284" s="400"/>
      <c r="DD284" s="400"/>
      <c r="DE284" s="400"/>
      <c r="DF284" s="400"/>
      <c r="DG284" s="400"/>
      <c r="DH284" s="400"/>
      <c r="DI284" s="400"/>
      <c r="DJ284" s="400"/>
      <c r="DK284" s="400"/>
      <c r="DL284" s="400"/>
      <c r="DM284" s="400"/>
      <c r="DN284" s="400"/>
      <c r="DO284" s="400"/>
      <c r="DP284" s="400"/>
      <c r="DQ284" s="400"/>
      <c r="DR284" s="400"/>
      <c r="DS284" s="400"/>
      <c r="DT284" s="400"/>
      <c r="DU284" s="400"/>
      <c r="DV284" s="400"/>
      <c r="DW284" s="400"/>
      <c r="DX284" s="400"/>
      <c r="DY284" s="400"/>
      <c r="DZ284" s="400"/>
      <c r="EA284" s="400"/>
      <c r="EB284" s="400"/>
      <c r="EC284" s="400"/>
      <c r="ED284" s="400"/>
      <c r="EE284" s="400"/>
      <c r="EF284" s="400"/>
      <c r="EG284" s="400"/>
      <c r="EH284" s="400"/>
      <c r="EI284" s="400"/>
      <c r="EJ284" s="400"/>
      <c r="EK284" s="400"/>
      <c r="EL284" s="400"/>
      <c r="EM284" s="400"/>
      <c r="EN284" s="400"/>
      <c r="EO284" s="400"/>
      <c r="EP284" s="409"/>
      <c r="EQ284" s="18"/>
      <c r="ER284" s="18"/>
      <c r="ES284" s="18"/>
      <c r="ET284" s="18"/>
      <c r="EU284" s="18"/>
      <c r="EV284" s="82"/>
      <c r="EW284" s="82"/>
      <c r="EX284" s="82"/>
      <c r="EY284" s="82"/>
      <c r="EZ284" s="82"/>
      <c r="FA284" s="82"/>
      <c r="FB284" s="82"/>
      <c r="FC284" s="82"/>
      <c r="FD284" s="82"/>
      <c r="FE284" s="82"/>
      <c r="FF284" s="82"/>
      <c r="FG284" s="82"/>
      <c r="FH284" s="82"/>
      <c r="FI284" s="82"/>
      <c r="FJ284" s="82"/>
      <c r="FK284" s="82"/>
      <c r="FL284" s="82"/>
      <c r="FM284" s="82"/>
      <c r="FN284" s="82"/>
      <c r="FO284" s="82"/>
      <c r="FP284" s="82"/>
      <c r="FQ284" s="82"/>
      <c r="FR284" s="82"/>
      <c r="FS284" s="82"/>
      <c r="FT284" s="82"/>
      <c r="FU284" s="82"/>
      <c r="FV284" s="82"/>
      <c r="FW284" s="82"/>
      <c r="FX284" s="82"/>
      <c r="FY284" s="82"/>
      <c r="FZ284" s="82"/>
      <c r="GA284" s="82"/>
      <c r="GB284" s="82"/>
      <c r="GC284" s="82"/>
      <c r="GD284" s="82"/>
      <c r="GE284" s="82"/>
      <c r="GF284" s="82"/>
      <c r="GG284" s="82"/>
      <c r="GH284" s="82"/>
      <c r="GI284" s="82"/>
      <c r="GJ284" s="82"/>
      <c r="GK284" s="82"/>
      <c r="GL284" s="82"/>
      <c r="GM284" s="82"/>
      <c r="GN284" s="82"/>
      <c r="GO284" s="82"/>
      <c r="GP284" s="82"/>
      <c r="GQ284" s="82"/>
      <c r="GR284" s="82"/>
      <c r="GS284" s="82"/>
      <c r="GT284" s="82"/>
      <c r="GU284" s="82"/>
      <c r="GV284" s="82"/>
      <c r="GW284" s="82"/>
      <c r="GX284" s="82"/>
      <c r="GY284" s="82"/>
      <c r="GZ284" s="82"/>
      <c r="HA284" s="82"/>
      <c r="HB284" s="82"/>
      <c r="HC284" s="82"/>
      <c r="HD284" s="82"/>
      <c r="HE284" s="82"/>
      <c r="HF284" s="82"/>
      <c r="HG284" s="82"/>
      <c r="HH284" s="82"/>
      <c r="HI284" s="82"/>
      <c r="HJ284" s="82"/>
      <c r="HK284" s="82"/>
      <c r="HL284" s="82"/>
      <c r="HM284" s="82"/>
      <c r="HN284" s="82"/>
      <c r="HO284" s="82"/>
      <c r="HP284" s="82"/>
      <c r="HQ284" s="82"/>
      <c r="HR284" s="82"/>
      <c r="HS284" s="82"/>
      <c r="HT284" s="82"/>
      <c r="HU284" s="82"/>
      <c r="HV284" s="82"/>
      <c r="HW284" s="82"/>
      <c r="HX284" s="82"/>
      <c r="HY284" s="82"/>
      <c r="HZ284" s="82"/>
      <c r="IA284" s="82"/>
      <c r="IB284" s="82"/>
      <c r="IC284" s="82"/>
      <c r="ID284" s="82"/>
      <c r="IE284" s="82"/>
      <c r="IF284" s="82"/>
      <c r="IG284" s="82"/>
      <c r="IH284" s="82"/>
      <c r="II284" s="82"/>
      <c r="IJ284" s="82"/>
      <c r="IK284" s="82"/>
      <c r="IL284" s="82"/>
      <c r="IM284" s="82"/>
      <c r="IN284" s="82"/>
      <c r="IO284" s="82"/>
      <c r="IP284" s="82"/>
      <c r="IQ284" s="82"/>
      <c r="IR284" s="82"/>
      <c r="IS284" s="82"/>
      <c r="IT284" s="82"/>
      <c r="IU284" s="82"/>
      <c r="IV284" s="82"/>
      <c r="IW284" s="82"/>
      <c r="IX284" s="82"/>
      <c r="IY284" s="82"/>
      <c r="IZ284" s="82"/>
      <c r="JA284" s="82"/>
      <c r="JB284" s="82"/>
      <c r="JC284" s="82"/>
      <c r="JD284" s="82"/>
      <c r="JE284" s="82"/>
      <c r="JF284" s="82"/>
      <c r="JG284" s="82"/>
      <c r="JH284" s="82"/>
      <c r="JI284" s="82"/>
      <c r="JJ284" s="82"/>
      <c r="JK284" s="82"/>
      <c r="JL284" s="82"/>
      <c r="JM284" s="82"/>
      <c r="JN284" s="82"/>
      <c r="JO284" s="82"/>
      <c r="JP284" s="82"/>
      <c r="JQ284" s="82"/>
      <c r="JR284" s="82"/>
      <c r="JS284" s="82"/>
      <c r="JT284" s="82"/>
      <c r="JU284" s="82"/>
      <c r="JV284" s="82"/>
      <c r="JW284" s="82"/>
      <c r="JX284" s="82"/>
      <c r="JZ284" s="263"/>
      <c r="KA284" s="263"/>
      <c r="KB284" s="263"/>
      <c r="KC284" s="263"/>
      <c r="KD284" s="263"/>
      <c r="KE284" s="263"/>
      <c r="KF284" s="263"/>
      <c r="KG284" s="263"/>
      <c r="KH284" s="263"/>
      <c r="KI284" s="263"/>
      <c r="KJ284" s="263"/>
      <c r="KK284" s="263"/>
      <c r="KL284" s="263"/>
      <c r="KM284" s="263"/>
      <c r="KN284" s="263"/>
      <c r="KO284" s="263"/>
      <c r="KP284" s="263"/>
      <c r="KQ284" s="263"/>
      <c r="KR284" s="263"/>
      <c r="KS284" s="263"/>
      <c r="KT284" s="263"/>
      <c r="KU284" s="263"/>
      <c r="KV284" s="263"/>
      <c r="KW284" s="263"/>
      <c r="KX284" s="263"/>
      <c r="KY284" s="263"/>
      <c r="KZ284" s="263"/>
      <c r="LA284" s="263"/>
      <c r="LB284" s="263"/>
      <c r="LC284" s="263"/>
      <c r="LD284" s="263"/>
      <c r="LE284" s="263"/>
      <c r="LF284" s="263"/>
      <c r="LG284" s="263"/>
      <c r="LH284" s="263"/>
      <c r="LI284" s="263"/>
      <c r="LJ284" s="263"/>
      <c r="LK284" s="263"/>
      <c r="LL284" s="263"/>
      <c r="LM284" s="263"/>
      <c r="LN284" s="263"/>
      <c r="LO284" s="263"/>
      <c r="LP284" s="263"/>
      <c r="LQ284" s="263"/>
      <c r="LR284" s="263"/>
      <c r="LS284" s="263"/>
      <c r="LT284" s="263"/>
      <c r="LU284" s="263"/>
      <c r="LV284" s="263"/>
      <c r="LW284" s="263"/>
      <c r="LX284" s="263"/>
      <c r="LY284" s="263"/>
      <c r="LZ284" s="263"/>
      <c r="MA284" s="263"/>
      <c r="MB284" s="263"/>
      <c r="MC284" s="263"/>
      <c r="MD284" s="263"/>
      <c r="ME284" s="263"/>
      <c r="MF284" s="263"/>
      <c r="MG284" s="263"/>
      <c r="MH284" s="263"/>
      <c r="MI284" s="263"/>
      <c r="MJ284" s="263"/>
      <c r="MK284" s="263"/>
      <c r="ML284" s="263"/>
      <c r="MM284" s="263"/>
      <c r="MN284" s="263"/>
      <c r="MO284" s="263"/>
      <c r="MP284" s="263"/>
      <c r="MQ284" s="263"/>
      <c r="MR284" s="263"/>
      <c r="MS284" s="263"/>
      <c r="MT284" s="263"/>
      <c r="MU284" s="263"/>
      <c r="MV284" s="263"/>
      <c r="MW284" s="263"/>
      <c r="MX284" s="263"/>
      <c r="MY284" s="263"/>
      <c r="MZ284" s="263"/>
      <c r="NA284" s="263"/>
      <c r="NB284" s="263"/>
      <c r="NC284" s="263"/>
      <c r="ND284" s="263"/>
      <c r="NE284" s="263"/>
      <c r="NF284" s="263"/>
      <c r="NG284" s="263"/>
      <c r="NH284" s="263"/>
      <c r="NI284" s="263"/>
      <c r="NJ284" s="263"/>
      <c r="NK284" s="263"/>
      <c r="NL284" s="263"/>
      <c r="NM284" s="263"/>
      <c r="NN284" s="263"/>
      <c r="NO284" s="263"/>
      <c r="NP284" s="263"/>
      <c r="NQ284" s="263"/>
      <c r="NR284" s="263"/>
      <c r="NS284" s="263"/>
      <c r="NT284" s="263"/>
      <c r="NU284" s="263"/>
      <c r="NV284" s="263"/>
      <c r="NW284" s="263"/>
      <c r="NX284" s="263"/>
      <c r="NY284" s="263"/>
      <c r="NZ284" s="263"/>
      <c r="OA284" s="263"/>
      <c r="OB284" s="263"/>
      <c r="OC284" s="263"/>
      <c r="OD284" s="263"/>
      <c r="OE284" s="263"/>
      <c r="OF284" s="263"/>
      <c r="OG284" s="263"/>
      <c r="OH284" s="263"/>
      <c r="OI284" s="263"/>
      <c r="OJ284" s="263"/>
      <c r="OK284" s="263"/>
      <c r="OL284" s="263"/>
      <c r="OM284" s="263"/>
      <c r="ON284" s="263"/>
      <c r="OO284" s="263"/>
      <c r="OP284" s="263"/>
      <c r="OQ284" s="263"/>
      <c r="OR284" s="263"/>
      <c r="OS284" s="263"/>
      <c r="OT284" s="263"/>
      <c r="OU284" s="263"/>
      <c r="OV284" s="263"/>
      <c r="OW284" s="263"/>
      <c r="OX284" s="263"/>
      <c r="OY284" s="263"/>
      <c r="OZ284" s="263"/>
      <c r="PA284" s="263"/>
      <c r="PB284" s="263"/>
      <c r="PC284" s="263"/>
      <c r="PD284" s="263"/>
      <c r="PE284" s="263"/>
      <c r="PF284" s="263"/>
      <c r="PG284" s="263"/>
      <c r="PH284" s="263"/>
    </row>
    <row r="285">
      <c r="B285" s="402" t="s">
        <v>465</v>
      </c>
      <c r="C285" s="133">
        <v>9.999999999999995E-3</v>
      </c>
      <c r="D285" s="129" t="n">
        <v>1029.0903474765305</v>
      </c>
      <c r="E285" s="568" t="n">
        <v>9.6887899238492</v>
      </c>
      <c r="F285" s="402" t="s">
        <v>465</v>
      </c>
      <c r="G285" s="131">
        <v>0.03</v>
      </c>
      <c r="H285" s="129" t="n">
        <v>1029.0903474765305</v>
      </c>
      <c r="I285" s="568" t="n">
        <v>9.6887899238492</v>
      </c>
      <c r="J285" s="399"/>
      <c r="K285" s="400"/>
      <c r="L285" s="400"/>
      <c r="M285" s="400"/>
      <c r="N285" s="400"/>
      <c r="O285" s="400"/>
      <c r="P285" s="400"/>
      <c r="Q285" s="400"/>
      <c r="R285" s="400"/>
      <c r="S285" s="400"/>
      <c r="T285" s="400"/>
      <c r="U285" s="400"/>
      <c r="V285" s="400"/>
      <c r="W285" s="400"/>
      <c r="X285" s="400"/>
      <c r="Y285" s="400"/>
      <c r="Z285" s="400"/>
      <c r="AA285" s="400"/>
      <c r="AB285" s="400"/>
      <c r="AC285" s="400"/>
      <c r="AD285" s="400"/>
      <c r="AE285" s="400"/>
      <c r="AF285" s="400"/>
      <c r="AG285" s="400"/>
      <c r="AH285" s="400"/>
      <c r="AI285" s="400"/>
      <c r="AJ285" s="400"/>
      <c r="AK285" s="400"/>
      <c r="AL285" s="400"/>
      <c r="AM285" s="400"/>
      <c r="AN285" s="400"/>
      <c r="AO285" s="400"/>
      <c r="AP285" s="400"/>
      <c r="AQ285" s="400"/>
      <c r="AR285" s="400"/>
      <c r="AS285" s="400"/>
      <c r="AT285" s="400"/>
      <c r="AU285" s="400"/>
      <c r="AV285" s="400"/>
      <c r="AW285" s="400"/>
      <c r="AX285" s="400"/>
      <c r="AY285" s="400"/>
      <c r="AZ285" s="400"/>
      <c r="BA285" s="400"/>
      <c r="BB285" s="400"/>
      <c r="BC285" s="400"/>
      <c r="BD285" s="400"/>
      <c r="BE285" s="400"/>
      <c r="BF285" s="400"/>
      <c r="BG285" s="400"/>
      <c r="BH285" s="400"/>
      <c r="BI285" s="400"/>
      <c r="BJ285" s="400"/>
      <c r="BK285" s="400"/>
      <c r="BL285" s="400"/>
      <c r="BM285" s="400"/>
      <c r="BN285" s="400"/>
      <c r="BO285" s="400"/>
      <c r="BP285" s="400"/>
      <c r="BQ285" s="400"/>
      <c r="BR285" s="400"/>
      <c r="BS285" s="400"/>
      <c r="BT285" s="400"/>
      <c r="BU285" s="400"/>
      <c r="BV285" s="400"/>
      <c r="BW285" s="400"/>
      <c r="BX285" s="400"/>
      <c r="BY285" s="400"/>
      <c r="BZ285" s="400"/>
      <c r="CA285" s="400"/>
      <c r="CB285" s="400"/>
      <c r="CC285" s="400"/>
      <c r="CD285" s="400"/>
      <c r="CE285" s="400"/>
      <c r="CF285" s="400"/>
      <c r="CG285" s="400"/>
      <c r="CH285" s="400"/>
      <c r="CI285" s="400"/>
      <c r="CJ285" s="400"/>
      <c r="CK285" s="400"/>
      <c r="CL285" s="400"/>
      <c r="CM285" s="400"/>
      <c r="CN285" s="400"/>
      <c r="CO285" s="400"/>
      <c r="CP285" s="400"/>
      <c r="CQ285" s="400"/>
      <c r="CR285" s="400"/>
      <c r="CS285" s="400"/>
      <c r="CT285" s="400"/>
      <c r="CU285" s="400"/>
      <c r="CV285" s="400"/>
      <c r="CW285" s="400"/>
      <c r="CX285" s="400"/>
      <c r="CY285" s="400"/>
      <c r="CZ285" s="400"/>
      <c r="DA285" s="400"/>
      <c r="DB285" s="400"/>
      <c r="DC285" s="400"/>
      <c r="DD285" s="400"/>
      <c r="DE285" s="400"/>
      <c r="DF285" s="400"/>
      <c r="DG285" s="400"/>
      <c r="DH285" s="400"/>
      <c r="DI285" s="400"/>
      <c r="DJ285" s="400"/>
      <c r="DK285" s="400"/>
      <c r="DL285" s="400"/>
      <c r="DM285" s="400"/>
      <c r="DN285" s="400"/>
      <c r="DO285" s="400"/>
      <c r="DP285" s="400"/>
      <c r="DQ285" s="400"/>
      <c r="DR285" s="400"/>
      <c r="DS285" s="400"/>
      <c r="DT285" s="400"/>
      <c r="DU285" s="400"/>
      <c r="DV285" s="400"/>
      <c r="DW285" s="400"/>
      <c r="DX285" s="400"/>
      <c r="DY285" s="400"/>
      <c r="DZ285" s="400"/>
      <c r="EA285" s="400"/>
      <c r="EB285" s="400"/>
      <c r="EC285" s="400"/>
      <c r="ED285" s="400"/>
      <c r="EE285" s="400"/>
      <c r="EF285" s="400"/>
      <c r="EG285" s="400"/>
      <c r="EH285" s="400"/>
      <c r="EI285" s="400"/>
      <c r="EJ285" s="400"/>
      <c r="EK285" s="400"/>
      <c r="EL285" s="400"/>
      <c r="EM285" s="400"/>
      <c r="EN285" s="400"/>
      <c r="EO285" s="400"/>
      <c r="EP285" s="409"/>
      <c r="EQ285" s="18"/>
      <c r="ER285" s="18"/>
      <c r="ES285" s="18"/>
      <c r="ET285" s="18"/>
      <c r="EU285" s="18"/>
      <c r="EV285" s="82"/>
      <c r="EW285" s="82"/>
      <c r="EX285" s="82"/>
      <c r="EY285" s="82"/>
      <c r="EZ285" s="82"/>
      <c r="FA285" s="82"/>
      <c r="FB285" s="82"/>
      <c r="FC285" s="82"/>
      <c r="FD285" s="82"/>
      <c r="FE285" s="82"/>
      <c r="FF285" s="82"/>
      <c r="FG285" s="82"/>
      <c r="FH285" s="82"/>
      <c r="FI285" s="82"/>
      <c r="FJ285" s="82"/>
      <c r="FK285" s="82"/>
      <c r="FL285" s="82"/>
      <c r="FM285" s="82"/>
      <c r="FN285" s="82"/>
      <c r="FO285" s="82"/>
      <c r="FP285" s="82"/>
      <c r="FQ285" s="82"/>
      <c r="FR285" s="82"/>
      <c r="FS285" s="82"/>
      <c r="FT285" s="82"/>
      <c r="FU285" s="82"/>
      <c r="FV285" s="82"/>
      <c r="FW285" s="82"/>
      <c r="FX285" s="82"/>
      <c r="FY285" s="82"/>
      <c r="FZ285" s="82"/>
      <c r="GA285" s="82"/>
      <c r="GB285" s="82"/>
      <c r="GC285" s="82"/>
      <c r="GD285" s="82"/>
      <c r="GE285" s="82"/>
      <c r="GF285" s="82"/>
      <c r="GG285" s="82"/>
      <c r="GH285" s="82"/>
      <c r="GI285" s="82"/>
      <c r="GJ285" s="82"/>
      <c r="GK285" s="82"/>
      <c r="GL285" s="82"/>
      <c r="GM285" s="82"/>
      <c r="GN285" s="82"/>
      <c r="GO285" s="82"/>
      <c r="GP285" s="82"/>
      <c r="GQ285" s="82"/>
      <c r="GR285" s="82"/>
      <c r="GS285" s="82"/>
      <c r="GT285" s="82"/>
      <c r="GU285" s="82"/>
      <c r="GV285" s="82"/>
      <c r="GW285" s="82"/>
      <c r="GX285" s="82"/>
      <c r="GY285" s="82"/>
      <c r="GZ285" s="82"/>
      <c r="HA285" s="82"/>
      <c r="HB285" s="82"/>
      <c r="HC285" s="82"/>
      <c r="HD285" s="82"/>
      <c r="HE285" s="82"/>
      <c r="HF285" s="82"/>
      <c r="HG285" s="82"/>
      <c r="HH285" s="82"/>
      <c r="HI285" s="82"/>
      <c r="HJ285" s="82"/>
      <c r="HK285" s="82"/>
      <c r="HL285" s="82"/>
      <c r="HM285" s="82"/>
      <c r="HN285" s="82"/>
      <c r="HO285" s="82"/>
      <c r="HP285" s="82"/>
      <c r="HQ285" s="82"/>
      <c r="HR285" s="82"/>
      <c r="HS285" s="82"/>
      <c r="HT285" s="82"/>
      <c r="HU285" s="82"/>
      <c r="HV285" s="82"/>
      <c r="HW285" s="82"/>
      <c r="HX285" s="82"/>
      <c r="HY285" s="82"/>
      <c r="HZ285" s="82"/>
      <c r="IA285" s="82"/>
      <c r="IB285" s="82"/>
      <c r="IC285" s="82"/>
      <c r="ID285" s="82"/>
      <c r="IE285" s="82"/>
      <c r="IF285" s="82"/>
      <c r="IG285" s="82"/>
      <c r="IH285" s="82"/>
      <c r="II285" s="82"/>
      <c r="IJ285" s="82"/>
      <c r="IK285" s="82"/>
      <c r="IL285" s="82"/>
      <c r="IM285" s="82"/>
      <c r="IN285" s="82"/>
      <c r="IO285" s="82"/>
      <c r="IP285" s="82"/>
      <c r="IQ285" s="82"/>
      <c r="IR285" s="82"/>
      <c r="IS285" s="82"/>
      <c r="IT285" s="82"/>
      <c r="IU285" s="82"/>
      <c r="IV285" s="82"/>
      <c r="IW285" s="82"/>
      <c r="IX285" s="82"/>
      <c r="IY285" s="82"/>
      <c r="IZ285" s="82"/>
      <c r="JA285" s="82"/>
      <c r="JB285" s="82"/>
      <c r="JC285" s="82"/>
      <c r="JD285" s="82"/>
      <c r="JE285" s="82"/>
      <c r="JF285" s="82"/>
      <c r="JG285" s="82"/>
      <c r="JH285" s="82"/>
      <c r="JI285" s="82"/>
      <c r="JJ285" s="82"/>
      <c r="JK285" s="82"/>
      <c r="JL285" s="82"/>
      <c r="JM285" s="82"/>
      <c r="JN285" s="82"/>
      <c r="JO285" s="82"/>
      <c r="JP285" s="82"/>
      <c r="JQ285" s="82"/>
      <c r="JR285" s="82"/>
      <c r="JS285" s="82"/>
      <c r="JT285" s="82"/>
      <c r="JU285" s="82"/>
      <c r="JV285" s="82"/>
      <c r="JW285" s="82"/>
      <c r="JX285" s="82"/>
      <c r="JZ285" s="263"/>
      <c r="KA285" s="263"/>
      <c r="KB285" s="263"/>
      <c r="KC285" s="263"/>
      <c r="KD285" s="263"/>
      <c r="KE285" s="263"/>
      <c r="KF285" s="263"/>
      <c r="KG285" s="263"/>
      <c r="KH285" s="263"/>
      <c r="KI285" s="263"/>
      <c r="KJ285" s="263"/>
      <c r="KK285" s="263"/>
      <c r="KL285" s="263"/>
      <c r="KM285" s="263"/>
      <c r="KN285" s="263"/>
      <c r="KO285" s="263"/>
      <c r="KP285" s="263"/>
      <c r="KQ285" s="263"/>
      <c r="KR285" s="263"/>
      <c r="KS285" s="263"/>
      <c r="KT285" s="263"/>
      <c r="KU285" s="263"/>
      <c r="KV285" s="263"/>
      <c r="KW285" s="263"/>
      <c r="KX285" s="263"/>
      <c r="KY285" s="263"/>
      <c r="KZ285" s="263"/>
      <c r="LA285" s="263"/>
      <c r="LB285" s="263"/>
      <c r="LC285" s="263"/>
      <c r="LD285" s="263"/>
      <c r="LE285" s="263"/>
      <c r="LF285" s="263"/>
      <c r="LG285" s="263"/>
      <c r="LH285" s="263"/>
      <c r="LI285" s="263"/>
      <c r="LJ285" s="263"/>
      <c r="LK285" s="263"/>
      <c r="LL285" s="263"/>
      <c r="LM285" s="263"/>
      <c r="LN285" s="263"/>
      <c r="LO285" s="263"/>
      <c r="LP285" s="263"/>
      <c r="LQ285" s="263"/>
      <c r="LR285" s="263"/>
      <c r="LS285" s="263"/>
      <c r="LT285" s="263"/>
      <c r="LU285" s="263"/>
      <c r="LV285" s="263"/>
      <c r="LW285" s="263"/>
      <c r="LX285" s="263"/>
      <c r="LY285" s="263"/>
      <c r="LZ285" s="263"/>
      <c r="MA285" s="263"/>
      <c r="MB285" s="263"/>
      <c r="MC285" s="263"/>
      <c r="MD285" s="263"/>
      <c r="ME285" s="263"/>
      <c r="MF285" s="263"/>
      <c r="MG285" s="263"/>
      <c r="MH285" s="263"/>
      <c r="MI285" s="263"/>
      <c r="MJ285" s="263"/>
      <c r="MK285" s="263"/>
      <c r="ML285" s="263"/>
      <c r="MM285" s="263"/>
      <c r="MN285" s="263"/>
      <c r="MO285" s="263"/>
      <c r="MP285" s="263"/>
      <c r="MQ285" s="263"/>
      <c r="MR285" s="263"/>
      <c r="MS285" s="263"/>
      <c r="MT285" s="263"/>
      <c r="MU285" s="263"/>
      <c r="MV285" s="263"/>
      <c r="MW285" s="263"/>
      <c r="MX285" s="263"/>
      <c r="MY285" s="263"/>
      <c r="MZ285" s="263"/>
      <c r="NA285" s="263"/>
      <c r="NB285" s="263"/>
      <c r="NC285" s="263"/>
      <c r="ND285" s="263"/>
      <c r="NE285" s="263"/>
      <c r="NF285" s="263"/>
      <c r="NG285" s="263"/>
      <c r="NH285" s="263"/>
      <c r="NI285" s="263"/>
      <c r="NJ285" s="263"/>
      <c r="NK285" s="263"/>
      <c r="NL285" s="263"/>
      <c r="NM285" s="263"/>
      <c r="NN285" s="263"/>
      <c r="NO285" s="263"/>
      <c r="NP285" s="263"/>
      <c r="NQ285" s="263"/>
      <c r="NR285" s="263"/>
      <c r="NS285" s="263"/>
      <c r="NT285" s="263"/>
      <c r="NU285" s="263"/>
      <c r="NV285" s="263"/>
      <c r="NW285" s="263"/>
      <c r="NX285" s="263"/>
      <c r="NY285" s="263"/>
      <c r="NZ285" s="263"/>
      <c r="OA285" s="263"/>
      <c r="OB285" s="263"/>
      <c r="OC285" s="263"/>
      <c r="OD285" s="263"/>
      <c r="OE285" s="263"/>
      <c r="OF285" s="263"/>
      <c r="OG285" s="263"/>
      <c r="OH285" s="263"/>
      <c r="OI285" s="263"/>
      <c r="OJ285" s="263"/>
      <c r="OK285" s="263"/>
      <c r="OL285" s="263"/>
      <c r="OM285" s="263"/>
      <c r="ON285" s="263"/>
      <c r="OO285" s="263"/>
      <c r="OP285" s="263"/>
      <c r="OQ285" s="263"/>
      <c r="OR285" s="263"/>
      <c r="OS285" s="263"/>
      <c r="OT285" s="263"/>
      <c r="OU285" s="263"/>
      <c r="OV285" s="263"/>
      <c r="OW285" s="263"/>
      <c r="OX285" s="263"/>
      <c r="OY285" s="263"/>
      <c r="OZ285" s="263"/>
      <c r="PA285" s="263"/>
      <c r="PB285" s="263"/>
      <c r="PC285" s="263"/>
      <c r="PD285" s="263"/>
      <c r="PE285" s="263"/>
      <c r="PF285" s="263"/>
      <c r="PG285" s="263"/>
      <c r="PH285" s="263"/>
    </row>
    <row r="286">
      <c r="B286" s="402" t="s">
        <v>466</v>
      </c>
      <c r="C286" s="133">
        <v>4.9999999999999949E-3</v>
      </c>
      <c r="D286" s="129" t="n">
        <v>1029.0903474765305</v>
      </c>
      <c r="E286" s="568" t="n">
        <v>9.6887899238492</v>
      </c>
      <c r="F286" s="402" t="s">
        <v>466</v>
      </c>
      <c r="G286" s="131">
        <v>3.5000000000000003E-2</v>
      </c>
      <c r="H286" s="129" t="n">
        <v>1029.0903474765305</v>
      </c>
      <c r="I286" s="568" t="n">
        <v>9.6887899238492</v>
      </c>
      <c r="J286" s="399"/>
      <c r="K286" s="400"/>
      <c r="L286" s="400"/>
      <c r="M286" s="400"/>
      <c r="N286" s="400"/>
      <c r="O286" s="400"/>
      <c r="P286" s="400"/>
      <c r="Q286" s="400"/>
      <c r="R286" s="400"/>
      <c r="S286" s="400"/>
      <c r="T286" s="400"/>
      <c r="U286" s="400"/>
      <c r="V286" s="400"/>
      <c r="W286" s="400"/>
      <c r="X286" s="400"/>
      <c r="Y286" s="400"/>
      <c r="Z286" s="400"/>
      <c r="AA286" s="400"/>
      <c r="AB286" s="400"/>
      <c r="AC286" s="400"/>
      <c r="AD286" s="400"/>
      <c r="AE286" s="400"/>
      <c r="AF286" s="400"/>
      <c r="AG286" s="400"/>
      <c r="AH286" s="400"/>
      <c r="AI286" s="400"/>
      <c r="AJ286" s="400"/>
      <c r="AK286" s="400"/>
      <c r="AL286" s="400"/>
      <c r="AM286" s="400"/>
      <c r="AN286" s="400"/>
      <c r="AO286" s="400"/>
      <c r="AP286" s="400"/>
      <c r="AQ286" s="400"/>
      <c r="AR286" s="400"/>
      <c r="AS286" s="400"/>
      <c r="AT286" s="400"/>
      <c r="AU286" s="400"/>
      <c r="AV286" s="400"/>
      <c r="AW286" s="400"/>
      <c r="AX286" s="400"/>
      <c r="AY286" s="400"/>
      <c r="AZ286" s="400"/>
      <c r="BA286" s="400"/>
      <c r="BB286" s="400"/>
      <c r="BC286" s="400"/>
      <c r="BD286" s="400"/>
      <c r="BE286" s="400"/>
      <c r="BF286" s="400"/>
      <c r="BG286" s="400"/>
      <c r="BH286" s="400"/>
      <c r="BI286" s="400"/>
      <c r="BJ286" s="400"/>
      <c r="BK286" s="400"/>
      <c r="BL286" s="400"/>
      <c r="BM286" s="400"/>
      <c r="BN286" s="400"/>
      <c r="BO286" s="400"/>
      <c r="BP286" s="400"/>
      <c r="BQ286" s="400"/>
      <c r="BR286" s="400"/>
      <c r="BS286" s="400"/>
      <c r="BT286" s="400"/>
      <c r="BU286" s="400"/>
      <c r="BV286" s="400"/>
      <c r="BW286" s="400"/>
      <c r="BX286" s="400"/>
      <c r="BY286" s="400"/>
      <c r="BZ286" s="400"/>
      <c r="CA286" s="400"/>
      <c r="CB286" s="400"/>
      <c r="CC286" s="400"/>
      <c r="CD286" s="400"/>
      <c r="CE286" s="400"/>
      <c r="CF286" s="400"/>
      <c r="CG286" s="400"/>
      <c r="CH286" s="400"/>
      <c r="CI286" s="400"/>
      <c r="CJ286" s="400"/>
      <c r="CK286" s="400"/>
      <c r="CL286" s="400"/>
      <c r="CM286" s="400"/>
      <c r="CN286" s="400"/>
      <c r="CO286" s="400"/>
      <c r="CP286" s="400"/>
      <c r="CQ286" s="400"/>
      <c r="CR286" s="400"/>
      <c r="CS286" s="400"/>
      <c r="CT286" s="400"/>
      <c r="CU286" s="400"/>
      <c r="CV286" s="400"/>
      <c r="CW286" s="400"/>
      <c r="CX286" s="400"/>
      <c r="CY286" s="400"/>
      <c r="CZ286" s="400"/>
      <c r="DA286" s="400"/>
      <c r="DB286" s="400"/>
      <c r="DC286" s="400"/>
      <c r="DD286" s="400"/>
      <c r="DE286" s="400"/>
      <c r="DF286" s="400"/>
      <c r="DG286" s="400"/>
      <c r="DH286" s="400"/>
      <c r="DI286" s="400"/>
      <c r="DJ286" s="400"/>
      <c r="DK286" s="400"/>
      <c r="DL286" s="400"/>
      <c r="DM286" s="400"/>
      <c r="DN286" s="400"/>
      <c r="DO286" s="400"/>
      <c r="DP286" s="400"/>
      <c r="DQ286" s="400"/>
      <c r="DR286" s="400"/>
      <c r="DS286" s="400"/>
      <c r="DT286" s="400"/>
      <c r="DU286" s="400"/>
      <c r="DV286" s="400"/>
      <c r="DW286" s="400"/>
      <c r="DX286" s="400"/>
      <c r="DY286" s="400"/>
      <c r="DZ286" s="400"/>
      <c r="EA286" s="400"/>
      <c r="EB286" s="400"/>
      <c r="EC286" s="400"/>
      <c r="ED286" s="400"/>
      <c r="EE286" s="400"/>
      <c r="EF286" s="400"/>
      <c r="EG286" s="400"/>
      <c r="EH286" s="400"/>
      <c r="EI286" s="400"/>
      <c r="EJ286" s="400"/>
      <c r="EK286" s="400"/>
      <c r="EL286" s="400"/>
      <c r="EM286" s="400"/>
      <c r="EN286" s="400"/>
      <c r="EO286" s="400"/>
      <c r="EP286" s="409"/>
      <c r="EQ286" s="18"/>
      <c r="ER286" s="18"/>
      <c r="ES286" s="18"/>
      <c r="ET286" s="18"/>
      <c r="EU286" s="18"/>
      <c r="EV286" s="82"/>
      <c r="EW286" s="82"/>
      <c r="EX286" s="82"/>
      <c r="EY286" s="82"/>
      <c r="EZ286" s="82"/>
      <c r="FA286" s="82"/>
      <c r="FB286" s="82"/>
      <c r="FC286" s="82"/>
      <c r="FD286" s="82"/>
      <c r="FE286" s="82"/>
      <c r="FF286" s="82"/>
      <c r="FG286" s="82"/>
      <c r="FH286" s="82"/>
      <c r="FI286" s="82"/>
      <c r="FJ286" s="82"/>
      <c r="FK286" s="82"/>
      <c r="FL286" s="82"/>
      <c r="FM286" s="82"/>
      <c r="FN286" s="82"/>
      <c r="FO286" s="82"/>
      <c r="FP286" s="82"/>
      <c r="FQ286" s="82"/>
      <c r="FR286" s="82"/>
      <c r="FS286" s="82"/>
      <c r="FT286" s="82"/>
      <c r="FU286" s="82"/>
      <c r="FV286" s="82"/>
      <c r="FW286" s="82"/>
      <c r="FX286" s="82"/>
      <c r="FY286" s="82"/>
      <c r="FZ286" s="82"/>
      <c r="GA286" s="82"/>
      <c r="GB286" s="82"/>
      <c r="GC286" s="82"/>
      <c r="GD286" s="82"/>
      <c r="GE286" s="82"/>
      <c r="GF286" s="82"/>
      <c r="GG286" s="82"/>
      <c r="GH286" s="82"/>
      <c r="GI286" s="82"/>
      <c r="GJ286" s="82"/>
      <c r="GK286" s="82"/>
      <c r="GL286" s="82"/>
      <c r="GM286" s="82"/>
      <c r="GN286" s="82"/>
      <c r="GO286" s="82"/>
      <c r="GP286" s="82"/>
      <c r="GQ286" s="82"/>
      <c r="GR286" s="82"/>
      <c r="GS286" s="82"/>
      <c r="GT286" s="82"/>
      <c r="GU286" s="82"/>
      <c r="GV286" s="82"/>
      <c r="GW286" s="82"/>
      <c r="GX286" s="82"/>
      <c r="GY286" s="82"/>
      <c r="GZ286" s="82"/>
      <c r="HA286" s="82"/>
      <c r="HB286" s="82"/>
      <c r="HC286" s="82"/>
      <c r="HD286" s="82"/>
      <c r="HE286" s="82"/>
      <c r="HF286" s="82"/>
      <c r="HG286" s="82"/>
      <c r="HH286" s="82"/>
      <c r="HI286" s="82"/>
      <c r="HJ286" s="82"/>
      <c r="HK286" s="82"/>
      <c r="HL286" s="82"/>
      <c r="HM286" s="82"/>
      <c r="HN286" s="82"/>
      <c r="HO286" s="82"/>
      <c r="HP286" s="82"/>
      <c r="HQ286" s="82"/>
      <c r="HR286" s="82"/>
      <c r="HS286" s="82"/>
      <c r="HT286" s="82"/>
      <c r="HU286" s="82"/>
      <c r="HV286" s="82"/>
      <c r="HW286" s="82"/>
      <c r="HX286" s="82"/>
      <c r="HY286" s="82"/>
      <c r="HZ286" s="82"/>
      <c r="IA286" s="82"/>
      <c r="IB286" s="82"/>
      <c r="IC286" s="82"/>
      <c r="ID286" s="82"/>
      <c r="IE286" s="82"/>
      <c r="IF286" s="82"/>
      <c r="IG286" s="82"/>
      <c r="IH286" s="82"/>
      <c r="II286" s="82"/>
      <c r="IJ286" s="82"/>
      <c r="IK286" s="82"/>
      <c r="IL286" s="82"/>
      <c r="IM286" s="82"/>
      <c r="IN286" s="82"/>
      <c r="IO286" s="82"/>
      <c r="IP286" s="82"/>
      <c r="IQ286" s="82"/>
      <c r="IR286" s="82"/>
      <c r="IS286" s="82"/>
      <c r="IT286" s="82"/>
      <c r="IU286" s="82"/>
      <c r="IV286" s="82"/>
      <c r="IW286" s="82"/>
      <c r="IX286" s="82"/>
      <c r="IY286" s="82"/>
      <c r="IZ286" s="82"/>
      <c r="JA286" s="82"/>
      <c r="JB286" s="82"/>
      <c r="JC286" s="82"/>
      <c r="JD286" s="82"/>
      <c r="JE286" s="82"/>
      <c r="JF286" s="82"/>
      <c r="JG286" s="82"/>
      <c r="JH286" s="82"/>
      <c r="JI286" s="82"/>
      <c r="JJ286" s="82"/>
      <c r="JK286" s="82"/>
      <c r="JL286" s="82"/>
      <c r="JM286" s="82"/>
      <c r="JN286" s="82"/>
      <c r="JO286" s="82"/>
      <c r="JP286" s="82"/>
      <c r="JQ286" s="82"/>
      <c r="JR286" s="82"/>
      <c r="JS286" s="82"/>
      <c r="JT286" s="82"/>
      <c r="JU286" s="82"/>
      <c r="JV286" s="82"/>
      <c r="JW286" s="82"/>
      <c r="JX286" s="82"/>
      <c r="JZ286" s="263"/>
      <c r="KA286" s="263"/>
      <c r="KB286" s="263"/>
      <c r="KC286" s="263"/>
      <c r="KD286" s="263"/>
      <c r="KE286" s="263"/>
      <c r="KF286" s="263"/>
      <c r="KG286" s="263"/>
      <c r="KH286" s="263"/>
      <c r="KI286" s="263"/>
      <c r="KJ286" s="263"/>
      <c r="KK286" s="263"/>
      <c r="KL286" s="263"/>
      <c r="KM286" s="263"/>
      <c r="KN286" s="263"/>
      <c r="KO286" s="263"/>
      <c r="KP286" s="263"/>
      <c r="KQ286" s="263"/>
      <c r="KR286" s="263"/>
      <c r="KS286" s="263"/>
      <c r="KT286" s="263"/>
      <c r="KU286" s="263"/>
      <c r="KV286" s="263"/>
      <c r="KW286" s="263"/>
      <c r="KX286" s="263"/>
      <c r="KY286" s="263"/>
      <c r="KZ286" s="263"/>
      <c r="LA286" s="263"/>
      <c r="LB286" s="263"/>
      <c r="LC286" s="263"/>
      <c r="LD286" s="263"/>
      <c r="LE286" s="263"/>
      <c r="LF286" s="263"/>
      <c r="LG286" s="263"/>
      <c r="LH286" s="263"/>
      <c r="LI286" s="263"/>
      <c r="LJ286" s="263"/>
      <c r="LK286" s="263"/>
      <c r="LL286" s="263"/>
      <c r="LM286" s="263"/>
      <c r="LN286" s="263"/>
      <c r="LO286" s="263"/>
      <c r="LP286" s="263"/>
      <c r="LQ286" s="263"/>
      <c r="LR286" s="263"/>
      <c r="LS286" s="263"/>
      <c r="LT286" s="263"/>
      <c r="LU286" s="263"/>
      <c r="LV286" s="263"/>
      <c r="LW286" s="263"/>
      <c r="LX286" s="263"/>
      <c r="LY286" s="263"/>
      <c r="LZ286" s="263"/>
      <c r="MA286" s="263"/>
      <c r="MB286" s="263"/>
      <c r="MC286" s="263"/>
      <c r="MD286" s="263"/>
      <c r="ME286" s="263"/>
      <c r="MF286" s="263"/>
      <c r="MG286" s="263"/>
      <c r="MH286" s="263"/>
      <c r="MI286" s="263"/>
      <c r="MJ286" s="263"/>
      <c r="MK286" s="263"/>
      <c r="ML286" s="263"/>
      <c r="MM286" s="263"/>
      <c r="MN286" s="263"/>
      <c r="MO286" s="263"/>
      <c r="MP286" s="263"/>
      <c r="MQ286" s="263"/>
      <c r="MR286" s="263"/>
      <c r="MS286" s="263"/>
      <c r="MT286" s="263"/>
      <c r="MU286" s="263"/>
      <c r="MV286" s="263"/>
      <c r="MW286" s="263"/>
      <c r="MX286" s="263"/>
      <c r="MY286" s="263"/>
      <c r="MZ286" s="263"/>
      <c r="NA286" s="263"/>
      <c r="NB286" s="263"/>
      <c r="NC286" s="263"/>
      <c r="ND286" s="263"/>
      <c r="NE286" s="263"/>
      <c r="NF286" s="263"/>
      <c r="NG286" s="263"/>
      <c r="NH286" s="263"/>
      <c r="NI286" s="263"/>
      <c r="NJ286" s="263"/>
      <c r="NK286" s="263"/>
      <c r="NL286" s="263"/>
      <c r="NM286" s="263"/>
      <c r="NN286" s="263"/>
      <c r="NO286" s="263"/>
      <c r="NP286" s="263"/>
      <c r="NQ286" s="263"/>
      <c r="NR286" s="263"/>
      <c r="NS286" s="263"/>
      <c r="NT286" s="263"/>
      <c r="NU286" s="263"/>
      <c r="NV286" s="263"/>
      <c r="NW286" s="263"/>
      <c r="NX286" s="263"/>
      <c r="NY286" s="263"/>
      <c r="NZ286" s="263"/>
      <c r="OA286" s="263"/>
      <c r="OB286" s="263"/>
      <c r="OC286" s="263"/>
      <c r="OD286" s="263"/>
      <c r="OE286" s="263"/>
      <c r="OF286" s="263"/>
      <c r="OG286" s="263"/>
      <c r="OH286" s="263"/>
      <c r="OI286" s="263"/>
      <c r="OJ286" s="263"/>
      <c r="OK286" s="263"/>
      <c r="OL286" s="263"/>
      <c r="OM286" s="263"/>
      <c r="ON286" s="263"/>
      <c r="OO286" s="263"/>
      <c r="OP286" s="263"/>
      <c r="OQ286" s="263"/>
      <c r="OR286" s="263"/>
      <c r="OS286" s="263"/>
      <c r="OT286" s="263"/>
      <c r="OU286" s="263"/>
      <c r="OV286" s="263"/>
      <c r="OW286" s="263"/>
      <c r="OX286" s="263"/>
      <c r="OY286" s="263"/>
      <c r="OZ286" s="263"/>
      <c r="PA286" s="263"/>
      <c r="PB286" s="263"/>
      <c r="PC286" s="263"/>
      <c r="PD286" s="263"/>
      <c r="PE286" s="263"/>
      <c r="PF286" s="263"/>
      <c r="PG286" s="263"/>
      <c r="PH286" s="263"/>
    </row>
    <row r="287">
      <c r="C287" s="105"/>
      <c r="JZ287" s="263"/>
      <c r="KA287" s="263"/>
      <c r="KB287" s="263"/>
      <c r="KC287" s="263"/>
      <c r="KD287" s="263"/>
      <c r="KE287" s="263"/>
      <c r="KF287" s="263"/>
      <c r="KG287" s="263"/>
      <c r="KH287" s="263"/>
      <c r="KI287" s="263"/>
      <c r="KJ287" s="263"/>
      <c r="KK287" s="263"/>
      <c r="KL287" s="263"/>
      <c r="KM287" s="263"/>
      <c r="KN287" s="263"/>
      <c r="KO287" s="263"/>
      <c r="KP287" s="263"/>
      <c r="KQ287" s="263"/>
      <c r="KR287" s="263"/>
      <c r="KS287" s="263"/>
      <c r="KT287" s="263"/>
      <c r="KU287" s="263"/>
      <c r="KV287" s="263"/>
      <c r="KW287" s="263"/>
      <c r="KX287" s="263"/>
      <c r="KY287" s="263"/>
      <c r="KZ287" s="263"/>
      <c r="LA287" s="263"/>
      <c r="LB287" s="263"/>
      <c r="LC287" s="263"/>
      <c r="LD287" s="263"/>
      <c r="LE287" s="263"/>
      <c r="LF287" s="263"/>
      <c r="LG287" s="263"/>
      <c r="LH287" s="263"/>
      <c r="LI287" s="263"/>
      <c r="LJ287" s="263"/>
      <c r="LK287" s="263"/>
      <c r="LL287" s="263"/>
      <c r="LM287" s="263"/>
      <c r="LN287" s="263"/>
      <c r="LO287" s="263"/>
      <c r="LP287" s="263"/>
      <c r="LQ287" s="263"/>
      <c r="LR287" s="263"/>
      <c r="LS287" s="263"/>
      <c r="LT287" s="263"/>
      <c r="LU287" s="263"/>
      <c r="LV287" s="263"/>
      <c r="LW287" s="263"/>
      <c r="LX287" s="263"/>
      <c r="LY287" s="263"/>
      <c r="LZ287" s="263"/>
      <c r="MA287" s="263"/>
      <c r="MB287" s="263"/>
      <c r="MC287" s="263"/>
      <c r="MD287" s="263"/>
      <c r="ME287" s="263"/>
      <c r="MF287" s="263"/>
      <c r="MG287" s="263"/>
      <c r="MH287" s="263"/>
      <c r="MI287" s="263"/>
      <c r="MJ287" s="263"/>
      <c r="MK287" s="263"/>
      <c r="ML287" s="263"/>
      <c r="MM287" s="263"/>
      <c r="MN287" s="263"/>
      <c r="MO287" s="263"/>
      <c r="MP287" s="263"/>
      <c r="MQ287" s="263"/>
      <c r="MR287" s="263"/>
      <c r="MS287" s="263"/>
      <c r="MT287" s="263"/>
      <c r="MU287" s="263"/>
      <c r="MV287" s="263"/>
      <c r="MW287" s="263"/>
      <c r="MX287" s="263"/>
      <c r="MY287" s="263"/>
      <c r="MZ287" s="263"/>
      <c r="NA287" s="263"/>
      <c r="NB287" s="263"/>
      <c r="NC287" s="263"/>
      <c r="ND287" s="263"/>
      <c r="NE287" s="263"/>
      <c r="NF287" s="263"/>
      <c r="NG287" s="263"/>
      <c r="NH287" s="263"/>
      <c r="NI287" s="263"/>
      <c r="NJ287" s="263"/>
      <c r="NK287" s="263"/>
      <c r="NL287" s="263"/>
      <c r="NM287" s="263"/>
      <c r="NN287" s="263"/>
      <c r="NO287" s="263"/>
      <c r="NP287" s="263"/>
      <c r="NQ287" s="263"/>
      <c r="NR287" s="263"/>
      <c r="NS287" s="263"/>
      <c r="NT287" s="263"/>
      <c r="NU287" s="263"/>
      <c r="NV287" s="263"/>
      <c r="NW287" s="263"/>
      <c r="NX287" s="263"/>
      <c r="NY287" s="263"/>
      <c r="NZ287" s="263"/>
      <c r="OA287" s="263"/>
      <c r="OB287" s="263"/>
      <c r="OC287" s="263"/>
      <c r="OD287" s="263"/>
      <c r="OE287" s="263"/>
      <c r="OF287" s="263"/>
      <c r="OG287" s="263"/>
      <c r="OH287" s="263"/>
      <c r="OI287" s="263"/>
      <c r="OJ287" s="263"/>
      <c r="OK287" s="263"/>
      <c r="OL287" s="263"/>
      <c r="OM287" s="263"/>
      <c r="ON287" s="263"/>
      <c r="OO287" s="263"/>
      <c r="OP287" s="263"/>
      <c r="OQ287" s="263"/>
      <c r="OR287" s="263"/>
      <c r="OS287" s="263"/>
      <c r="OT287" s="263"/>
      <c r="OU287" s="263"/>
      <c r="OV287" s="263"/>
      <c r="OW287" s="263"/>
      <c r="OX287" s="263"/>
      <c r="OY287" s="263"/>
      <c r="OZ287" s="263"/>
      <c r="PA287" s="263"/>
      <c r="PB287" s="263"/>
      <c r="PC287" s="263"/>
      <c r="PD287" s="263"/>
      <c r="PE287" s="263"/>
      <c r="PF287" s="263"/>
      <c r="PG287" s="263"/>
      <c r="PH287" s="263"/>
    </row>
    <row r="288">
      <c r="B288" s="216" t="s">
        <v>471</v>
      </c>
      <c r="C288" s="82"/>
      <c r="D288" s="82"/>
      <c r="E288" s="82"/>
      <c r="F288" s="82"/>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c r="AV288" s="82"/>
      <c r="AW288" s="82"/>
      <c r="AX288" s="82"/>
      <c r="AY288" s="82"/>
      <c r="AZ288" s="82"/>
      <c r="BA288" s="82"/>
      <c r="BB288" s="82"/>
      <c r="BC288" s="82"/>
      <c r="BD288" s="82"/>
      <c r="BE288" s="82"/>
      <c r="BF288" s="82"/>
      <c r="BG288" s="82"/>
      <c r="BH288" s="82"/>
      <c r="BI288" s="82"/>
      <c r="BJ288" s="82"/>
      <c r="BK288" s="82"/>
      <c r="BL288" s="82"/>
      <c r="BM288" s="82"/>
      <c r="BN288" s="82"/>
      <c r="BO288" s="82"/>
      <c r="BP288" s="82"/>
      <c r="BQ288" s="82"/>
      <c r="BR288" s="82"/>
      <c r="BS288" s="82"/>
      <c r="BT288" s="82"/>
      <c r="BU288" s="82"/>
      <c r="BV288" s="82"/>
      <c r="BW288" s="82"/>
      <c r="BX288" s="82"/>
      <c r="BY288" s="82"/>
      <c r="BZ288" s="82"/>
      <c r="CA288" s="82"/>
      <c r="CB288" s="82"/>
      <c r="CC288" s="82"/>
      <c r="CD288" s="82"/>
      <c r="CE288" s="82"/>
      <c r="CF288" s="82"/>
      <c r="CG288" s="82"/>
      <c r="CH288" s="82"/>
      <c r="CI288" s="82"/>
      <c r="CJ288" s="82"/>
      <c r="CK288" s="82"/>
      <c r="CL288" s="82"/>
      <c r="CM288" s="82"/>
      <c r="CN288" s="82"/>
      <c r="CO288" s="82"/>
      <c r="CP288" s="82"/>
      <c r="CQ288" s="82"/>
      <c r="CR288" s="82"/>
      <c r="CS288" s="82"/>
      <c r="CT288" s="82"/>
      <c r="CU288" s="82"/>
      <c r="CV288" s="82"/>
      <c r="CW288" s="82"/>
      <c r="CX288" s="82"/>
      <c r="CY288" s="82"/>
      <c r="CZ288" s="82"/>
      <c r="DA288" s="82"/>
      <c r="DB288" s="82"/>
      <c r="DC288" s="82"/>
      <c r="DD288" s="82"/>
      <c r="DE288" s="82"/>
      <c r="DF288" s="82"/>
      <c r="DG288" s="82"/>
      <c r="DH288" s="82"/>
      <c r="DI288" s="82"/>
      <c r="DJ288" s="82"/>
      <c r="DK288" s="82"/>
      <c r="DL288" s="82"/>
      <c r="DM288" s="82"/>
      <c r="DN288" s="82"/>
      <c r="DO288" s="82"/>
      <c r="DP288" s="82"/>
      <c r="DQ288" s="82"/>
      <c r="DR288" s="82"/>
      <c r="DS288" s="82"/>
      <c r="DT288" s="82"/>
      <c r="DU288" s="82"/>
      <c r="DV288" s="82"/>
      <c r="DW288" s="82"/>
      <c r="DX288" s="82"/>
      <c r="DY288" s="82"/>
      <c r="DZ288" s="82"/>
      <c r="EA288" s="82"/>
      <c r="EB288" s="82"/>
      <c r="EC288" s="82"/>
      <c r="ED288" s="82"/>
      <c r="EE288" s="82"/>
      <c r="EF288" s="82"/>
      <c r="EG288" s="82"/>
      <c r="EH288" s="82"/>
      <c r="EI288" s="82"/>
      <c r="EJ288" s="82"/>
      <c r="EK288" s="82"/>
      <c r="EL288" s="82"/>
      <c r="EM288" s="82"/>
      <c r="EN288" s="82"/>
      <c r="EO288" s="82"/>
      <c r="EP288" s="214"/>
      <c r="EQ288" s="82"/>
      <c r="ER288" s="82"/>
      <c r="ES288" s="82"/>
      <c r="ET288" s="82"/>
      <c r="EU288" s="82"/>
      <c r="EV288" s="82"/>
      <c r="EW288" s="82"/>
      <c r="EX288" s="82"/>
      <c r="EY288" s="82"/>
      <c r="EZ288" s="82"/>
      <c r="FA288" s="82"/>
      <c r="FB288" s="82"/>
      <c r="FC288" s="82"/>
      <c r="FD288" s="82"/>
      <c r="FE288" s="82"/>
      <c r="FF288" s="82"/>
      <c r="FG288" s="82"/>
      <c r="FH288" s="82"/>
      <c r="FI288" s="82"/>
      <c r="FJ288" s="82"/>
      <c r="FK288" s="82"/>
      <c r="FL288" s="82"/>
      <c r="FM288" s="82"/>
      <c r="FN288" s="82"/>
      <c r="FO288" s="82"/>
      <c r="FP288" s="82"/>
      <c r="FQ288" s="82"/>
      <c r="FR288" s="82"/>
      <c r="FS288" s="82"/>
      <c r="FT288" s="82"/>
      <c r="FU288" s="82"/>
      <c r="FV288" s="82"/>
      <c r="FW288" s="82"/>
      <c r="FX288" s="82"/>
      <c r="FY288" s="82"/>
      <c r="FZ288" s="82"/>
      <c r="GA288" s="82"/>
      <c r="GB288" s="82"/>
      <c r="GC288" s="82"/>
      <c r="GD288" s="82"/>
      <c r="GE288" s="82"/>
      <c r="GF288" s="82"/>
      <c r="GG288" s="82"/>
      <c r="GH288" s="82"/>
      <c r="GI288" s="82"/>
      <c r="GJ288" s="82"/>
      <c r="GK288" s="82"/>
      <c r="GL288" s="82"/>
      <c r="GM288" s="82"/>
      <c r="GN288" s="82"/>
      <c r="GO288" s="82"/>
      <c r="GP288" s="82"/>
      <c r="GQ288" s="82"/>
      <c r="GR288" s="82"/>
      <c r="GS288" s="82"/>
      <c r="GT288" s="82"/>
      <c r="GU288" s="82"/>
      <c r="GV288" s="82"/>
      <c r="GW288" s="82"/>
      <c r="GX288" s="82"/>
      <c r="GY288" s="82"/>
      <c r="GZ288" s="82"/>
      <c r="HA288" s="82"/>
      <c r="HB288" s="82"/>
      <c r="HC288" s="82"/>
      <c r="HD288" s="82"/>
      <c r="HE288" s="82"/>
      <c r="HF288" s="82"/>
      <c r="HG288" s="82"/>
      <c r="HH288" s="82"/>
      <c r="HI288" s="82"/>
      <c r="HJ288" s="82"/>
      <c r="HK288" s="82"/>
      <c r="HL288" s="82"/>
      <c r="HM288" s="82"/>
      <c r="HN288" s="82"/>
      <c r="HO288" s="82"/>
      <c r="HP288" s="82"/>
      <c r="HQ288" s="82"/>
      <c r="HR288" s="82"/>
      <c r="HS288" s="82"/>
      <c r="HT288" s="82"/>
      <c r="HU288" s="82"/>
      <c r="HV288" s="82"/>
      <c r="HW288" s="82"/>
      <c r="HX288" s="82"/>
      <c r="HY288" s="82"/>
      <c r="HZ288" s="82"/>
      <c r="IA288" s="82"/>
      <c r="IB288" s="82"/>
      <c r="IC288" s="82"/>
      <c r="ID288" s="82"/>
      <c r="IE288" s="82"/>
      <c r="IF288" s="82"/>
      <c r="IG288" s="82"/>
      <c r="IH288" s="82"/>
      <c r="II288" s="82"/>
      <c r="IJ288" s="82"/>
      <c r="IK288" s="82"/>
      <c r="IL288" s="82"/>
      <c r="IM288" s="82"/>
      <c r="IN288" s="82"/>
      <c r="IO288" s="82"/>
      <c r="IP288" s="82"/>
      <c r="IQ288" s="82"/>
      <c r="IR288" s="82"/>
      <c r="IS288" s="82"/>
      <c r="IT288" s="82"/>
      <c r="IU288" s="82"/>
      <c r="IV288" s="82"/>
      <c r="IW288" s="82"/>
      <c r="IX288" s="82"/>
      <c r="IY288" s="82"/>
      <c r="IZ288" s="82"/>
      <c r="JA288" s="82"/>
      <c r="JB288" s="82"/>
      <c r="JC288" s="82"/>
      <c r="JD288" s="82"/>
      <c r="JE288" s="82"/>
      <c r="JF288" s="82"/>
      <c r="JG288" s="82"/>
      <c r="JH288" s="82"/>
      <c r="JI288" s="82"/>
      <c r="JJ288" s="82"/>
      <c r="JK288" s="82"/>
      <c r="JL288" s="82"/>
      <c r="JM288" s="82"/>
      <c r="JN288" s="82"/>
      <c r="JO288" s="82"/>
      <c r="JP288" s="82"/>
      <c r="JQ288" s="82"/>
      <c r="JR288" s="82"/>
      <c r="JS288" s="82"/>
      <c r="JT288" s="82"/>
      <c r="JU288" s="82"/>
      <c r="JV288" s="82"/>
      <c r="JW288" s="82"/>
      <c r="JX288" s="82"/>
      <c r="JZ288" s="263"/>
      <c r="KA288" s="263"/>
      <c r="KB288" s="263"/>
      <c r="KC288" s="263"/>
      <c r="KD288" s="263"/>
      <c r="KE288" s="263"/>
      <c r="KF288" s="263"/>
      <c r="KG288" s="263"/>
      <c r="KH288" s="263"/>
      <c r="KI288" s="263"/>
      <c r="KJ288" s="263"/>
      <c r="KK288" s="263"/>
      <c r="KL288" s="263"/>
      <c r="KM288" s="263"/>
      <c r="KN288" s="263"/>
      <c r="KO288" s="263"/>
      <c r="KP288" s="263"/>
      <c r="KQ288" s="263"/>
      <c r="KR288" s="263"/>
      <c r="KS288" s="263"/>
      <c r="KT288" s="263"/>
      <c r="KU288" s="263"/>
      <c r="KV288" s="263"/>
      <c r="KW288" s="263"/>
      <c r="KX288" s="263"/>
      <c r="KY288" s="263"/>
      <c r="KZ288" s="263"/>
      <c r="LA288" s="263"/>
      <c r="LB288" s="263"/>
      <c r="LC288" s="263"/>
      <c r="LD288" s="263"/>
      <c r="LE288" s="263"/>
      <c r="LF288" s="263"/>
      <c r="LG288" s="263"/>
      <c r="LH288" s="263"/>
      <c r="LI288" s="263"/>
      <c r="LJ288" s="263"/>
      <c r="LK288" s="263"/>
      <c r="LL288" s="263"/>
      <c r="LM288" s="263"/>
      <c r="LN288" s="263"/>
      <c r="LO288" s="263"/>
      <c r="LP288" s="263"/>
      <c r="LQ288" s="263"/>
      <c r="LR288" s="263"/>
      <c r="LS288" s="263"/>
      <c r="LT288" s="263"/>
      <c r="LU288" s="263"/>
      <c r="LV288" s="263"/>
      <c r="LW288" s="263"/>
      <c r="LX288" s="263"/>
      <c r="LY288" s="263"/>
      <c r="LZ288" s="263"/>
      <c r="MA288" s="263"/>
      <c r="MB288" s="263"/>
      <c r="MC288" s="263"/>
      <c r="MD288" s="263"/>
      <c r="ME288" s="263"/>
      <c r="MF288" s="263"/>
      <c r="MG288" s="263"/>
      <c r="MH288" s="263"/>
      <c r="MI288" s="263"/>
      <c r="MJ288" s="263"/>
      <c r="MK288" s="263"/>
      <c r="ML288" s="263"/>
      <c r="MM288" s="263"/>
      <c r="MN288" s="263"/>
      <c r="MO288" s="263"/>
      <c r="MP288" s="263"/>
      <c r="MQ288" s="263"/>
      <c r="MR288" s="263"/>
      <c r="MS288" s="263"/>
      <c r="MT288" s="263"/>
      <c r="MU288" s="263"/>
      <c r="MV288" s="263"/>
      <c r="MW288" s="263"/>
      <c r="MX288" s="263"/>
      <c r="MY288" s="263"/>
      <c r="MZ288" s="263"/>
      <c r="NA288" s="263"/>
      <c r="NB288" s="263"/>
      <c r="NC288" s="263"/>
      <c r="ND288" s="263"/>
      <c r="NE288" s="263"/>
      <c r="NF288" s="263"/>
      <c r="NG288" s="263"/>
      <c r="NH288" s="263"/>
      <c r="NI288" s="263"/>
      <c r="NJ288" s="263"/>
      <c r="NK288" s="263"/>
      <c r="NL288" s="263"/>
      <c r="NM288" s="263"/>
      <c r="NN288" s="263"/>
      <c r="NO288" s="263"/>
      <c r="NP288" s="263"/>
      <c r="NQ288" s="263"/>
      <c r="NR288" s="263"/>
      <c r="NS288" s="263"/>
      <c r="NT288" s="263"/>
      <c r="NU288" s="263"/>
      <c r="NV288" s="263"/>
      <c r="NW288" s="263"/>
      <c r="NX288" s="263"/>
      <c r="NY288" s="263"/>
      <c r="NZ288" s="263"/>
      <c r="OA288" s="263"/>
      <c r="OB288" s="263"/>
      <c r="OC288" s="263"/>
      <c r="OD288" s="263"/>
      <c r="OE288" s="263"/>
      <c r="OF288" s="263"/>
      <c r="OG288" s="263"/>
      <c r="OH288" s="263"/>
      <c r="OI288" s="263"/>
      <c r="OJ288" s="263"/>
      <c r="OK288" s="263"/>
      <c r="OL288" s="263"/>
      <c r="OM288" s="263"/>
      <c r="ON288" s="263"/>
      <c r="OO288" s="263"/>
      <c r="OP288" s="263"/>
      <c r="OQ288" s="263"/>
      <c r="OR288" s="263"/>
      <c r="OS288" s="263"/>
      <c r="OT288" s="263"/>
      <c r="OU288" s="263"/>
      <c r="OV288" s="263"/>
      <c r="OW288" s="263"/>
      <c r="OX288" s="263"/>
      <c r="OY288" s="263"/>
      <c r="OZ288" s="263"/>
      <c r="PA288" s="263"/>
      <c r="PB288" s="263"/>
      <c r="PC288" s="263"/>
      <c r="PD288" s="263"/>
      <c r="PE288" s="263"/>
      <c r="PF288" s="263"/>
      <c r="PG288" s="263"/>
      <c r="PH288" s="263"/>
    </row>
    <row r="289">
      <c r="B289" s="82"/>
      <c r="C289" s="215" t="s">
        <v>472</v>
      </c>
      <c r="D289" s="82"/>
      <c r="E289" s="82"/>
      <c r="F289" s="219" t="s">
        <v>473</v>
      </c>
      <c r="G289" s="215"/>
      <c r="H289" s="215"/>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c r="AV289" s="82"/>
      <c r="AW289" s="82"/>
      <c r="AX289" s="82"/>
      <c r="AY289" s="82"/>
      <c r="AZ289" s="82"/>
      <c r="BA289" s="82"/>
      <c r="BB289" s="82"/>
      <c r="BC289" s="82"/>
      <c r="BD289" s="82"/>
      <c r="BE289" s="82"/>
      <c r="BF289" s="82"/>
      <c r="BG289" s="82"/>
      <c r="BH289" s="82"/>
      <c r="BI289" s="82"/>
      <c r="BJ289" s="82"/>
      <c r="BK289" s="82"/>
      <c r="BL289" s="82"/>
      <c r="BM289" s="82"/>
      <c r="BN289" s="82"/>
      <c r="BO289" s="82"/>
      <c r="BP289" s="82"/>
      <c r="BQ289" s="82"/>
      <c r="BR289" s="82"/>
      <c r="BS289" s="82"/>
      <c r="BT289" s="82"/>
      <c r="BU289" s="82"/>
      <c r="BV289" s="82"/>
      <c r="BW289" s="82"/>
      <c r="BX289" s="82"/>
      <c r="BY289" s="82"/>
      <c r="BZ289" s="82"/>
      <c r="CA289" s="82"/>
      <c r="CB289" s="82"/>
      <c r="CC289" s="82"/>
      <c r="CD289" s="82"/>
      <c r="CE289" s="82"/>
      <c r="CF289" s="82"/>
      <c r="CG289" s="82"/>
      <c r="CH289" s="82"/>
      <c r="CI289" s="82"/>
      <c r="CJ289" s="82"/>
      <c r="CK289" s="82"/>
      <c r="CL289" s="82"/>
      <c r="CM289" s="82"/>
      <c r="CN289" s="82"/>
      <c r="CO289" s="82"/>
      <c r="CP289" s="82"/>
      <c r="CQ289" s="82"/>
      <c r="CR289" s="82"/>
      <c r="CS289" s="82"/>
      <c r="CT289" s="82"/>
      <c r="CU289" s="82"/>
      <c r="CV289" s="82"/>
      <c r="CW289" s="82"/>
      <c r="CX289" s="82"/>
      <c r="CY289" s="82"/>
      <c r="CZ289" s="82"/>
      <c r="DA289" s="82"/>
      <c r="DB289" s="82"/>
      <c r="DC289" s="82"/>
      <c r="DD289" s="82"/>
      <c r="DE289" s="82"/>
      <c r="DF289" s="82"/>
      <c r="DG289" s="82"/>
      <c r="DH289" s="82"/>
      <c r="DI289" s="82"/>
      <c r="DJ289" s="82"/>
      <c r="DK289" s="82"/>
      <c r="DL289" s="82"/>
      <c r="DM289" s="82"/>
      <c r="DN289" s="82"/>
      <c r="DO289" s="82"/>
      <c r="DP289" s="82"/>
      <c r="DQ289" s="82"/>
      <c r="DR289" s="82"/>
      <c r="DS289" s="82"/>
      <c r="DT289" s="82"/>
      <c r="DU289" s="82"/>
      <c r="DV289" s="82"/>
      <c r="DW289" s="82"/>
      <c r="DX289" s="82"/>
      <c r="DY289" s="82"/>
      <c r="DZ289" s="82"/>
      <c r="EA289" s="82"/>
      <c r="EB289" s="82"/>
      <c r="EC289" s="82"/>
      <c r="ED289" s="82"/>
      <c r="EE289" s="82"/>
      <c r="EF289" s="82"/>
      <c r="EG289" s="82"/>
      <c r="EH289" s="82"/>
      <c r="EI289" s="82"/>
      <c r="EJ289" s="82"/>
      <c r="EK289" s="82"/>
      <c r="EL289" s="82"/>
      <c r="EM289" s="82"/>
      <c r="EN289" s="82"/>
      <c r="EO289" s="82"/>
      <c r="EP289" s="214"/>
      <c r="EQ289" s="82"/>
      <c r="ER289" s="82"/>
      <c r="ES289" s="82"/>
      <c r="ET289" s="82"/>
      <c r="EU289" s="82"/>
      <c r="EV289" s="82"/>
      <c r="EW289" s="82"/>
      <c r="EX289" s="82"/>
      <c r="EY289" s="82"/>
      <c r="EZ289" s="82"/>
      <c r="FA289" s="82"/>
      <c r="FB289" s="82"/>
      <c r="FC289" s="82"/>
      <c r="FD289" s="82"/>
      <c r="FE289" s="82"/>
      <c r="FF289" s="82"/>
      <c r="FG289" s="82"/>
      <c r="FH289" s="82"/>
      <c r="FI289" s="82"/>
      <c r="FJ289" s="82"/>
      <c r="FK289" s="82"/>
      <c r="FL289" s="82"/>
      <c r="FM289" s="82"/>
      <c r="FN289" s="82"/>
      <c r="FO289" s="82"/>
      <c r="FP289" s="82"/>
      <c r="FQ289" s="82"/>
      <c r="FR289" s="82"/>
      <c r="FS289" s="82"/>
      <c r="FT289" s="82"/>
      <c r="FU289" s="82"/>
      <c r="FV289" s="82"/>
      <c r="FW289" s="82"/>
      <c r="FX289" s="82"/>
      <c r="FY289" s="82"/>
      <c r="FZ289" s="82"/>
      <c r="GA289" s="82"/>
      <c r="GB289" s="82"/>
      <c r="GC289" s="82"/>
      <c r="GD289" s="82"/>
      <c r="GE289" s="82"/>
      <c r="GF289" s="82"/>
      <c r="GG289" s="82"/>
      <c r="GH289" s="82"/>
      <c r="GI289" s="82"/>
      <c r="GJ289" s="82"/>
      <c r="GK289" s="82"/>
      <c r="GL289" s="82"/>
      <c r="GM289" s="82"/>
      <c r="GN289" s="82"/>
      <c r="GO289" s="82"/>
      <c r="GP289" s="82"/>
      <c r="GQ289" s="82"/>
      <c r="GR289" s="82"/>
      <c r="GS289" s="82"/>
      <c r="GT289" s="82"/>
      <c r="GU289" s="82"/>
      <c r="GV289" s="82"/>
      <c r="GW289" s="82"/>
      <c r="GX289" s="82"/>
      <c r="GY289" s="82"/>
      <c r="GZ289" s="82"/>
      <c r="HA289" s="82"/>
      <c r="HB289" s="82"/>
      <c r="HC289" s="82"/>
      <c r="HD289" s="82"/>
      <c r="HE289" s="82"/>
      <c r="HF289" s="82"/>
      <c r="HG289" s="82"/>
      <c r="HH289" s="82"/>
      <c r="HI289" s="82"/>
      <c r="HJ289" s="82"/>
      <c r="HK289" s="82"/>
      <c r="HL289" s="82"/>
      <c r="HM289" s="82"/>
      <c r="HN289" s="82"/>
      <c r="HO289" s="82"/>
      <c r="HP289" s="82"/>
      <c r="HQ289" s="82"/>
      <c r="HR289" s="82"/>
      <c r="HS289" s="82"/>
      <c r="HT289" s="82"/>
      <c r="HU289" s="82"/>
      <c r="HV289" s="82"/>
      <c r="HW289" s="82"/>
      <c r="HX289" s="82"/>
      <c r="HY289" s="82"/>
      <c r="HZ289" s="82"/>
      <c r="IA289" s="82"/>
      <c r="IB289" s="82"/>
      <c r="IC289" s="82"/>
      <c r="ID289" s="82"/>
      <c r="IE289" s="82"/>
      <c r="IF289" s="82"/>
      <c r="IG289" s="82"/>
      <c r="IH289" s="82"/>
      <c r="II289" s="82"/>
      <c r="IJ289" s="82"/>
      <c r="IK289" s="82"/>
      <c r="IL289" s="82"/>
      <c r="IM289" s="82"/>
      <c r="IN289" s="82"/>
      <c r="IO289" s="82"/>
      <c r="IP289" s="82"/>
      <c r="IQ289" s="82"/>
      <c r="IR289" s="82"/>
      <c r="IS289" s="82"/>
      <c r="IT289" s="82"/>
      <c r="IU289" s="82"/>
      <c r="IV289" s="82"/>
      <c r="IW289" s="82"/>
      <c r="IX289" s="82"/>
      <c r="IY289" s="82"/>
      <c r="IZ289" s="82"/>
      <c r="JA289" s="82"/>
      <c r="JB289" s="82"/>
      <c r="JC289" s="82"/>
      <c r="JD289" s="82"/>
      <c r="JE289" s="82"/>
      <c r="JF289" s="82"/>
      <c r="JG289" s="82"/>
      <c r="JH289" s="82"/>
      <c r="JI289" s="82"/>
      <c r="JJ289" s="82"/>
      <c r="JK289" s="82"/>
      <c r="JL289" s="82"/>
      <c r="JM289" s="82"/>
      <c r="JN289" s="82"/>
      <c r="JO289" s="82"/>
      <c r="JP289" s="82"/>
      <c r="JQ289" s="82"/>
      <c r="JR289" s="82"/>
      <c r="JS289" s="82"/>
      <c r="JT289" s="82"/>
      <c r="JU289" s="82"/>
      <c r="JV289" s="82"/>
      <c r="JW289" s="82"/>
      <c r="JX289" s="82"/>
      <c r="JZ289" s="263"/>
      <c r="KA289" s="263"/>
      <c r="KB289" s="263"/>
      <c r="KC289" s="263"/>
      <c r="KD289" s="263"/>
      <c r="KE289" s="263"/>
      <c r="KF289" s="263"/>
      <c r="KG289" s="263"/>
      <c r="KH289" s="263"/>
      <c r="KI289" s="263"/>
      <c r="KJ289" s="263"/>
      <c r="KK289" s="263"/>
      <c r="KL289" s="263"/>
      <c r="KM289" s="263"/>
      <c r="KN289" s="263"/>
      <c r="KO289" s="263"/>
      <c r="KP289" s="263"/>
      <c r="KQ289" s="263"/>
      <c r="KR289" s="263"/>
      <c r="KS289" s="263"/>
      <c r="KT289" s="263"/>
      <c r="KU289" s="263"/>
      <c r="KV289" s="263"/>
      <c r="KW289" s="263"/>
      <c r="KX289" s="263"/>
      <c r="KY289" s="263"/>
      <c r="KZ289" s="263"/>
      <c r="LA289" s="263"/>
      <c r="LB289" s="263"/>
      <c r="LC289" s="263"/>
      <c r="LD289" s="263"/>
      <c r="LE289" s="263"/>
      <c r="LF289" s="263"/>
      <c r="LG289" s="263"/>
      <c r="LH289" s="263"/>
      <c r="LI289" s="263"/>
      <c r="LJ289" s="263"/>
      <c r="LK289" s="263"/>
      <c r="LL289" s="263"/>
      <c r="LM289" s="263"/>
      <c r="LN289" s="263"/>
      <c r="LO289" s="263"/>
      <c r="LP289" s="263"/>
      <c r="LQ289" s="263"/>
      <c r="LR289" s="263"/>
      <c r="LS289" s="263"/>
      <c r="LT289" s="263"/>
      <c r="LU289" s="263"/>
      <c r="LV289" s="263"/>
      <c r="LW289" s="263"/>
      <c r="LX289" s="263"/>
      <c r="LY289" s="263"/>
      <c r="LZ289" s="263"/>
      <c r="MA289" s="263"/>
      <c r="MB289" s="263"/>
      <c r="MC289" s="263"/>
      <c r="MD289" s="263"/>
      <c r="ME289" s="263"/>
      <c r="MF289" s="263"/>
      <c r="MG289" s="263"/>
      <c r="MH289" s="263"/>
      <c r="MI289" s="263"/>
      <c r="MJ289" s="263"/>
      <c r="MK289" s="263"/>
      <c r="ML289" s="263"/>
      <c r="MM289" s="263"/>
      <c r="MN289" s="263"/>
      <c r="MO289" s="263"/>
      <c r="MP289" s="263"/>
      <c r="MQ289" s="263"/>
      <c r="MR289" s="263"/>
      <c r="MS289" s="263"/>
      <c r="MT289" s="263"/>
      <c r="MU289" s="263"/>
      <c r="MV289" s="263"/>
      <c r="MW289" s="263"/>
      <c r="MX289" s="263"/>
      <c r="MY289" s="263"/>
      <c r="MZ289" s="263"/>
      <c r="NA289" s="263"/>
      <c r="NB289" s="263"/>
      <c r="NC289" s="263"/>
      <c r="ND289" s="263"/>
      <c r="NE289" s="263"/>
      <c r="NF289" s="263"/>
      <c r="NG289" s="263"/>
      <c r="NH289" s="263"/>
      <c r="NI289" s="263"/>
      <c r="NJ289" s="263"/>
      <c r="NK289" s="263"/>
      <c r="NL289" s="263"/>
      <c r="NM289" s="263"/>
      <c r="NN289" s="263"/>
      <c r="NO289" s="263"/>
      <c r="NP289" s="263"/>
      <c r="NQ289" s="263"/>
      <c r="NR289" s="263"/>
      <c r="NS289" s="263"/>
      <c r="NT289" s="263"/>
      <c r="NU289" s="263"/>
      <c r="NV289" s="263"/>
      <c r="NW289" s="263"/>
      <c r="NX289" s="263"/>
      <c r="NY289" s="263"/>
      <c r="NZ289" s="263"/>
      <c r="OA289" s="263"/>
      <c r="OB289" s="263"/>
      <c r="OC289" s="263"/>
      <c r="OD289" s="263"/>
      <c r="OE289" s="263"/>
      <c r="OF289" s="263"/>
      <c r="OG289" s="263"/>
      <c r="OH289" s="263"/>
      <c r="OI289" s="263"/>
      <c r="OJ289" s="263"/>
      <c r="OK289" s="263"/>
      <c r="OL289" s="263"/>
      <c r="OM289" s="263"/>
      <c r="ON289" s="263"/>
      <c r="OO289" s="263"/>
      <c r="OP289" s="263"/>
      <c r="OQ289" s="263"/>
      <c r="OR289" s="263"/>
      <c r="OS289" s="263"/>
      <c r="OT289" s="263"/>
      <c r="OU289" s="263"/>
      <c r="OV289" s="263"/>
      <c r="OW289" s="263"/>
      <c r="OX289" s="263"/>
      <c r="OY289" s="263"/>
      <c r="OZ289" s="263"/>
      <c r="PA289" s="263"/>
      <c r="PB289" s="263"/>
      <c r="PC289" s="263"/>
      <c r="PD289" s="263"/>
      <c r="PE289" s="263"/>
      <c r="PF289" s="263"/>
      <c r="PG289" s="263"/>
      <c r="PH289" s="263"/>
    </row>
    <row r="290">
      <c r="B290" s="214" t="s">
        <v>175</v>
      </c>
      <c r="C290" s="82" t="b">
        <f>ROUND(C61,3)=ROUND(F61,3)</f>
        <v>0</v>
      </c>
      <c r="D290" s="82"/>
      <c r="E290" s="82"/>
      <c r="F290" s="82"/>
      <c r="G290" s="217"/>
      <c r="H290" s="82"/>
      <c r="I290" s="82"/>
      <c r="J290" s="82"/>
      <c r="K290" s="215" t="s">
        <v>474</v>
      </c>
      <c r="L290" s="204" t="n">
        <f t="shared" ref="L290:AQ290" si="1349">L3</f>
        <v>0</v>
      </c>
      <c r="M290" s="204">
        <f t="shared" si="1349"/>
        <v>1</v>
      </c>
      <c r="N290" s="204">
        <f t="shared" si="1349"/>
        <v>2</v>
      </c>
      <c r="O290" s="204">
        <f t="shared" si="1349"/>
        <v>3</v>
      </c>
      <c r="P290" s="204">
        <f t="shared" si="1349"/>
        <v>4</v>
      </c>
      <c r="Q290" s="204">
        <f t="shared" si="1349"/>
        <v>5</v>
      </c>
      <c r="R290" s="204">
        <f t="shared" si="1349"/>
        <v>6</v>
      </c>
      <c r="S290" s="204">
        <f t="shared" si="1349"/>
        <v>7</v>
      </c>
      <c r="T290" s="204">
        <f t="shared" si="1349"/>
        <v>8</v>
      </c>
      <c r="U290" s="204">
        <f t="shared" si="1349"/>
        <v>9</v>
      </c>
      <c r="V290" s="204">
        <f t="shared" si="1349"/>
        <v>10</v>
      </c>
      <c r="W290" s="204">
        <f t="shared" si="1349"/>
        <v>11</v>
      </c>
      <c r="X290" s="204">
        <f t="shared" si="1349"/>
        <v>12</v>
      </c>
      <c r="Y290" s="204">
        <f t="shared" si="1349"/>
        <v>13</v>
      </c>
      <c r="Z290" s="204">
        <f t="shared" si="1349"/>
        <v>14</v>
      </c>
      <c r="AA290" s="204">
        <f t="shared" si="1349"/>
        <v>15</v>
      </c>
      <c r="AB290" s="204">
        <f t="shared" si="1349"/>
        <v>16</v>
      </c>
      <c r="AC290" s="204">
        <f t="shared" si="1349"/>
        <v>17</v>
      </c>
      <c r="AD290" s="204">
        <f t="shared" si="1349"/>
        <v>18</v>
      </c>
      <c r="AE290" s="204">
        <f t="shared" si="1349"/>
        <v>19</v>
      </c>
      <c r="AF290" s="204">
        <f t="shared" si="1349"/>
        <v>20</v>
      </c>
      <c r="AG290" s="204">
        <f t="shared" si="1349"/>
        <v>21</v>
      </c>
      <c r="AH290" s="204">
        <f t="shared" si="1349"/>
        <v>22</v>
      </c>
      <c r="AI290" s="204">
        <f t="shared" si="1349"/>
        <v>23</v>
      </c>
      <c r="AJ290" s="204">
        <f t="shared" si="1349"/>
        <v>24</v>
      </c>
      <c r="AK290" s="204">
        <f t="shared" si="1349"/>
        <v>25</v>
      </c>
      <c r="AL290" s="204">
        <f t="shared" si="1349"/>
        <v>26</v>
      </c>
      <c r="AM290" s="204">
        <f t="shared" si="1349"/>
        <v>27</v>
      </c>
      <c r="AN290" s="204">
        <f t="shared" si="1349"/>
        <v>28</v>
      </c>
      <c r="AO290" s="204">
        <f t="shared" si="1349"/>
        <v>29</v>
      </c>
      <c r="AP290" s="204">
        <f t="shared" si="1349"/>
        <v>30</v>
      </c>
      <c r="AQ290" s="204">
        <f t="shared" si="1349"/>
        <v>31</v>
      </c>
      <c r="AR290" s="204" t="n">
        <f t="shared" ref="AR290:BW290" si="1350">AR3</f>
        <v>32</v>
      </c>
      <c r="AS290" s="204">
        <f t="shared" si="1350"/>
        <v>33</v>
      </c>
      <c r="AT290" s="204">
        <f t="shared" si="1350"/>
        <v>34</v>
      </c>
      <c r="AU290" s="204">
        <f t="shared" si="1350"/>
        <v>35</v>
      </c>
      <c r="AV290" s="204">
        <f t="shared" si="1350"/>
        <v>36</v>
      </c>
      <c r="AW290" s="204">
        <f t="shared" si="1350"/>
        <v>37</v>
      </c>
      <c r="AX290" s="204">
        <f t="shared" si="1350"/>
        <v>38</v>
      </c>
      <c r="AY290" s="204">
        <f t="shared" si="1350"/>
        <v>39</v>
      </c>
      <c r="AZ290" s="204">
        <f t="shared" si="1350"/>
        <v>40</v>
      </c>
      <c r="BA290" s="204">
        <f t="shared" si="1350"/>
        <v>41</v>
      </c>
      <c r="BB290" s="204">
        <f t="shared" si="1350"/>
        <v>42</v>
      </c>
      <c r="BC290" s="204">
        <f t="shared" si="1350"/>
        <v>43</v>
      </c>
      <c r="BD290" s="204">
        <f t="shared" si="1350"/>
        <v>44</v>
      </c>
      <c r="BE290" s="204">
        <f t="shared" si="1350"/>
        <v>45</v>
      </c>
      <c r="BF290" s="204">
        <f t="shared" si="1350"/>
        <v>46</v>
      </c>
      <c r="BG290" s="204">
        <f t="shared" si="1350"/>
        <v>47</v>
      </c>
      <c r="BH290" s="204">
        <f t="shared" si="1350"/>
        <v>48</v>
      </c>
      <c r="BI290" s="204">
        <f t="shared" si="1350"/>
        <v>49</v>
      </c>
      <c r="BJ290" s="204">
        <f t="shared" si="1350"/>
        <v>50</v>
      </c>
      <c r="BK290" s="204">
        <f t="shared" si="1350"/>
        <v>51</v>
      </c>
      <c r="BL290" s="204">
        <f t="shared" si="1350"/>
        <v>52</v>
      </c>
      <c r="BM290" s="204">
        <f t="shared" si="1350"/>
        <v>53</v>
      </c>
      <c r="BN290" s="204">
        <f t="shared" si="1350"/>
        <v>54</v>
      </c>
      <c r="BO290" s="204">
        <f t="shared" si="1350"/>
        <v>55</v>
      </c>
      <c r="BP290" s="204">
        <f t="shared" si="1350"/>
        <v>56</v>
      </c>
      <c r="BQ290" s="204">
        <f t="shared" si="1350"/>
        <v>57</v>
      </c>
      <c r="BR290" s="204">
        <f t="shared" si="1350"/>
        <v>58</v>
      </c>
      <c r="BS290" s="204">
        <f t="shared" si="1350"/>
        <v>59</v>
      </c>
      <c r="BT290" s="204">
        <f t="shared" si="1350"/>
        <v>60</v>
      </c>
      <c r="BU290" s="204">
        <f t="shared" si="1350"/>
        <v>61</v>
      </c>
      <c r="BV290" s="204">
        <f t="shared" si="1350"/>
        <v>62</v>
      </c>
      <c r="BW290" s="204">
        <f t="shared" si="1350"/>
        <v>63</v>
      </c>
      <c r="BX290" s="204" t="n">
        <f t="shared" ref="BX290:DC290" si="1351">BX3</f>
        <v>64</v>
      </c>
      <c r="BY290" s="204">
        <f t="shared" si="1351"/>
        <v>65</v>
      </c>
      <c r="BZ290" s="204">
        <f t="shared" si="1351"/>
        <v>66</v>
      </c>
      <c r="CA290" s="204">
        <f t="shared" si="1351"/>
        <v>67</v>
      </c>
      <c r="CB290" s="204">
        <f t="shared" si="1351"/>
        <v>68</v>
      </c>
      <c r="CC290" s="204">
        <f t="shared" si="1351"/>
        <v>69</v>
      </c>
      <c r="CD290" s="204">
        <f t="shared" si="1351"/>
        <v>70</v>
      </c>
      <c r="CE290" s="204">
        <f t="shared" si="1351"/>
        <v>71</v>
      </c>
      <c r="CF290" s="204">
        <f t="shared" si="1351"/>
        <v>72</v>
      </c>
      <c r="CG290" s="204">
        <f t="shared" si="1351"/>
        <v>73</v>
      </c>
      <c r="CH290" s="204">
        <f t="shared" si="1351"/>
        <v>74</v>
      </c>
      <c r="CI290" s="204">
        <f t="shared" si="1351"/>
        <v>75</v>
      </c>
      <c r="CJ290" s="204">
        <f t="shared" si="1351"/>
        <v>76</v>
      </c>
      <c r="CK290" s="204">
        <f t="shared" si="1351"/>
        <v>77</v>
      </c>
      <c r="CL290" s="204">
        <f t="shared" si="1351"/>
        <v>78</v>
      </c>
      <c r="CM290" s="204">
        <f t="shared" si="1351"/>
        <v>79</v>
      </c>
      <c r="CN290" s="204">
        <f t="shared" si="1351"/>
        <v>80</v>
      </c>
      <c r="CO290" s="204">
        <f t="shared" si="1351"/>
        <v>81</v>
      </c>
      <c r="CP290" s="204">
        <f t="shared" si="1351"/>
        <v>82</v>
      </c>
      <c r="CQ290" s="204">
        <f t="shared" si="1351"/>
        <v>83</v>
      </c>
      <c r="CR290" s="204">
        <f t="shared" si="1351"/>
        <v>84</v>
      </c>
      <c r="CS290" s="204">
        <f t="shared" si="1351"/>
        <v>85</v>
      </c>
      <c r="CT290" s="204">
        <f t="shared" si="1351"/>
        <v>86</v>
      </c>
      <c r="CU290" s="204">
        <f t="shared" si="1351"/>
        <v>87</v>
      </c>
      <c r="CV290" s="204">
        <f t="shared" si="1351"/>
        <v>88</v>
      </c>
      <c r="CW290" s="204">
        <f t="shared" si="1351"/>
        <v>89</v>
      </c>
      <c r="CX290" s="204">
        <f t="shared" si="1351"/>
        <v>90</v>
      </c>
      <c r="CY290" s="204">
        <f t="shared" si="1351"/>
        <v>91</v>
      </c>
      <c r="CZ290" s="204">
        <f t="shared" si="1351"/>
        <v>92</v>
      </c>
      <c r="DA290" s="204">
        <f t="shared" si="1351"/>
        <v>93</v>
      </c>
      <c r="DB290" s="204">
        <f t="shared" si="1351"/>
        <v>94</v>
      </c>
      <c r="DC290" s="204">
        <f t="shared" si="1351"/>
        <v>95</v>
      </c>
      <c r="DD290" s="204" t="n">
        <f t="shared" ref="DD290:EN290" si="1352">DD3</f>
        <v>96</v>
      </c>
      <c r="DE290" s="204">
        <f t="shared" si="1352"/>
        <v>97</v>
      </c>
      <c r="DF290" s="204">
        <f t="shared" si="1352"/>
        <v>98</v>
      </c>
      <c r="DG290" s="204">
        <f t="shared" si="1352"/>
        <v>99</v>
      </c>
      <c r="DH290" s="204">
        <f t="shared" si="1352"/>
        <v>100</v>
      </c>
      <c r="DI290" s="204">
        <f t="shared" si="1352"/>
        <v>101</v>
      </c>
      <c r="DJ290" s="204">
        <f t="shared" si="1352"/>
        <v>102</v>
      </c>
      <c r="DK290" s="204">
        <f t="shared" si="1352"/>
        <v>103</v>
      </c>
      <c r="DL290" s="204">
        <f t="shared" si="1352"/>
        <v>104</v>
      </c>
      <c r="DM290" s="204">
        <f t="shared" si="1352"/>
        <v>105</v>
      </c>
      <c r="DN290" s="204">
        <f t="shared" si="1352"/>
        <v>106</v>
      </c>
      <c r="DO290" s="204">
        <f t="shared" si="1352"/>
        <v>107</v>
      </c>
      <c r="DP290" s="204">
        <f t="shared" si="1352"/>
        <v>108</v>
      </c>
      <c r="DQ290" s="204">
        <f t="shared" si="1352"/>
        <v>109</v>
      </c>
      <c r="DR290" s="204">
        <f t="shared" si="1352"/>
        <v>110</v>
      </c>
      <c r="DS290" s="204">
        <f t="shared" si="1352"/>
        <v>111</v>
      </c>
      <c r="DT290" s="204">
        <f t="shared" si="1352"/>
        <v>112</v>
      </c>
      <c r="DU290" s="204">
        <f t="shared" si="1352"/>
        <v>113</v>
      </c>
      <c r="DV290" s="204">
        <f t="shared" si="1352"/>
        <v>114</v>
      </c>
      <c r="DW290" s="204">
        <f t="shared" si="1352"/>
        <v>115</v>
      </c>
      <c r="DX290" s="204">
        <f t="shared" si="1352"/>
        <v>116</v>
      </c>
      <c r="DY290" s="204">
        <f t="shared" si="1352"/>
        <v>117</v>
      </c>
      <c r="DZ290" s="204">
        <f t="shared" si="1352"/>
        <v>118</v>
      </c>
      <c r="EA290" s="204">
        <f t="shared" si="1352"/>
        <v>119</v>
      </c>
      <c r="EB290" s="204">
        <f t="shared" si="1352"/>
        <v>120</v>
      </c>
      <c r="EC290" s="204">
        <f t="shared" si="1352"/>
        <v>121</v>
      </c>
      <c r="ED290" s="204">
        <f t="shared" si="1352"/>
        <v>122</v>
      </c>
      <c r="EE290" s="204">
        <f t="shared" si="1352"/>
        <v>123</v>
      </c>
      <c r="EF290" s="204">
        <f t="shared" si="1352"/>
        <v>124</v>
      </c>
      <c r="EG290" s="204">
        <f t="shared" si="1352"/>
        <v>125</v>
      </c>
      <c r="EH290" s="204">
        <f t="shared" si="1352"/>
        <v>126</v>
      </c>
      <c r="EI290" s="204">
        <f t="shared" si="1352"/>
        <v>127</v>
      </c>
      <c r="EJ290" s="204">
        <f t="shared" si="1352"/>
        <v>128</v>
      </c>
      <c r="EK290" s="204">
        <f t="shared" si="1352"/>
        <v>129</v>
      </c>
      <c r="EL290" s="204">
        <f t="shared" si="1352"/>
        <v>130</v>
      </c>
      <c r="EM290" s="204">
        <f t="shared" si="1352"/>
        <v>131</v>
      </c>
      <c r="EN290" s="204">
        <f t="shared" si="1352"/>
        <v>132</v>
      </c>
      <c r="EO290" s="82"/>
      <c r="EP290" s="214"/>
      <c r="EQ290" s="82"/>
      <c r="ER290" s="82"/>
      <c r="ES290" s="82"/>
      <c r="ET290" s="82"/>
      <c r="EU290" s="82"/>
      <c r="EV290" s="82"/>
      <c r="EW290" s="82"/>
      <c r="EX290" s="82"/>
      <c r="EY290" s="82"/>
      <c r="EZ290" s="82"/>
      <c r="FA290" s="82"/>
      <c r="FB290" s="82"/>
      <c r="FC290" s="82"/>
      <c r="FD290" s="82"/>
      <c r="FE290" s="82"/>
      <c r="FF290" s="82"/>
      <c r="FG290" s="82"/>
      <c r="FH290" s="82"/>
      <c r="FI290" s="82"/>
      <c r="FJ290" s="82"/>
      <c r="FK290" s="82"/>
      <c r="FL290" s="82"/>
      <c r="FM290" s="82"/>
      <c r="FN290" s="82"/>
      <c r="FO290" s="82"/>
      <c r="FP290" s="82"/>
      <c r="FQ290" s="82"/>
      <c r="FR290" s="82"/>
      <c r="FS290" s="82"/>
      <c r="FT290" s="82"/>
      <c r="FU290" s="82"/>
      <c r="FV290" s="82"/>
      <c r="FW290" s="82"/>
      <c r="FX290" s="82"/>
      <c r="FY290" s="82"/>
      <c r="FZ290" s="82"/>
      <c r="GA290" s="82"/>
      <c r="GB290" s="82"/>
      <c r="GC290" s="82"/>
      <c r="GD290" s="82"/>
      <c r="GE290" s="82"/>
      <c r="GF290" s="82"/>
      <c r="GG290" s="82"/>
      <c r="GH290" s="82"/>
      <c r="GI290" s="82"/>
      <c r="GJ290" s="82"/>
      <c r="GK290" s="82"/>
      <c r="GL290" s="82"/>
      <c r="GM290" s="82"/>
      <c r="GN290" s="82"/>
      <c r="GO290" s="82"/>
      <c r="GP290" s="82"/>
      <c r="GQ290" s="82"/>
      <c r="GR290" s="82"/>
      <c r="GS290" s="82"/>
      <c r="GT290" s="82"/>
      <c r="GU290" s="82"/>
      <c r="GV290" s="82"/>
      <c r="GW290" s="82"/>
      <c r="GX290" s="82"/>
      <c r="GY290" s="82"/>
      <c r="GZ290" s="82"/>
      <c r="HA290" s="82"/>
      <c r="HB290" s="82"/>
      <c r="HC290" s="82"/>
      <c r="HD290" s="82"/>
      <c r="HE290" s="82"/>
      <c r="HF290" s="82"/>
      <c r="HG290" s="82"/>
      <c r="HH290" s="82"/>
      <c r="HI290" s="82"/>
      <c r="HJ290" s="82"/>
      <c r="HK290" s="82"/>
      <c r="HL290" s="82"/>
      <c r="HM290" s="82"/>
      <c r="HN290" s="82"/>
      <c r="HO290" s="82"/>
      <c r="HP290" s="82"/>
      <c r="HQ290" s="82"/>
      <c r="HR290" s="82"/>
      <c r="HS290" s="82"/>
      <c r="HT290" s="82"/>
      <c r="HU290" s="82"/>
      <c r="HV290" s="82"/>
      <c r="HW290" s="82"/>
      <c r="HX290" s="82"/>
      <c r="HY290" s="82"/>
      <c r="HZ290" s="82"/>
      <c r="IA290" s="82"/>
      <c r="IB290" s="82"/>
      <c r="IC290" s="82"/>
      <c r="ID290" s="82"/>
      <c r="IE290" s="82"/>
      <c r="IF290" s="82"/>
      <c r="IG290" s="82"/>
      <c r="IH290" s="82"/>
      <c r="II290" s="82"/>
      <c r="IJ290" s="82"/>
      <c r="IK290" s="82"/>
      <c r="IL290" s="82"/>
      <c r="IM290" s="82"/>
      <c r="IN290" s="82"/>
      <c r="IO290" s="82"/>
      <c r="IP290" s="82"/>
      <c r="IQ290" s="82"/>
      <c r="IR290" s="82"/>
      <c r="IS290" s="82"/>
      <c r="IT290" s="82"/>
      <c r="IU290" s="82"/>
      <c r="IV290" s="82"/>
      <c r="IW290" s="82"/>
      <c r="IX290" s="82"/>
      <c r="IY290" s="82"/>
      <c r="IZ290" s="82"/>
      <c r="JA290" s="82"/>
      <c r="JB290" s="82"/>
      <c r="JC290" s="82"/>
      <c r="JD290" s="82"/>
      <c r="JE290" s="82"/>
      <c r="JF290" s="82"/>
      <c r="JG290" s="82"/>
      <c r="JH290" s="82"/>
      <c r="JI290" s="82"/>
      <c r="JJ290" s="82"/>
      <c r="JK290" s="82"/>
      <c r="JL290" s="82"/>
      <c r="JM290" s="82"/>
      <c r="JN290" s="82"/>
      <c r="JO290" s="82"/>
      <c r="JP290" s="82"/>
      <c r="JQ290" s="82"/>
      <c r="JR290" s="82"/>
      <c r="JS290" s="82"/>
      <c r="JT290" s="82"/>
      <c r="JU290" s="82"/>
      <c r="JV290" s="82"/>
      <c r="JW290" s="82"/>
      <c r="JX290" s="82"/>
      <c r="JZ290" s="263"/>
      <c r="KA290" s="263"/>
      <c r="KB290" s="263"/>
      <c r="KC290" s="263"/>
      <c r="KD290" s="263"/>
      <c r="KE290" s="263"/>
      <c r="KF290" s="263"/>
      <c r="KG290" s="263"/>
      <c r="KH290" s="263"/>
      <c r="KI290" s="263"/>
      <c r="KJ290" s="263"/>
      <c r="KK290" s="263"/>
      <c r="KL290" s="263"/>
      <c r="KM290" s="263"/>
      <c r="KN290" s="263"/>
      <c r="KO290" s="263"/>
      <c r="KP290" s="263"/>
      <c r="KQ290" s="263"/>
      <c r="KR290" s="263"/>
      <c r="KS290" s="263"/>
      <c r="KT290" s="263"/>
      <c r="KU290" s="263"/>
      <c r="KV290" s="263"/>
      <c r="KW290" s="263"/>
      <c r="KX290" s="263"/>
      <c r="KY290" s="263"/>
      <c r="KZ290" s="263"/>
      <c r="LA290" s="263"/>
      <c r="LB290" s="263"/>
      <c r="LC290" s="263"/>
      <c r="LD290" s="263"/>
      <c r="LE290" s="263"/>
      <c r="LF290" s="263"/>
      <c r="LG290" s="263"/>
      <c r="LH290" s="263"/>
      <c r="LI290" s="263"/>
      <c r="LJ290" s="263"/>
      <c r="LK290" s="263"/>
      <c r="LL290" s="263"/>
      <c r="LM290" s="263"/>
      <c r="LN290" s="263"/>
      <c r="LO290" s="263"/>
      <c r="LP290" s="263"/>
      <c r="LQ290" s="263"/>
      <c r="LR290" s="263"/>
      <c r="LS290" s="263"/>
      <c r="LT290" s="263"/>
      <c r="LU290" s="263"/>
      <c r="LV290" s="263"/>
      <c r="LW290" s="263"/>
      <c r="LX290" s="263"/>
      <c r="LY290" s="263"/>
      <c r="LZ290" s="263"/>
      <c r="MA290" s="263"/>
      <c r="MB290" s="263"/>
      <c r="MC290" s="263"/>
      <c r="MD290" s="263"/>
      <c r="ME290" s="263"/>
      <c r="MF290" s="263"/>
      <c r="MG290" s="263"/>
      <c r="MH290" s="263"/>
      <c r="MI290" s="263"/>
      <c r="MJ290" s="263"/>
      <c r="MK290" s="263"/>
      <c r="ML290" s="263"/>
      <c r="MM290" s="263"/>
      <c r="MN290" s="263"/>
      <c r="MO290" s="263"/>
      <c r="MP290" s="263"/>
      <c r="MQ290" s="263"/>
      <c r="MR290" s="263"/>
      <c r="MS290" s="263"/>
      <c r="MT290" s="263"/>
      <c r="MU290" s="263"/>
      <c r="MV290" s="263"/>
      <c r="MW290" s="263"/>
      <c r="MX290" s="263"/>
      <c r="MY290" s="263"/>
      <c r="MZ290" s="263"/>
      <c r="NA290" s="263"/>
      <c r="NB290" s="263"/>
      <c r="NC290" s="263"/>
      <c r="ND290" s="263"/>
      <c r="NE290" s="263"/>
      <c r="NF290" s="263"/>
      <c r="NG290" s="263"/>
      <c r="NH290" s="263"/>
      <c r="NI290" s="263"/>
      <c r="NJ290" s="263"/>
      <c r="NK290" s="263"/>
      <c r="NL290" s="263"/>
      <c r="NM290" s="263"/>
      <c r="NN290" s="263"/>
      <c r="NO290" s="263"/>
      <c r="NP290" s="263"/>
      <c r="NQ290" s="263"/>
      <c r="NR290" s="263"/>
      <c r="NS290" s="263"/>
      <c r="NT290" s="263"/>
      <c r="NU290" s="263"/>
      <c r="NV290" s="263"/>
      <c r="NW290" s="263"/>
      <c r="NX290" s="263"/>
      <c r="NY290" s="263"/>
      <c r="NZ290" s="263"/>
      <c r="OA290" s="263"/>
      <c r="OB290" s="263"/>
      <c r="OC290" s="263"/>
      <c r="OD290" s="263"/>
      <c r="OE290" s="263"/>
      <c r="OF290" s="263"/>
      <c r="OG290" s="263"/>
      <c r="OH290" s="263"/>
      <c r="OI290" s="263"/>
      <c r="OJ290" s="263"/>
      <c r="OK290" s="263"/>
      <c r="OL290" s="263"/>
      <c r="OM290" s="263"/>
      <c r="ON290" s="263"/>
      <c r="OO290" s="263"/>
      <c r="OP290" s="263"/>
      <c r="OQ290" s="263"/>
      <c r="OR290" s="263"/>
      <c r="OS290" s="263"/>
      <c r="OT290" s="263"/>
      <c r="OU290" s="263"/>
      <c r="OV290" s="263"/>
      <c r="OW290" s="263"/>
      <c r="OX290" s="263"/>
      <c r="OY290" s="263"/>
      <c r="OZ290" s="263"/>
      <c r="PA290" s="263"/>
      <c r="PB290" s="263"/>
      <c r="PC290" s="263"/>
      <c r="PD290" s="263"/>
      <c r="PE290" s="263"/>
      <c r="PF290" s="263"/>
      <c r="PG290" s="263"/>
      <c r="PH290" s="263"/>
    </row>
    <row r="291">
      <c r="B291" s="214" t="s">
        <v>475</v>
      </c>
      <c r="C291" s="215" t="b">
        <f>ROUND(G292,4)=ROUND(G291,4)</f>
        <v>0</v>
      </c>
      <c r="D291" s="82"/>
      <c r="E291" s="82"/>
      <c r="F291" s="82" t="s">
        <v>476</v>
      </c>
      <c r="G291" s="207" t="n">
        <f>+G135</f>
        <v>0.03</v>
      </c>
      <c r="H291" s="82"/>
      <c r="I291" s="218"/>
      <c r="J291" s="82"/>
      <c r="K291" s="422" t="n">
        <f>IFERROR(I135/I130,$G$291)</f>
        <v>0</v>
      </c>
      <c r="L291" s="218" t="n">
        <f t="shared" ref="L291:AQ291" si="1353">IFERROR(L135/L130,$G$291)</f>
        <v>0</v>
      </c>
      <c r="M291" s="218">
        <f t="shared" si="1353"/>
        <v>0.03</v>
      </c>
      <c r="N291" s="218">
        <f t="shared" si="1353"/>
        <v>0.03</v>
      </c>
      <c r="O291" s="218">
        <f t="shared" si="1353"/>
        <v>0.03</v>
      </c>
      <c r="P291" s="218">
        <f t="shared" si="1353"/>
        <v>0.03</v>
      </c>
      <c r="Q291" s="218">
        <f t="shared" si="1353"/>
        <v>0.03</v>
      </c>
      <c r="R291" s="218">
        <f t="shared" si="1353"/>
        <v>0.03</v>
      </c>
      <c r="S291" s="218">
        <f t="shared" si="1353"/>
        <v>0</v>
      </c>
      <c r="T291" s="218">
        <f t="shared" si="1353"/>
        <v>0</v>
      </c>
      <c r="U291" s="218">
        <f t="shared" si="1353"/>
        <v>0</v>
      </c>
      <c r="V291" s="218">
        <f t="shared" si="1353"/>
        <v>0</v>
      </c>
      <c r="W291" s="218">
        <f t="shared" si="1353"/>
        <v>0</v>
      </c>
      <c r="X291" s="218">
        <f t="shared" si="1353"/>
        <v>0</v>
      </c>
      <c r="Y291" s="218">
        <f t="shared" si="1353"/>
        <v>0</v>
      </c>
      <c r="Z291" s="218">
        <f t="shared" si="1353"/>
        <v>0</v>
      </c>
      <c r="AA291" s="218">
        <f t="shared" si="1353"/>
        <v>0</v>
      </c>
      <c r="AB291" s="218">
        <f t="shared" si="1353"/>
        <v>0</v>
      </c>
      <c r="AC291" s="218">
        <f t="shared" si="1353"/>
        <v>0</v>
      </c>
      <c r="AD291" s="218">
        <f t="shared" si="1353"/>
        <v>0</v>
      </c>
      <c r="AE291" s="218">
        <f t="shared" si="1353"/>
        <v>0</v>
      </c>
      <c r="AF291" s="218">
        <f t="shared" si="1353"/>
        <v>0</v>
      </c>
      <c r="AG291" s="218">
        <f t="shared" si="1353"/>
        <v>0</v>
      </c>
      <c r="AH291" s="218">
        <f t="shared" si="1353"/>
        <v>0</v>
      </c>
      <c r="AI291" s="218">
        <f t="shared" si="1353"/>
        <v>0</v>
      </c>
      <c r="AJ291" s="218">
        <f t="shared" si="1353"/>
        <v>0</v>
      </c>
      <c r="AK291" s="218">
        <f t="shared" si="1353"/>
        <v>0</v>
      </c>
      <c r="AL291" s="218">
        <f t="shared" si="1353"/>
        <v>0</v>
      </c>
      <c r="AM291" s="218">
        <f t="shared" si="1353"/>
        <v>0</v>
      </c>
      <c r="AN291" s="218">
        <f t="shared" si="1353"/>
        <v>0</v>
      </c>
      <c r="AO291" s="218">
        <f t="shared" si="1353"/>
        <v>0</v>
      </c>
      <c r="AP291" s="218">
        <f t="shared" si="1353"/>
        <v>0</v>
      </c>
      <c r="AQ291" s="218">
        <f t="shared" si="1353"/>
        <v>0</v>
      </c>
      <c r="AR291" s="218" t="n">
        <f t="shared" ref="AR291:BW291" si="1354">IFERROR(AR135/AR130,$G$291)</f>
        <v>0</v>
      </c>
      <c r="AS291" s="218">
        <f t="shared" si="1354"/>
        <v>0</v>
      </c>
      <c r="AT291" s="218">
        <f t="shared" si="1354"/>
        <v>0</v>
      </c>
      <c r="AU291" s="218">
        <f t="shared" si="1354"/>
        <v>0</v>
      </c>
      <c r="AV291" s="218">
        <f t="shared" si="1354"/>
        <v>0</v>
      </c>
      <c r="AW291" s="218">
        <f t="shared" si="1354"/>
        <v>0</v>
      </c>
      <c r="AX291" s="218">
        <f t="shared" si="1354"/>
        <v>0</v>
      </c>
      <c r="AY291" s="218">
        <f t="shared" si="1354"/>
        <v>0</v>
      </c>
      <c r="AZ291" s="218">
        <f t="shared" si="1354"/>
        <v>0</v>
      </c>
      <c r="BA291" s="218">
        <f t="shared" si="1354"/>
        <v>0</v>
      </c>
      <c r="BB291" s="218">
        <f t="shared" si="1354"/>
        <v>0</v>
      </c>
      <c r="BC291" s="218">
        <f t="shared" si="1354"/>
        <v>0</v>
      </c>
      <c r="BD291" s="218">
        <f t="shared" si="1354"/>
        <v>0</v>
      </c>
      <c r="BE291" s="218">
        <f t="shared" si="1354"/>
        <v>0</v>
      </c>
      <c r="BF291" s="218">
        <f t="shared" si="1354"/>
        <v>0</v>
      </c>
      <c r="BG291" s="218">
        <f t="shared" si="1354"/>
        <v>0</v>
      </c>
      <c r="BH291" s="218">
        <f t="shared" si="1354"/>
        <v>0</v>
      </c>
      <c r="BI291" s="218">
        <f t="shared" si="1354"/>
        <v>0</v>
      </c>
      <c r="BJ291" s="218">
        <f t="shared" si="1354"/>
        <v>0</v>
      </c>
      <c r="BK291" s="218">
        <f t="shared" si="1354"/>
        <v>0</v>
      </c>
      <c r="BL291" s="218">
        <f t="shared" si="1354"/>
        <v>0</v>
      </c>
      <c r="BM291" s="218">
        <f t="shared" si="1354"/>
        <v>0</v>
      </c>
      <c r="BN291" s="218">
        <f t="shared" si="1354"/>
        <v>0</v>
      </c>
      <c r="BO291" s="218">
        <f t="shared" si="1354"/>
        <v>0</v>
      </c>
      <c r="BP291" s="218">
        <f t="shared" si="1354"/>
        <v>0</v>
      </c>
      <c r="BQ291" s="218">
        <f t="shared" si="1354"/>
        <v>0</v>
      </c>
      <c r="BR291" s="218">
        <f t="shared" si="1354"/>
        <v>0</v>
      </c>
      <c r="BS291" s="218">
        <f t="shared" si="1354"/>
        <v>0</v>
      </c>
      <c r="BT291" s="218">
        <f t="shared" si="1354"/>
        <v>0</v>
      </c>
      <c r="BU291" s="218">
        <f t="shared" si="1354"/>
        <v>0</v>
      </c>
      <c r="BV291" s="218">
        <f t="shared" si="1354"/>
        <v>0</v>
      </c>
      <c r="BW291" s="218">
        <f t="shared" si="1354"/>
        <v>0</v>
      </c>
      <c r="BX291" s="218" t="n">
        <f t="shared" ref="BX291:DC291" si="1355">IFERROR(BX135/BX130,$G$291)</f>
        <v>0</v>
      </c>
      <c r="BY291" s="218">
        <f t="shared" si="1355"/>
        <v>0</v>
      </c>
      <c r="BZ291" s="218">
        <f t="shared" si="1355"/>
        <v>0</v>
      </c>
      <c r="CA291" s="218">
        <f t="shared" si="1355"/>
        <v>0</v>
      </c>
      <c r="CB291" s="218">
        <f t="shared" si="1355"/>
        <v>0</v>
      </c>
      <c r="CC291" s="218">
        <f t="shared" si="1355"/>
        <v>0</v>
      </c>
      <c r="CD291" s="218">
        <f t="shared" si="1355"/>
        <v>0</v>
      </c>
      <c r="CE291" s="218">
        <f t="shared" si="1355"/>
        <v>0</v>
      </c>
      <c r="CF291" s="218">
        <f t="shared" si="1355"/>
        <v>0</v>
      </c>
      <c r="CG291" s="218">
        <f t="shared" si="1355"/>
        <v>0</v>
      </c>
      <c r="CH291" s="218">
        <f t="shared" si="1355"/>
        <v>0</v>
      </c>
      <c r="CI291" s="218">
        <f t="shared" si="1355"/>
        <v>0</v>
      </c>
      <c r="CJ291" s="218">
        <f t="shared" si="1355"/>
        <v>0</v>
      </c>
      <c r="CK291" s="218">
        <f t="shared" si="1355"/>
        <v>0</v>
      </c>
      <c r="CL291" s="218">
        <f t="shared" si="1355"/>
        <v>0</v>
      </c>
      <c r="CM291" s="218">
        <f t="shared" si="1355"/>
        <v>0</v>
      </c>
      <c r="CN291" s="218">
        <f t="shared" si="1355"/>
        <v>0</v>
      </c>
      <c r="CO291" s="218">
        <f t="shared" si="1355"/>
        <v>0</v>
      </c>
      <c r="CP291" s="218">
        <f t="shared" si="1355"/>
        <v>0</v>
      </c>
      <c r="CQ291" s="218">
        <f t="shared" si="1355"/>
        <v>0</v>
      </c>
      <c r="CR291" s="218">
        <f t="shared" si="1355"/>
        <v>0</v>
      </c>
      <c r="CS291" s="218">
        <f t="shared" si="1355"/>
        <v>0</v>
      </c>
      <c r="CT291" s="218">
        <f t="shared" si="1355"/>
        <v>0</v>
      </c>
      <c r="CU291" s="218">
        <f t="shared" si="1355"/>
        <v>0</v>
      </c>
      <c r="CV291" s="218">
        <f t="shared" si="1355"/>
        <v>0</v>
      </c>
      <c r="CW291" s="218">
        <f t="shared" si="1355"/>
        <v>0</v>
      </c>
      <c r="CX291" s="218">
        <f t="shared" si="1355"/>
        <v>0</v>
      </c>
      <c r="CY291" s="218">
        <f t="shared" si="1355"/>
        <v>0</v>
      </c>
      <c r="CZ291" s="218">
        <f t="shared" si="1355"/>
        <v>0</v>
      </c>
      <c r="DA291" s="218">
        <f t="shared" si="1355"/>
        <v>0</v>
      </c>
      <c r="DB291" s="218">
        <f t="shared" si="1355"/>
        <v>0</v>
      </c>
      <c r="DC291" s="218">
        <f t="shared" si="1355"/>
        <v>0</v>
      </c>
      <c r="DD291" s="218" t="n">
        <f t="shared" ref="DD291:EN291" si="1356">IFERROR(DD135/DD130,$G$291)</f>
        <v>0</v>
      </c>
      <c r="DE291" s="218">
        <f t="shared" si="1356"/>
        <v>0</v>
      </c>
      <c r="DF291" s="218">
        <f t="shared" si="1356"/>
        <v>0</v>
      </c>
      <c r="DG291" s="218">
        <f t="shared" si="1356"/>
        <v>0</v>
      </c>
      <c r="DH291" s="218">
        <f t="shared" si="1356"/>
        <v>0</v>
      </c>
      <c r="DI291" s="218">
        <f t="shared" si="1356"/>
        <v>0</v>
      </c>
      <c r="DJ291" s="218">
        <f t="shared" si="1356"/>
        <v>0</v>
      </c>
      <c r="DK291" s="218">
        <f t="shared" si="1356"/>
        <v>0</v>
      </c>
      <c r="DL291" s="218">
        <f t="shared" si="1356"/>
        <v>0</v>
      </c>
      <c r="DM291" s="218">
        <f t="shared" si="1356"/>
        <v>0</v>
      </c>
      <c r="DN291" s="218">
        <f t="shared" si="1356"/>
        <v>0</v>
      </c>
      <c r="DO291" s="218">
        <f t="shared" si="1356"/>
        <v>0</v>
      </c>
      <c r="DP291" s="218">
        <f t="shared" si="1356"/>
        <v>0</v>
      </c>
      <c r="DQ291" s="218">
        <f t="shared" si="1356"/>
        <v>0</v>
      </c>
      <c r="DR291" s="218">
        <f t="shared" si="1356"/>
        <v>0</v>
      </c>
      <c r="DS291" s="218">
        <f t="shared" si="1356"/>
        <v>0</v>
      </c>
      <c r="DT291" s="218">
        <f t="shared" si="1356"/>
        <v>0</v>
      </c>
      <c r="DU291" s="218">
        <f t="shared" si="1356"/>
        <v>0</v>
      </c>
      <c r="DV291" s="218">
        <f t="shared" si="1356"/>
        <v>0</v>
      </c>
      <c r="DW291" s="218">
        <f t="shared" si="1356"/>
        <v>0</v>
      </c>
      <c r="DX291" s="218">
        <f t="shared" si="1356"/>
        <v>0</v>
      </c>
      <c r="DY291" s="218">
        <f t="shared" si="1356"/>
        <v>0</v>
      </c>
      <c r="DZ291" s="218">
        <f t="shared" si="1356"/>
        <v>0</v>
      </c>
      <c r="EA291" s="218">
        <f t="shared" si="1356"/>
        <v>0</v>
      </c>
      <c r="EB291" s="218">
        <f t="shared" si="1356"/>
        <v>0</v>
      </c>
      <c r="EC291" s="218">
        <f t="shared" si="1356"/>
        <v>0</v>
      </c>
      <c r="ED291" s="218">
        <f t="shared" si="1356"/>
        <v>0</v>
      </c>
      <c r="EE291" s="218">
        <f t="shared" si="1356"/>
        <v>0</v>
      </c>
      <c r="EF291" s="218">
        <f t="shared" si="1356"/>
        <v>0</v>
      </c>
      <c r="EG291" s="218">
        <f t="shared" si="1356"/>
        <v>0</v>
      </c>
      <c r="EH291" s="218">
        <f t="shared" si="1356"/>
        <v>0</v>
      </c>
      <c r="EI291" s="218">
        <f t="shared" si="1356"/>
        <v>0</v>
      </c>
      <c r="EJ291" s="218">
        <f t="shared" si="1356"/>
        <v>0</v>
      </c>
      <c r="EK291" s="218">
        <f t="shared" si="1356"/>
        <v>0</v>
      </c>
      <c r="EL291" s="218">
        <f t="shared" si="1356"/>
        <v>0</v>
      </c>
      <c r="EM291" s="218">
        <f t="shared" si="1356"/>
        <v>0</v>
      </c>
      <c r="EN291" s="218">
        <f t="shared" si="1356"/>
        <v>0</v>
      </c>
      <c r="EO291" s="82"/>
      <c r="EP291" s="214"/>
      <c r="EQ291" s="82"/>
      <c r="ER291" s="82"/>
      <c r="ES291" s="82"/>
      <c r="ET291" s="82"/>
      <c r="EU291" s="82"/>
      <c r="EV291" s="82"/>
      <c r="EW291" s="82"/>
      <c r="EX291" s="82"/>
      <c r="EY291" s="82"/>
      <c r="EZ291" s="82"/>
      <c r="FA291" s="82"/>
      <c r="FB291" s="82"/>
      <c r="FC291" s="82"/>
      <c r="FD291" s="82"/>
      <c r="FE291" s="82"/>
      <c r="FF291" s="82"/>
      <c r="FG291" s="82"/>
      <c r="FH291" s="82"/>
      <c r="FI291" s="82"/>
      <c r="FJ291" s="82"/>
      <c r="FK291" s="82"/>
      <c r="FL291" s="82"/>
      <c r="FM291" s="82"/>
      <c r="FN291" s="82"/>
      <c r="FO291" s="82"/>
      <c r="FP291" s="82"/>
      <c r="FQ291" s="82"/>
      <c r="FR291" s="82"/>
      <c r="FS291" s="82"/>
      <c r="FT291" s="82"/>
      <c r="FU291" s="82"/>
      <c r="FV291" s="82"/>
      <c r="FW291" s="82"/>
      <c r="FX291" s="82"/>
      <c r="FY291" s="82"/>
      <c r="FZ291" s="82"/>
      <c r="GA291" s="82"/>
      <c r="GB291" s="82"/>
      <c r="GC291" s="82"/>
      <c r="GD291" s="82"/>
      <c r="GE291" s="82"/>
      <c r="GF291" s="82"/>
      <c r="GG291" s="82"/>
      <c r="GH291" s="82"/>
      <c r="GI291" s="82"/>
      <c r="GJ291" s="82"/>
      <c r="GK291" s="82"/>
      <c r="GL291" s="82"/>
      <c r="GM291" s="82"/>
      <c r="GN291" s="82"/>
      <c r="GO291" s="82"/>
      <c r="GP291" s="82"/>
      <c r="GQ291" s="82"/>
      <c r="GR291" s="82"/>
      <c r="GS291" s="82"/>
      <c r="GT291" s="82"/>
      <c r="GU291" s="82"/>
      <c r="GV291" s="82"/>
      <c r="GW291" s="82"/>
      <c r="GX291" s="82"/>
      <c r="GY291" s="82"/>
      <c r="GZ291" s="82"/>
      <c r="HA291" s="82"/>
      <c r="HB291" s="82"/>
      <c r="HC291" s="82"/>
      <c r="HD291" s="82"/>
      <c r="HE291" s="82"/>
      <c r="HF291" s="82"/>
      <c r="HG291" s="82"/>
      <c r="HH291" s="82"/>
      <c r="HI291" s="82"/>
      <c r="HJ291" s="82"/>
      <c r="HK291" s="82"/>
      <c r="HL291" s="82"/>
      <c r="HM291" s="82"/>
      <c r="HN291" s="82"/>
      <c r="HO291" s="82"/>
      <c r="HP291" s="82"/>
      <c r="HQ291" s="82"/>
      <c r="HR291" s="82"/>
      <c r="HS291" s="82"/>
      <c r="HT291" s="82"/>
      <c r="HU291" s="82"/>
      <c r="HV291" s="82"/>
      <c r="HW291" s="82"/>
      <c r="HX291" s="82"/>
      <c r="HY291" s="82"/>
      <c r="HZ291" s="82"/>
      <c r="IA291" s="82"/>
      <c r="IB291" s="82"/>
      <c r="IC291" s="82"/>
      <c r="ID291" s="82"/>
      <c r="IE291" s="82"/>
      <c r="IF291" s="82"/>
      <c r="IG291" s="82"/>
      <c r="IH291" s="82"/>
      <c r="II291" s="82"/>
      <c r="IJ291" s="82"/>
      <c r="IK291" s="82"/>
      <c r="IL291" s="82"/>
      <c r="IM291" s="82"/>
      <c r="IN291" s="82"/>
      <c r="IO291" s="82"/>
      <c r="IP291" s="82"/>
      <c r="IQ291" s="82"/>
      <c r="IR291" s="82"/>
      <c r="IS291" s="82"/>
      <c r="IT291" s="82"/>
      <c r="IU291" s="82"/>
      <c r="IV291" s="82"/>
      <c r="IW291" s="82"/>
      <c r="IX291" s="82"/>
      <c r="IY291" s="82"/>
      <c r="IZ291" s="82"/>
      <c r="JA291" s="82"/>
      <c r="JB291" s="82"/>
      <c r="JC291" s="82"/>
      <c r="JD291" s="82"/>
      <c r="JE291" s="82"/>
      <c r="JF291" s="82"/>
      <c r="JG291" s="82"/>
      <c r="JH291" s="82"/>
      <c r="JI291" s="82"/>
      <c r="JJ291" s="82"/>
      <c r="JK291" s="82"/>
      <c r="JL291" s="82"/>
      <c r="JM291" s="82"/>
      <c r="JN291" s="82"/>
      <c r="JO291" s="82"/>
      <c r="JP291" s="82"/>
      <c r="JQ291" s="82"/>
      <c r="JR291" s="82"/>
      <c r="JS291" s="82"/>
      <c r="JT291" s="82"/>
      <c r="JU291" s="82"/>
      <c r="JV291" s="82"/>
      <c r="JW291" s="82"/>
      <c r="JX291" s="82"/>
      <c r="JZ291" s="263"/>
      <c r="KA291" s="263"/>
      <c r="KB291" s="263"/>
      <c r="KC291" s="263"/>
      <c r="KD291" s="263"/>
      <c r="KE291" s="263"/>
      <c r="KF291" s="263"/>
      <c r="KG291" s="263"/>
      <c r="KH291" s="263"/>
      <c r="KI291" s="263"/>
      <c r="KJ291" s="263"/>
      <c r="KK291" s="263"/>
      <c r="KL291" s="263"/>
      <c r="KM291" s="263"/>
      <c r="KN291" s="263"/>
      <c r="KO291" s="263"/>
      <c r="KP291" s="263"/>
      <c r="KQ291" s="263"/>
      <c r="KR291" s="263"/>
      <c r="KS291" s="263"/>
      <c r="KT291" s="263"/>
      <c r="KU291" s="263"/>
      <c r="KV291" s="263"/>
      <c r="KW291" s="263"/>
      <c r="KX291" s="263"/>
      <c r="KY291" s="263"/>
      <c r="KZ291" s="263"/>
      <c r="LA291" s="263"/>
      <c r="LB291" s="263"/>
      <c r="LC291" s="263"/>
      <c r="LD291" s="263"/>
      <c r="LE291" s="263"/>
      <c r="LF291" s="263"/>
      <c r="LG291" s="263"/>
      <c r="LH291" s="263"/>
      <c r="LI291" s="263"/>
      <c r="LJ291" s="263"/>
      <c r="LK291" s="263"/>
      <c r="LL291" s="263"/>
      <c r="LM291" s="263"/>
      <c r="LN291" s="263"/>
      <c r="LO291" s="263"/>
      <c r="LP291" s="263"/>
      <c r="LQ291" s="263"/>
      <c r="LR291" s="263"/>
      <c r="LS291" s="263"/>
      <c r="LT291" s="263"/>
      <c r="LU291" s="263"/>
      <c r="LV291" s="263"/>
      <c r="LW291" s="263"/>
      <c r="LX291" s="263"/>
      <c r="LY291" s="263"/>
      <c r="LZ291" s="263"/>
      <c r="MA291" s="263"/>
      <c r="MB291" s="263"/>
      <c r="MC291" s="263"/>
      <c r="MD291" s="263"/>
      <c r="ME291" s="263"/>
      <c r="MF291" s="263"/>
      <c r="MG291" s="263"/>
      <c r="MH291" s="263"/>
      <c r="MI291" s="263"/>
      <c r="MJ291" s="263"/>
      <c r="MK291" s="263"/>
      <c r="ML291" s="263"/>
      <c r="MM291" s="263"/>
      <c r="MN291" s="263"/>
      <c r="MO291" s="263"/>
      <c r="MP291" s="263"/>
      <c r="MQ291" s="263"/>
      <c r="MR291" s="263"/>
      <c r="MS291" s="263"/>
      <c r="MT291" s="263"/>
      <c r="MU291" s="263"/>
      <c r="MV291" s="263"/>
      <c r="MW291" s="263"/>
      <c r="MX291" s="263"/>
      <c r="MY291" s="263"/>
      <c r="MZ291" s="263"/>
      <c r="NA291" s="263"/>
      <c r="NB291" s="263"/>
      <c r="NC291" s="263"/>
      <c r="ND291" s="263"/>
      <c r="NE291" s="263"/>
      <c r="NF291" s="263"/>
      <c r="NG291" s="263"/>
      <c r="NH291" s="263"/>
      <c r="NI291" s="263"/>
      <c r="NJ291" s="263"/>
      <c r="NK291" s="263"/>
      <c r="NL291" s="263"/>
      <c r="NM291" s="263"/>
      <c r="NN291" s="263"/>
      <c r="NO291" s="263"/>
      <c r="NP291" s="263"/>
      <c r="NQ291" s="263"/>
      <c r="NR291" s="263"/>
      <c r="NS291" s="263"/>
      <c r="NT291" s="263"/>
      <c r="NU291" s="263"/>
      <c r="NV291" s="263"/>
      <c r="NW291" s="263"/>
      <c r="NX291" s="263"/>
      <c r="NY291" s="263"/>
      <c r="NZ291" s="263"/>
      <c r="OA291" s="263"/>
      <c r="OB291" s="263"/>
      <c r="OC291" s="263"/>
      <c r="OD291" s="263"/>
      <c r="OE291" s="263"/>
      <c r="OF291" s="263"/>
      <c r="OG291" s="263"/>
      <c r="OH291" s="263"/>
      <c r="OI291" s="263"/>
      <c r="OJ291" s="263"/>
      <c r="OK291" s="263"/>
      <c r="OL291" s="263"/>
      <c r="OM291" s="263"/>
      <c r="ON291" s="263"/>
      <c r="OO291" s="263"/>
      <c r="OP291" s="263"/>
      <c r="OQ291" s="263"/>
      <c r="OR291" s="263"/>
      <c r="OS291" s="263"/>
      <c r="OT291" s="263"/>
      <c r="OU291" s="263"/>
      <c r="OV291" s="263"/>
      <c r="OW291" s="263"/>
      <c r="OX291" s="263"/>
      <c r="OY291" s="263"/>
      <c r="OZ291" s="263"/>
      <c r="PA291" s="263"/>
      <c r="PB291" s="263"/>
      <c r="PC291" s="263"/>
      <c r="PD291" s="263"/>
      <c r="PE291" s="263"/>
      <c r="PF291" s="263"/>
      <c r="PG291" s="263"/>
      <c r="PH291" s="263"/>
    </row>
    <row r="292">
      <c r="B292" s="214" t="s">
        <v>477</v>
      </c>
      <c r="C292" s="82" t="b">
        <f>AND(C290,C291)</f>
        <v>0</v>
      </c>
      <c r="D292" s="82"/>
      <c r="E292" s="82"/>
      <c r="F292" s="82" t="s">
        <v>478</v>
      </c>
      <c r="G292" s="207" t="n">
        <f>ROUND(AVERAGE(K291:EN291),4)</f>
        <v>0.0013</v>
      </c>
      <c r="H292" s="82"/>
      <c r="I292" s="82"/>
      <c r="J292" s="82"/>
      <c r="K292" s="82"/>
      <c r="L292" s="82"/>
      <c r="M292" s="82"/>
      <c r="N292" s="82"/>
      <c r="O292" s="82"/>
      <c r="P292" s="82"/>
      <c r="Q292" s="82"/>
      <c r="R292" s="82"/>
      <c r="S292" s="82"/>
      <c r="T292" s="82"/>
      <c r="U292" s="82"/>
      <c r="V292" s="82"/>
      <c r="W292" s="82"/>
      <c r="X292" s="82"/>
      <c r="Y292" s="82"/>
      <c r="Z292" s="82"/>
      <c r="AA292" s="82"/>
      <c r="AB292" s="82"/>
      <c r="AC292" s="82"/>
      <c r="AD292" s="82"/>
      <c r="AE292" s="82"/>
      <c r="AF292" s="82"/>
      <c r="AG292" s="82"/>
      <c r="AH292" s="82"/>
      <c r="AI292" s="82"/>
      <c r="AJ292" s="82"/>
      <c r="AK292" s="82"/>
      <c r="AL292" s="82"/>
      <c r="AM292" s="82"/>
      <c r="AN292" s="82"/>
      <c r="AO292" s="82"/>
      <c r="AP292" s="82"/>
      <c r="AQ292" s="82"/>
      <c r="AR292" s="82"/>
      <c r="AS292" s="82"/>
      <c r="AT292" s="82"/>
      <c r="AU292" s="82"/>
      <c r="AV292" s="82"/>
      <c r="AW292" s="82"/>
      <c r="AX292" s="82"/>
      <c r="AY292" s="82"/>
      <c r="AZ292" s="82"/>
      <c r="BA292" s="82"/>
      <c r="BB292" s="82"/>
      <c r="BC292" s="82"/>
      <c r="BD292" s="82"/>
      <c r="BE292" s="82"/>
      <c r="BF292" s="82"/>
      <c r="BG292" s="82"/>
      <c r="BH292" s="82"/>
      <c r="BI292" s="82"/>
      <c r="BJ292" s="82"/>
      <c r="BK292" s="82"/>
      <c r="BL292" s="82"/>
      <c r="BM292" s="82"/>
      <c r="BN292" s="82"/>
      <c r="BO292" s="82"/>
      <c r="BP292" s="82"/>
      <c r="BQ292" s="82"/>
      <c r="BR292" s="82"/>
      <c r="BS292" s="82"/>
      <c r="BT292" s="82"/>
      <c r="BU292" s="82"/>
      <c r="BV292" s="82"/>
      <c r="BW292" s="82"/>
      <c r="BX292" s="82"/>
      <c r="BY292" s="82"/>
      <c r="BZ292" s="82"/>
      <c r="CA292" s="82"/>
      <c r="CB292" s="82"/>
      <c r="CC292" s="82"/>
      <c r="CD292" s="82"/>
      <c r="CE292" s="82"/>
      <c r="CF292" s="82"/>
      <c r="CG292" s="82"/>
      <c r="CH292" s="82"/>
      <c r="CI292" s="82"/>
      <c r="CJ292" s="82"/>
      <c r="CK292" s="82"/>
      <c r="CL292" s="82"/>
      <c r="CM292" s="82"/>
      <c r="CN292" s="82"/>
      <c r="CO292" s="82"/>
      <c r="CP292" s="82"/>
      <c r="CQ292" s="82"/>
      <c r="CR292" s="82"/>
      <c r="CS292" s="82"/>
      <c r="CT292" s="82"/>
      <c r="CU292" s="82"/>
      <c r="CV292" s="82"/>
      <c r="CW292" s="82"/>
      <c r="CX292" s="82"/>
      <c r="CY292" s="82"/>
      <c r="CZ292" s="82"/>
      <c r="DA292" s="82"/>
      <c r="DB292" s="82"/>
      <c r="DC292" s="82"/>
      <c r="DD292" s="82"/>
      <c r="DE292" s="82"/>
      <c r="DF292" s="82"/>
      <c r="DG292" s="82"/>
      <c r="DH292" s="82"/>
      <c r="DI292" s="82"/>
      <c r="DJ292" s="82"/>
      <c r="DK292" s="82"/>
      <c r="DL292" s="82"/>
      <c r="DM292" s="82"/>
      <c r="DN292" s="82"/>
      <c r="DO292" s="82"/>
      <c r="DP292" s="82"/>
      <c r="DQ292" s="82"/>
      <c r="DR292" s="82"/>
      <c r="DS292" s="82"/>
      <c r="DT292" s="82"/>
      <c r="DU292" s="82"/>
      <c r="DV292" s="82"/>
      <c r="DW292" s="82"/>
      <c r="DX292" s="82"/>
      <c r="DY292" s="82"/>
      <c r="DZ292" s="82"/>
      <c r="EA292" s="82"/>
      <c r="EB292" s="82"/>
      <c r="EC292" s="82"/>
      <c r="ED292" s="82"/>
      <c r="EE292" s="82"/>
      <c r="EF292" s="82"/>
      <c r="EG292" s="82"/>
      <c r="EH292" s="82"/>
      <c r="EI292" s="82"/>
      <c r="EJ292" s="82"/>
      <c r="EK292" s="82"/>
      <c r="EL292" s="82"/>
      <c r="EM292" s="82"/>
      <c r="EN292" s="82"/>
      <c r="EO292" s="82"/>
      <c r="EP292" s="214"/>
      <c r="EQ292" s="82"/>
      <c r="ER292" s="82"/>
      <c r="ES292" s="82"/>
      <c r="ET292" s="82"/>
      <c r="EU292" s="82"/>
      <c r="EV292" s="82"/>
      <c r="EW292" s="82"/>
      <c r="EX292" s="82"/>
      <c r="EY292" s="82"/>
      <c r="EZ292" s="82"/>
      <c r="FA292" s="82"/>
      <c r="FB292" s="82"/>
      <c r="FC292" s="82"/>
      <c r="FD292" s="82"/>
      <c r="FE292" s="82"/>
      <c r="FF292" s="82"/>
      <c r="FG292" s="82"/>
      <c r="FH292" s="82"/>
      <c r="FI292" s="82"/>
      <c r="FJ292" s="82"/>
      <c r="FK292" s="82"/>
      <c r="FL292" s="82"/>
      <c r="FM292" s="82"/>
      <c r="FN292" s="82"/>
      <c r="FO292" s="82"/>
      <c r="FP292" s="82"/>
      <c r="FQ292" s="82"/>
      <c r="FR292" s="82"/>
      <c r="FS292" s="82"/>
      <c r="FT292" s="82"/>
      <c r="FU292" s="82"/>
      <c r="FV292" s="82"/>
      <c r="FW292" s="82"/>
      <c r="FX292" s="82"/>
      <c r="FY292" s="82"/>
      <c r="FZ292" s="82"/>
      <c r="GA292" s="82"/>
      <c r="GB292" s="82"/>
      <c r="GC292" s="82"/>
      <c r="GD292" s="82"/>
      <c r="GE292" s="82"/>
      <c r="GF292" s="82"/>
      <c r="GG292" s="82"/>
      <c r="GH292" s="82"/>
      <c r="GI292" s="82"/>
      <c r="GJ292" s="82"/>
      <c r="GK292" s="82"/>
      <c r="GL292" s="82"/>
      <c r="GM292" s="82"/>
      <c r="GN292" s="82"/>
      <c r="GO292" s="82"/>
      <c r="GP292" s="82"/>
      <c r="GQ292" s="82"/>
      <c r="GR292" s="82"/>
      <c r="GS292" s="82"/>
      <c r="GT292" s="82"/>
      <c r="GU292" s="82"/>
      <c r="GV292" s="82"/>
      <c r="GW292" s="82"/>
      <c r="GX292" s="82"/>
      <c r="GY292" s="82"/>
      <c r="GZ292" s="82"/>
      <c r="HA292" s="82"/>
      <c r="HB292" s="82"/>
      <c r="HC292" s="82"/>
      <c r="HD292" s="82"/>
      <c r="HE292" s="82"/>
      <c r="HF292" s="82"/>
      <c r="HG292" s="82"/>
      <c r="HH292" s="82"/>
      <c r="HI292" s="82"/>
      <c r="HJ292" s="82"/>
      <c r="HK292" s="82"/>
      <c r="HL292" s="82"/>
      <c r="HM292" s="82"/>
      <c r="HN292" s="82"/>
      <c r="HO292" s="82"/>
      <c r="HP292" s="82"/>
      <c r="HQ292" s="82"/>
      <c r="HR292" s="82"/>
      <c r="HS292" s="82"/>
      <c r="HT292" s="82"/>
      <c r="HU292" s="82"/>
      <c r="HV292" s="82"/>
      <c r="HW292" s="82"/>
      <c r="HX292" s="82"/>
      <c r="HY292" s="82"/>
      <c r="HZ292" s="82"/>
      <c r="IA292" s="82"/>
      <c r="IB292" s="82"/>
      <c r="IC292" s="82"/>
      <c r="ID292" s="82"/>
      <c r="IE292" s="82"/>
      <c r="IF292" s="82"/>
      <c r="IG292" s="82"/>
      <c r="IH292" s="82"/>
      <c r="II292" s="82"/>
      <c r="IJ292" s="82"/>
      <c r="IK292" s="82"/>
      <c r="IL292" s="82"/>
      <c r="IM292" s="82"/>
      <c r="IN292" s="82"/>
      <c r="IO292" s="82"/>
      <c r="IP292" s="82"/>
      <c r="IQ292" s="82"/>
      <c r="IR292" s="82"/>
      <c r="IS292" s="82"/>
      <c r="IT292" s="82"/>
      <c r="IU292" s="82"/>
      <c r="IV292" s="82"/>
      <c r="IW292" s="82"/>
      <c r="IX292" s="82"/>
      <c r="IY292" s="82"/>
      <c r="IZ292" s="82"/>
      <c r="JA292" s="82"/>
      <c r="JB292" s="82"/>
      <c r="JC292" s="82"/>
      <c r="JD292" s="82"/>
      <c r="JE292" s="82"/>
      <c r="JF292" s="82"/>
      <c r="JG292" s="82"/>
      <c r="JH292" s="82"/>
      <c r="JI292" s="82"/>
      <c r="JJ292" s="82"/>
      <c r="JK292" s="82"/>
      <c r="JL292" s="82"/>
      <c r="JM292" s="82"/>
      <c r="JN292" s="82"/>
      <c r="JO292" s="82"/>
      <c r="JP292" s="82"/>
      <c r="JQ292" s="82"/>
      <c r="JR292" s="82"/>
      <c r="JS292" s="82"/>
      <c r="JT292" s="82"/>
      <c r="JU292" s="82"/>
      <c r="JV292" s="82"/>
      <c r="JW292" s="82"/>
      <c r="JX292" s="82"/>
      <c r="JZ292" s="263"/>
      <c r="KA292" s="263"/>
      <c r="KB292" s="263"/>
      <c r="KC292" s="263"/>
      <c r="KD292" s="263"/>
      <c r="KE292" s="263"/>
      <c r="KF292" s="263"/>
      <c r="KG292" s="263"/>
      <c r="KH292" s="263"/>
      <c r="KI292" s="263"/>
      <c r="KJ292" s="263"/>
      <c r="KK292" s="263"/>
      <c r="KL292" s="263"/>
      <c r="KM292" s="263"/>
      <c r="KN292" s="263"/>
      <c r="KO292" s="263"/>
      <c r="KP292" s="263"/>
      <c r="KQ292" s="263"/>
      <c r="KR292" s="263"/>
      <c r="KS292" s="263"/>
      <c r="KT292" s="263"/>
      <c r="KU292" s="263"/>
      <c r="KV292" s="263"/>
      <c r="KW292" s="263"/>
      <c r="KX292" s="263"/>
      <c r="KY292" s="263"/>
      <c r="KZ292" s="263"/>
      <c r="LA292" s="263"/>
      <c r="LB292" s="263"/>
      <c r="LC292" s="263"/>
      <c r="LD292" s="263"/>
      <c r="LE292" s="263"/>
      <c r="LF292" s="263"/>
      <c r="LG292" s="263"/>
      <c r="LH292" s="263"/>
      <c r="LI292" s="263"/>
      <c r="LJ292" s="263"/>
      <c r="LK292" s="263"/>
      <c r="LL292" s="263"/>
      <c r="LM292" s="263"/>
      <c r="LN292" s="263"/>
      <c r="LO292" s="263"/>
      <c r="LP292" s="263"/>
      <c r="LQ292" s="263"/>
      <c r="LR292" s="263"/>
      <c r="LS292" s="263"/>
      <c r="LT292" s="263"/>
      <c r="LU292" s="263"/>
      <c r="LV292" s="263"/>
      <c r="LW292" s="263"/>
      <c r="LX292" s="263"/>
      <c r="LY292" s="263"/>
      <c r="LZ292" s="263"/>
      <c r="MA292" s="263"/>
      <c r="MB292" s="263"/>
      <c r="MC292" s="263"/>
      <c r="MD292" s="263"/>
      <c r="ME292" s="263"/>
      <c r="MF292" s="263"/>
      <c r="MG292" s="263"/>
      <c r="MH292" s="263"/>
      <c r="MI292" s="263"/>
      <c r="MJ292" s="263"/>
      <c r="MK292" s="263"/>
      <c r="ML292" s="263"/>
      <c r="MM292" s="263"/>
      <c r="MN292" s="263"/>
      <c r="MO292" s="263"/>
      <c r="MP292" s="263"/>
      <c r="MQ292" s="263"/>
      <c r="MR292" s="263"/>
      <c r="MS292" s="263"/>
      <c r="MT292" s="263"/>
      <c r="MU292" s="263"/>
      <c r="MV292" s="263"/>
      <c r="MW292" s="263"/>
      <c r="MX292" s="263"/>
      <c r="MY292" s="263"/>
      <c r="MZ292" s="263"/>
      <c r="NA292" s="263"/>
      <c r="NB292" s="263"/>
      <c r="NC292" s="263"/>
      <c r="ND292" s="263"/>
      <c r="NE292" s="263"/>
      <c r="NF292" s="263"/>
      <c r="NG292" s="263"/>
      <c r="NH292" s="263"/>
      <c r="NI292" s="263"/>
      <c r="NJ292" s="263"/>
      <c r="NK292" s="263"/>
      <c r="NL292" s="263"/>
      <c r="NM292" s="263"/>
      <c r="NN292" s="263"/>
      <c r="NO292" s="263"/>
      <c r="NP292" s="263"/>
      <c r="NQ292" s="263"/>
      <c r="NR292" s="263"/>
      <c r="NS292" s="263"/>
      <c r="NT292" s="263"/>
      <c r="NU292" s="263"/>
      <c r="NV292" s="263"/>
      <c r="NW292" s="263"/>
      <c r="NX292" s="263"/>
      <c r="NY292" s="263"/>
      <c r="NZ292" s="263"/>
      <c r="OA292" s="263"/>
      <c r="OB292" s="263"/>
      <c r="OC292" s="263"/>
      <c r="OD292" s="263"/>
      <c r="OE292" s="263"/>
      <c r="OF292" s="263"/>
      <c r="OG292" s="263"/>
      <c r="OH292" s="263"/>
      <c r="OI292" s="263"/>
      <c r="OJ292" s="263"/>
      <c r="OK292" s="263"/>
      <c r="OL292" s="263"/>
      <c r="OM292" s="263"/>
      <c r="ON292" s="263"/>
      <c r="OO292" s="263"/>
      <c r="OP292" s="263"/>
      <c r="OQ292" s="263"/>
      <c r="OR292" s="263"/>
      <c r="OS292" s="263"/>
      <c r="OT292" s="263"/>
      <c r="OU292" s="263"/>
      <c r="OV292" s="263"/>
      <c r="OW292" s="263"/>
      <c r="OX292" s="263"/>
      <c r="OY292" s="263"/>
      <c r="OZ292" s="263"/>
      <c r="PA292" s="263"/>
      <c r="PB292" s="263"/>
      <c r="PC292" s="263"/>
      <c r="PD292" s="263"/>
      <c r="PE292" s="263"/>
      <c r="PF292" s="263"/>
      <c r="PG292" s="263"/>
      <c r="PH292" s="263"/>
    </row>
    <row r="293">
      <c r="B293" s="82"/>
      <c r="C293" s="82"/>
      <c r="D293" s="82"/>
      <c r="E293" s="82"/>
      <c r="F293" s="82"/>
      <c r="G293" s="82"/>
      <c r="H293" s="82"/>
      <c r="I293" s="82"/>
      <c r="J293" s="82"/>
      <c r="K293" s="82"/>
      <c r="L293" s="82"/>
      <c r="M293" s="82"/>
      <c r="N293" s="82"/>
      <c r="O293" s="82"/>
      <c r="P293" s="82"/>
      <c r="Q293" s="82"/>
      <c r="R293" s="82"/>
      <c r="S293" s="82"/>
      <c r="T293" s="82"/>
      <c r="U293" s="82"/>
      <c r="V293" s="82"/>
      <c r="W293" s="82"/>
      <c r="X293" s="82"/>
      <c r="Y293" s="82"/>
      <c r="Z293" s="82"/>
      <c r="AA293" s="82"/>
      <c r="AB293" s="82"/>
      <c r="AC293" s="82"/>
      <c r="AD293" s="82"/>
      <c r="AE293" s="82"/>
      <c r="AF293" s="82"/>
      <c r="AG293" s="82"/>
      <c r="AH293" s="82"/>
      <c r="AI293" s="82"/>
      <c r="AJ293" s="82"/>
      <c r="AK293" s="82"/>
      <c r="AL293" s="82"/>
      <c r="AM293" s="82"/>
      <c r="AN293" s="82"/>
      <c r="AO293" s="82"/>
      <c r="AP293" s="82"/>
      <c r="AQ293" s="82"/>
      <c r="AR293" s="82"/>
      <c r="AS293" s="82"/>
      <c r="AT293" s="82"/>
      <c r="AU293" s="82"/>
      <c r="AV293" s="82"/>
      <c r="AW293" s="82"/>
      <c r="AX293" s="82"/>
      <c r="AY293" s="82"/>
      <c r="AZ293" s="82"/>
      <c r="BA293" s="82"/>
      <c r="BB293" s="82"/>
      <c r="BC293" s="82"/>
      <c r="BD293" s="82"/>
      <c r="BE293" s="82"/>
      <c r="BF293" s="82"/>
      <c r="BG293" s="82"/>
      <c r="BH293" s="82"/>
      <c r="BI293" s="82"/>
      <c r="BJ293" s="82"/>
      <c r="BK293" s="82"/>
      <c r="BL293" s="82"/>
      <c r="BM293" s="82"/>
      <c r="BN293" s="82"/>
      <c r="BO293" s="82"/>
      <c r="BP293" s="82"/>
      <c r="BQ293" s="82"/>
      <c r="BR293" s="82"/>
      <c r="BS293" s="82"/>
      <c r="BT293" s="82"/>
      <c r="BU293" s="82"/>
      <c r="BV293" s="82"/>
      <c r="BW293" s="82"/>
      <c r="BX293" s="82"/>
      <c r="BY293" s="82"/>
      <c r="BZ293" s="82"/>
      <c r="CA293" s="82"/>
      <c r="CB293" s="82"/>
      <c r="CC293" s="82"/>
      <c r="CD293" s="82"/>
      <c r="CE293" s="82"/>
      <c r="CF293" s="82"/>
      <c r="CG293" s="82"/>
      <c r="CH293" s="82"/>
      <c r="CI293" s="82"/>
      <c r="CJ293" s="82"/>
      <c r="CK293" s="82"/>
      <c r="CL293" s="82"/>
      <c r="CM293" s="82"/>
      <c r="CN293" s="82"/>
      <c r="CO293" s="82"/>
      <c r="CP293" s="82"/>
      <c r="CQ293" s="82"/>
      <c r="CR293" s="82"/>
      <c r="CS293" s="82"/>
      <c r="CT293" s="82"/>
      <c r="CU293" s="82"/>
      <c r="CV293" s="82"/>
      <c r="CW293" s="82"/>
      <c r="CX293" s="82"/>
      <c r="CY293" s="82"/>
      <c r="CZ293" s="82"/>
      <c r="DA293" s="82"/>
      <c r="DB293" s="82"/>
      <c r="DC293" s="82"/>
      <c r="DD293" s="82"/>
      <c r="DE293" s="82"/>
      <c r="DF293" s="82"/>
      <c r="DG293" s="82"/>
      <c r="DH293" s="82"/>
      <c r="DI293" s="82"/>
      <c r="DJ293" s="82"/>
      <c r="DK293" s="82"/>
      <c r="DL293" s="82"/>
      <c r="DM293" s="82"/>
      <c r="DN293" s="82"/>
      <c r="DO293" s="82"/>
      <c r="DP293" s="82"/>
      <c r="DQ293" s="82"/>
      <c r="DR293" s="82"/>
      <c r="DS293" s="82"/>
      <c r="DT293" s="82"/>
      <c r="DU293" s="82"/>
      <c r="DV293" s="82"/>
      <c r="DW293" s="82"/>
      <c r="DX293" s="82"/>
      <c r="DY293" s="82"/>
      <c r="DZ293" s="82"/>
      <c r="EA293" s="82"/>
      <c r="EB293" s="82"/>
      <c r="EC293" s="82"/>
      <c r="ED293" s="82"/>
      <c r="EE293" s="82"/>
      <c r="EF293" s="82"/>
      <c r="EG293" s="82"/>
      <c r="EH293" s="82"/>
      <c r="EI293" s="82"/>
      <c r="EJ293" s="82"/>
      <c r="EK293" s="82"/>
      <c r="EL293" s="82"/>
      <c r="EM293" s="82"/>
      <c r="EN293" s="82"/>
      <c r="EO293" s="82"/>
      <c r="EP293" s="214"/>
      <c r="EQ293" s="82"/>
      <c r="ER293" s="82"/>
      <c r="ES293" s="82"/>
      <c r="ET293" s="82"/>
      <c r="EU293" s="82"/>
      <c r="EV293" s="82"/>
      <c r="EW293" s="82"/>
      <c r="EX293" s="82"/>
      <c r="EY293" s="82"/>
      <c r="EZ293" s="82"/>
      <c r="FA293" s="82"/>
      <c r="FB293" s="82"/>
      <c r="FC293" s="82"/>
      <c r="FD293" s="82"/>
      <c r="FE293" s="82"/>
      <c r="FF293" s="82"/>
      <c r="FG293" s="82"/>
      <c r="FH293" s="82"/>
      <c r="FI293" s="82"/>
      <c r="FJ293" s="82"/>
      <c r="FK293" s="82"/>
      <c r="FL293" s="82"/>
      <c r="FM293" s="82"/>
      <c r="FN293" s="82"/>
      <c r="FO293" s="82"/>
      <c r="FP293" s="82"/>
      <c r="FQ293" s="82"/>
      <c r="FR293" s="82"/>
      <c r="FS293" s="82"/>
      <c r="FT293" s="82"/>
      <c r="FU293" s="82"/>
      <c r="FV293" s="82"/>
      <c r="FW293" s="82"/>
      <c r="FX293" s="82"/>
      <c r="FY293" s="82"/>
      <c r="FZ293" s="82"/>
      <c r="GA293" s="82"/>
      <c r="GB293" s="82"/>
      <c r="GC293" s="82"/>
      <c r="GD293" s="82"/>
      <c r="GE293" s="82"/>
      <c r="GF293" s="82"/>
      <c r="GG293" s="82"/>
      <c r="GH293" s="82"/>
      <c r="GI293" s="82"/>
      <c r="GJ293" s="82"/>
      <c r="GK293" s="82"/>
      <c r="GL293" s="82"/>
      <c r="GM293" s="82"/>
      <c r="GN293" s="82"/>
      <c r="GO293" s="82"/>
      <c r="GP293" s="82"/>
      <c r="GQ293" s="82"/>
      <c r="GR293" s="82"/>
      <c r="GS293" s="82"/>
      <c r="GT293" s="82"/>
      <c r="GU293" s="82"/>
      <c r="GV293" s="82"/>
      <c r="GW293" s="82"/>
      <c r="GX293" s="82"/>
      <c r="GY293" s="82"/>
      <c r="GZ293" s="82"/>
      <c r="HA293" s="82"/>
      <c r="HB293" s="82"/>
      <c r="HC293" s="82"/>
      <c r="HD293" s="82"/>
      <c r="HE293" s="82"/>
      <c r="HF293" s="82"/>
      <c r="HG293" s="82"/>
      <c r="HH293" s="82"/>
      <c r="HI293" s="82"/>
      <c r="HJ293" s="82"/>
      <c r="HK293" s="82"/>
      <c r="HL293" s="82"/>
      <c r="HM293" s="82"/>
      <c r="HN293" s="82"/>
      <c r="HO293" s="82"/>
      <c r="HP293" s="82"/>
      <c r="HQ293" s="82"/>
      <c r="HR293" s="82"/>
      <c r="HS293" s="82"/>
      <c r="HT293" s="82"/>
      <c r="HU293" s="82"/>
      <c r="HV293" s="82"/>
      <c r="HW293" s="82"/>
      <c r="HX293" s="82"/>
      <c r="HY293" s="82"/>
      <c r="HZ293" s="82"/>
      <c r="IA293" s="82"/>
      <c r="IB293" s="82"/>
      <c r="IC293" s="82"/>
      <c r="ID293" s="82"/>
      <c r="IE293" s="82"/>
      <c r="IF293" s="82"/>
      <c r="IG293" s="82"/>
      <c r="IH293" s="82"/>
      <c r="II293" s="82"/>
      <c r="IJ293" s="82"/>
      <c r="IK293" s="82"/>
      <c r="IL293" s="82"/>
      <c r="IM293" s="82"/>
      <c r="IN293" s="82"/>
      <c r="IO293" s="82"/>
      <c r="IP293" s="82"/>
      <c r="IQ293" s="82"/>
      <c r="IR293" s="82"/>
      <c r="IS293" s="82"/>
      <c r="IT293" s="82"/>
      <c r="IU293" s="82"/>
      <c r="IV293" s="82"/>
      <c r="IW293" s="82"/>
      <c r="IX293" s="82"/>
      <c r="IY293" s="82"/>
      <c r="IZ293" s="82"/>
      <c r="JA293" s="82"/>
      <c r="JB293" s="82"/>
      <c r="JC293" s="82"/>
      <c r="JD293" s="82"/>
      <c r="JE293" s="82"/>
      <c r="JF293" s="82"/>
      <c r="JG293" s="82"/>
      <c r="JH293" s="82"/>
      <c r="JI293" s="82"/>
      <c r="JJ293" s="82"/>
      <c r="JK293" s="82"/>
      <c r="JL293" s="82"/>
      <c r="JM293" s="82"/>
      <c r="JN293" s="82"/>
      <c r="JO293" s="82"/>
      <c r="JP293" s="82"/>
      <c r="JQ293" s="82"/>
      <c r="JR293" s="82"/>
      <c r="JS293" s="82"/>
      <c r="JT293" s="82"/>
      <c r="JU293" s="82"/>
      <c r="JV293" s="82"/>
      <c r="JW293" s="82"/>
      <c r="JX293" s="82"/>
      <c r="JZ293" s="263"/>
      <c r="KA293" s="263"/>
      <c r="KB293" s="263"/>
      <c r="KC293" s="263"/>
      <c r="KD293" s="263"/>
      <c r="KE293" s="263"/>
      <c r="KF293" s="263"/>
      <c r="KG293" s="263"/>
      <c r="KH293" s="263"/>
      <c r="KI293" s="263"/>
      <c r="KJ293" s="263"/>
      <c r="KK293" s="263"/>
      <c r="KL293" s="263"/>
      <c r="KM293" s="263"/>
      <c r="KN293" s="263"/>
      <c r="KO293" s="263"/>
      <c r="KP293" s="263"/>
      <c r="KQ293" s="263"/>
      <c r="KR293" s="263"/>
      <c r="KS293" s="263"/>
      <c r="KT293" s="263"/>
      <c r="KU293" s="263"/>
      <c r="KV293" s="263"/>
      <c r="KW293" s="263"/>
      <c r="KX293" s="263"/>
      <c r="KY293" s="263"/>
      <c r="KZ293" s="263"/>
      <c r="LA293" s="263"/>
      <c r="LB293" s="263"/>
      <c r="LC293" s="263"/>
      <c r="LD293" s="263"/>
      <c r="LE293" s="263"/>
      <c r="LF293" s="263"/>
      <c r="LG293" s="263"/>
      <c r="LH293" s="263"/>
      <c r="LI293" s="263"/>
      <c r="LJ293" s="263"/>
      <c r="LK293" s="263"/>
      <c r="LL293" s="263"/>
      <c r="LM293" s="263"/>
      <c r="LN293" s="263"/>
      <c r="LO293" s="263"/>
      <c r="LP293" s="263"/>
      <c r="LQ293" s="263"/>
      <c r="LR293" s="263"/>
      <c r="LS293" s="263"/>
      <c r="LT293" s="263"/>
      <c r="LU293" s="263"/>
      <c r="LV293" s="263"/>
      <c r="LW293" s="263"/>
      <c r="LX293" s="263"/>
      <c r="LY293" s="263"/>
      <c r="LZ293" s="263"/>
      <c r="MA293" s="263"/>
      <c r="MB293" s="263"/>
      <c r="MC293" s="263"/>
      <c r="MD293" s="263"/>
      <c r="ME293" s="263"/>
      <c r="MF293" s="263"/>
      <c r="MG293" s="263"/>
      <c r="MH293" s="263"/>
      <c r="MI293" s="263"/>
      <c r="MJ293" s="263"/>
      <c r="MK293" s="263"/>
      <c r="ML293" s="263"/>
      <c r="MM293" s="263"/>
      <c r="MN293" s="263"/>
      <c r="MO293" s="263"/>
      <c r="MP293" s="263"/>
      <c r="MQ293" s="263"/>
      <c r="MR293" s="263"/>
      <c r="MS293" s="263"/>
      <c r="MT293" s="263"/>
      <c r="MU293" s="263"/>
      <c r="MV293" s="263"/>
      <c r="MW293" s="263"/>
      <c r="MX293" s="263"/>
      <c r="MY293" s="263"/>
      <c r="MZ293" s="263"/>
      <c r="NA293" s="263"/>
      <c r="NB293" s="263"/>
      <c r="NC293" s="263"/>
      <c r="ND293" s="263"/>
      <c r="NE293" s="263"/>
      <c r="NF293" s="263"/>
      <c r="NG293" s="263"/>
      <c r="NH293" s="263"/>
      <c r="NI293" s="263"/>
      <c r="NJ293" s="263"/>
      <c r="NK293" s="263"/>
      <c r="NL293" s="263"/>
      <c r="NM293" s="263"/>
      <c r="NN293" s="263"/>
      <c r="NO293" s="263"/>
      <c r="NP293" s="263"/>
      <c r="NQ293" s="263"/>
      <c r="NR293" s="263"/>
      <c r="NS293" s="263"/>
      <c r="NT293" s="263"/>
      <c r="NU293" s="263"/>
      <c r="NV293" s="263"/>
      <c r="NW293" s="263"/>
      <c r="NX293" s="263"/>
      <c r="NY293" s="263"/>
      <c r="NZ293" s="263"/>
      <c r="OA293" s="263"/>
      <c r="OB293" s="263"/>
      <c r="OC293" s="263"/>
      <c r="OD293" s="263"/>
      <c r="OE293" s="263"/>
      <c r="OF293" s="263"/>
      <c r="OG293" s="263"/>
      <c r="OH293" s="263"/>
      <c r="OI293" s="263"/>
      <c r="OJ293" s="263"/>
      <c r="OK293" s="263"/>
      <c r="OL293" s="263"/>
      <c r="OM293" s="263"/>
      <c r="ON293" s="263"/>
      <c r="OO293" s="263"/>
      <c r="OP293" s="263"/>
      <c r="OQ293" s="263"/>
      <c r="OR293" s="263"/>
      <c r="OS293" s="263"/>
      <c r="OT293" s="263"/>
      <c r="OU293" s="263"/>
      <c r="OV293" s="263"/>
      <c r="OW293" s="263"/>
      <c r="OX293" s="263"/>
      <c r="OY293" s="263"/>
      <c r="OZ293" s="263"/>
      <c r="PA293" s="263"/>
      <c r="PB293" s="263"/>
      <c r="PC293" s="263"/>
      <c r="PD293" s="263"/>
      <c r="PE293" s="263"/>
      <c r="PF293" s="263"/>
      <c r="PG293" s="263"/>
      <c r="PH293" s="263"/>
    </row>
    <row r="294">
      <c r="B294" s="82"/>
      <c r="C294" s="82"/>
      <c r="D294" s="82"/>
      <c r="E294" s="82"/>
      <c r="F294" s="82"/>
      <c r="G294" s="82"/>
      <c r="H294" s="82"/>
      <c r="I294" s="82"/>
      <c r="J294" s="82"/>
      <c r="K294" s="82"/>
      <c r="L294" s="82"/>
      <c r="M294" s="82"/>
      <c r="N294" s="82"/>
      <c r="O294" s="82"/>
      <c r="P294" s="82"/>
      <c r="Q294" s="82"/>
      <c r="R294" s="82"/>
      <c r="S294" s="82"/>
      <c r="T294" s="82"/>
      <c r="U294" s="82"/>
      <c r="V294" s="82"/>
      <c r="W294" s="82"/>
      <c r="X294" s="82"/>
      <c r="Y294" s="82"/>
      <c r="Z294" s="82"/>
      <c r="AA294" s="82"/>
      <c r="AB294" s="82"/>
      <c r="AC294" s="82"/>
      <c r="AD294" s="82"/>
      <c r="AE294" s="82"/>
      <c r="AF294" s="82"/>
      <c r="AG294" s="82"/>
      <c r="AH294" s="82"/>
      <c r="AI294" s="82"/>
      <c r="AJ294" s="82"/>
      <c r="AK294" s="82"/>
      <c r="AL294" s="82"/>
      <c r="AM294" s="82"/>
      <c r="AN294" s="82"/>
      <c r="AO294" s="82"/>
      <c r="AP294" s="82"/>
      <c r="AQ294" s="82"/>
      <c r="AR294" s="82"/>
      <c r="AS294" s="82"/>
      <c r="AT294" s="82"/>
      <c r="AU294" s="82"/>
      <c r="AV294" s="82"/>
      <c r="AW294" s="82"/>
      <c r="AX294" s="82"/>
      <c r="AY294" s="82"/>
      <c r="AZ294" s="82"/>
      <c r="BA294" s="82"/>
      <c r="BB294" s="82"/>
      <c r="BC294" s="82"/>
      <c r="BD294" s="82"/>
      <c r="BE294" s="82"/>
      <c r="BF294" s="82"/>
      <c r="BG294" s="82"/>
      <c r="BH294" s="82"/>
      <c r="BI294" s="82"/>
      <c r="BJ294" s="82"/>
      <c r="BK294" s="82"/>
      <c r="BL294" s="82"/>
      <c r="BM294" s="82"/>
      <c r="BN294" s="82"/>
      <c r="BO294" s="82"/>
      <c r="BP294" s="82"/>
      <c r="BQ294" s="82"/>
      <c r="BR294" s="82"/>
      <c r="BS294" s="82"/>
      <c r="BT294" s="82"/>
      <c r="BU294" s="82"/>
      <c r="BV294" s="82"/>
      <c r="BW294" s="82"/>
      <c r="BX294" s="82"/>
      <c r="BY294" s="82"/>
      <c r="BZ294" s="82"/>
      <c r="CA294" s="82"/>
      <c r="CB294" s="82"/>
      <c r="CC294" s="82"/>
      <c r="CD294" s="82"/>
      <c r="CE294" s="82"/>
      <c r="CF294" s="82"/>
      <c r="CG294" s="82"/>
      <c r="CH294" s="82"/>
      <c r="CI294" s="82"/>
      <c r="CJ294" s="82"/>
      <c r="CK294" s="82"/>
      <c r="CL294" s="82"/>
      <c r="CM294" s="82"/>
      <c r="CN294" s="82"/>
      <c r="CO294" s="82"/>
      <c r="CP294" s="82"/>
      <c r="CQ294" s="82"/>
      <c r="CR294" s="82"/>
      <c r="CS294" s="82"/>
      <c r="CT294" s="82"/>
      <c r="CU294" s="82"/>
      <c r="CV294" s="82"/>
      <c r="CW294" s="82"/>
      <c r="CX294" s="82"/>
      <c r="CY294" s="82"/>
      <c r="CZ294" s="82"/>
      <c r="DA294" s="82"/>
      <c r="DB294" s="82"/>
      <c r="DC294" s="82"/>
      <c r="DD294" s="82"/>
      <c r="DE294" s="82"/>
      <c r="DF294" s="82"/>
      <c r="DG294" s="82"/>
      <c r="DH294" s="82"/>
      <c r="DI294" s="82"/>
      <c r="DJ294" s="82"/>
      <c r="DK294" s="82"/>
      <c r="DL294" s="82"/>
      <c r="DM294" s="82"/>
      <c r="DN294" s="82"/>
      <c r="DO294" s="82"/>
      <c r="DP294" s="82"/>
      <c r="DQ294" s="82"/>
      <c r="DR294" s="82"/>
      <c r="DS294" s="82"/>
      <c r="DT294" s="82"/>
      <c r="DU294" s="82"/>
      <c r="DV294" s="82"/>
      <c r="DW294" s="82"/>
      <c r="DX294" s="82"/>
      <c r="DY294" s="82"/>
      <c r="DZ294" s="82"/>
      <c r="EA294" s="82"/>
      <c r="EB294" s="82"/>
      <c r="EC294" s="82"/>
      <c r="ED294" s="82"/>
      <c r="EE294" s="82"/>
      <c r="EF294" s="82"/>
      <c r="EG294" s="82"/>
      <c r="EH294" s="82"/>
      <c r="EI294" s="82"/>
      <c r="EJ294" s="82"/>
      <c r="EK294" s="82"/>
      <c r="EL294" s="82"/>
      <c r="EM294" s="82"/>
      <c r="EN294" s="82"/>
      <c r="EO294" s="82"/>
      <c r="EP294" s="214"/>
      <c r="EQ294" s="82"/>
      <c r="ER294" s="82"/>
      <c r="ES294" s="82"/>
      <c r="ET294" s="82"/>
      <c r="EU294" s="82"/>
      <c r="EV294" s="82"/>
      <c r="EW294" s="82"/>
      <c r="EX294" s="82"/>
      <c r="EY294" s="82"/>
      <c r="EZ294" s="82"/>
      <c r="FA294" s="82"/>
      <c r="FB294" s="82"/>
      <c r="FC294" s="82"/>
      <c r="FD294" s="82"/>
      <c r="FE294" s="82"/>
      <c r="FF294" s="82"/>
      <c r="FG294" s="82"/>
      <c r="FH294" s="82"/>
      <c r="FI294" s="82"/>
      <c r="FJ294" s="82"/>
      <c r="FK294" s="82"/>
      <c r="FL294" s="82"/>
      <c r="FM294" s="82"/>
      <c r="FN294" s="82"/>
      <c r="FO294" s="82"/>
      <c r="FP294" s="82"/>
      <c r="FQ294" s="82"/>
      <c r="FR294" s="82"/>
      <c r="FS294" s="82"/>
      <c r="FT294" s="82"/>
      <c r="FU294" s="82"/>
      <c r="FV294" s="82"/>
      <c r="FW294" s="82"/>
      <c r="FX294" s="82"/>
      <c r="FY294" s="82"/>
      <c r="FZ294" s="82"/>
      <c r="GA294" s="82"/>
      <c r="GB294" s="82"/>
      <c r="GC294" s="82"/>
      <c r="GD294" s="82"/>
      <c r="GE294" s="82"/>
      <c r="GF294" s="82"/>
      <c r="GG294" s="82"/>
      <c r="GH294" s="82"/>
      <c r="GI294" s="82"/>
      <c r="GJ294" s="82"/>
      <c r="GK294" s="82"/>
      <c r="GL294" s="82"/>
      <c r="GM294" s="82"/>
      <c r="GN294" s="82"/>
      <c r="GO294" s="82"/>
      <c r="GP294" s="82"/>
      <c r="GQ294" s="82"/>
      <c r="GR294" s="82"/>
      <c r="GS294" s="82"/>
      <c r="GT294" s="82"/>
      <c r="GU294" s="82"/>
      <c r="GV294" s="82"/>
      <c r="GW294" s="82"/>
      <c r="GX294" s="82"/>
      <c r="GY294" s="82"/>
      <c r="GZ294" s="82"/>
      <c r="HA294" s="82"/>
      <c r="HB294" s="82"/>
      <c r="HC294" s="82"/>
      <c r="HD294" s="82"/>
      <c r="HE294" s="82"/>
      <c r="HF294" s="82"/>
      <c r="HG294" s="82"/>
      <c r="HH294" s="82"/>
      <c r="HI294" s="82"/>
      <c r="HJ294" s="82"/>
      <c r="HK294" s="82"/>
      <c r="HL294" s="82"/>
      <c r="HM294" s="82"/>
      <c r="HN294" s="82"/>
      <c r="HO294" s="82"/>
      <c r="HP294" s="82"/>
      <c r="HQ294" s="82"/>
      <c r="HR294" s="82"/>
      <c r="HS294" s="82"/>
      <c r="HT294" s="82"/>
      <c r="HU294" s="82"/>
      <c r="HV294" s="82"/>
      <c r="HW294" s="82"/>
      <c r="HX294" s="82"/>
      <c r="HY294" s="82"/>
      <c r="HZ294" s="82"/>
      <c r="IA294" s="82"/>
      <c r="IB294" s="82"/>
      <c r="IC294" s="82"/>
      <c r="ID294" s="82"/>
      <c r="IE294" s="82"/>
      <c r="IF294" s="82"/>
      <c r="IG294" s="82"/>
      <c r="IH294" s="82"/>
      <c r="II294" s="82"/>
      <c r="IJ294" s="82"/>
      <c r="IK294" s="82"/>
      <c r="IL294" s="82"/>
      <c r="IM294" s="82"/>
      <c r="IN294" s="82"/>
      <c r="IO294" s="82"/>
      <c r="IP294" s="82"/>
      <c r="IQ294" s="82"/>
      <c r="IR294" s="82"/>
      <c r="IS294" s="82"/>
      <c r="IT294" s="82"/>
      <c r="IU294" s="82"/>
      <c r="IV294" s="82"/>
      <c r="IW294" s="82"/>
      <c r="IX294" s="82"/>
      <c r="IY294" s="82"/>
      <c r="IZ294" s="82"/>
      <c r="JA294" s="82"/>
      <c r="JB294" s="82"/>
      <c r="JC294" s="82"/>
      <c r="JD294" s="82"/>
      <c r="JE294" s="82"/>
      <c r="JF294" s="82"/>
      <c r="JG294" s="82"/>
      <c r="JH294" s="82"/>
      <c r="JI294" s="82"/>
      <c r="JJ294" s="82"/>
      <c r="JK294" s="82"/>
      <c r="JL294" s="82"/>
      <c r="JM294" s="82"/>
      <c r="JN294" s="82"/>
      <c r="JO294" s="82"/>
      <c r="JP294" s="82"/>
      <c r="JQ294" s="82"/>
      <c r="JR294" s="82"/>
      <c r="JS294" s="82"/>
      <c r="JT294" s="82"/>
      <c r="JU294" s="82"/>
      <c r="JV294" s="82"/>
      <c r="JW294" s="82"/>
      <c r="JX294" s="82"/>
      <c r="JZ294" s="263"/>
      <c r="KA294" s="263"/>
      <c r="KB294" s="263"/>
      <c r="KC294" s="263"/>
      <c r="KD294" s="263"/>
      <c r="KE294" s="263"/>
      <c r="KF294" s="263"/>
      <c r="KG294" s="263"/>
      <c r="KH294" s="263"/>
      <c r="KI294" s="263"/>
      <c r="KJ294" s="263"/>
      <c r="KK294" s="263"/>
      <c r="KL294" s="263"/>
      <c r="KM294" s="263"/>
      <c r="KN294" s="263"/>
      <c r="KO294" s="263"/>
      <c r="KP294" s="263"/>
      <c r="KQ294" s="263"/>
      <c r="KR294" s="263"/>
      <c r="KS294" s="263"/>
      <c r="KT294" s="263"/>
      <c r="KU294" s="263"/>
      <c r="KV294" s="263"/>
      <c r="KW294" s="263"/>
      <c r="KX294" s="263"/>
      <c r="KY294" s="263"/>
      <c r="KZ294" s="263"/>
      <c r="LA294" s="263"/>
      <c r="LB294" s="263"/>
      <c r="LC294" s="263"/>
      <c r="LD294" s="263"/>
      <c r="LE294" s="263"/>
      <c r="LF294" s="263"/>
      <c r="LG294" s="263"/>
      <c r="LH294" s="263"/>
      <c r="LI294" s="263"/>
      <c r="LJ294" s="263"/>
      <c r="LK294" s="263"/>
      <c r="LL294" s="263"/>
      <c r="LM294" s="263"/>
      <c r="LN294" s="263"/>
      <c r="LO294" s="263"/>
      <c r="LP294" s="263"/>
      <c r="LQ294" s="263"/>
      <c r="LR294" s="263"/>
      <c r="LS294" s="263"/>
      <c r="LT294" s="263"/>
      <c r="LU294" s="263"/>
      <c r="LV294" s="263"/>
      <c r="LW294" s="263"/>
      <c r="LX294" s="263"/>
      <c r="LY294" s="263"/>
      <c r="LZ294" s="263"/>
      <c r="MA294" s="263"/>
      <c r="MB294" s="263"/>
      <c r="MC294" s="263"/>
      <c r="MD294" s="263"/>
      <c r="ME294" s="263"/>
      <c r="MF294" s="263"/>
      <c r="MG294" s="263"/>
      <c r="MH294" s="263"/>
      <c r="MI294" s="263"/>
      <c r="MJ294" s="263"/>
      <c r="MK294" s="263"/>
      <c r="ML294" s="263"/>
      <c r="MM294" s="263"/>
      <c r="MN294" s="263"/>
      <c r="MO294" s="263"/>
      <c r="MP294" s="263"/>
      <c r="MQ294" s="263"/>
      <c r="MR294" s="263"/>
      <c r="MS294" s="263"/>
      <c r="MT294" s="263"/>
      <c r="MU294" s="263"/>
      <c r="MV294" s="263"/>
      <c r="MW294" s="263"/>
      <c r="MX294" s="263"/>
      <c r="MY294" s="263"/>
      <c r="MZ294" s="263"/>
      <c r="NA294" s="263"/>
      <c r="NB294" s="263"/>
      <c r="NC294" s="263"/>
      <c r="ND294" s="263"/>
      <c r="NE294" s="263"/>
      <c r="NF294" s="263"/>
      <c r="NG294" s="263"/>
      <c r="NH294" s="263"/>
      <c r="NI294" s="263"/>
      <c r="NJ294" s="263"/>
      <c r="NK294" s="263"/>
      <c r="NL294" s="263"/>
      <c r="NM294" s="263"/>
      <c r="NN294" s="263"/>
      <c r="NO294" s="263"/>
      <c r="NP294" s="263"/>
      <c r="NQ294" s="263"/>
      <c r="NR294" s="263"/>
      <c r="NS294" s="263"/>
      <c r="NT294" s="263"/>
      <c r="NU294" s="263"/>
      <c r="NV294" s="263"/>
      <c r="NW294" s="263"/>
      <c r="NX294" s="263"/>
      <c r="NY294" s="263"/>
      <c r="NZ294" s="263"/>
      <c r="OA294" s="263"/>
      <c r="OB294" s="263"/>
      <c r="OC294" s="263"/>
      <c r="OD294" s="263"/>
      <c r="OE294" s="263"/>
      <c r="OF294" s="263"/>
      <c r="OG294" s="263"/>
      <c r="OH294" s="263"/>
      <c r="OI294" s="263"/>
      <c r="OJ294" s="263"/>
      <c r="OK294" s="263"/>
      <c r="OL294" s="263"/>
      <c r="OM294" s="263"/>
      <c r="ON294" s="263"/>
      <c r="OO294" s="263"/>
      <c r="OP294" s="263"/>
      <c r="OQ294" s="263"/>
      <c r="OR294" s="263"/>
      <c r="OS294" s="263"/>
      <c r="OT294" s="263"/>
      <c r="OU294" s="263"/>
      <c r="OV294" s="263"/>
      <c r="OW294" s="263"/>
      <c r="OX294" s="263"/>
      <c r="OY294" s="263"/>
      <c r="OZ294" s="263"/>
      <c r="PA294" s="263"/>
      <c r="PB294" s="263"/>
      <c r="PC294" s="263"/>
      <c r="PD294" s="263"/>
      <c r="PE294" s="263"/>
      <c r="PF294" s="263"/>
      <c r="PG294" s="263"/>
      <c r="PH294" s="263"/>
    </row>
    <row r="295">
      <c r="B295" s="82"/>
      <c r="C295" s="82"/>
      <c r="D295" s="82"/>
      <c r="E295" s="82"/>
      <c r="F295" s="82"/>
      <c r="G295" s="82"/>
      <c r="H295" s="82"/>
      <c r="I295" s="82"/>
      <c r="J295" s="82"/>
      <c r="K295" s="82"/>
      <c r="L295" s="82"/>
      <c r="M295" s="82"/>
      <c r="N295" s="82"/>
      <c r="O295" s="82"/>
      <c r="P295" s="82"/>
      <c r="Q295" s="82"/>
      <c r="R295" s="82"/>
      <c r="S295" s="82"/>
      <c r="T295" s="82"/>
      <c r="U295" s="82"/>
      <c r="V295" s="82"/>
      <c r="W295" s="82"/>
      <c r="X295" s="82"/>
      <c r="Y295" s="82"/>
      <c r="Z295" s="82"/>
      <c r="AA295" s="82"/>
      <c r="AB295" s="82"/>
      <c r="AC295" s="82"/>
      <c r="AD295" s="82"/>
      <c r="AE295" s="82"/>
      <c r="AF295" s="82"/>
      <c r="AG295" s="82"/>
      <c r="AH295" s="82"/>
      <c r="AI295" s="82"/>
      <c r="AJ295" s="82"/>
      <c r="AK295" s="82"/>
      <c r="AL295" s="82"/>
      <c r="AM295" s="82"/>
      <c r="AN295" s="82"/>
      <c r="AO295" s="82"/>
      <c r="AP295" s="82"/>
      <c r="AQ295" s="82"/>
      <c r="AR295" s="82"/>
      <c r="AS295" s="82"/>
      <c r="AT295" s="82"/>
      <c r="AU295" s="82"/>
      <c r="AV295" s="82"/>
      <c r="AW295" s="82"/>
      <c r="AX295" s="82"/>
      <c r="AY295" s="82"/>
      <c r="AZ295" s="82"/>
      <c r="BA295" s="82"/>
      <c r="BB295" s="82"/>
      <c r="BC295" s="82"/>
      <c r="BD295" s="82"/>
      <c r="BE295" s="82"/>
      <c r="BF295" s="82"/>
      <c r="BG295" s="82"/>
      <c r="BH295" s="82"/>
      <c r="BI295" s="82"/>
      <c r="BJ295" s="82"/>
      <c r="BK295" s="82"/>
      <c r="BL295" s="82"/>
      <c r="BM295" s="82"/>
      <c r="BN295" s="82"/>
      <c r="BO295" s="82"/>
      <c r="BP295" s="82"/>
      <c r="BQ295" s="82"/>
      <c r="BR295" s="82"/>
      <c r="BS295" s="82"/>
      <c r="BT295" s="82"/>
      <c r="BU295" s="82"/>
      <c r="BV295" s="82"/>
      <c r="BW295" s="82"/>
      <c r="BX295" s="82"/>
      <c r="BY295" s="82"/>
      <c r="BZ295" s="82"/>
      <c r="CA295" s="82"/>
      <c r="CB295" s="82"/>
      <c r="CC295" s="82"/>
      <c r="CD295" s="82"/>
      <c r="CE295" s="82"/>
      <c r="CF295" s="82"/>
      <c r="CG295" s="82"/>
      <c r="CH295" s="82"/>
      <c r="CI295" s="82"/>
      <c r="CJ295" s="82"/>
      <c r="CK295" s="82"/>
      <c r="CL295" s="82"/>
      <c r="CM295" s="82"/>
      <c r="CN295" s="82"/>
      <c r="CO295" s="82"/>
      <c r="CP295" s="82"/>
      <c r="CQ295" s="82"/>
      <c r="CR295" s="82"/>
      <c r="CS295" s="82"/>
      <c r="CT295" s="82"/>
      <c r="CU295" s="82"/>
      <c r="CV295" s="82"/>
      <c r="CW295" s="82"/>
      <c r="CX295" s="82"/>
      <c r="CY295" s="82"/>
      <c r="CZ295" s="82"/>
      <c r="DA295" s="82"/>
      <c r="DB295" s="82"/>
      <c r="DC295" s="82"/>
      <c r="DD295" s="82"/>
      <c r="DE295" s="82"/>
      <c r="DF295" s="82"/>
      <c r="DG295" s="82"/>
      <c r="DH295" s="82"/>
      <c r="DI295" s="82"/>
      <c r="DJ295" s="82"/>
      <c r="DK295" s="82"/>
      <c r="DL295" s="82"/>
      <c r="DM295" s="82"/>
      <c r="DN295" s="82"/>
      <c r="DO295" s="82"/>
      <c r="DP295" s="82"/>
      <c r="DQ295" s="82"/>
      <c r="DR295" s="82"/>
      <c r="DS295" s="82"/>
      <c r="DT295" s="82"/>
      <c r="DU295" s="82"/>
      <c r="DV295" s="82"/>
      <c r="DW295" s="82"/>
      <c r="DX295" s="82"/>
      <c r="DY295" s="82"/>
      <c r="DZ295" s="82"/>
      <c r="EA295" s="82"/>
      <c r="EB295" s="82"/>
      <c r="EC295" s="82"/>
      <c r="ED295" s="82"/>
      <c r="EE295" s="82"/>
      <c r="EF295" s="82"/>
      <c r="EG295" s="82"/>
      <c r="EH295" s="82"/>
      <c r="EI295" s="82"/>
      <c r="EJ295" s="82"/>
      <c r="EK295" s="82"/>
      <c r="EL295" s="82"/>
      <c r="EM295" s="82"/>
      <c r="EN295" s="82"/>
      <c r="EO295" s="82"/>
      <c r="EP295" s="214"/>
      <c r="EQ295" s="82"/>
      <c r="ER295" s="82"/>
      <c r="ES295" s="82"/>
      <c r="ET295" s="82"/>
      <c r="EU295" s="82"/>
      <c r="EV295" s="82"/>
      <c r="EW295" s="82"/>
      <c r="EX295" s="82"/>
      <c r="EY295" s="82"/>
      <c r="EZ295" s="82"/>
      <c r="FA295" s="82"/>
      <c r="FB295" s="82"/>
      <c r="FC295" s="82"/>
      <c r="FD295" s="82"/>
      <c r="FE295" s="82"/>
      <c r="FF295" s="82"/>
      <c r="FG295" s="82"/>
      <c r="FH295" s="82"/>
      <c r="FI295" s="82"/>
      <c r="FJ295" s="82"/>
      <c r="FK295" s="82"/>
      <c r="FL295" s="82"/>
      <c r="FM295" s="82"/>
      <c r="FN295" s="82"/>
      <c r="FO295" s="82"/>
      <c r="FP295" s="82"/>
      <c r="FQ295" s="82"/>
      <c r="FR295" s="82"/>
      <c r="FS295" s="82"/>
      <c r="FT295" s="82"/>
      <c r="FU295" s="82"/>
      <c r="FV295" s="82"/>
      <c r="FW295" s="82"/>
      <c r="FX295" s="82"/>
      <c r="FY295" s="82"/>
      <c r="FZ295" s="82"/>
      <c r="GA295" s="82"/>
      <c r="GB295" s="82"/>
      <c r="GC295" s="82"/>
      <c r="GD295" s="82"/>
      <c r="GE295" s="82"/>
      <c r="GF295" s="82"/>
      <c r="GG295" s="82"/>
      <c r="GH295" s="82"/>
      <c r="GI295" s="82"/>
      <c r="GJ295" s="82"/>
      <c r="GK295" s="82"/>
      <c r="GL295" s="82"/>
      <c r="GM295" s="82"/>
      <c r="GN295" s="82"/>
      <c r="GO295" s="82"/>
      <c r="GP295" s="82"/>
      <c r="GQ295" s="82"/>
      <c r="GR295" s="82"/>
      <c r="GS295" s="82"/>
      <c r="GT295" s="82"/>
      <c r="GU295" s="82"/>
      <c r="GV295" s="82"/>
      <c r="GW295" s="82"/>
      <c r="GX295" s="82"/>
      <c r="GY295" s="82"/>
      <c r="GZ295" s="82"/>
      <c r="HA295" s="82"/>
      <c r="HB295" s="82"/>
      <c r="HC295" s="82"/>
      <c r="HD295" s="82"/>
      <c r="HE295" s="82"/>
      <c r="HF295" s="82"/>
      <c r="HG295" s="82"/>
      <c r="HH295" s="82"/>
      <c r="HI295" s="82"/>
      <c r="HJ295" s="82"/>
      <c r="HK295" s="82"/>
      <c r="HL295" s="82"/>
      <c r="HM295" s="82"/>
      <c r="HN295" s="82"/>
      <c r="HO295" s="82"/>
      <c r="HP295" s="82"/>
      <c r="HQ295" s="82"/>
      <c r="HR295" s="82"/>
      <c r="HS295" s="82"/>
      <c r="HT295" s="82"/>
      <c r="HU295" s="82"/>
      <c r="HV295" s="82"/>
      <c r="HW295" s="82"/>
      <c r="HX295" s="82"/>
      <c r="HY295" s="82"/>
      <c r="HZ295" s="82"/>
      <c r="IA295" s="82"/>
      <c r="IB295" s="82"/>
      <c r="IC295" s="82"/>
      <c r="ID295" s="82"/>
      <c r="IE295" s="82"/>
      <c r="IF295" s="82"/>
      <c r="IG295" s="82"/>
      <c r="IH295" s="82"/>
      <c r="II295" s="82"/>
      <c r="IJ295" s="82"/>
      <c r="IK295" s="82"/>
      <c r="IL295" s="82"/>
      <c r="IM295" s="82"/>
      <c r="IN295" s="82"/>
      <c r="IO295" s="82"/>
      <c r="IP295" s="82"/>
      <c r="IQ295" s="82"/>
      <c r="IR295" s="82"/>
      <c r="IS295" s="82"/>
      <c r="IT295" s="82"/>
      <c r="IU295" s="82"/>
      <c r="IV295" s="82"/>
      <c r="IW295" s="82"/>
      <c r="IX295" s="82"/>
      <c r="IY295" s="82"/>
      <c r="IZ295" s="82"/>
      <c r="JA295" s="82"/>
      <c r="JB295" s="82"/>
      <c r="JC295" s="82"/>
      <c r="JD295" s="82"/>
      <c r="JE295" s="82"/>
      <c r="JF295" s="82"/>
      <c r="JG295" s="82"/>
      <c r="JH295" s="82"/>
      <c r="JI295" s="82"/>
      <c r="JJ295" s="82"/>
      <c r="JK295" s="82"/>
      <c r="JL295" s="82"/>
      <c r="JM295" s="82"/>
      <c r="JN295" s="82"/>
      <c r="JO295" s="82"/>
      <c r="JP295" s="82"/>
      <c r="JQ295" s="82"/>
      <c r="JR295" s="82"/>
      <c r="JS295" s="82"/>
      <c r="JT295" s="82"/>
      <c r="JU295" s="82"/>
      <c r="JV295" s="82"/>
      <c r="JW295" s="82"/>
      <c r="JX295" s="82"/>
      <c r="JZ295" s="263"/>
      <c r="KA295" s="263"/>
      <c r="KB295" s="263"/>
      <c r="KC295" s="263"/>
      <c r="KD295" s="263"/>
      <c r="KE295" s="263"/>
      <c r="KF295" s="263"/>
      <c r="KG295" s="263"/>
      <c r="KH295" s="263"/>
      <c r="KI295" s="263"/>
      <c r="KJ295" s="263"/>
      <c r="KK295" s="263"/>
      <c r="KL295" s="263"/>
      <c r="KM295" s="263"/>
      <c r="KN295" s="263"/>
      <c r="KO295" s="263"/>
      <c r="KP295" s="263"/>
      <c r="KQ295" s="263"/>
      <c r="KR295" s="263"/>
      <c r="KS295" s="263"/>
      <c r="KT295" s="263"/>
      <c r="KU295" s="263"/>
      <c r="KV295" s="263"/>
      <c r="KW295" s="263"/>
      <c r="KX295" s="263"/>
      <c r="KY295" s="263"/>
      <c r="KZ295" s="263"/>
      <c r="LA295" s="263"/>
      <c r="LB295" s="263"/>
      <c r="LC295" s="263"/>
      <c r="LD295" s="263"/>
      <c r="LE295" s="263"/>
      <c r="LF295" s="263"/>
      <c r="LG295" s="263"/>
      <c r="LH295" s="263"/>
      <c r="LI295" s="263"/>
      <c r="LJ295" s="263"/>
      <c r="LK295" s="263"/>
      <c r="LL295" s="263"/>
      <c r="LM295" s="263"/>
      <c r="LN295" s="263"/>
      <c r="LO295" s="263"/>
      <c r="LP295" s="263"/>
      <c r="LQ295" s="263"/>
      <c r="LR295" s="263"/>
      <c r="LS295" s="263"/>
      <c r="LT295" s="263"/>
      <c r="LU295" s="263"/>
      <c r="LV295" s="263"/>
      <c r="LW295" s="263"/>
      <c r="LX295" s="263"/>
      <c r="LY295" s="263"/>
      <c r="LZ295" s="263"/>
      <c r="MA295" s="263"/>
      <c r="MB295" s="263"/>
      <c r="MC295" s="263"/>
      <c r="MD295" s="263"/>
      <c r="ME295" s="263"/>
      <c r="MF295" s="263"/>
      <c r="MG295" s="263"/>
      <c r="MH295" s="263"/>
      <c r="MI295" s="263"/>
      <c r="MJ295" s="263"/>
      <c r="MK295" s="263"/>
      <c r="ML295" s="263"/>
      <c r="MM295" s="263"/>
      <c r="MN295" s="263"/>
      <c r="MO295" s="263"/>
      <c r="MP295" s="263"/>
      <c r="MQ295" s="263"/>
      <c r="MR295" s="263"/>
      <c r="MS295" s="263"/>
      <c r="MT295" s="263"/>
      <c r="MU295" s="263"/>
      <c r="MV295" s="263"/>
      <c r="MW295" s="263"/>
      <c r="MX295" s="263"/>
      <c r="MY295" s="263"/>
      <c r="MZ295" s="263"/>
      <c r="NA295" s="263"/>
      <c r="NB295" s="263"/>
      <c r="NC295" s="263"/>
      <c r="ND295" s="263"/>
      <c r="NE295" s="263"/>
      <c r="NF295" s="263"/>
      <c r="NG295" s="263"/>
      <c r="NH295" s="263"/>
      <c r="NI295" s="263"/>
      <c r="NJ295" s="263"/>
      <c r="NK295" s="263"/>
      <c r="NL295" s="263"/>
      <c r="NM295" s="263"/>
      <c r="NN295" s="263"/>
      <c r="NO295" s="263"/>
      <c r="NP295" s="263"/>
      <c r="NQ295" s="263"/>
      <c r="NR295" s="263"/>
      <c r="NS295" s="263"/>
      <c r="NT295" s="263"/>
      <c r="NU295" s="263"/>
      <c r="NV295" s="263"/>
      <c r="NW295" s="263"/>
      <c r="NX295" s="263"/>
      <c r="NY295" s="263"/>
      <c r="NZ295" s="263"/>
      <c r="OA295" s="263"/>
      <c r="OB295" s="263"/>
      <c r="OC295" s="263"/>
      <c r="OD295" s="263"/>
      <c r="OE295" s="263"/>
      <c r="OF295" s="263"/>
      <c r="OG295" s="263"/>
      <c r="OH295" s="263"/>
      <c r="OI295" s="263"/>
      <c r="OJ295" s="263"/>
      <c r="OK295" s="263"/>
      <c r="OL295" s="263"/>
      <c r="OM295" s="263"/>
      <c r="ON295" s="263"/>
      <c r="OO295" s="263"/>
      <c r="OP295" s="263"/>
      <c r="OQ295" s="263"/>
      <c r="OR295" s="263"/>
      <c r="OS295" s="263"/>
      <c r="OT295" s="263"/>
      <c r="OU295" s="263"/>
      <c r="OV295" s="263"/>
      <c r="OW295" s="263"/>
      <c r="OX295" s="263"/>
      <c r="OY295" s="263"/>
      <c r="OZ295" s="263"/>
      <c r="PA295" s="263"/>
      <c r="PB295" s="263"/>
      <c r="PC295" s="263"/>
      <c r="PD295" s="263"/>
      <c r="PE295" s="263"/>
      <c r="PF295" s="263"/>
      <c r="PG295" s="263"/>
      <c r="PH295" s="263"/>
    </row>
    <row r="296">
      <c r="B296" s="82"/>
      <c r="C296" s="82"/>
      <c r="D296" s="82"/>
      <c r="E296" s="82"/>
      <c r="F296" s="82"/>
      <c r="G296" s="82"/>
      <c r="H296" s="82"/>
      <c r="I296" s="82"/>
      <c r="J296" s="82"/>
      <c r="K296" s="82"/>
      <c r="L296" s="82"/>
      <c r="M296" s="82"/>
      <c r="N296" s="82"/>
      <c r="O296" s="82"/>
      <c r="P296" s="82"/>
      <c r="Q296" s="82"/>
      <c r="R296" s="82"/>
      <c r="S296" s="82"/>
      <c r="T296" s="82"/>
      <c r="U296" s="82"/>
      <c r="V296" s="82"/>
      <c r="W296" s="82"/>
      <c r="X296" s="82"/>
      <c r="Y296" s="82"/>
      <c r="Z296" s="82"/>
      <c r="AA296" s="82"/>
      <c r="AB296" s="82"/>
      <c r="AC296" s="82"/>
      <c r="AD296" s="82"/>
      <c r="AE296" s="82"/>
      <c r="AF296" s="82"/>
      <c r="AG296" s="82"/>
      <c r="AH296" s="82"/>
      <c r="AI296" s="82"/>
      <c r="AJ296" s="82"/>
      <c r="AK296" s="82"/>
      <c r="AL296" s="82"/>
      <c r="AM296" s="82"/>
      <c r="AN296" s="82"/>
      <c r="AO296" s="82"/>
      <c r="AP296" s="82"/>
      <c r="AQ296" s="82"/>
      <c r="AR296" s="82"/>
      <c r="AS296" s="82"/>
      <c r="AT296" s="82"/>
      <c r="AU296" s="82"/>
      <c r="AV296" s="82"/>
      <c r="AW296" s="82"/>
      <c r="AX296" s="82"/>
      <c r="AY296" s="82"/>
      <c r="AZ296" s="82"/>
      <c r="BA296" s="82"/>
      <c r="BB296" s="82"/>
      <c r="BC296" s="82"/>
      <c r="BD296" s="82"/>
      <c r="BE296" s="82"/>
      <c r="BF296" s="82"/>
      <c r="BG296" s="82"/>
      <c r="BH296" s="82"/>
      <c r="BI296" s="82"/>
      <c r="BJ296" s="82"/>
      <c r="BK296" s="82"/>
      <c r="BL296" s="82"/>
      <c r="BM296" s="82"/>
      <c r="BN296" s="82"/>
      <c r="BO296" s="82"/>
      <c r="BP296" s="82"/>
      <c r="BQ296" s="82"/>
      <c r="BR296" s="82"/>
      <c r="BS296" s="82"/>
      <c r="BT296" s="82"/>
      <c r="BU296" s="82"/>
      <c r="BV296" s="82"/>
      <c r="BW296" s="82"/>
      <c r="BX296" s="82"/>
      <c r="BY296" s="82"/>
      <c r="BZ296" s="82"/>
      <c r="CA296" s="82"/>
      <c r="CB296" s="82"/>
      <c r="CC296" s="82"/>
      <c r="CD296" s="82"/>
      <c r="CE296" s="82"/>
      <c r="CF296" s="82"/>
      <c r="CG296" s="82"/>
      <c r="CH296" s="82"/>
      <c r="CI296" s="82"/>
      <c r="CJ296" s="82"/>
      <c r="CK296" s="82"/>
      <c r="CL296" s="82"/>
      <c r="CM296" s="82"/>
      <c r="CN296" s="82"/>
      <c r="CO296" s="82"/>
      <c r="CP296" s="82"/>
      <c r="CQ296" s="82"/>
      <c r="CR296" s="82"/>
      <c r="CS296" s="82"/>
      <c r="CT296" s="82"/>
      <c r="CU296" s="82"/>
      <c r="CV296" s="82"/>
      <c r="CW296" s="82"/>
      <c r="CX296" s="82"/>
      <c r="CY296" s="82"/>
      <c r="CZ296" s="82"/>
      <c r="DA296" s="82"/>
      <c r="DB296" s="82"/>
      <c r="DC296" s="82"/>
      <c r="DD296" s="82"/>
      <c r="DE296" s="82"/>
      <c r="DF296" s="82"/>
      <c r="DG296" s="82"/>
      <c r="DH296" s="82"/>
      <c r="DI296" s="82"/>
      <c r="DJ296" s="82"/>
      <c r="DK296" s="82"/>
      <c r="DL296" s="82"/>
      <c r="DM296" s="82"/>
      <c r="DN296" s="82"/>
      <c r="DO296" s="82"/>
      <c r="DP296" s="82"/>
      <c r="DQ296" s="82"/>
      <c r="DR296" s="82"/>
      <c r="DS296" s="82"/>
      <c r="DT296" s="82"/>
      <c r="DU296" s="82"/>
      <c r="DV296" s="82"/>
      <c r="DW296" s="82"/>
      <c r="DX296" s="82"/>
      <c r="DY296" s="82"/>
      <c r="DZ296" s="82"/>
      <c r="EA296" s="82"/>
      <c r="EB296" s="82"/>
      <c r="EC296" s="82"/>
      <c r="ED296" s="82"/>
      <c r="EE296" s="82"/>
      <c r="EF296" s="82"/>
      <c r="EG296" s="82"/>
      <c r="EH296" s="82"/>
      <c r="EI296" s="82"/>
      <c r="EJ296" s="82"/>
      <c r="EK296" s="82"/>
      <c r="EL296" s="82"/>
      <c r="EM296" s="82"/>
      <c r="EN296" s="82"/>
      <c r="EO296" s="82"/>
      <c r="EP296" s="214"/>
      <c r="EQ296" s="82"/>
      <c r="ER296" s="82"/>
      <c r="ES296" s="82"/>
      <c r="ET296" s="82"/>
      <c r="EU296" s="82"/>
      <c r="EV296" s="82"/>
      <c r="EW296" s="82"/>
      <c r="EX296" s="82"/>
      <c r="EY296" s="82"/>
      <c r="EZ296" s="82"/>
      <c r="FA296" s="82"/>
      <c r="FB296" s="82"/>
      <c r="FC296" s="82"/>
      <c r="FD296" s="82"/>
      <c r="FE296" s="82"/>
      <c r="FF296" s="82"/>
      <c r="FG296" s="82"/>
      <c r="FH296" s="82"/>
      <c r="FI296" s="82"/>
      <c r="FJ296" s="82"/>
      <c r="FK296" s="82"/>
      <c r="FL296" s="82"/>
      <c r="FM296" s="82"/>
      <c r="FN296" s="82"/>
      <c r="FO296" s="82"/>
      <c r="FP296" s="82"/>
      <c r="FQ296" s="82"/>
      <c r="FR296" s="82"/>
      <c r="FS296" s="82"/>
      <c r="FT296" s="82"/>
      <c r="FU296" s="82"/>
      <c r="FV296" s="82"/>
      <c r="FW296" s="82"/>
      <c r="FX296" s="82"/>
      <c r="FY296" s="82"/>
      <c r="FZ296" s="82"/>
      <c r="GA296" s="82"/>
      <c r="GB296" s="82"/>
      <c r="GC296" s="82"/>
      <c r="GD296" s="82"/>
      <c r="GE296" s="82"/>
      <c r="GF296" s="82"/>
      <c r="GG296" s="82"/>
      <c r="GH296" s="82"/>
      <c r="GI296" s="82"/>
      <c r="GJ296" s="82"/>
      <c r="GK296" s="82"/>
      <c r="GL296" s="82"/>
      <c r="GM296" s="82"/>
      <c r="GN296" s="82"/>
      <c r="GO296" s="82"/>
      <c r="GP296" s="82"/>
      <c r="GQ296" s="82"/>
      <c r="GR296" s="82"/>
      <c r="GS296" s="82"/>
      <c r="GT296" s="82"/>
      <c r="GU296" s="82"/>
      <c r="GV296" s="82"/>
      <c r="GW296" s="82"/>
      <c r="GX296" s="82"/>
      <c r="GY296" s="82"/>
      <c r="GZ296" s="82"/>
      <c r="HA296" s="82"/>
      <c r="HB296" s="82"/>
      <c r="HC296" s="82"/>
      <c r="HD296" s="82"/>
      <c r="HE296" s="82"/>
      <c r="HF296" s="82"/>
      <c r="HG296" s="82"/>
      <c r="HH296" s="82"/>
      <c r="HI296" s="82"/>
      <c r="HJ296" s="82"/>
      <c r="HK296" s="82"/>
      <c r="HL296" s="82"/>
      <c r="HM296" s="82"/>
      <c r="HN296" s="82"/>
      <c r="HO296" s="82"/>
      <c r="HP296" s="82"/>
      <c r="HQ296" s="82"/>
      <c r="HR296" s="82"/>
      <c r="HS296" s="82"/>
      <c r="HT296" s="82"/>
      <c r="HU296" s="82"/>
      <c r="HV296" s="82"/>
      <c r="HW296" s="82"/>
      <c r="HX296" s="82"/>
      <c r="HY296" s="82"/>
      <c r="HZ296" s="82"/>
      <c r="IA296" s="82"/>
      <c r="IB296" s="82"/>
      <c r="IC296" s="82"/>
      <c r="ID296" s="82"/>
      <c r="IE296" s="82"/>
      <c r="IF296" s="82"/>
      <c r="IG296" s="82"/>
      <c r="IH296" s="82"/>
      <c r="II296" s="82"/>
      <c r="IJ296" s="82"/>
      <c r="IK296" s="82"/>
      <c r="IL296" s="82"/>
      <c r="IM296" s="82"/>
      <c r="IN296" s="82"/>
      <c r="IO296" s="82"/>
      <c r="IP296" s="82"/>
      <c r="IQ296" s="82"/>
      <c r="IR296" s="82"/>
      <c r="IS296" s="82"/>
      <c r="IT296" s="82"/>
      <c r="IU296" s="82"/>
      <c r="IV296" s="82"/>
      <c r="IW296" s="82"/>
      <c r="IX296" s="82"/>
      <c r="IY296" s="82"/>
      <c r="IZ296" s="82"/>
      <c r="JA296" s="82"/>
      <c r="JB296" s="82"/>
      <c r="JC296" s="82"/>
      <c r="JD296" s="82"/>
      <c r="JE296" s="82"/>
      <c r="JF296" s="82"/>
      <c r="JG296" s="82"/>
      <c r="JH296" s="82"/>
      <c r="JI296" s="82"/>
      <c r="JJ296" s="82"/>
      <c r="JK296" s="82"/>
      <c r="JL296" s="82"/>
      <c r="JM296" s="82"/>
      <c r="JN296" s="82"/>
      <c r="JO296" s="82"/>
      <c r="JP296" s="82"/>
      <c r="JQ296" s="82"/>
      <c r="JR296" s="82"/>
      <c r="JS296" s="82"/>
      <c r="JT296" s="82"/>
      <c r="JU296" s="82"/>
      <c r="JV296" s="82"/>
      <c r="JW296" s="82"/>
      <c r="JX296" s="82"/>
      <c r="JZ296" s="263"/>
      <c r="KA296" s="263"/>
      <c r="KB296" s="263"/>
      <c r="KC296" s="263"/>
      <c r="KD296" s="263"/>
      <c r="KE296" s="263"/>
      <c r="KF296" s="263"/>
      <c r="KG296" s="263"/>
      <c r="KH296" s="263"/>
      <c r="KI296" s="263"/>
      <c r="KJ296" s="263"/>
      <c r="KK296" s="263"/>
      <c r="KL296" s="263"/>
      <c r="KM296" s="263"/>
      <c r="KN296" s="263"/>
      <c r="KO296" s="263"/>
      <c r="KP296" s="263"/>
      <c r="KQ296" s="263"/>
      <c r="KR296" s="263"/>
      <c r="KS296" s="263"/>
      <c r="KT296" s="263"/>
      <c r="KU296" s="263"/>
      <c r="KV296" s="263"/>
      <c r="KW296" s="263"/>
      <c r="KX296" s="263"/>
      <c r="KY296" s="263"/>
      <c r="KZ296" s="263"/>
      <c r="LA296" s="263"/>
      <c r="LB296" s="263"/>
      <c r="LC296" s="263"/>
      <c r="LD296" s="263"/>
      <c r="LE296" s="263"/>
      <c r="LF296" s="263"/>
      <c r="LG296" s="263"/>
      <c r="LH296" s="263"/>
      <c r="LI296" s="263"/>
      <c r="LJ296" s="263"/>
      <c r="LK296" s="263"/>
      <c r="LL296" s="263"/>
      <c r="LM296" s="263"/>
      <c r="LN296" s="263"/>
      <c r="LO296" s="263"/>
      <c r="LP296" s="263"/>
      <c r="LQ296" s="263"/>
      <c r="LR296" s="263"/>
      <c r="LS296" s="263"/>
      <c r="LT296" s="263"/>
      <c r="LU296" s="263"/>
      <c r="LV296" s="263"/>
      <c r="LW296" s="263"/>
      <c r="LX296" s="263"/>
      <c r="LY296" s="263"/>
      <c r="LZ296" s="263"/>
      <c r="MA296" s="263"/>
      <c r="MB296" s="263"/>
      <c r="MC296" s="263"/>
      <c r="MD296" s="263"/>
      <c r="ME296" s="263"/>
      <c r="MF296" s="263"/>
      <c r="MG296" s="263"/>
      <c r="MH296" s="263"/>
      <c r="MI296" s="263"/>
      <c r="MJ296" s="263"/>
      <c r="MK296" s="263"/>
      <c r="ML296" s="263"/>
      <c r="MM296" s="263"/>
      <c r="MN296" s="263"/>
      <c r="MO296" s="263"/>
      <c r="MP296" s="263"/>
      <c r="MQ296" s="263"/>
      <c r="MR296" s="263"/>
      <c r="MS296" s="263"/>
      <c r="MT296" s="263"/>
      <c r="MU296" s="263"/>
      <c r="MV296" s="263"/>
      <c r="MW296" s="263"/>
      <c r="MX296" s="263"/>
      <c r="MY296" s="263"/>
      <c r="MZ296" s="263"/>
      <c r="NA296" s="263"/>
      <c r="NB296" s="263"/>
      <c r="NC296" s="263"/>
      <c r="ND296" s="263"/>
      <c r="NE296" s="263"/>
      <c r="NF296" s="263"/>
      <c r="NG296" s="263"/>
      <c r="NH296" s="263"/>
      <c r="NI296" s="263"/>
      <c r="NJ296" s="263"/>
      <c r="NK296" s="263"/>
      <c r="NL296" s="263"/>
      <c r="NM296" s="263"/>
      <c r="NN296" s="263"/>
      <c r="NO296" s="263"/>
      <c r="NP296" s="263"/>
      <c r="NQ296" s="263"/>
      <c r="NR296" s="263"/>
      <c r="NS296" s="263"/>
      <c r="NT296" s="263"/>
      <c r="NU296" s="263"/>
      <c r="NV296" s="263"/>
      <c r="NW296" s="263"/>
      <c r="NX296" s="263"/>
      <c r="NY296" s="263"/>
      <c r="NZ296" s="263"/>
      <c r="OA296" s="263"/>
      <c r="OB296" s="263"/>
      <c r="OC296" s="263"/>
      <c r="OD296" s="263"/>
      <c r="OE296" s="263"/>
      <c r="OF296" s="263"/>
      <c r="OG296" s="263"/>
      <c r="OH296" s="263"/>
      <c r="OI296" s="263"/>
      <c r="OJ296" s="263"/>
      <c r="OK296" s="263"/>
      <c r="OL296" s="263"/>
      <c r="OM296" s="263"/>
      <c r="ON296" s="263"/>
      <c r="OO296" s="263"/>
      <c r="OP296" s="263"/>
      <c r="OQ296" s="263"/>
      <c r="OR296" s="263"/>
      <c r="OS296" s="263"/>
      <c r="OT296" s="263"/>
      <c r="OU296" s="263"/>
      <c r="OV296" s="263"/>
      <c r="OW296" s="263"/>
      <c r="OX296" s="263"/>
      <c r="OY296" s="263"/>
      <c r="OZ296" s="263"/>
      <c r="PA296" s="263"/>
      <c r="PB296" s="263"/>
      <c r="PC296" s="263"/>
      <c r="PD296" s="263"/>
      <c r="PE296" s="263"/>
      <c r="PF296" s="263"/>
      <c r="PG296" s="263"/>
      <c r="PH296" s="263"/>
    </row>
  </sheetData>
  <mergeCells>
    <mergeCell ref="D2:G2"/>
    <mergeCell ref="D15:E15"/>
  </mergeCells>
  <conditionalFormatting sqref="J23:K57">
    <cfRule type="expression" dxfId="37" priority="91">
      <formula>J23="Incomplete"</formula>
    </cfRule>
  </conditionalFormatting>
  <conditionalFormatting sqref="B220:B220">
    <cfRule type="expression" dxfId="36" priority="57">
      <formula>Dbl_Promote?=1</formula>
    </cfRule>
  </conditionalFormatting>
  <conditionalFormatting sqref="C220:C220">
    <cfRule type="expression" dxfId="35" priority="56">
      <formula>Dbl_Promote?=1</formula>
    </cfRule>
  </conditionalFormatting>
  <conditionalFormatting sqref="I220:I220">
    <cfRule type="expression" dxfId="34" priority="55">
      <formula>$G$220="No"</formula>
    </cfRule>
  </conditionalFormatting>
  <conditionalFormatting sqref="E248:F251">
    <cfRule type="expression" dxfId="33" priority="50">
      <formula>$G$220="No"</formula>
    </cfRule>
  </conditionalFormatting>
  <conditionalFormatting sqref="EN5:EN5">
    <cfRule type="expression" dxfId="32" priority="47">
      <formula>Show_Calc?</formula>
    </cfRule>
  </conditionalFormatting>
  <conditionalFormatting sqref="EM5:EM5">
    <cfRule type="expression" dxfId="31" priority="46">
      <formula>Show_Calc?</formula>
    </cfRule>
  </conditionalFormatting>
  <conditionalFormatting sqref="D2:D2">
    <cfRule type="expression" dxfId="30" priority="92">
      <formula>$D$2="CLICK TO RECALCULATE"</formula>
    </cfRule>
  </conditionalFormatting>
  <conditionalFormatting sqref="L27:EN47">
    <cfRule type="expression" dxfId="29" priority="44">
      <formula>$F27="Detail"</formula>
    </cfRule>
  </conditionalFormatting>
  <conditionalFormatting sqref="K86:K87">
    <cfRule type="expression" dxfId="28" priority="43">
      <formula>K86="Err"</formula>
    </cfRule>
  </conditionalFormatting>
  <conditionalFormatting sqref="K194:K195">
    <cfRule type="expression" dxfId="27" priority="42">
      <formula>K194="Err"</formula>
    </cfRule>
  </conditionalFormatting>
  <conditionalFormatting sqref="J86:J87">
    <cfRule type="expression" dxfId="26" priority="39">
      <formula>J86="Err"</formula>
    </cfRule>
  </conditionalFormatting>
  <conditionalFormatting sqref="J194:J195">
    <cfRule type="expression" dxfId="25" priority="38">
      <formula>J194="Err"</formula>
    </cfRule>
  </conditionalFormatting>
  <conditionalFormatting sqref="I89:I90">
    <cfRule type="expression" dxfId="24" priority="35">
      <formula>LeaseUp_Method=1</formula>
    </cfRule>
  </conditionalFormatting>
  <conditionalFormatting sqref="D67:D67">
    <cfRule type="expression" dxfId="23" priority="31">
      <formula>Fixed_Variable=1</formula>
    </cfRule>
  </conditionalFormatting>
  <conditionalFormatting sqref="E67:E67">
    <cfRule type="expression" dxfId="22" priority="30">
      <formula>Fixed_Variable=1</formula>
    </cfRule>
  </conditionalFormatting>
  <conditionalFormatting sqref="L65:EN65">
    <cfRule type="expression" dxfId="21" priority="28">
      <formula>Fixed_Variable=1</formula>
    </cfRule>
  </conditionalFormatting>
  <conditionalFormatting sqref="I88:I88">
    <cfRule type="expression" dxfId="20" priority="21">
      <formula>LeaseUp_Method=1</formula>
    </cfRule>
  </conditionalFormatting>
  <conditionalFormatting sqref="E65:E65">
    <cfRule type="expression" dxfId="19" priority="20">
      <formula>Fixed_Variable=1</formula>
    </cfRule>
  </conditionalFormatting>
  <conditionalFormatting sqref="E66:E66">
    <cfRule type="expression" dxfId="18" priority="19">
      <formula>Fixed_Variable=1</formula>
    </cfRule>
  </conditionalFormatting>
  <conditionalFormatting sqref="L66:EN66">
    <cfRule type="expression" dxfId="17" priority="18">
      <formula>Fixed_Variable=1</formula>
    </cfRule>
  </conditionalFormatting>
  <conditionalFormatting sqref="L59:L59">
    <cfRule type="expression" dxfId="16" priority="17">
      <formula>$C$66=0</formula>
    </cfRule>
  </conditionalFormatting>
  <conditionalFormatting sqref="K61:EN62">
    <cfRule type="expression" dxfId="15" priority="16">
      <formula>$C$66=0</formula>
    </cfRule>
  </conditionalFormatting>
  <conditionalFormatting sqref="L60:L60">
    <cfRule type="expression" dxfId="14" priority="15">
      <formula>$C$66=0</formula>
    </cfRule>
  </conditionalFormatting>
  <conditionalFormatting sqref="H78:H78">
    <cfRule type="expression" dxfId="13" priority="14">
      <formula>Perm_Debt?=1</formula>
    </cfRule>
  </conditionalFormatting>
  <conditionalFormatting sqref="I78:I78">
    <cfRule type="expression" dxfId="12" priority="13">
      <formula>Perm_Debt?=1</formula>
    </cfRule>
  </conditionalFormatting>
  <conditionalFormatting sqref="G81:G81">
    <cfRule type="expression" dxfId="11" priority="12">
      <formula>$F$81="Yes"</formula>
    </cfRule>
  </conditionalFormatting>
  <conditionalFormatting sqref="L156:EN156">
    <cfRule type="expression" dxfId="10" priority="11">
      <formula>$F$160="Detail"</formula>
    </cfRule>
  </conditionalFormatting>
  <conditionalFormatting sqref="I221:I221">
    <cfRule type="expression" dxfId="9" priority="9">
      <formula>$G$231="No"</formula>
    </cfRule>
  </conditionalFormatting>
  <conditionalFormatting sqref="M174:P174">
    <cfRule type="cellIs" dxfId="8" priority="7" operator="equal">
      <formula>"Error"</formula>
    </cfRule>
  </conditionalFormatting>
  <conditionalFormatting sqref="V174:V174">
    <cfRule type="cellIs" dxfId="7" priority="6" operator="equal">
      <formula>"Error"</formula>
    </cfRule>
  </conditionalFormatting>
  <conditionalFormatting sqref="W174:W174">
    <cfRule type="cellIs" dxfId="6" priority="5" operator="equal">
      <formula>"Error"</formula>
    </cfRule>
  </conditionalFormatting>
  <conditionalFormatting sqref="K160:W174">
    <cfRule type="expression" dxfId="5" priority="4">
      <formula>$F$160="No"</formula>
    </cfRule>
  </conditionalFormatting>
  <conditionalFormatting sqref="G161:I162">
    <cfRule type="expression" dxfId="4" priority="2">
      <formula>$F$160="Yes"</formula>
    </cfRule>
  </conditionalFormatting>
  <conditionalFormatting sqref="C233:D233">
    <cfRule type="expression" dxfId="3" priority="1">
      <formula>$H$233&gt;=$H$228</formula>
    </cfRule>
  </conditionalFormatting>
  <dataValidations count="16">
    <dataValidation type="list" allowBlank="1" showInputMessage="1" showErrorMessage="1" sqref="F38:F40 F47 F32:F33">
      <formula1>"Straight-Line, S-Curve, Detail"</formula1>
    </dataValidation>
    <dataValidation type="list" allowBlank="1" showInputMessage="1" showErrorMessage="1" sqref="F53">
      <formula1>"Straight-Line"</formula1>
    </dataValidation>
    <dataValidation type="list" allowBlank="1" showInputMessage="1" showErrorMessage="1" sqref="G220 D233">
      <formula1>"Yes,No"</formula1>
    </dataValidation>
    <dataValidation type="list" allowBlank="1" showInputMessage="1" showErrorMessage="1" sqref="C271 I270 E279:F279 I279">
      <formula1>$EN$270:$EN$277</formula1>
    </dataValidation>
    <dataValidation type="list" allowBlank="1" showInputMessage="1" showErrorMessage="1" sqref="I8">
      <formula1>"SF, M2"</formula1>
    </dataValidation>
    <dataValidation type="list" allowBlank="1" showInputMessage="1" showErrorMessage="1" sqref="F34:F37 F41:F46 F27:F30">
      <formula1>"Straight-Line, S-Curve, Steady Growth, Steady Decline, Detail"</formula1>
    </dataValidation>
    <dataValidation type="list" allowBlank="1" showInputMessage="1" showErrorMessage="1" sqref="D65">
      <formula1>"One"</formula1>
    </dataValidation>
    <dataValidation type="list" allowBlank="1" showInputMessage="1" showErrorMessage="1" sqref="D66">
      <formula1>"One, Two"</formula1>
    </dataValidation>
    <dataValidation type="whole" allowBlank="1" showInputMessage="1" showErrorMessage="1" errorTitle="Invalid Entry" error="Perm. Debt Loan Funding cannot occur any sooner than 1 month following construction end." sqref="C82">
      <formula1>E57+1</formula1>
      <formula2>Timing_Analysis_End_Month</formula2>
    </dataValidation>
    <dataValidation type="list" allowBlank="1" showInputMessage="1" showErrorMessage="1" sqref="F81 F160">
      <formula1>"Yes, No"</formula1>
    </dataValidation>
    <dataValidation type="list" allowBlank="1" showInputMessage="1" showErrorMessage="1" sqref="E16">
      <formula1>"Speculative, Build-to-Suit"</formula1>
    </dataValidation>
    <dataValidation type="list" allowBlank="1" showInputMessage="1" showErrorMessage="1" sqref="D15">
      <formula1>Range_Building_Type</formula1>
    </dataValidation>
    <dataValidation type="list" allowBlank="1" showInputMessage="1" showErrorMessage="1" sqref="D221">
      <formula1>"% of LP Equity, % of Project Cost"</formula1>
    </dataValidation>
    <dataValidation type="whole" allowBlank="1" showInputMessage="1" showErrorMessage="1" errorTitle="Invalid Entry" error="Start of AUM fee must be no sooner than month 1." sqref="G221">
      <formula1>1</formula1>
      <formula2>99999</formula2>
    </dataValidation>
    <dataValidation type="list" allowBlank="1" showInputMessage="1" showErrorMessage="1" sqref="C108:C119">
      <formula1>"Spec, Discussion, Signed LOI, Signed Lease"</formula1>
    </dataValidation>
    <dataValidation type="list" allowBlank="1" showInputMessage="1" showErrorMessage="1" sqref="D108:D119">
      <formula1>Range_Tenant_Type</formula1>
    </dataValidation>
  </dataValidations>
  <pageMargins left="0.7" right="0.7" top="0.75" bottom="0.75" header="0.3" footer="0.3"/>
  <drawing xmlns:r="http://schemas.openxmlformats.org/officeDocument/2006/relationships" r:id="R1d6ea35f6f804cab"/>
</worksheet>
</file>

<file path=xl/worksheets/sheet3.xml><?xml version="1.0" encoding="utf-8"?>
<worksheet xmlns="http://schemas.openxmlformats.org/spreadsheetml/2006/main">
  <sheetPr>
    <tabColor rgb="FF9D8F42"/>
  </sheetPr>
  <sheetViews>
    <sheetView showGridLines="0" workbookViewId="0"/>
  </sheetViews>
  <sheetFormatPr defaultColWidth="9" defaultRowHeight="14.5"/>
  <cols>
    <col min="1" max="1" width="0.9140625" customWidth="1"/>
    <col min="2" max="2" width="40.83203125" customWidth="1"/>
    <col min="3" max="5" width="8.6640625" customWidth="1"/>
    <col min="6" max="6" width="17.5" customWidth="1"/>
    <col min="7" max="7" width="10.08203125" style="209" customWidth="1"/>
    <col min="8" max="8" width="11" style="209" customWidth="1"/>
    <col min="9" max="9" width="12.08203125" style="209" customWidth="1"/>
    <col min="10" max="10" width="10.33203125" style="209" customWidth="1"/>
    <col min="11" max="11" width="11.25" style="209" customWidth="1"/>
    <col min="12" max="13" width="8.58203125" style="209" customWidth="1"/>
    <col min="14" max="17" width="10.08203125" style="209" customWidth="1"/>
    <col min="18" max="18" width="40.83203125" style="209" customWidth="1"/>
    <col min="19" max="19" width="10.08203125" customWidth="1"/>
    <col min="20" max="25" width="8.58203125" customWidth="1"/>
    <col min="26" max="34" width="8" customWidth="1"/>
    <col min="35" max="49" width="9.5" customWidth="1"/>
    <col min="50" max="50" width="11.25" customWidth="1"/>
    <col min="51" max="139" width="2.75" customWidth="1"/>
  </cols>
  <sheetData>
    <row r="1" ht="5.150000095367432" customHeight="1"/>
    <row r="2" ht="15.5">
      <c r="B2" s="116" t="str">
        <f>Underwriting!B2</f>
        <v>THE BEND PRECINCT</v>
      </c>
      <c r="C2" s="117"/>
      <c r="D2" s="117"/>
      <c r="E2" s="117"/>
      <c r="F2" s="117"/>
      <c r="G2" s="226"/>
      <c r="H2" s="226"/>
      <c r="I2" s="226"/>
      <c r="J2" s="226"/>
      <c r="K2" s="226"/>
      <c r="L2" s="226"/>
      <c r="M2" s="226"/>
      <c r="N2" s="226"/>
      <c r="O2" s="226"/>
      <c r="P2" s="226"/>
      <c r="Q2" s="226"/>
      <c r="R2" s="118" t="str">
        <f>UPPER(Underwriting!I2)</f>
        <v>MAYABAY ACTIVE (MELBOURNE) PTY LTD</v>
      </c>
    </row>
    <row r="3" s="4" customFormat="1" ht="13.5">
      <c r="B3" s="119" t="str">
        <f>Underwriting!E11&amp;", "&amp;Underwriting!I10</f>
        <v>Port Melbourne, Victoria</v>
      </c>
      <c r="C3" s="6"/>
      <c r="D3" s="6"/>
      <c r="E3" s="6"/>
      <c r="F3" s="6"/>
      <c r="G3" s="227"/>
      <c r="H3" s="227"/>
      <c r="I3" s="227"/>
      <c r="J3" s="227"/>
      <c r="K3" s="227"/>
      <c r="L3" s="227"/>
      <c r="M3" s="227"/>
      <c r="N3" s="228"/>
      <c r="O3" s="228"/>
      <c r="P3" s="228"/>
      <c r="Q3" s="228"/>
      <c r="R3" s="120" t="str">
        <f>Summary!S3</f>
        <v>ANALYSIS START - JUL 2026</v>
      </c>
    </row>
    <row r="4" s="4" customFormat="1" ht="13.5">
      <c r="B4" s="121" t="s">
        <v>479</v>
      </c>
      <c r="C4" s="122"/>
      <c r="D4" s="122"/>
      <c r="E4" s="122"/>
      <c r="F4" s="122"/>
      <c r="G4" s="123"/>
      <c r="H4" s="123" t="str">
        <f>IF(H5="","",IF(EOMONTH(G6,12)&gt;H6,"EXIT",""))</f>
      </c>
      <c r="I4" s="123" t="str">
        <f t="shared" ref="I4:R4" si="0">IF(I5="","",IF(EOMONTH(H6,12)&gt;I6,"EXIT",""))</f>
      </c>
      <c r="J4" s="123" t="str">
        <f t="shared" si="0"/>
      </c>
      <c r="K4" s="123" t="str">
        <f t="shared" si="0"/>
      </c>
      <c r="L4" s="123" t="str">
        <f t="shared" si="0"/>
      </c>
      <c r="M4" s="123" t="str">
        <f t="shared" si="0"/>
        <v>EXIT</v>
      </c>
      <c r="N4" s="123" t="str">
        <f t="shared" si="0"/>
      </c>
      <c r="O4" s="124" t="str">
        <f t="shared" si="0"/>
      </c>
      <c r="P4" s="124" t="str">
        <f t="shared" si="0"/>
      </c>
      <c r="Q4" s="124" t="str">
        <f t="shared" si="0"/>
      </c>
      <c r="R4" s="125" t="str">
        <f t="shared" si="0"/>
      </c>
    </row>
    <row r="5" s="4" customFormat="1" ht="13.5">
      <c r="B5" s="178"/>
      <c r="C5" s="95"/>
      <c r="D5" s="95"/>
      <c r="E5" s="95"/>
      <c r="F5" s="179" t="s">
        <v>88</v>
      </c>
      <c r="G5" s="229">
        <v>0</v>
      </c>
      <c r="H5" s="229" t="str">
        <f t="shared" ref="H5:R5" si="1">IF(OR(G5="",G5=MAX($G$46:$EI$46)),"",G5+1)</f>
      </c>
      <c r="I5" s="229">
        <f t="shared" si="1"/>
        <v>2</v>
      </c>
      <c r="J5" s="229">
        <f t="shared" si="1"/>
        <v>3</v>
      </c>
      <c r="K5" s="229">
        <f t="shared" si="1"/>
        <v>4</v>
      </c>
      <c r="L5" s="230">
        <f t="shared" si="1"/>
        <v>5</v>
      </c>
      <c r="M5" s="230">
        <f t="shared" si="1"/>
        <v>6</v>
      </c>
      <c r="N5" s="230" t="str">
        <f t="shared" si="1"/>
      </c>
      <c r="O5" s="230" t="str">
        <f t="shared" si="1"/>
      </c>
      <c r="P5" s="231" t="str">
        <f t="shared" si="1"/>
      </c>
      <c r="Q5" s="231" t="str">
        <f t="shared" si="1"/>
      </c>
      <c r="R5" s="232" t="str">
        <f t="shared" si="1"/>
      </c>
    </row>
    <row r="6" s="4" customFormat="1" ht="13.5">
      <c r="B6" s="180"/>
      <c r="C6" s="98"/>
      <c r="D6" s="98"/>
      <c r="E6" s="98"/>
      <c r="F6" s="176" t="s">
        <v>480</v>
      </c>
      <c r="G6" s="233" t="n">
        <f>Underwriting!$M$195</f>
        <v>46234</v>
      </c>
      <c r="H6" s="233" t="n">
        <f>EOMONTH(G6,12)</f>
        <v>46599</v>
      </c>
      <c r="I6" s="233" t="n">
        <f>EOMONTH(H6,12)</f>
        <v>46965</v>
      </c>
      <c r="J6" s="233" t="n">
        <f>EOMONTH(I6,12)</f>
        <v>47330</v>
      </c>
      <c r="K6" s="233" t="n">
        <f>EOMONTH(J6,12)</f>
        <v>47695</v>
      </c>
      <c r="L6" s="234" t="n">
        <f>EOMONTH(K6,12)</f>
        <v>48060</v>
      </c>
      <c r="M6" s="234" t="n">
        <f>MAX(Underwriting!$M$195:$BU$195)</f>
        <v>48060</v>
      </c>
      <c r="N6" s="234" t="str">
        <f>IF(N5="","",IF(O5="",MAX(Underwriting!$L$195:$EN$195),EOMONTH(M6,12)))</f>
      </c>
      <c r="O6" s="234" t="str">
        <f>IF(O5="","",IF(P5="",MAX(Underwriting!$L$195:$EN$195),EOMONTH(N6,12)))</f>
      </c>
      <c r="P6" s="235" t="str">
        <f>IF(P5="","",IF(Q5="",MAX(Underwriting!$L$195:$EN$195),EOMONTH(O6,12)))</f>
      </c>
      <c r="Q6" s="235" t="str">
        <f>IF(Q5="","",IF(R5="",MAX(Underwriting!$L$195:$EN$195),EOMONTH(P6,12)))</f>
      </c>
      <c r="R6" s="236" t="str">
        <f>IF(R5="","",IF(S5="",MAX(Underwriting!$L$195:$EN$195),EOMONTH(Q6,12)))</f>
      </c>
    </row>
    <row r="7" s="4" customFormat="1" ht="13.5">
      <c r="B7" s="115" t="s">
        <v>481</v>
      </c>
      <c r="C7" s="165"/>
      <c r="D7" s="165"/>
      <c r="E7" s="165"/>
      <c r="F7" s="27"/>
      <c r="G7" s="237"/>
      <c r="H7" s="167"/>
      <c r="I7" s="167"/>
      <c r="J7" s="167"/>
      <c r="K7" s="167"/>
      <c r="L7" s="167"/>
      <c r="M7" s="167"/>
      <c r="N7" s="238"/>
      <c r="O7" s="238"/>
      <c r="P7" s="238"/>
      <c r="Q7" s="238"/>
      <c r="R7" s="239"/>
    </row>
    <row r="8" s="4" customFormat="1" ht="13.5">
      <c r="B8" s="181" t="s">
        <v>135</v>
      </c>
      <c r="C8" s="165"/>
      <c r="D8" s="165"/>
      <c r="E8" s="165"/>
      <c r="F8" s="27"/>
      <c r="G8" s="187" t="str">
        <f t="shared" ref="G8:R8" si="2">IF(G$5="","",SUMIF($G$46:$EI$46,G$5,$G48:$EI48))</f>
      </c>
      <c r="H8" s="187">
        <f t="shared" si="2"/>
        <v>0</v>
      </c>
      <c r="I8" s="187">
        <f t="shared" si="2"/>
        <v>0</v>
      </c>
      <c r="J8" s="187">
        <f t="shared" si="2"/>
        <v>0</v>
      </c>
      <c r="K8" s="187">
        <f t="shared" si="2"/>
        <v>0</v>
      </c>
      <c r="L8" s="187">
        <f t="shared" si="2"/>
        <v>0</v>
      </c>
      <c r="M8" s="187">
        <f t="shared" si="2"/>
        <v>0</v>
      </c>
      <c r="N8" s="240" t="str">
        <f t="shared" si="2"/>
      </c>
      <c r="O8" s="240" t="str">
        <f t="shared" si="2"/>
      </c>
      <c r="P8" s="240" t="str">
        <f t="shared" si="2"/>
      </c>
      <c r="Q8" s="240" t="str">
        <f t="shared" si="2"/>
      </c>
      <c r="R8" s="241" t="str">
        <f t="shared" si="2"/>
      </c>
    </row>
    <row r="9" s="4" customFormat="1" ht="13.5">
      <c r="B9" s="181" t="s">
        <v>482</v>
      </c>
      <c r="C9" s="165"/>
      <c r="D9" s="165"/>
      <c r="E9" s="165"/>
      <c r="F9" s="27"/>
      <c r="G9" s="187" t="str">
        <f t="shared" ref="G9:R9" si="3">IF(G$5="","",SUMIF($G$46:$EI$46,G$5,$G49:$EI49))</f>
      </c>
      <c r="H9" s="187">
        <f t="shared" si="3"/>
        <v>55943088.258313738</v>
      </c>
      <c r="I9" s="187">
        <f t="shared" si="3"/>
        <v>222087070.09561953</v>
      </c>
      <c r="J9" s="187">
        <f t="shared" si="3"/>
        <v>42423600.025492623</v>
      </c>
      <c r="K9" s="187">
        <f t="shared" si="3"/>
        <v>0</v>
      </c>
      <c r="L9" s="187">
        <f t="shared" si="3"/>
        <v>0</v>
      </c>
      <c r="M9" s="187">
        <f t="shared" si="3"/>
        <v>0</v>
      </c>
      <c r="N9" s="240" t="str">
        <f t="shared" si="3"/>
      </c>
      <c r="O9" s="240" t="str">
        <f t="shared" si="3"/>
      </c>
      <c r="P9" s="240" t="str">
        <f t="shared" si="3"/>
      </c>
      <c r="Q9" s="240" t="str">
        <f t="shared" si="3"/>
      </c>
      <c r="R9" s="241" t="str">
        <f t="shared" si="3"/>
      </c>
    </row>
    <row r="10" s="4" customFormat="1" ht="13.5">
      <c r="B10" s="181" t="s">
        <v>483</v>
      </c>
      <c r="C10" s="165"/>
      <c r="D10" s="165"/>
      <c r="E10" s="165"/>
      <c r="F10" s="27"/>
      <c r="G10" s="188" t="str">
        <f t="shared" ref="G10:R10" si="4">IF(G$5="","",SUMIF($G$46:$EI$46,G$5,$G50:$EI50))</f>
      </c>
      <c r="H10" s="188">
        <f t="shared" si="4"/>
        <v>0</v>
      </c>
      <c r="I10" s="188">
        <f t="shared" si="4"/>
        <v>0</v>
      </c>
      <c r="J10" s="188">
        <f t="shared" si="4"/>
        <v>0</v>
      </c>
      <c r="K10" s="188">
        <f t="shared" si="4"/>
        <v>0</v>
      </c>
      <c r="L10" s="188">
        <f t="shared" si="4"/>
        <v>0</v>
      </c>
      <c r="M10" s="188">
        <f t="shared" si="4"/>
        <v>0</v>
      </c>
      <c r="N10" s="242" t="str">
        <f t="shared" si="4"/>
      </c>
      <c r="O10" s="242" t="str">
        <f t="shared" si="4"/>
      </c>
      <c r="P10" s="242" t="str">
        <f t="shared" si="4"/>
      </c>
      <c r="Q10" s="242" t="str">
        <f t="shared" si="4"/>
      </c>
      <c r="R10" s="243" t="str">
        <f t="shared" si="4"/>
      </c>
    </row>
    <row r="11" s="4" customFormat="1" ht="13.5">
      <c r="B11" s="96" t="s">
        <v>484</v>
      </c>
      <c r="C11" s="165"/>
      <c r="D11" s="165"/>
      <c r="E11" s="165"/>
      <c r="F11" s="27"/>
      <c r="G11" s="187" t="str">
        <f>IF(G$5="","",SUM(G8:G10))</f>
      </c>
      <c r="H11" s="187" t="str">
        <f t="shared" ref="H11:R11" si="5">IF(H$5="","",SUM(H8:H10))</f>
      </c>
      <c r="I11" s="187">
        <f t="shared" si="5"/>
        <v>222087070.09561953</v>
      </c>
      <c r="J11" s="187">
        <f t="shared" si="5"/>
        <v>42423600.025492623</v>
      </c>
      <c r="K11" s="187">
        <f t="shared" si="5"/>
        <v>0</v>
      </c>
      <c r="L11" s="187">
        <f t="shared" si="5"/>
        <v>0</v>
      </c>
      <c r="M11" s="187">
        <f t="shared" si="5"/>
        <v>0</v>
      </c>
      <c r="N11" s="240" t="str">
        <f t="shared" si="5"/>
      </c>
      <c r="O11" s="240" t="str">
        <f t="shared" si="5"/>
      </c>
      <c r="P11" s="240" t="str">
        <f t="shared" si="5"/>
      </c>
      <c r="Q11" s="240" t="str">
        <f t="shared" si="5"/>
      </c>
      <c r="R11" s="241" t="str">
        <f t="shared" si="5"/>
      </c>
    </row>
    <row r="12" s="4" customFormat="1" ht="13.5">
      <c r="B12" s="96"/>
      <c r="C12" s="165"/>
      <c r="D12" s="165"/>
      <c r="E12" s="165"/>
      <c r="F12" s="27"/>
      <c r="G12" s="187"/>
      <c r="H12" s="244"/>
      <c r="I12" s="187"/>
      <c r="J12" s="187"/>
      <c r="K12" s="187"/>
      <c r="L12" s="187"/>
      <c r="M12" s="187"/>
      <c r="N12" s="240"/>
      <c r="O12" s="240"/>
      <c r="P12" s="240"/>
      <c r="Q12" s="240"/>
      <c r="R12" s="241"/>
    </row>
    <row r="13" s="4" customFormat="1" ht="13.5">
      <c r="B13" s="181" t="s">
        <v>155</v>
      </c>
      <c r="C13" s="165"/>
      <c r="D13" s="165"/>
      <c r="E13" s="165"/>
      <c r="F13" s="166"/>
      <c r="G13" s="187" t="str">
        <f t="shared" ref="G13:R13" si="6">IF(G$5="","",SUMIF($G$46:$EI$46,G$5,$G53:$EI53))</f>
      </c>
      <c r="H13" s="187">
        <f t="shared" si="6"/>
        <v>3871005.5563025721</v>
      </c>
      <c r="I13" s="187">
        <f t="shared" si="6"/>
        <v>3756666.6666666665</v>
      </c>
      <c r="J13" s="187">
        <f t="shared" si="6"/>
        <v>3756666.6666666665</v>
      </c>
      <c r="K13" s="187">
        <f t="shared" si="6"/>
        <v>0</v>
      </c>
      <c r="L13" s="187">
        <f t="shared" si="6"/>
        <v>0</v>
      </c>
      <c r="M13" s="187">
        <f t="shared" si="6"/>
        <v>0</v>
      </c>
      <c r="N13" s="240" t="str">
        <f t="shared" si="6"/>
      </c>
      <c r="O13" s="240" t="str">
        <f t="shared" si="6"/>
      </c>
      <c r="P13" s="240" t="str">
        <f t="shared" si="6"/>
      </c>
      <c r="Q13" s="240" t="str">
        <f t="shared" si="6"/>
      </c>
      <c r="R13" s="241" t="str">
        <f t="shared" si="6"/>
      </c>
    </row>
    <row r="14" s="4" customFormat="1" ht="13.5">
      <c r="B14" s="96"/>
      <c r="C14" s="165"/>
      <c r="D14" s="165"/>
      <c r="E14" s="165"/>
      <c r="F14" s="166"/>
      <c r="G14" s="187"/>
      <c r="H14" s="187"/>
      <c r="I14" s="187"/>
      <c r="J14" s="187"/>
      <c r="K14" s="187"/>
      <c r="L14" s="187"/>
      <c r="M14" s="187"/>
      <c r="N14" s="240"/>
      <c r="O14" s="240"/>
      <c r="P14" s="240"/>
      <c r="Q14" s="240"/>
      <c r="R14" s="241"/>
    </row>
    <row r="15" s="4" customFormat="1" ht="13.5">
      <c r="B15" s="96" t="s">
        <v>485</v>
      </c>
      <c r="C15" s="165"/>
      <c r="D15" s="165"/>
      <c r="E15" s="165"/>
      <c r="F15" s="166"/>
      <c r="G15" s="187" t="str">
        <f t="shared" ref="G15:R15" si="7">IF(G$5="","",SUMIF($G$46:$EI$46,G$5,$G55:$EI55))</f>
      </c>
      <c r="H15" s="187">
        <f t="shared" si="7"/>
        <v>59814093.814616308</v>
      </c>
      <c r="I15" s="187">
        <f t="shared" si="7"/>
        <v>225843736.76228616</v>
      </c>
      <c r="J15" s="187">
        <f t="shared" si="7"/>
        <v>46180266.692159303</v>
      </c>
      <c r="K15" s="187">
        <f t="shared" si="7"/>
        <v>0</v>
      </c>
      <c r="L15" s="187">
        <f t="shared" si="7"/>
        <v>0</v>
      </c>
      <c r="M15" s="187">
        <f t="shared" si="7"/>
        <v>0</v>
      </c>
      <c r="N15" s="240" t="str">
        <f t="shared" si="7"/>
      </c>
      <c r="O15" s="240" t="str">
        <f t="shared" si="7"/>
      </c>
      <c r="P15" s="240" t="str">
        <f t="shared" si="7"/>
      </c>
      <c r="Q15" s="240" t="str">
        <f t="shared" si="7"/>
      </c>
      <c r="R15" s="241" t="str">
        <f t="shared" si="7"/>
      </c>
    </row>
    <row r="16" s="4" customFormat="1" ht="13.5">
      <c r="B16" s="96" t="s">
        <v>486</v>
      </c>
      <c r="C16" s="165"/>
      <c r="D16" s="165"/>
      <c r="E16" s="165"/>
      <c r="F16" s="166"/>
      <c r="G16" s="187" t="str">
        <f t="shared" ref="G16:R16" si="8">IF(G$5="","",SUMIF($G$46:$EI$46,G$5,$G$59:$EI$59))</f>
      </c>
      <c r="H16" s="187">
        <f t="shared" si="8"/>
        <v>100892.8237358164</v>
      </c>
      <c r="I16" s="187">
        <f t="shared" si="8"/>
        <v>265302.74980959296</v>
      </c>
      <c r="J16" s="187">
        <f t="shared" si="8"/>
        <v>16763.591602209548</v>
      </c>
      <c r="K16" s="187">
        <f t="shared" si="8"/>
        <v>0</v>
      </c>
      <c r="L16" s="187">
        <f t="shared" si="8"/>
        <v>0</v>
      </c>
      <c r="M16" s="187">
        <f t="shared" si="8"/>
        <v>0</v>
      </c>
      <c r="N16" s="240" t="str">
        <f t="shared" si="8"/>
      </c>
      <c r="O16" s="240" t="str">
        <f t="shared" si="8"/>
      </c>
      <c r="P16" s="240" t="str">
        <f t="shared" si="8"/>
      </c>
      <c r="Q16" s="240" t="str">
        <f t="shared" si="8"/>
      </c>
      <c r="R16" s="241" t="str">
        <f t="shared" si="8"/>
      </c>
    </row>
    <row r="17" s="4" customFormat="1" ht="13.5">
      <c r="B17" s="96" t="s">
        <v>77</v>
      </c>
      <c r="C17" s="165"/>
      <c r="D17" s="165"/>
      <c r="E17" s="165"/>
      <c r="F17" s="166"/>
      <c r="G17" s="187" t="str">
        <f t="shared" ref="G17:R17" si="9">IF(G$5="","",SUMIF($G$46:$EI$46,G$5,$G57:$EI57))</f>
      </c>
      <c r="H17" s="187">
        <f t="shared" si="9"/>
        <v>59914986.638352126</v>
      </c>
      <c r="I17" s="187">
        <f t="shared" si="9"/>
        <v>226109039.51209578</v>
      </c>
      <c r="J17" s="187">
        <f t="shared" si="9"/>
        <v>46197030.283761509</v>
      </c>
      <c r="K17" s="187">
        <f t="shared" si="9"/>
        <v>0</v>
      </c>
      <c r="L17" s="187">
        <f t="shared" si="9"/>
        <v>0</v>
      </c>
      <c r="M17" s="187">
        <f t="shared" si="9"/>
        <v>0</v>
      </c>
      <c r="N17" s="240" t="str">
        <f t="shared" si="9"/>
      </c>
      <c r="O17" s="240" t="str">
        <f t="shared" si="9"/>
      </c>
      <c r="P17" s="240" t="str">
        <f t="shared" si="9"/>
      </c>
      <c r="Q17" s="240" t="str">
        <f t="shared" si="9"/>
      </c>
      <c r="R17" s="241" t="str">
        <f t="shared" si="9"/>
      </c>
    </row>
    <row r="18" s="4" customFormat="1" ht="13.5">
      <c r="B18" s="96" t="s">
        <v>81</v>
      </c>
      <c r="C18" s="165"/>
      <c r="D18" s="165"/>
      <c r="E18" s="165"/>
      <c r="F18" s="166"/>
      <c r="G18" s="187" t="str">
        <f t="shared" ref="G18:R18" si="10">IF(G$5="","",SUMIF($G$46:$EI$46,G$5,$G58:$EI58))</f>
      </c>
      <c r="H18" s="187">
        <f t="shared" si="10"/>
        <v>59814093.814616308</v>
      </c>
      <c r="I18" s="187">
        <f t="shared" si="10"/>
        <v>225843736.76228616</v>
      </c>
      <c r="J18" s="187">
        <f t="shared" si="10"/>
        <v>46180266.692159303</v>
      </c>
      <c r="K18" s="187">
        <f t="shared" si="10"/>
        <v>0</v>
      </c>
      <c r="L18" s="187">
        <f t="shared" si="10"/>
        <v>0</v>
      </c>
      <c r="M18" s="187">
        <f t="shared" si="10"/>
        <v>0</v>
      </c>
      <c r="N18" s="240" t="str">
        <f t="shared" si="10"/>
      </c>
      <c r="O18" s="240" t="str">
        <f t="shared" si="10"/>
      </c>
      <c r="P18" s="240" t="str">
        <f t="shared" si="10"/>
      </c>
      <c r="Q18" s="240" t="str">
        <f t="shared" si="10"/>
      </c>
      <c r="R18" s="241" t="str">
        <f t="shared" si="10"/>
      </c>
    </row>
    <row r="19">
      <c r="B19" s="97" t="s">
        <v>487</v>
      </c>
      <c r="C19" s="177"/>
      <c r="D19" s="177"/>
      <c r="E19" s="177"/>
      <c r="F19" s="177"/>
      <c r="G19" s="184" t="str">
        <f t="shared" ref="G19:R19" si="11">IF(G$5="","",G17-G18-G16)</f>
      </c>
      <c r="H19" s="184">
        <f t="shared" si="11"/>
        <v>1.862645149230957E-9</v>
      </c>
      <c r="I19" s="184">
        <f t="shared" si="11"/>
        <v>2.9802322387695313E-8</v>
      </c>
      <c r="J19" s="184">
        <f t="shared" si="11"/>
        <v>-3.3178366720676422E-9</v>
      </c>
      <c r="K19" s="184">
        <f t="shared" si="11"/>
        <v>0</v>
      </c>
      <c r="L19" s="184">
        <f t="shared" si="11"/>
        <v>0</v>
      </c>
      <c r="M19" s="184">
        <f t="shared" si="11"/>
        <v>0</v>
      </c>
      <c r="N19" s="185" t="str">
        <f t="shared" si="11"/>
      </c>
      <c r="O19" s="185" t="str">
        <f t="shared" si="11"/>
      </c>
      <c r="P19" s="185" t="str">
        <f t="shared" si="11"/>
      </c>
      <c r="Q19" s="185" t="str">
        <f t="shared" si="11"/>
      </c>
      <c r="R19" s="186" t="str">
        <f t="shared" si="11"/>
      </c>
    </row>
    <row r="20" s="4" customFormat="1" ht="13.5">
      <c r="B20" s="115" t="s">
        <v>488</v>
      </c>
      <c r="C20" s="165"/>
      <c r="D20" s="165"/>
      <c r="E20" s="165"/>
      <c r="F20" s="165"/>
      <c r="G20" s="187"/>
      <c r="H20" s="187"/>
      <c r="I20" s="187"/>
      <c r="J20" s="187"/>
      <c r="K20" s="187"/>
      <c r="L20" s="187"/>
      <c r="M20" s="187"/>
      <c r="N20" s="187"/>
      <c r="O20" s="187"/>
      <c r="P20" s="187"/>
      <c r="Q20" s="187"/>
      <c r="R20" s="189"/>
    </row>
    <row r="21" s="4" customFormat="1" ht="13.5">
      <c r="B21" s="181" t="str">
        <f>+B61</f>
        <v>Rental Income</v>
      </c>
      <c r="C21" s="165"/>
      <c r="D21" s="165"/>
      <c r="E21" s="165"/>
      <c r="F21" s="165"/>
      <c r="G21" s="187" t="str">
        <f t="shared" ref="G21:R21" si="12">IF(G$5="","",SUMIF($G$46:$EI$46,G$5,$G61:$EI61))</f>
      </c>
      <c r="H21" s="187">
        <f t="shared" si="12"/>
        <v>0</v>
      </c>
      <c r="I21" s="187">
        <f t="shared" si="12"/>
        <v>2150000</v>
      </c>
      <c r="J21" s="187">
        <f t="shared" si="12"/>
        <v>14065250</v>
      </c>
      <c r="K21" s="187">
        <f t="shared" si="12"/>
        <v>16847533.749999996</v>
      </c>
      <c r="L21" s="187">
        <f t="shared" si="12"/>
        <v>17437197.431249999</v>
      </c>
      <c r="M21" s="187">
        <f t="shared" si="12"/>
        <v>1488288.5999999996</v>
      </c>
      <c r="N21" s="187" t="str">
        <f t="shared" si="12"/>
      </c>
      <c r="O21" s="187" t="str">
        <f t="shared" si="12"/>
      </c>
      <c r="P21" s="187" t="str">
        <f t="shared" si="12"/>
      </c>
      <c r="Q21" s="187" t="str">
        <f t="shared" si="12"/>
      </c>
      <c r="R21" s="189" t="str">
        <f t="shared" si="12"/>
      </c>
    </row>
    <row r="22" s="4" customFormat="1" ht="13.5">
      <c r="B22" s="181" t="str">
        <f>+B62</f>
        <v>Recovery Income</v>
      </c>
      <c r="C22" s="165"/>
      <c r="D22" s="165"/>
      <c r="E22" s="165"/>
      <c r="F22" s="165"/>
      <c r="G22" s="187" t="str">
        <f t="shared" ref="G22:R22" si="13">IF(G$5="","",SUMIF($G$46:$EI$46,G$5,$G62:$EI62))</f>
      </c>
      <c r="H22" s="187">
        <f t="shared" si="13"/>
        <v>0</v>
      </c>
      <c r="I22" s="187">
        <f t="shared" si="13"/>
        <v>216286.90063478594</v>
      </c>
      <c r="J22" s="187">
        <f t="shared" si="13"/>
        <v>2628019.3445461765</v>
      </c>
      <c r="K22" s="187">
        <f t="shared" si="13"/>
        <v>3323269.9992776932</v>
      </c>
      <c r="L22" s="187">
        <f t="shared" si="13"/>
        <v>3393553.8680899865</v>
      </c>
      <c r="M22" s="187">
        <f t="shared" si="13"/>
        <v>285541.24667862349</v>
      </c>
      <c r="N22" s="187" t="str">
        <f t="shared" si="13"/>
      </c>
      <c r="O22" s="187" t="str">
        <f t="shared" si="13"/>
      </c>
      <c r="P22" s="187" t="str">
        <f t="shared" si="13"/>
      </c>
      <c r="Q22" s="187" t="str">
        <f t="shared" si="13"/>
      </c>
      <c r="R22" s="189" t="str">
        <f t="shared" si="13"/>
      </c>
    </row>
    <row r="23" s="4" customFormat="1" ht="13.5">
      <c r="B23" s="181" t="str">
        <f>+B63</f>
        <v>Other Income</v>
      </c>
      <c r="C23" s="165"/>
      <c r="D23" s="165"/>
      <c r="E23" s="165"/>
      <c r="F23" s="165"/>
      <c r="G23" s="188" t="str">
        <f t="shared" ref="G23:R23" si="14">IF(G$5="","",SUMIF($G$46:$EI$46,G$5,$G63:$EI63))</f>
      </c>
      <c r="H23" s="188">
        <f t="shared" si="14"/>
        <v>4200875.6518695252</v>
      </c>
      <c r="I23" s="188">
        <f t="shared" si="14"/>
        <v>26737810.026709639</v>
      </c>
      <c r="J23" s="188">
        <f t="shared" si="14"/>
        <v>46952034.558983035</v>
      </c>
      <c r="K23" s="188">
        <f t="shared" si="14"/>
        <v>49780170.803542078</v>
      </c>
      <c r="L23" s="188">
        <f t="shared" si="14"/>
        <v>51588006.766190909</v>
      </c>
      <c r="M23" s="188">
        <f t="shared" si="14"/>
        <v>4370405.3792853737</v>
      </c>
      <c r="N23" s="188" t="str">
        <f t="shared" si="14"/>
      </c>
      <c r="O23" s="188" t="str">
        <f t="shared" si="14"/>
      </c>
      <c r="P23" s="188" t="str">
        <f t="shared" si="14"/>
      </c>
      <c r="Q23" s="188" t="str">
        <f t="shared" si="14"/>
      </c>
      <c r="R23" s="225" t="str">
        <f t="shared" si="14"/>
      </c>
    </row>
    <row r="24" s="4" customFormat="1" ht="13.5">
      <c r="B24" s="96" t="s">
        <v>489</v>
      </c>
      <c r="C24" s="165"/>
      <c r="D24" s="165"/>
      <c r="E24" s="165"/>
      <c r="F24" s="165"/>
      <c r="G24" s="187" t="str">
        <f>IF(G$5="","",SUM(G21:G23))</f>
      </c>
      <c r="H24" s="187" t="str">
        <f t="shared" ref="H24:R24" si="15">IF(H$5="","",SUM(H21:H23))</f>
      </c>
      <c r="I24" s="187">
        <f t="shared" si="15"/>
        <v>29104096.927344427</v>
      </c>
      <c r="J24" s="187">
        <f t="shared" si="15"/>
        <v>63645303.903529212</v>
      </c>
      <c r="K24" s="187">
        <f t="shared" si="15"/>
        <v>69950974.552819759</v>
      </c>
      <c r="L24" s="187">
        <f t="shared" si="15"/>
        <v>72418758.065530896</v>
      </c>
      <c r="M24" s="187">
        <f t="shared" si="15"/>
        <v>6144235.2259639967</v>
      </c>
      <c r="N24" s="187" t="str">
        <f t="shared" si="15"/>
      </c>
      <c r="O24" s="187" t="str">
        <f t="shared" si="15"/>
      </c>
      <c r="P24" s="187" t="str">
        <f t="shared" si="15"/>
      </c>
      <c r="Q24" s="187" t="str">
        <f t="shared" si="15"/>
      </c>
      <c r="R24" s="189" t="str">
        <f t="shared" si="15"/>
      </c>
    </row>
    <row r="25" s="4" customFormat="1" ht="13.5">
      <c r="B25" s="181" t="s">
        <v>490</v>
      </c>
      <c r="C25" s="165"/>
      <c r="D25" s="165"/>
      <c r="E25" s="165"/>
      <c r="F25" s="165"/>
      <c r="G25" s="188" t="str">
        <f t="shared" ref="G25:R25" si="16">IF(G$5="","",SUMIF($G$46:$EI$46,G$5,$G65:$EI65))</f>
      </c>
      <c r="H25" s="188">
        <f t="shared" si="16"/>
        <v>0</v>
      </c>
      <c r="I25" s="188">
        <f t="shared" si="16"/>
        <v>0</v>
      </c>
      <c r="J25" s="188">
        <f t="shared" si="16"/>
        <v>0</v>
      </c>
      <c r="K25" s="188">
        <f t="shared" si="16"/>
        <v>0</v>
      </c>
      <c r="L25" s="188">
        <f t="shared" si="16"/>
        <v>0</v>
      </c>
      <c r="M25" s="188">
        <f t="shared" si="16"/>
        <v>0</v>
      </c>
      <c r="N25" s="188" t="str">
        <f t="shared" si="16"/>
      </c>
      <c r="O25" s="188" t="str">
        <f t="shared" si="16"/>
      </c>
      <c r="P25" s="188" t="str">
        <f t="shared" si="16"/>
      </c>
      <c r="Q25" s="188" t="str">
        <f t="shared" si="16"/>
      </c>
      <c r="R25" s="225" t="str">
        <f t="shared" si="16"/>
      </c>
    </row>
    <row r="26" s="4" customFormat="1" ht="13.5">
      <c r="B26" s="96" t="s">
        <v>343</v>
      </c>
      <c r="C26" s="165"/>
      <c r="D26" s="165"/>
      <c r="E26" s="165"/>
      <c r="F26" s="165"/>
      <c r="G26" s="187" t="str">
        <f>IF(G$5="","",SUM(G24:G25))</f>
      </c>
      <c r="H26" s="187" t="str">
        <f t="shared" ref="H26:R26" si="17">IF(H$5="","",SUM(H24:H25))</f>
      </c>
      <c r="I26" s="187">
        <f t="shared" si="17"/>
        <v>29104096.927344427</v>
      </c>
      <c r="J26" s="187">
        <f t="shared" si="17"/>
        <v>63645303.903529212</v>
      </c>
      <c r="K26" s="187">
        <f t="shared" si="17"/>
        <v>69950974.552819759</v>
      </c>
      <c r="L26" s="187">
        <f t="shared" si="17"/>
        <v>72418758.065530896</v>
      </c>
      <c r="M26" s="187">
        <f t="shared" si="17"/>
        <v>6144235.2259639967</v>
      </c>
      <c r="N26" s="187" t="str">
        <f t="shared" si="17"/>
      </c>
      <c r="O26" s="187" t="str">
        <f t="shared" si="17"/>
      </c>
      <c r="P26" s="187" t="str">
        <f t="shared" si="17"/>
      </c>
      <c r="Q26" s="187" t="str">
        <f t="shared" si="17"/>
      </c>
      <c r="R26" s="189" t="str">
        <f t="shared" si="17"/>
      </c>
    </row>
    <row r="27" s="4" customFormat="1" ht="13.5">
      <c r="B27" s="96"/>
      <c r="C27" s="165"/>
      <c r="D27" s="165"/>
      <c r="E27" s="165"/>
      <c r="F27" s="165"/>
      <c r="G27" s="187"/>
      <c r="H27" s="187"/>
      <c r="I27" s="187"/>
      <c r="J27" s="187"/>
      <c r="K27" s="187"/>
      <c r="L27" s="187"/>
      <c r="M27" s="187"/>
      <c r="N27" s="187"/>
      <c r="O27" s="187"/>
      <c r="P27" s="187"/>
      <c r="Q27" s="187"/>
      <c r="R27" s="189"/>
    </row>
    <row r="28" s="4" customFormat="1" ht="13.5">
      <c r="B28" s="96" t="s">
        <v>491</v>
      </c>
      <c r="C28" s="165"/>
      <c r="D28" s="165"/>
      <c r="E28" s="165"/>
      <c r="F28" s="165"/>
      <c r="G28" s="187"/>
      <c r="H28" s="187"/>
      <c r="I28" s="187"/>
      <c r="J28" s="187"/>
      <c r="K28" s="187"/>
      <c r="L28" s="187"/>
      <c r="M28" s="187"/>
      <c r="N28" s="187"/>
      <c r="O28" s="187"/>
      <c r="P28" s="187"/>
      <c r="Q28" s="187"/>
      <c r="R28" s="189"/>
    </row>
    <row r="29" s="4" customFormat="1" ht="13.5">
      <c r="B29" s="181" t="n">
        <f>+B69</f>
        <v>0</v>
      </c>
      <c r="C29" s="165"/>
      <c r="D29" s="165"/>
      <c r="E29" s="165"/>
      <c r="F29" s="165"/>
      <c r="G29" s="187" t="str">
        <f t="shared" ref="G29:R29" si="18">IF(G$5="","",SUMIF($G$46:$EI$46,G$5,$G69:$EI69))</f>
      </c>
      <c r="H29" s="187">
        <f t="shared" si="18"/>
        <v>686033.33781543351</v>
      </c>
      <c r="I29" s="187">
        <f t="shared" si="18"/>
        <v>2261655.8449348379</v>
      </c>
      <c r="J29" s="187">
        <f t="shared" si="18"/>
        <v>3219761.8175644069</v>
      </c>
      <c r="K29" s="187">
        <f t="shared" si="18"/>
        <v>3324445.6984632486</v>
      </c>
      <c r="L29" s="187">
        <f t="shared" si="18"/>
        <v>3393553.868089986</v>
      </c>
      <c r="M29" s="187">
        <f t="shared" si="18"/>
        <v>285541.24667862349</v>
      </c>
      <c r="N29" s="187" t="str">
        <f t="shared" si="18"/>
      </c>
      <c r="O29" s="187" t="str">
        <f t="shared" si="18"/>
      </c>
      <c r="P29" s="187" t="str">
        <f t="shared" si="18"/>
      </c>
      <c r="Q29" s="187" t="str">
        <f t="shared" si="18"/>
      </c>
      <c r="R29" s="189" t="str">
        <f t="shared" si="18"/>
      </c>
    </row>
    <row r="30" s="4" customFormat="1" ht="13.5">
      <c r="B30" s="181" t="n">
        <f t="shared" ref="B30" si="19">+B70</f>
        <v>0</v>
      </c>
      <c r="C30" s="165"/>
      <c r="D30" s="165"/>
      <c r="E30" s="165"/>
      <c r="F30" s="165"/>
      <c r="G30" s="187" t="str">
        <f t="shared" ref="G30:R30" si="20">IF(G$5="","",SUMIF($G$46:$EI$46,G$5,$G70:$EI70))</f>
      </c>
      <c r="H30" s="187">
        <f t="shared" si="20"/>
        <v>0</v>
      </c>
      <c r="I30" s="187">
        <f t="shared" si="20"/>
        <v>0</v>
      </c>
      <c r="J30" s="187">
        <f t="shared" si="20"/>
        <v>0</v>
      </c>
      <c r="K30" s="187">
        <f t="shared" si="20"/>
        <v>0</v>
      </c>
      <c r="L30" s="187">
        <f t="shared" si="20"/>
        <v>0</v>
      </c>
      <c r="M30" s="187">
        <f t="shared" si="20"/>
        <v>0</v>
      </c>
      <c r="N30" s="187" t="str">
        <f t="shared" si="20"/>
      </c>
      <c r="O30" s="187" t="str">
        <f t="shared" si="20"/>
      </c>
      <c r="P30" s="187" t="str">
        <f t="shared" si="20"/>
      </c>
      <c r="Q30" s="187" t="str">
        <f t="shared" si="20"/>
      </c>
      <c r="R30" s="189" t="str">
        <f t="shared" si="20"/>
      </c>
    </row>
    <row r="31" s="4" customFormat="1" ht="13.5">
      <c r="B31" s="181" t="n">
        <f>+B71</f>
        <v>0</v>
      </c>
      <c r="C31" s="167"/>
      <c r="D31" s="167"/>
      <c r="E31" s="167"/>
      <c r="F31" s="168"/>
      <c r="G31" s="187" t="str">
        <f t="shared" ref="G31:R31" si="21">IF(G$5="","",SUMIF($G$46:$EI$46,G$5,$G71:$EI71))</f>
      </c>
      <c r="H31" s="187">
        <f t="shared" si="21"/>
        <v>0</v>
      </c>
      <c r="I31" s="187">
        <f t="shared" si="21"/>
        <v>0</v>
      </c>
      <c r="J31" s="187">
        <f t="shared" si="21"/>
        <v>0</v>
      </c>
      <c r="K31" s="187">
        <f t="shared" si="21"/>
        <v>0</v>
      </c>
      <c r="L31" s="187">
        <f t="shared" si="21"/>
        <v>0</v>
      </c>
      <c r="M31" s="187">
        <f t="shared" si="21"/>
        <v>0</v>
      </c>
      <c r="N31" s="187" t="str">
        <f t="shared" si="21"/>
      </c>
      <c r="O31" s="187" t="str">
        <f t="shared" si="21"/>
      </c>
      <c r="P31" s="187" t="str">
        <f t="shared" si="21"/>
      </c>
      <c r="Q31" s="187" t="str">
        <f t="shared" si="21"/>
      </c>
      <c r="R31" s="189" t="str">
        <f t="shared" si="21"/>
      </c>
    </row>
    <row r="32" s="4" customFormat="1" ht="13.5">
      <c r="B32" s="181" t="n">
        <f>+B72</f>
        <v>0</v>
      </c>
      <c r="C32" s="165"/>
      <c r="D32" s="165"/>
      <c r="E32" s="165"/>
      <c r="F32" s="169"/>
      <c r="G32" s="188" t="str">
        <f t="shared" ref="G32:R32" si="22">IF(G$5="","",SUMIF($G$46:$EI$46,G$5,$G72:$EI72))</f>
      </c>
      <c r="H32" s="188">
        <f t="shared" si="22"/>
        <v>0</v>
      </c>
      <c r="I32" s="188">
        <f t="shared" si="22"/>
        <v>0</v>
      </c>
      <c r="J32" s="188">
        <f t="shared" si="22"/>
        <v>0</v>
      </c>
      <c r="K32" s="188">
        <f t="shared" si="22"/>
        <v>0</v>
      </c>
      <c r="L32" s="188">
        <f t="shared" si="22"/>
        <v>0</v>
      </c>
      <c r="M32" s="188">
        <f t="shared" si="22"/>
        <v>0</v>
      </c>
      <c r="N32" s="188" t="str">
        <f t="shared" si="22"/>
      </c>
      <c r="O32" s="245" t="str">
        <f t="shared" si="22"/>
      </c>
      <c r="P32" s="188" t="str">
        <f t="shared" si="22"/>
      </c>
      <c r="Q32" s="188" t="str">
        <f t="shared" si="22"/>
      </c>
      <c r="R32" s="225" t="str">
        <f t="shared" si="22"/>
      </c>
    </row>
    <row r="33" s="4" customFormat="1" ht="13.5">
      <c r="B33" s="96" t="s">
        <v>347</v>
      </c>
      <c r="C33" s="165"/>
      <c r="D33" s="165"/>
      <c r="E33" s="165"/>
      <c r="F33" s="165"/>
      <c r="G33" s="187" t="str">
        <f t="shared" ref="G33:R33" si="23">IF(G$5="","",SUM(G29:G32))</f>
      </c>
      <c r="H33" s="187">
        <f t="shared" si="23"/>
        <v>686033.33781543351</v>
      </c>
      <c r="I33" s="187">
        <f t="shared" si="23"/>
        <v>2261655.8449348379</v>
      </c>
      <c r="J33" s="187">
        <f t="shared" si="23"/>
        <v>3219761.8175644069</v>
      </c>
      <c r="K33" s="187">
        <f t="shared" si="23"/>
        <v>3324445.6984632486</v>
      </c>
      <c r="L33" s="187">
        <f t="shared" si="23"/>
        <v>3393553.868089986</v>
      </c>
      <c r="M33" s="187">
        <f t="shared" si="23"/>
        <v>285541.24667862349</v>
      </c>
      <c r="N33" s="187" t="str">
        <f t="shared" si="23"/>
      </c>
      <c r="O33" s="187" t="str">
        <f t="shared" si="23"/>
      </c>
      <c r="P33" s="187" t="str">
        <f t="shared" si="23"/>
      </c>
      <c r="Q33" s="187" t="str">
        <f t="shared" si="23"/>
      </c>
      <c r="R33" s="189" t="str">
        <f t="shared" si="23"/>
      </c>
    </row>
    <row r="34" s="4" customFormat="1" ht="13.5">
      <c r="B34" s="96"/>
      <c r="C34" s="165"/>
      <c r="D34" s="165"/>
      <c r="E34" s="165"/>
      <c r="F34" s="165"/>
      <c r="G34" s="187"/>
      <c r="H34" s="187"/>
      <c r="I34" s="187"/>
      <c r="J34" s="187"/>
      <c r="K34" s="187"/>
      <c r="L34" s="187"/>
      <c r="M34" s="187"/>
      <c r="N34" s="187"/>
      <c r="O34" s="187"/>
      <c r="P34" s="187"/>
      <c r="Q34" s="187"/>
      <c r="R34" s="189"/>
    </row>
    <row r="35" s="4" customFormat="1" ht="13.5">
      <c r="B35" s="96" t="s">
        <v>348</v>
      </c>
      <c r="C35" s="165"/>
      <c r="D35" s="165"/>
      <c r="E35" s="165"/>
      <c r="F35" s="165"/>
      <c r="G35" s="187" t="str">
        <f t="shared" ref="G35:R35" si="24">IF(G$5="","",G26-G33)</f>
      </c>
      <c r="H35" s="187">
        <f t="shared" si="24"/>
        <v>3514842.3140540915</v>
      </c>
      <c r="I35" s="187">
        <f t="shared" si="24"/>
        <v>26842441.08240959</v>
      </c>
      <c r="J35" s="187">
        <f t="shared" si="24"/>
        <v>60425542.085964806</v>
      </c>
      <c r="K35" s="187">
        <f t="shared" si="24"/>
        <v>66626528.854356512</v>
      </c>
      <c r="L35" s="187">
        <f t="shared" si="24"/>
        <v>69025204.197440907</v>
      </c>
      <c r="M35" s="187">
        <f t="shared" si="24"/>
        <v>5858693.9792853734</v>
      </c>
      <c r="N35" s="187" t="str">
        <f t="shared" si="24"/>
      </c>
      <c r="O35" s="187" t="str">
        <f t="shared" si="24"/>
      </c>
      <c r="P35" s="187" t="str">
        <f t="shared" si="24"/>
      </c>
      <c r="Q35" s="187" t="str">
        <f t="shared" si="24"/>
      </c>
      <c r="R35" s="189" t="str">
        <f t="shared" si="24"/>
      </c>
    </row>
    <row r="36" s="4" customFormat="1" ht="13.5">
      <c r="B36" s="96"/>
      <c r="C36" s="165"/>
      <c r="D36" s="165"/>
      <c r="E36" s="165"/>
      <c r="F36" s="165"/>
      <c r="G36" s="187"/>
      <c r="H36" s="187"/>
      <c r="I36" s="187"/>
      <c r="J36" s="187"/>
      <c r="K36" s="187"/>
      <c r="L36" s="187"/>
      <c r="M36" s="187"/>
      <c r="N36" s="187"/>
      <c r="O36" s="187"/>
      <c r="P36" s="187"/>
      <c r="Q36" s="187"/>
      <c r="R36" s="189"/>
    </row>
    <row r="37" s="4" customFormat="1" ht="13.5">
      <c r="B37" s="96" t="s">
        <v>293</v>
      </c>
      <c r="C37" s="165"/>
      <c r="D37" s="165"/>
      <c r="E37" s="165"/>
      <c r="F37" s="165"/>
      <c r="G37" s="187" t="str">
        <f t="shared" ref="G37:R37" si="25">IF(G$5="","",SUMIF($G$46:$EI$46,G$5,$G77:$EI77))</f>
      </c>
      <c r="H37" s="187">
        <f t="shared" si="25"/>
        <v>0</v>
      </c>
      <c r="I37" s="187">
        <f t="shared" si="25"/>
        <v>0</v>
      </c>
      <c r="J37" s="187">
        <f t="shared" si="25"/>
        <v>0</v>
      </c>
      <c r="K37" s="187">
        <f t="shared" si="25"/>
        <v>1063357.6174999999</v>
      </c>
      <c r="L37" s="187">
        <f t="shared" si="25"/>
        <v>1084624.76985</v>
      </c>
      <c r="M37" s="187">
        <f t="shared" si="25"/>
        <v>92193.105437250008</v>
      </c>
      <c r="N37" s="187" t="str">
        <f t="shared" si="25"/>
      </c>
      <c r="O37" s="187" t="str">
        <f t="shared" si="25"/>
      </c>
      <c r="P37" s="187" t="str">
        <f t="shared" si="25"/>
      </c>
      <c r="Q37" s="187" t="str">
        <f t="shared" si="25"/>
      </c>
      <c r="R37" s="189" t="str">
        <f t="shared" si="25"/>
      </c>
    </row>
    <row r="38" s="4" customFormat="1" ht="13.5">
      <c r="B38" s="96"/>
      <c r="C38" s="165"/>
      <c r="D38" s="165"/>
      <c r="E38" s="165"/>
      <c r="F38" s="165"/>
      <c r="G38" s="187"/>
      <c r="H38" s="187"/>
      <c r="I38" s="187"/>
      <c r="J38" s="187"/>
      <c r="K38" s="187"/>
      <c r="L38" s="187"/>
      <c r="M38" s="187"/>
      <c r="N38" s="187"/>
      <c r="O38" s="187"/>
      <c r="P38" s="187"/>
      <c r="Q38" s="187"/>
      <c r="R38" s="189"/>
    </row>
    <row r="39" s="4" customFormat="1" ht="13.5">
      <c r="B39" s="96" t="s">
        <v>311</v>
      </c>
      <c r="C39" s="165"/>
      <c r="D39" s="165"/>
      <c r="E39" s="165"/>
      <c r="F39" s="165"/>
      <c r="G39" s="187" t="str">
        <f>IF(G$5="","",G35-G37)</f>
      </c>
      <c r="H39" s="187" t="str">
        <f t="shared" ref="H39:R39" si="26">IF(H$5="","",H35-H37)</f>
      </c>
      <c r="I39" s="187">
        <f t="shared" si="26"/>
        <v>26842441.08240959</v>
      </c>
      <c r="J39" s="187">
        <f t="shared" si="26"/>
        <v>60425542.085964806</v>
      </c>
      <c r="K39" s="187">
        <f t="shared" si="26"/>
        <v>65563171.236856513</v>
      </c>
      <c r="L39" s="187">
        <f t="shared" si="26"/>
        <v>67940579.427590907</v>
      </c>
      <c r="M39" s="187">
        <f t="shared" si="26"/>
        <v>5766500.8738481235</v>
      </c>
      <c r="N39" s="187" t="str">
        <f t="shared" si="26"/>
      </c>
      <c r="O39" s="187" t="str">
        <f t="shared" si="26"/>
      </c>
      <c r="P39" s="187" t="str">
        <f t="shared" si="26"/>
      </c>
      <c r="Q39" s="187" t="str">
        <f t="shared" si="26"/>
      </c>
      <c r="R39" s="189" t="str">
        <f t="shared" si="26"/>
      </c>
    </row>
    <row r="40" s="4" customFormat="1" ht="13.5">
      <c r="B40" s="97"/>
      <c r="C40" s="177"/>
      <c r="D40" s="177"/>
      <c r="E40" s="177"/>
      <c r="F40" s="177"/>
      <c r="G40" s="184"/>
      <c r="H40" s="184"/>
      <c r="I40" s="184"/>
      <c r="J40" s="184"/>
      <c r="K40" s="184"/>
      <c r="L40" s="184"/>
      <c r="M40" s="184"/>
      <c r="N40" s="184"/>
      <c r="O40" s="184"/>
      <c r="P40" s="184"/>
      <c r="Q40" s="184"/>
      <c r="R40" s="246"/>
    </row>
    <row r="41" s="4" customFormat="1" ht="13.5">
      <c r="B41" s="115" t="s">
        <v>492</v>
      </c>
      <c r="C41" s="165"/>
      <c r="D41" s="165"/>
      <c r="E41" s="165"/>
      <c r="F41" s="165"/>
      <c r="G41" s="187"/>
      <c r="H41" s="187"/>
      <c r="I41" s="187"/>
      <c r="J41" s="187"/>
      <c r="K41" s="187"/>
      <c r="L41" s="187"/>
      <c r="M41" s="187"/>
      <c r="N41" s="187"/>
      <c r="O41" s="187"/>
      <c r="P41" s="187"/>
      <c r="Q41" s="187"/>
      <c r="R41" s="189"/>
    </row>
    <row r="42" s="4" customFormat="1" ht="13.5">
      <c r="B42" s="96"/>
      <c r="C42" s="165"/>
      <c r="D42" s="165"/>
      <c r="E42" s="165"/>
      <c r="F42" s="165"/>
      <c r="G42" s="187"/>
      <c r="H42" s="187"/>
      <c r="I42" s="187"/>
      <c r="J42" s="187"/>
      <c r="K42" s="187"/>
      <c r="L42" s="187"/>
      <c r="M42" s="187"/>
      <c r="N42" s="187"/>
      <c r="O42" s="187"/>
      <c r="P42" s="187"/>
      <c r="Q42" s="187"/>
      <c r="R42" s="189"/>
    </row>
    <row r="43" s="4" customFormat="1" ht="13.5">
      <c r="B43" s="96" t="s">
        <v>389</v>
      </c>
      <c r="C43" s="165"/>
      <c r="D43" s="165"/>
      <c r="E43" s="165"/>
      <c r="F43" s="165"/>
      <c r="G43" s="187" t="str">
        <f t="shared" ref="G43:R43" si="27">IF(G$5="","",SUMIF($G$46:$EI$46,G$5,$G93:$EI93))</f>
      </c>
      <c r="H43" s="187">
        <f t="shared" si="27"/>
        <v>-51956777.781553194</v>
      </c>
      <c r="I43" s="187">
        <f t="shared" si="27"/>
        <v>-191390857.92232051</v>
      </c>
      <c r="J43" s="187">
        <f t="shared" si="27"/>
        <v>18727681.84812041</v>
      </c>
      <c r="K43" s="187">
        <f t="shared" si="27"/>
        <v>65563171.236856498</v>
      </c>
      <c r="L43" s="187">
        <f t="shared" si="27"/>
        <v>67940579.427590907</v>
      </c>
      <c r="M43" s="187">
        <f t="shared" si="27"/>
        <v>1041811474.3019903</v>
      </c>
      <c r="N43" s="187" t="str">
        <f t="shared" si="27"/>
      </c>
      <c r="O43" s="187" t="str">
        <f t="shared" si="27"/>
      </c>
      <c r="P43" s="187" t="str">
        <f t="shared" si="27"/>
      </c>
      <c r="Q43" s="187" t="str">
        <f t="shared" si="27"/>
      </c>
      <c r="R43" s="189" t="str">
        <f t="shared" si="27"/>
      </c>
    </row>
    <row r="44" s="4" customFormat="1" ht="13.5">
      <c r="B44" s="96" t="s">
        <v>391</v>
      </c>
      <c r="C44" s="165"/>
      <c r="D44" s="165"/>
      <c r="E44" s="165"/>
      <c r="F44" s="165"/>
      <c r="G44" s="187" t="str">
        <f t="shared" ref="G44:R44" si="28">IF(G$5="","",SUMIF($G$46:$EI$46,G$5,$G94:$EI94))</f>
      </c>
      <c r="H44" s="187">
        <f t="shared" si="28"/>
        <v>-48206250.670410231</v>
      </c>
      <c r="I44" s="187">
        <f t="shared" si="28"/>
        <v>-26438079.982606292</v>
      </c>
      <c r="J44" s="187">
        <f t="shared" si="28"/>
        <v>40133704.888006359</v>
      </c>
      <c r="K44" s="187">
        <f t="shared" si="28"/>
        <v>44412642.670037091</v>
      </c>
      <c r="L44" s="187">
        <f t="shared" si="28"/>
        <v>44805985.391816676</v>
      </c>
      <c r="M44" s="187">
        <f t="shared" si="28"/>
        <v>826365826.66164982</v>
      </c>
      <c r="N44" s="187" t="str">
        <f t="shared" si="28"/>
      </c>
      <c r="O44" s="187" t="str">
        <f t="shared" si="28"/>
      </c>
      <c r="P44" s="187" t="str">
        <f t="shared" si="28"/>
      </c>
      <c r="Q44" s="187" t="str">
        <f t="shared" si="28"/>
      </c>
      <c r="R44" s="189" t="str">
        <f t="shared" si="28"/>
      </c>
    </row>
    <row r="45" s="4" customFormat="1" ht="13.5">
      <c r="B45" s="182"/>
      <c r="C45" s="177"/>
      <c r="D45" s="177"/>
      <c r="E45" s="177"/>
      <c r="F45" s="177"/>
      <c r="G45" s="184"/>
      <c r="H45" s="184"/>
      <c r="I45" s="184"/>
      <c r="J45" s="184"/>
      <c r="K45" s="184"/>
      <c r="L45" s="184"/>
      <c r="M45" s="184"/>
      <c r="N45" s="184"/>
      <c r="O45" s="184"/>
      <c r="P45" s="184"/>
      <c r="Q45" s="184"/>
      <c r="R45" s="246"/>
    </row>
    <row r="46">
      <c r="F46" s="105" t="s">
        <v>493</v>
      </c>
      <c r="G46" s="247" t="str">
        <f>IF(G47="","",Underwriting!L2)</f>
      </c>
      <c r="H46" s="247" t="n">
        <f>IF(H47="","",Underwriting!M2)</f>
        <v>1</v>
      </c>
      <c r="I46" s="247" t="n">
        <f>IF(I47="","",Underwriting!N2)</f>
        <v>1</v>
      </c>
      <c r="J46" s="247" t="n">
        <f>IF(J47="","",Underwriting!O2)</f>
        <v>1</v>
      </c>
      <c r="K46" s="247" t="n">
        <f>IF(K47="","",Underwriting!P2)</f>
        <v>1</v>
      </c>
      <c r="L46" s="247" t="n">
        <f>IF(L47="","",Underwriting!Q2)</f>
        <v>1</v>
      </c>
      <c r="M46" s="247" t="n">
        <f>IF(M47="","",Underwriting!R2)</f>
        <v>1</v>
      </c>
      <c r="N46" s="247" t="n">
        <f>IF(N47="","",Underwriting!S2)</f>
        <v>1</v>
      </c>
      <c r="O46" s="247" t="n">
        <f>IF(O47="","",Underwriting!T2)</f>
        <v>1</v>
      </c>
      <c r="P46" s="247" t="n">
        <f>IF(P47="","",Underwriting!U2)</f>
        <v>1</v>
      </c>
      <c r="Q46" s="247" t="n">
        <f>IF(Q47="","",Underwriting!V2)</f>
        <v>1</v>
      </c>
      <c r="R46" s="247" t="n">
        <f>IF(R47="","",Underwriting!W2)</f>
        <v>1</v>
      </c>
      <c r="S46" s="183" t="n">
        <f>IF(S47="","",Underwriting!X2)</f>
        <v>1</v>
      </c>
      <c r="T46" s="183" t="n">
        <f>IF(T47="","",Underwriting!Y2)</f>
        <v>2</v>
      </c>
      <c r="U46" s="183" t="n">
        <f>IF(U47="","",Underwriting!Z2)</f>
        <v>2</v>
      </c>
      <c r="V46" s="183" t="n">
        <f>IF(V47="","",Underwriting!AA2)</f>
        <v>2</v>
      </c>
      <c r="W46" s="183" t="n">
        <f>IF(W47="","",Underwriting!AB2)</f>
        <v>2</v>
      </c>
      <c r="X46" s="183" t="n">
        <f>IF(X47="","",Underwriting!AC2)</f>
        <v>2</v>
      </c>
      <c r="Y46" s="183" t="n">
        <f>IF(Y47="","",Underwriting!AD2)</f>
        <v>2</v>
      </c>
      <c r="Z46" s="183" t="n">
        <f>IF(Z47="","",Underwriting!AE2)</f>
        <v>2</v>
      </c>
      <c r="AA46" s="183" t="n">
        <f>IF(AA47="","",Underwriting!AF2)</f>
        <v>2</v>
      </c>
      <c r="AB46" s="183" t="n">
        <f>IF(AB47="","",Underwriting!AG2)</f>
        <v>2</v>
      </c>
      <c r="AC46" s="183" t="n">
        <f>IF(AC47="","",Underwriting!AH2)</f>
        <v>2</v>
      </c>
      <c r="AD46" s="183" t="n">
        <f>IF(AD47="","",Underwriting!AI2)</f>
        <v>2</v>
      </c>
      <c r="AE46" s="183" t="n">
        <f>IF(AE47="","",Underwriting!AJ2)</f>
        <v>2</v>
      </c>
      <c r="AF46" s="183" t="n">
        <f>IF(AF47="","",Underwriting!AK2)</f>
        <v>3</v>
      </c>
      <c r="AG46" s="183" t="n">
        <f>IF(AG47="","",Underwriting!AL2)</f>
        <v>3</v>
      </c>
      <c r="AH46" s="183" t="n">
        <f>IF(AH47="","",Underwriting!AM2)</f>
        <v>3</v>
      </c>
      <c r="AI46" s="183" t="n">
        <f>IF(AI47="","",Underwriting!AN2)</f>
        <v>3</v>
      </c>
      <c r="AJ46" s="183" t="n">
        <f>IF(AJ47="","",Underwriting!AO2)</f>
        <v>3</v>
      </c>
      <c r="AK46" s="183" t="n">
        <f>IF(AK47="","",Underwriting!AP2)</f>
        <v>3</v>
      </c>
      <c r="AL46" s="183" t="n">
        <f>IF(AL47="","",Underwriting!AQ2)</f>
        <v>3</v>
      </c>
      <c r="AM46" s="183" t="n">
        <f>IF(AM47="","",Underwriting!AR2)</f>
        <v>3</v>
      </c>
      <c r="AN46" s="183" t="n">
        <f>IF(AN47="","",Underwriting!AS2)</f>
        <v>3</v>
      </c>
      <c r="AO46" s="183" t="n">
        <f>IF(AO47="","",Underwriting!AT2)</f>
        <v>3</v>
      </c>
      <c r="AP46" s="183" t="n">
        <f>IF(AP47="","",Underwriting!AU2)</f>
        <v>3</v>
      </c>
      <c r="AQ46" s="183" t="n">
        <f>IF(AQ47="","",Underwriting!AV2)</f>
        <v>3</v>
      </c>
      <c r="AR46" s="183" t="n">
        <f>IF(AR47="","",Underwriting!AW2)</f>
        <v>4</v>
      </c>
      <c r="AS46" s="183" t="n">
        <f>IF(AS47="","",Underwriting!AX2)</f>
        <v>4</v>
      </c>
      <c r="AT46" s="183" t="n">
        <f>IF(AT47="","",Underwriting!AY2)</f>
        <v>4</v>
      </c>
      <c r="AU46" s="183" t="n">
        <f>IF(AU47="","",Underwriting!AZ2)</f>
        <v>4</v>
      </c>
      <c r="AV46" s="183" t="n">
        <f>IF(AV47="","",Underwriting!BA2)</f>
        <v>4</v>
      </c>
      <c r="AW46" s="183" t="n">
        <f>IF(AW47="","",Underwriting!BB2)</f>
        <v>4</v>
      </c>
      <c r="AX46" s="183" t="n">
        <f>IF(AX47="","",Underwriting!BC2)</f>
        <v>4</v>
      </c>
      <c r="AY46" s="183" t="n">
        <f>IF(AY47="","",Underwriting!BD2)</f>
        <v>4</v>
      </c>
      <c r="AZ46" s="183" t="n">
        <f>IF(AZ47="","",Underwriting!BE2)</f>
        <v>4</v>
      </c>
      <c r="BA46" s="183" t="n">
        <f>IF(BA47="","",Underwriting!BF2)</f>
        <v>4</v>
      </c>
      <c r="BB46" s="183" t="n">
        <f>IF(BB47="","",Underwriting!BG2)</f>
        <v>4</v>
      </c>
      <c r="BC46" s="183" t="n">
        <f>IF(BC47="","",Underwriting!BH2)</f>
        <v>4</v>
      </c>
      <c r="BD46" s="183" t="n">
        <f>IF(BD47="","",Underwriting!BI2)</f>
        <v>5</v>
      </c>
      <c r="BE46" s="183" t="n">
        <f>IF(BE47="","",Underwriting!BJ2)</f>
        <v>5</v>
      </c>
      <c r="BF46" s="183" t="n">
        <f>IF(BF47="","",Underwriting!BK2)</f>
        <v>5</v>
      </c>
      <c r="BG46" s="183" t="n">
        <f>IF(BG47="","",Underwriting!BL2)</f>
        <v>5</v>
      </c>
      <c r="BH46" s="183" t="n">
        <f>IF(BH47="","",Underwriting!BM2)</f>
        <v>5</v>
      </c>
      <c r="BI46" s="183" t="n">
        <f>IF(BI47="","",Underwriting!BN2)</f>
        <v>5</v>
      </c>
      <c r="BJ46" s="183" t="n">
        <f>IF(BJ47="","",Underwriting!BO2)</f>
        <v>5</v>
      </c>
      <c r="BK46" s="183" t="n">
        <f>IF(BK47="","",Underwriting!BP2)</f>
        <v>5</v>
      </c>
      <c r="BL46" s="183" t="n">
        <f>IF(BL47="","",Underwriting!BQ2)</f>
        <v>5</v>
      </c>
      <c r="BM46" s="183" t="n">
        <f>IF(BM47="","",Underwriting!BR2)</f>
        <v>5</v>
      </c>
      <c r="BN46" s="183" t="n">
        <f>IF(BN47="","",Underwriting!BS2)</f>
        <v>5</v>
      </c>
      <c r="BO46" s="183" t="n">
        <f>IF(BO47="","",Underwriting!BT2)</f>
        <v>5</v>
      </c>
      <c r="BP46" s="183" t="n">
        <f>IF(BP47="","",Underwriting!BU2)</f>
        <v>6</v>
      </c>
      <c r="BQ46" s="183" t="str">
        <f>IF(BQ47="","",Underwriting!BV2)</f>
      </c>
      <c r="BR46" s="183" t="str">
        <f>IF(BR47="","",Underwriting!BW2)</f>
      </c>
      <c r="BS46" s="183" t="str">
        <f>IF(BS47="","",Underwriting!BX2)</f>
      </c>
      <c r="BT46" s="183" t="str">
        <f>IF(BT47="","",Underwriting!BY2)</f>
      </c>
      <c r="BU46" s="183" t="str">
        <f>IF(BU47="","",Underwriting!BZ2)</f>
      </c>
      <c r="BV46" s="183" t="str">
        <f>IF(BV47="","",Underwriting!CA2)</f>
      </c>
      <c r="BW46" s="183" t="str">
        <f>IF(BW47="","",Underwriting!CB2)</f>
      </c>
      <c r="BX46" s="183" t="str">
        <f>IF(BX47="","",Underwriting!CC2)</f>
      </c>
      <c r="BY46" s="183" t="str">
        <f>IF(BY47="","",Underwriting!CD2)</f>
      </c>
      <c r="BZ46" s="183" t="str">
        <f>IF(BZ47="","",Underwriting!CE2)</f>
      </c>
      <c r="CA46" s="183" t="str">
        <f>IF(CA47="","",Underwriting!CF2)</f>
      </c>
      <c r="CB46" s="183" t="str">
        <f>IF(CB47="","",Underwriting!CG2)</f>
      </c>
      <c r="CC46" s="183" t="str">
        <f>IF(CC47="","",Underwriting!CH2)</f>
      </c>
      <c r="CD46" s="183" t="str">
        <f>IF(CD47="","",Underwriting!CI2)</f>
      </c>
      <c r="CE46" s="183" t="str">
        <f>IF(CE47="","",Underwriting!CJ2)</f>
      </c>
      <c r="CF46" s="183" t="str">
        <f>IF(CF47="","",Underwriting!CK2)</f>
      </c>
      <c r="CG46" s="183" t="str">
        <f>IF(CG47="","",Underwriting!CL2)</f>
      </c>
      <c r="CH46" s="183" t="str">
        <f>IF(CH47="","",Underwriting!CM2)</f>
      </c>
      <c r="CI46" s="183" t="str">
        <f>IF(CI47="","",Underwriting!CN2)</f>
      </c>
      <c r="CJ46" s="183" t="str">
        <f>IF(CJ47="","",Underwriting!CO2)</f>
      </c>
      <c r="CK46" s="183" t="str">
        <f>IF(CK47="","",Underwriting!CP2)</f>
      </c>
      <c r="CL46" s="183" t="str">
        <f>IF(CL47="","",Underwriting!CQ2)</f>
      </c>
      <c r="CM46" s="183" t="str">
        <f>IF(CM47="","",Underwriting!CR2)</f>
      </c>
      <c r="CN46" s="183" t="str">
        <f>IF(CN47="","",Underwriting!CS2)</f>
      </c>
      <c r="CO46" s="183" t="str">
        <f>IF(CO47="","",Underwriting!CT2)</f>
      </c>
      <c r="CP46" s="183" t="str">
        <f>IF(CP47="","",Underwriting!CU2)</f>
      </c>
      <c r="CQ46" s="183" t="str">
        <f>IF(CQ47="","",Underwriting!CV2)</f>
      </c>
      <c r="CR46" s="183" t="str">
        <f>IF(CR47="","",Underwriting!CW2)</f>
      </c>
      <c r="CS46" s="183" t="str">
        <f>IF(CS47="","",Underwriting!CX2)</f>
      </c>
      <c r="CT46" s="183" t="str">
        <f>IF(CT47="","",Underwriting!CY2)</f>
      </c>
      <c r="CU46" s="183" t="str">
        <f>IF(CU47="","",Underwriting!CZ2)</f>
      </c>
      <c r="CV46" s="183" t="str">
        <f>IF(CV47="","",Underwriting!DA2)</f>
      </c>
      <c r="CW46" s="183" t="str">
        <f>IF(CW47="","",Underwriting!DB2)</f>
      </c>
      <c r="CX46" s="183" t="str">
        <f>IF(CX47="","",Underwriting!DC2)</f>
      </c>
      <c r="CY46" s="183" t="str">
        <f>IF(CY47="","",Underwriting!DD2)</f>
      </c>
      <c r="CZ46" s="183" t="str">
        <f>IF(CZ47="","",Underwriting!DE2)</f>
      </c>
      <c r="DA46" s="183" t="str">
        <f>IF(DA47="","",Underwriting!DF2)</f>
      </c>
      <c r="DB46" s="183" t="str">
        <f>IF(DB47="","",Underwriting!DG2)</f>
      </c>
      <c r="DC46" s="183" t="str">
        <f>IF(DC47="","",Underwriting!DH2)</f>
      </c>
      <c r="DD46" s="183" t="str">
        <f>IF(DD47="","",Underwriting!DI2)</f>
      </c>
      <c r="DE46" s="183" t="str">
        <f>IF(DE47="","",Underwriting!DJ2)</f>
      </c>
      <c r="DF46" s="183" t="str">
        <f>IF(DF47="","",Underwriting!DK2)</f>
      </c>
      <c r="DG46" s="183" t="str">
        <f>IF(DG47="","",Underwriting!DL2)</f>
      </c>
      <c r="DH46" s="183" t="str">
        <f>IF(DH47="","",Underwriting!DM2)</f>
      </c>
      <c r="DI46" s="183" t="str">
        <f>IF(DI47="","",Underwriting!DN2)</f>
      </c>
      <c r="DJ46" s="183" t="str">
        <f>IF(DJ47="","",Underwriting!DO2)</f>
      </c>
      <c r="DK46" s="183" t="str">
        <f>IF(DK47="","",Underwriting!DP2)</f>
      </c>
      <c r="DL46" s="183" t="str">
        <f>IF(DL47="","",Underwriting!DQ2)</f>
      </c>
      <c r="DM46" s="183" t="str">
        <f>IF(DM47="","",Underwriting!DR2)</f>
      </c>
      <c r="DN46" s="183" t="str">
        <f>IF(DN47="","",Underwriting!DS2)</f>
      </c>
      <c r="DO46" s="183" t="str">
        <f>IF(DO47="","",Underwriting!DT2)</f>
      </c>
      <c r="DP46" s="183" t="str">
        <f>IF(DP47="","",Underwriting!DU2)</f>
      </c>
      <c r="DQ46" s="183" t="str">
        <f>IF(DQ47="","",Underwriting!DV2)</f>
      </c>
      <c r="DR46" s="183" t="str">
        <f>IF(DR47="","",Underwriting!DW2)</f>
      </c>
      <c r="DS46" s="183" t="str">
        <f>IF(DS47="","",Underwriting!DX2)</f>
      </c>
      <c r="DT46" s="183" t="str">
        <f>IF(DT47="","",Underwriting!DY2)</f>
      </c>
      <c r="DU46" s="183" t="str">
        <f>IF(DU47="","",Underwriting!DZ2)</f>
      </c>
      <c r="DV46" s="183" t="str">
        <f>IF(DV47="","",Underwriting!EA2)</f>
      </c>
      <c r="DW46" s="183" t="str">
        <f>IF(DW47="","",Underwriting!EB2)</f>
      </c>
      <c r="DX46" s="183" t="str">
        <f>IF(DX47="","",Underwriting!EC2)</f>
      </c>
      <c r="DY46" s="183" t="str">
        <f>IF(DY47="","",Underwriting!ED2)</f>
      </c>
      <c r="DZ46" s="183" t="str">
        <f>IF(DZ47="","",Underwriting!EE2)</f>
      </c>
      <c r="EA46" s="183" t="str">
        <f>IF(EA47="","",Underwriting!EF2)</f>
      </c>
      <c r="EB46" s="183" t="str">
        <f>IF(EB47="","",Underwriting!EG2)</f>
      </c>
      <c r="EC46" s="183" t="str">
        <f>IF(EC47="","",Underwriting!EH2)</f>
      </c>
      <c r="ED46" s="183" t="str">
        <f>IF(ED47="","",Underwriting!EI2)</f>
      </c>
      <c r="EE46" s="183" t="str">
        <f>IF(EE47="","",Underwriting!EJ2)</f>
      </c>
      <c r="EF46" s="183" t="str">
        <f>IF(EF47="","",Underwriting!EK2)</f>
      </c>
      <c r="EG46" s="183" t="str">
        <f>IF(EG47="","",Underwriting!EL2)</f>
      </c>
      <c r="EH46" s="183" t="str">
        <f>IF(EH47="","",Underwriting!EM2)</f>
      </c>
      <c r="EI46" s="183" t="str">
        <f>IF(EI47="","",Underwriting!EN2)</f>
      </c>
    </row>
    <row r="47">
      <c r="B47" s="4" t="s">
        <v>494</v>
      </c>
      <c r="C47" s="4"/>
      <c r="D47" s="4"/>
      <c r="E47" s="4"/>
      <c r="F47" s="4" t="s">
        <v>495</v>
      </c>
      <c r="G47" s="668" t="str">
        <f>Underwriting!L195</f>
      </c>
      <c r="H47" s="668" t="n">
        <f>Underwriting!M195</f>
        <v>46234</v>
      </c>
      <c r="I47" s="668" t="n">
        <f>Underwriting!N195</f>
        <v>46265</v>
      </c>
      <c r="J47" s="668" t="n">
        <f>Underwriting!O195</f>
        <v>46295</v>
      </c>
      <c r="K47" s="668" t="n">
        <f>Underwriting!P195</f>
        <v>46326</v>
      </c>
      <c r="L47" s="668" t="n">
        <f>Underwriting!Q195</f>
        <v>46356</v>
      </c>
      <c r="M47" s="668" t="n">
        <f>Underwriting!R195</f>
        <v>46387</v>
      </c>
      <c r="N47" s="668" t="n">
        <f>Underwriting!S195</f>
        <v>46418</v>
      </c>
      <c r="O47" s="668" t="n">
        <f>Underwriting!T195</f>
        <v>46446</v>
      </c>
      <c r="P47" s="668" t="n">
        <f>Underwriting!U195</f>
        <v>46477</v>
      </c>
      <c r="Q47" s="668" t="n">
        <f>Underwriting!V195</f>
        <v>46507</v>
      </c>
      <c r="R47" s="668" t="n">
        <f>Underwriting!W195</f>
        <v>46538</v>
      </c>
      <c r="S47" s="669" t="n">
        <f>Underwriting!X195</f>
        <v>46568</v>
      </c>
      <c r="T47" s="669" t="n">
        <f>Underwriting!Y195</f>
        <v>46599</v>
      </c>
      <c r="U47" s="669" t="n">
        <f>Underwriting!Z195</f>
        <v>46630</v>
      </c>
      <c r="V47" s="669" t="n">
        <f>Underwriting!AA195</f>
        <v>46660</v>
      </c>
      <c r="W47" s="669" t="n">
        <f>Underwriting!AB195</f>
        <v>46691</v>
      </c>
      <c r="X47" s="669" t="n">
        <f>Underwriting!AC195</f>
        <v>46721</v>
      </c>
      <c r="Y47" s="669" t="n">
        <f>Underwriting!AD195</f>
        <v>46752</v>
      </c>
      <c r="Z47" s="669" t="n">
        <f>Underwriting!AE195</f>
        <v>46783</v>
      </c>
      <c r="AA47" s="669" t="n">
        <f>Underwriting!AF195</f>
        <v>46812</v>
      </c>
      <c r="AB47" s="669" t="n">
        <f>Underwriting!AG195</f>
        <v>46843</v>
      </c>
      <c r="AC47" s="669" t="n">
        <f>Underwriting!AH195</f>
        <v>46873</v>
      </c>
      <c r="AD47" s="669" t="n">
        <f>Underwriting!AI195</f>
        <v>46904</v>
      </c>
      <c r="AE47" s="669" t="n">
        <f>Underwriting!AJ195</f>
        <v>46934</v>
      </c>
      <c r="AF47" s="669" t="n">
        <f>Underwriting!AK195</f>
        <v>46965</v>
      </c>
      <c r="AG47" s="669" t="n">
        <f>Underwriting!AL195</f>
        <v>46996</v>
      </c>
      <c r="AH47" s="669" t="n">
        <f>Underwriting!AM195</f>
        <v>47026</v>
      </c>
      <c r="AI47" s="669" t="n">
        <f>Underwriting!AN195</f>
        <v>47057</v>
      </c>
      <c r="AJ47" s="669" t="n">
        <f>Underwriting!AO195</f>
        <v>47087</v>
      </c>
      <c r="AK47" s="669" t="n">
        <f>Underwriting!AP195</f>
        <v>47118</v>
      </c>
      <c r="AL47" s="669" t="n">
        <f>Underwriting!AQ195</f>
        <v>47149</v>
      </c>
      <c r="AM47" s="669" t="n">
        <f>Underwriting!AR195</f>
        <v>47177</v>
      </c>
      <c r="AN47" s="669" t="n">
        <f>Underwriting!AS195</f>
        <v>47208</v>
      </c>
      <c r="AO47" s="669" t="n">
        <f>Underwriting!AT195</f>
        <v>47238</v>
      </c>
      <c r="AP47" s="669" t="n">
        <f>Underwriting!AU195</f>
        <v>47269</v>
      </c>
      <c r="AQ47" s="669" t="n">
        <f>Underwriting!AV195</f>
        <v>47299</v>
      </c>
      <c r="AR47" s="669" t="n">
        <f>Underwriting!AW195</f>
        <v>47330</v>
      </c>
      <c r="AS47" s="669" t="n">
        <f>Underwriting!AX195</f>
        <v>47361</v>
      </c>
      <c r="AT47" s="669" t="n">
        <f>Underwriting!AY195</f>
        <v>47391</v>
      </c>
      <c r="AU47" s="669" t="n">
        <f>Underwriting!AZ195</f>
        <v>47422</v>
      </c>
      <c r="AV47" s="669" t="n">
        <f>Underwriting!BA195</f>
        <v>47452</v>
      </c>
      <c r="AW47" s="669" t="n">
        <f>Underwriting!BB195</f>
        <v>47483</v>
      </c>
      <c r="AX47" s="669" t="n">
        <f>Underwriting!BC195</f>
        <v>47514</v>
      </c>
      <c r="AY47" s="669" t="n">
        <f>Underwriting!BD195</f>
        <v>47542</v>
      </c>
      <c r="AZ47" s="669" t="n">
        <f>Underwriting!BE195</f>
        <v>47573</v>
      </c>
      <c r="BA47" s="669" t="n">
        <f>Underwriting!BF195</f>
        <v>47603</v>
      </c>
      <c r="BB47" s="669" t="n">
        <f>Underwriting!BG195</f>
        <v>47634</v>
      </c>
      <c r="BC47" s="669" t="n">
        <f>Underwriting!BH195</f>
        <v>47664</v>
      </c>
      <c r="BD47" s="669" t="n">
        <f>Underwriting!BI195</f>
        <v>47695</v>
      </c>
      <c r="BE47" s="669" t="n">
        <f>Underwriting!BJ195</f>
        <v>47726</v>
      </c>
      <c r="BF47" s="669" t="n">
        <f>Underwriting!BK195</f>
        <v>47756</v>
      </c>
      <c r="BG47" s="669" t="n">
        <f>Underwriting!BL195</f>
        <v>47787</v>
      </c>
      <c r="BH47" s="669" t="n">
        <f>Underwriting!BM195</f>
        <v>47817</v>
      </c>
      <c r="BI47" s="669" t="n">
        <f>Underwriting!BN195</f>
        <v>47848</v>
      </c>
      <c r="BJ47" s="669" t="n">
        <f>Underwriting!BO195</f>
        <v>47879</v>
      </c>
      <c r="BK47" s="669" t="n">
        <f>Underwriting!BP195</f>
        <v>47907</v>
      </c>
      <c r="BL47" s="669" t="n">
        <f>Underwriting!BQ195</f>
        <v>47938</v>
      </c>
      <c r="BM47" s="669" t="n">
        <f>Underwriting!BR195</f>
        <v>47968</v>
      </c>
      <c r="BN47" s="669" t="n">
        <f>Underwriting!BS195</f>
        <v>47999</v>
      </c>
      <c r="BO47" s="669" t="n">
        <f>Underwriting!BT195</f>
        <v>48029</v>
      </c>
      <c r="BP47" s="669" t="n">
        <f>Underwriting!BU195</f>
        <v>48060</v>
      </c>
      <c r="BQ47" s="669" t="n">
        <f>Underwriting!BV195</f>
        <v>0</v>
      </c>
      <c r="BR47" s="669" t="n">
        <f>Underwriting!BW195</f>
        <v>0</v>
      </c>
      <c r="BS47" s="669" t="n">
        <f>Underwriting!BX195</f>
        <v>0</v>
      </c>
      <c r="BT47" s="669" t="n">
        <f>Underwriting!BY195</f>
        <v>0</v>
      </c>
      <c r="BU47" s="669" t="n">
        <f>Underwriting!BZ195</f>
        <v>0</v>
      </c>
      <c r="BV47" s="669" t="n">
        <f>Underwriting!CA195</f>
        <v>0</v>
      </c>
      <c r="BW47" s="669" t="n">
        <f>Underwriting!CB195</f>
        <v>0</v>
      </c>
      <c r="BX47" s="669" t="n">
        <f>Underwriting!CC195</f>
        <v>0</v>
      </c>
      <c r="BY47" s="669" t="n">
        <f>Underwriting!CD195</f>
        <v>0</v>
      </c>
      <c r="BZ47" s="669" t="n">
        <f>Underwriting!CE195</f>
        <v>0</v>
      </c>
      <c r="CA47" s="669" t="n">
        <f>Underwriting!CF195</f>
        <v>0</v>
      </c>
      <c r="CB47" s="669" t="n">
        <f>Underwriting!CG195</f>
        <v>0</v>
      </c>
      <c r="CC47" s="669" t="n">
        <f>Underwriting!CH195</f>
        <v>0</v>
      </c>
      <c r="CD47" s="669" t="n">
        <f>Underwriting!CI195</f>
        <v>0</v>
      </c>
      <c r="CE47" s="669" t="n">
        <f>Underwriting!CJ195</f>
        <v>0</v>
      </c>
      <c r="CF47" s="669" t="n">
        <f>Underwriting!CK195</f>
        <v>0</v>
      </c>
      <c r="CG47" s="669" t="n">
        <f>Underwriting!CL195</f>
        <v>0</v>
      </c>
      <c r="CH47" s="669" t="n">
        <f>Underwriting!CM195</f>
        <v>0</v>
      </c>
      <c r="CI47" s="669" t="n">
        <f>Underwriting!CN195</f>
        <v>0</v>
      </c>
      <c r="CJ47" s="669" t="n">
        <f>Underwriting!CO195</f>
        <v>0</v>
      </c>
      <c r="CK47" s="669" t="n">
        <f>Underwriting!CP195</f>
        <v>0</v>
      </c>
      <c r="CL47" s="669" t="n">
        <f>Underwriting!CQ195</f>
        <v>0</v>
      </c>
      <c r="CM47" s="669" t="n">
        <f>Underwriting!CR195</f>
        <v>0</v>
      </c>
      <c r="CN47" s="669" t="n">
        <f>Underwriting!CS195</f>
        <v>0</v>
      </c>
      <c r="CO47" s="669" t="n">
        <f>Underwriting!CT195</f>
        <v>0</v>
      </c>
      <c r="CP47" s="669" t="n">
        <f>Underwriting!CU195</f>
        <v>0</v>
      </c>
      <c r="CQ47" s="669" t="n">
        <f>Underwriting!CV195</f>
        <v>0</v>
      </c>
      <c r="CR47" s="669" t="n">
        <f>Underwriting!CW195</f>
        <v>0</v>
      </c>
      <c r="CS47" s="669" t="n">
        <f>Underwriting!CX195</f>
        <v>0</v>
      </c>
      <c r="CT47" s="669" t="n">
        <f>Underwriting!CY195</f>
        <v>0</v>
      </c>
      <c r="CU47" s="669" t="n">
        <f>Underwriting!CZ195</f>
        <v>0</v>
      </c>
      <c r="CV47" s="669" t="n">
        <f>Underwriting!DA195</f>
        <v>0</v>
      </c>
      <c r="CW47" s="669" t="n">
        <f>Underwriting!DB195</f>
        <v>0</v>
      </c>
      <c r="CX47" s="669" t="n">
        <f>Underwriting!DC195</f>
        <v>0</v>
      </c>
      <c r="CY47" s="669" t="n">
        <f>Underwriting!DD195</f>
        <v>0</v>
      </c>
      <c r="CZ47" s="669" t="n">
        <f>Underwriting!DE195</f>
        <v>0</v>
      </c>
      <c r="DA47" s="669" t="n">
        <f>Underwriting!DF195</f>
        <v>0</v>
      </c>
      <c r="DB47" s="669" t="n">
        <f>Underwriting!DG195</f>
        <v>0</v>
      </c>
      <c r="DC47" s="669" t="n">
        <f>Underwriting!DH195</f>
        <v>0</v>
      </c>
      <c r="DD47" s="669" t="n">
        <f>Underwriting!DI195</f>
        <v>0</v>
      </c>
      <c r="DE47" s="669" t="n">
        <f>Underwriting!DJ195</f>
        <v>0</v>
      </c>
      <c r="DF47" s="669" t="n">
        <f>Underwriting!DK195</f>
        <v>0</v>
      </c>
      <c r="DG47" s="669" t="n">
        <f>Underwriting!DL195</f>
        <v>0</v>
      </c>
      <c r="DH47" s="669" t="n">
        <f>Underwriting!DM195</f>
        <v>0</v>
      </c>
      <c r="DI47" s="669" t="n">
        <f>Underwriting!DN195</f>
        <v>0</v>
      </c>
      <c r="DJ47" s="669" t="n">
        <f>Underwriting!DO195</f>
        <v>0</v>
      </c>
      <c r="DK47" s="669" t="n">
        <f>Underwriting!DP195</f>
        <v>0</v>
      </c>
      <c r="DL47" s="669" t="n">
        <f>Underwriting!DQ195</f>
        <v>0</v>
      </c>
      <c r="DM47" s="669" t="n">
        <f>Underwriting!DR195</f>
        <v>0</v>
      </c>
      <c r="DN47" s="669" t="n">
        <f>Underwriting!DS195</f>
        <v>0</v>
      </c>
      <c r="DO47" s="669" t="n">
        <f>Underwriting!DT195</f>
        <v>0</v>
      </c>
      <c r="DP47" s="669" t="n">
        <f>Underwriting!DU195</f>
        <v>0</v>
      </c>
      <c r="DQ47" s="669" t="n">
        <f>Underwriting!DV195</f>
        <v>0</v>
      </c>
      <c r="DR47" s="669" t="n">
        <f>Underwriting!DW195</f>
        <v>0</v>
      </c>
      <c r="DS47" s="669" t="n">
        <f>Underwriting!DX195</f>
        <v>0</v>
      </c>
      <c r="DT47" s="669" t="n">
        <f>Underwriting!DY195</f>
        <v>0</v>
      </c>
      <c r="DU47" s="669" t="n">
        <f>Underwriting!DZ195</f>
        <v>0</v>
      </c>
      <c r="DV47" s="669" t="n">
        <f>Underwriting!EA195</f>
        <v>0</v>
      </c>
      <c r="DW47" s="669" t="n">
        <f>Underwriting!EB195</f>
        <v>0</v>
      </c>
      <c r="DX47" s="669" t="n">
        <f>Underwriting!EC195</f>
        <v>0</v>
      </c>
      <c r="DY47" s="669" t="n">
        <f>Underwriting!ED195</f>
        <v>0</v>
      </c>
      <c r="DZ47" s="669" t="n">
        <f>Underwriting!EE195</f>
        <v>0</v>
      </c>
      <c r="EA47" s="669" t="n">
        <f>Underwriting!EF195</f>
        <v>0</v>
      </c>
      <c r="EB47" s="669" t="n">
        <f>Underwriting!EG195</f>
        <v>0</v>
      </c>
      <c r="EC47" s="669" t="n">
        <f>Underwriting!EH195</f>
        <v>0</v>
      </c>
      <c r="ED47" s="669" t="n">
        <f>Underwriting!EI195</f>
        <v>0</v>
      </c>
      <c r="EE47" s="669" t="n">
        <f>Underwriting!EJ195</f>
        <v>0</v>
      </c>
      <c r="EF47" s="669" t="n">
        <f>Underwriting!EK195</f>
        <v>0</v>
      </c>
      <c r="EG47" s="669" t="n">
        <f>Underwriting!EL195</f>
        <v>0</v>
      </c>
      <c r="EH47" s="669" t="n">
        <f>Underwriting!EM195</f>
        <v>0</v>
      </c>
      <c r="EI47" s="669" t="n">
        <f>Underwriting!EN195</f>
        <v>0</v>
      </c>
    </row>
    <row r="48">
      <c r="B48" s="164" t="s">
        <v>135</v>
      </c>
      <c r="C48" s="4"/>
      <c r="D48" s="4"/>
      <c r="E48" s="4"/>
      <c r="F48" s="4"/>
      <c r="G48" s="172" t="str">
        <f>IF(G$47="","",Underwriting!L31)</f>
      </c>
      <c r="H48" s="172" t="n">
        <f>IF(H$47="","",Underwriting!M31)</f>
        <v>0</v>
      </c>
      <c r="I48" s="172" t="n">
        <f>IF(I$47="","",Underwriting!N31)</f>
        <v>0</v>
      </c>
      <c r="J48" s="172" t="n">
        <f>IF(J$47="","",Underwriting!O31)</f>
        <v>0</v>
      </c>
      <c r="K48" s="172" t="n">
        <f>IF(K$47="","",Underwriting!P31)</f>
        <v>0</v>
      </c>
      <c r="L48" s="172" t="n">
        <f>IF(L$47="","",Underwriting!Q31)</f>
        <v>0</v>
      </c>
      <c r="M48" s="172" t="n">
        <f>IF(M$47="","",Underwriting!R31)</f>
        <v>0</v>
      </c>
      <c r="N48" s="172" t="n">
        <f>IF(N$47="","",Underwriting!S31)</f>
        <v>0</v>
      </c>
      <c r="O48" s="172" t="n">
        <f>IF(O$47="","",Underwriting!T31)</f>
        <v>0</v>
      </c>
      <c r="P48" s="172" t="n">
        <f>IF(P$47="","",Underwriting!U31)</f>
        <v>0</v>
      </c>
      <c r="Q48" s="172" t="n">
        <f>IF(Q$47="","",Underwriting!V31)</f>
        <v>0</v>
      </c>
      <c r="R48" s="172" t="n">
        <f>IF(R$47="","",Underwriting!W31)</f>
        <v>0</v>
      </c>
      <c r="S48" s="172" t="n">
        <f>IF(S$47="","",Underwriting!X31)</f>
        <v>0</v>
      </c>
      <c r="T48" s="172" t="n">
        <f>IF(T$47="","",Underwriting!Y31)</f>
        <v>0</v>
      </c>
      <c r="U48" s="172" t="n">
        <f>IF(U$47="","",Underwriting!Z31)</f>
        <v>0</v>
      </c>
      <c r="V48" s="172" t="n">
        <f>IF(V$47="","",Underwriting!AA31)</f>
        <v>0</v>
      </c>
      <c r="W48" s="172" t="n">
        <f>IF(W$47="","",Underwriting!AB31)</f>
        <v>0</v>
      </c>
      <c r="X48" s="172" t="n">
        <f>IF(X$47="","",Underwriting!AC31)</f>
        <v>0</v>
      </c>
      <c r="Y48" s="172" t="n">
        <f>IF(Y$47="","",Underwriting!AD31)</f>
        <v>0</v>
      </c>
      <c r="Z48" s="172" t="n">
        <f>IF(Z$47="","",Underwriting!AE31)</f>
        <v>0</v>
      </c>
      <c r="AA48" s="172" t="n">
        <f>IF(AA$47="","",Underwriting!AF31)</f>
        <v>0</v>
      </c>
      <c r="AB48" s="172" t="n">
        <f>IF(AB$47="","",Underwriting!AG31)</f>
        <v>0</v>
      </c>
      <c r="AC48" s="172" t="n">
        <f>IF(AC$47="","",Underwriting!AH31)</f>
        <v>0</v>
      </c>
      <c r="AD48" s="172" t="n">
        <f>IF(AD$47="","",Underwriting!AI31)</f>
        <v>0</v>
      </c>
      <c r="AE48" s="172" t="n">
        <f>IF(AE$47="","",Underwriting!AJ31)</f>
        <v>0</v>
      </c>
      <c r="AF48" s="172" t="n">
        <f>IF(AF$47="","",Underwriting!AK31)</f>
        <v>0</v>
      </c>
      <c r="AG48" s="172" t="n">
        <f>IF(AG$47="","",Underwriting!AL31)</f>
        <v>0</v>
      </c>
      <c r="AH48" s="172" t="n">
        <f>IF(AH$47="","",Underwriting!AM31)</f>
        <v>0</v>
      </c>
      <c r="AI48" s="172" t="n">
        <f>IF(AI$47="","",Underwriting!AN31)</f>
        <v>0</v>
      </c>
      <c r="AJ48" s="172" t="n">
        <f>IF(AJ$47="","",Underwriting!AO31)</f>
        <v>0</v>
      </c>
      <c r="AK48" s="172" t="n">
        <f>IF(AK$47="","",Underwriting!AP31)</f>
        <v>0</v>
      </c>
      <c r="AL48" s="172" t="n">
        <f>IF(AL$47="","",Underwriting!AQ31)</f>
        <v>0</v>
      </c>
      <c r="AM48" s="172" t="n">
        <f>IF(AM$47="","",Underwriting!AR31)</f>
        <v>0</v>
      </c>
      <c r="AN48" s="172" t="n">
        <f>IF(AN$47="","",Underwriting!AS31)</f>
        <v>0</v>
      </c>
      <c r="AO48" s="172" t="n">
        <f>IF(AO$47="","",Underwriting!AT31)</f>
        <v>0</v>
      </c>
      <c r="AP48" s="172" t="n">
        <f>IF(AP$47="","",Underwriting!AU31)</f>
        <v>0</v>
      </c>
      <c r="AQ48" s="172" t="n">
        <f>IF(AQ$47="","",Underwriting!AV31)</f>
        <v>0</v>
      </c>
      <c r="AR48" s="172" t="n">
        <f>IF(AR$47="","",Underwriting!AW31)</f>
        <v>0</v>
      </c>
      <c r="AS48" s="172" t="n">
        <f>IF(AS$47="","",Underwriting!AX31)</f>
        <v>0</v>
      </c>
      <c r="AT48" s="172" t="n">
        <f>IF(AT$47="","",Underwriting!AY31)</f>
        <v>0</v>
      </c>
      <c r="AU48" s="172" t="n">
        <f>IF(AU$47="","",Underwriting!AZ31)</f>
        <v>0</v>
      </c>
      <c r="AV48" s="172" t="n">
        <f>IF(AV$47="","",Underwriting!BA31)</f>
        <v>0</v>
      </c>
      <c r="AW48" s="172" t="n">
        <f>IF(AW$47="","",Underwriting!BB31)</f>
        <v>0</v>
      </c>
      <c r="AX48" s="172" t="n">
        <f>IF(AX$47="","",Underwriting!BC31)</f>
        <v>0</v>
      </c>
      <c r="AY48" s="172" t="n">
        <f>IF(AY$47="","",Underwriting!BD31)</f>
        <v>0</v>
      </c>
      <c r="AZ48" s="172" t="n">
        <f>IF(AZ$47="","",Underwriting!BE31)</f>
        <v>0</v>
      </c>
      <c r="BA48" s="172" t="n">
        <f>IF(BA$47="","",Underwriting!BF31)</f>
        <v>0</v>
      </c>
      <c r="BB48" s="172" t="n">
        <f>IF(BB$47="","",Underwriting!BG31)</f>
        <v>0</v>
      </c>
      <c r="BC48" s="172" t="n">
        <f>IF(BC$47="","",Underwriting!BH31)</f>
        <v>0</v>
      </c>
      <c r="BD48" s="172" t="n">
        <f>IF(BD$47="","",Underwriting!BI31)</f>
        <v>0</v>
      </c>
      <c r="BE48" s="172" t="n">
        <f>IF(BE$47="","",Underwriting!BJ31)</f>
        <v>0</v>
      </c>
      <c r="BF48" s="172" t="n">
        <f>IF(BF$47="","",Underwriting!BK31)</f>
        <v>0</v>
      </c>
      <c r="BG48" s="172" t="n">
        <f>IF(BG$47="","",Underwriting!BL31)</f>
        <v>0</v>
      </c>
      <c r="BH48" s="172" t="n">
        <f>IF(BH$47="","",Underwriting!BM31)</f>
        <v>0</v>
      </c>
      <c r="BI48" s="172" t="n">
        <f>IF(BI$47="","",Underwriting!BN31)</f>
        <v>0</v>
      </c>
      <c r="BJ48" s="172" t="n">
        <f>IF(BJ$47="","",Underwriting!BO31)</f>
        <v>0</v>
      </c>
      <c r="BK48" s="172" t="n">
        <f>IF(BK$47="","",Underwriting!BP31)</f>
        <v>0</v>
      </c>
      <c r="BL48" s="172" t="n">
        <f>IF(BL$47="","",Underwriting!BQ31)</f>
        <v>0</v>
      </c>
      <c r="BM48" s="172" t="n">
        <f>IF(BM$47="","",Underwriting!BR31)</f>
        <v>0</v>
      </c>
      <c r="BN48" s="172" t="n">
        <f>IF(BN$47="","",Underwriting!BS31)</f>
        <v>0</v>
      </c>
      <c r="BO48" s="172" t="n">
        <f>IF(BO$47="","",Underwriting!BT31)</f>
        <v>0</v>
      </c>
      <c r="BP48" s="172" t="n">
        <f>IF(BP$47="","",Underwriting!BU31)</f>
        <v>0</v>
      </c>
      <c r="BQ48" s="172" t="str">
        <f>IF(BQ$47="","",Underwriting!BV31)</f>
      </c>
      <c r="BR48" s="172" t="str">
        <f>IF(BR$47="","",Underwriting!BW31)</f>
      </c>
      <c r="BS48" s="172" t="str">
        <f>IF(BS$47="","",Underwriting!BX31)</f>
      </c>
      <c r="BT48" s="172" t="str">
        <f>IF(BT$47="","",Underwriting!BY31)</f>
      </c>
      <c r="BU48" s="172" t="str">
        <f>IF(BU$47="","",Underwriting!BZ31)</f>
      </c>
      <c r="BV48" s="172" t="str">
        <f>IF(BV$47="","",Underwriting!CA31)</f>
      </c>
      <c r="BW48" s="172" t="str">
        <f>IF(BW$47="","",Underwriting!CB31)</f>
      </c>
      <c r="BX48" s="172" t="str">
        <f>IF(BX$47="","",Underwriting!CC31)</f>
      </c>
      <c r="BY48" s="172" t="str">
        <f>IF(BY$47="","",Underwriting!CD31)</f>
      </c>
      <c r="BZ48" s="172" t="str">
        <f>IF(BZ$47="","",Underwriting!CE31)</f>
      </c>
      <c r="CA48" s="172" t="str">
        <f>IF(CA$47="","",Underwriting!CF31)</f>
      </c>
      <c r="CB48" s="172" t="str">
        <f>IF(CB$47="","",Underwriting!CG31)</f>
      </c>
      <c r="CC48" s="172" t="str">
        <f>IF(CC$47="","",Underwriting!CH31)</f>
      </c>
      <c r="CD48" s="172" t="str">
        <f>IF(CD$47="","",Underwriting!CI31)</f>
      </c>
      <c r="CE48" s="172" t="str">
        <f>IF(CE$47="","",Underwriting!CJ31)</f>
      </c>
      <c r="CF48" s="172" t="str">
        <f>IF(CF$47="","",Underwriting!CK31)</f>
      </c>
      <c r="CG48" s="172" t="str">
        <f>IF(CG$47="","",Underwriting!CL31)</f>
      </c>
      <c r="CH48" s="172" t="str">
        <f>IF(CH$47="","",Underwriting!CM31)</f>
      </c>
      <c r="CI48" s="172" t="str">
        <f>IF(CI$47="","",Underwriting!CN31)</f>
      </c>
      <c r="CJ48" s="172" t="str">
        <f>IF(CJ$47="","",Underwriting!CO31)</f>
      </c>
      <c r="CK48" s="172" t="str">
        <f>IF(CK$47="","",Underwriting!CP31)</f>
      </c>
      <c r="CL48" s="172" t="str">
        <f>IF(CL$47="","",Underwriting!CQ31)</f>
      </c>
      <c r="CM48" s="172" t="str">
        <f>IF(CM$47="","",Underwriting!CR31)</f>
      </c>
      <c r="CN48" s="172" t="str">
        <f>IF(CN$47="","",Underwriting!CS31)</f>
      </c>
      <c r="CO48" s="172" t="str">
        <f>IF(CO$47="","",Underwriting!CT31)</f>
      </c>
      <c r="CP48" s="172" t="str">
        <f>IF(CP$47="","",Underwriting!CU31)</f>
      </c>
      <c r="CQ48" s="172" t="str">
        <f>IF(CQ$47="","",Underwriting!CV31)</f>
      </c>
      <c r="CR48" s="172" t="str">
        <f>IF(CR$47="","",Underwriting!CW31)</f>
      </c>
      <c r="CS48" s="172" t="str">
        <f>IF(CS$47="","",Underwriting!CX31)</f>
      </c>
      <c r="CT48" s="172" t="str">
        <f>IF(CT$47="","",Underwriting!CY31)</f>
      </c>
      <c r="CU48" s="172" t="str">
        <f>IF(CU$47="","",Underwriting!CZ31)</f>
      </c>
      <c r="CV48" s="172" t="str">
        <f>IF(CV$47="","",Underwriting!DA31)</f>
      </c>
      <c r="CW48" s="172" t="str">
        <f>IF(CW$47="","",Underwriting!DB31)</f>
      </c>
      <c r="CX48" s="172" t="str">
        <f>IF(CX$47="","",Underwriting!DC31)</f>
      </c>
      <c r="CY48" s="172" t="str">
        <f>IF(CY$47="","",Underwriting!DD31)</f>
      </c>
      <c r="CZ48" s="172" t="str">
        <f>IF(CZ$47="","",Underwriting!DE31)</f>
      </c>
      <c r="DA48" s="172" t="str">
        <f>IF(DA$47="","",Underwriting!DF31)</f>
      </c>
      <c r="DB48" s="172" t="str">
        <f>IF(DB$47="","",Underwriting!DG31)</f>
      </c>
      <c r="DC48" s="172" t="str">
        <f>IF(DC$47="","",Underwriting!DH31)</f>
      </c>
      <c r="DD48" s="172" t="str">
        <f>IF(DD$47="","",Underwriting!DI31)</f>
      </c>
      <c r="DE48" s="172" t="str">
        <f>IF(DE$47="","",Underwriting!DJ31)</f>
      </c>
      <c r="DF48" s="172" t="str">
        <f>IF(DF$47="","",Underwriting!DK31)</f>
      </c>
      <c r="DG48" s="172" t="str">
        <f>IF(DG$47="","",Underwriting!DL31)</f>
      </c>
      <c r="DH48" s="172" t="str">
        <f>IF(DH$47="","",Underwriting!DM31)</f>
      </c>
      <c r="DI48" s="172" t="str">
        <f>IF(DI$47="","",Underwriting!DN31)</f>
      </c>
      <c r="DJ48" s="172" t="str">
        <f>IF(DJ$47="","",Underwriting!DO31)</f>
      </c>
      <c r="DK48" s="172" t="str">
        <f>IF(DK$47="","",Underwriting!DP31)</f>
      </c>
      <c r="DL48" s="172" t="str">
        <f>IF(DL$47="","",Underwriting!DQ31)</f>
      </c>
      <c r="DM48" s="172" t="str">
        <f>IF(DM$47="","",Underwriting!DR31)</f>
      </c>
      <c r="DN48" s="172" t="str">
        <f>IF(DN$47="","",Underwriting!DS31)</f>
      </c>
      <c r="DO48" s="172" t="str">
        <f>IF(DO$47="","",Underwriting!DT31)</f>
      </c>
      <c r="DP48" s="172" t="str">
        <f>IF(DP$47="","",Underwriting!DU31)</f>
      </c>
      <c r="DQ48" s="172" t="str">
        <f>IF(DQ$47="","",Underwriting!DV31)</f>
      </c>
      <c r="DR48" s="172" t="str">
        <f>IF(DR$47="","",Underwriting!DW31)</f>
      </c>
      <c r="DS48" s="172" t="str">
        <f>IF(DS$47="","",Underwriting!DX31)</f>
      </c>
      <c r="DT48" s="172" t="str">
        <f>IF(DT$47="","",Underwriting!DY31)</f>
      </c>
      <c r="DU48" s="172" t="str">
        <f>IF(DU$47="","",Underwriting!DZ31)</f>
      </c>
      <c r="DV48" s="172" t="str">
        <f>IF(DV$47="","",Underwriting!EA31)</f>
      </c>
      <c r="DW48" s="172" t="str">
        <f>IF(DW$47="","",Underwriting!EB31)</f>
      </c>
      <c r="DX48" s="172" t="str">
        <f>IF(DX$47="","",Underwriting!EC31)</f>
      </c>
      <c r="DY48" s="172" t="str">
        <f>IF(DY$47="","",Underwriting!ED31)</f>
      </c>
      <c r="DZ48" s="172" t="str">
        <f>IF(DZ$47="","",Underwriting!EE31)</f>
      </c>
      <c r="EA48" s="172" t="str">
        <f>IF(EA$47="","",Underwriting!EF31)</f>
      </c>
      <c r="EB48" s="172" t="str">
        <f>IF(EB$47="","",Underwriting!EG31)</f>
      </c>
      <c r="EC48" s="172" t="str">
        <f>IF(EC$47="","",Underwriting!EH31)</f>
      </c>
      <c r="ED48" s="172" t="str">
        <f>IF(ED$47="","",Underwriting!EI31)</f>
      </c>
      <c r="EE48" s="172" t="str">
        <f>IF(EE$47="","",Underwriting!EJ31)</f>
      </c>
      <c r="EF48" s="172" t="str">
        <f>IF(EF$47="","",Underwriting!EK31)</f>
      </c>
      <c r="EG48" s="172" t="str">
        <f>IF(EG$47="","",Underwriting!EL31)</f>
      </c>
      <c r="EH48" s="172" t="str">
        <f>IF(EH$47="","",Underwriting!EM31)</f>
      </c>
      <c r="EI48" s="172" t="str">
        <f>IF(EI$47="","",Underwriting!EN31)</f>
      </c>
    </row>
    <row r="49">
      <c r="B49" s="164" t="s">
        <v>482</v>
      </c>
      <c r="C49" s="4"/>
      <c r="D49" s="4"/>
      <c r="E49" s="4"/>
      <c r="F49" s="4"/>
      <c r="G49" s="172" t="str">
        <f>IF(G$47="","",Underwriting!L38)</f>
      </c>
      <c r="H49" s="172" t="n">
        <f>IF(H$47="","",Underwriting!M38)</f>
        <v>-100892.8237358164</v>
      </c>
      <c r="I49" s="172" t="n">
        <f>IF(I$47="","",Underwriting!N38)</f>
        <v>170317.57335215877</v>
      </c>
      <c r="J49" s="172" t="n">
        <f>IF(J$47="","",Underwriting!O38)</f>
        <v>557650.6541499208</v>
      </c>
      <c r="K49" s="172" t="n">
        <f>IF(K$47="","",Underwriting!P38)</f>
        <v>1094287.4844426755</v>
      </c>
      <c r="L49" s="172" t="n">
        <f>IF(L$47="","",Underwriting!Q38)</f>
        <v>1815120.9716493976</v>
      </c>
      <c r="M49" s="172" t="n">
        <f>IF(M$47="","",Underwriting!R38)</f>
        <v>2753177.670029392</v>
      </c>
      <c r="N49" s="172" t="n">
        <f>IF(N$47="","",Underwriting!S38)</f>
        <v>3934760.112479771</v>
      </c>
      <c r="O49" s="172" t="n">
        <f>IF(O$47="","",Underwriting!T38)</f>
        <v>5373664.257545585</v>
      </c>
      <c r="P49" s="172" t="n">
        <f>IF(P$47="","",Underwriting!U38)</f>
        <v>7065163.651583814</v>
      </c>
      <c r="Q49" s="172" t="n">
        <f>IF(Q$47="","",Underwriting!V38)</f>
        <v>8980751.963331705</v>
      </c>
      <c r="R49" s="172" t="n">
        <f>IF(R$47="","",Underwriting!W38)</f>
        <v>11064805.605489833</v>
      </c>
      <c r="S49" s="172" t="n">
        <f>IF(S$47="","",Underwriting!X38)</f>
        <v>13234281.1379953</v>
      </c>
      <c r="T49" s="172" t="n">
        <f>IF(T$47="","",Underwriting!Y38)</f>
        <v>15382246.512724983</v>
      </c>
      <c r="U49" s="172" t="n">
        <f>IF(U$47="","",Underwriting!Z38)</f>
        <v>17385471.482058503</v>
      </c>
      <c r="V49" s="172" t="n">
        <f>IF(V$47="","",Underwriting!AA38)</f>
        <v>19115556.058013067</v>
      </c>
      <c r="W49" s="172" t="n">
        <f>IF(W$47="","",Underwriting!AB38)</f>
        <v>20452308.06807132</v>
      </c>
      <c r="X49" s="172" t="n">
        <f>IF(X$47="","",Underwriting!AC38)</f>
        <v>21297476.217184056</v>
      </c>
      <c r="Y49" s="172" t="n">
        <f>IF(Y$47="","",Underwriting!AD38)</f>
        <v>21586672.281520337</v>
      </c>
      <c r="Z49" s="172" t="n">
        <f>IF(Z$47="","",Underwriting!AE38)</f>
        <v>21297476.217184074</v>
      </c>
      <c r="AA49" s="172" t="n">
        <f>IF(AA$47="","",Underwriting!AF38)</f>
        <v>20452308.068071283</v>
      </c>
      <c r="AB49" s="172" t="n">
        <f>IF(AB$47="","",Underwriting!AG38)</f>
        <v>19115556.058013104</v>
      </c>
      <c r="AC49" s="172" t="n">
        <f>IF(AC$47="","",Underwriting!AH38)</f>
        <v>17385471.482058477</v>
      </c>
      <c r="AD49" s="172" t="n">
        <f>IF(AD$47="","",Underwriting!AI38)</f>
        <v>15382246.512724983</v>
      </c>
      <c r="AE49" s="172" t="n">
        <f>IF(AE$47="","",Underwriting!AJ38)</f>
        <v>13234281.137995327</v>
      </c>
      <c r="AF49" s="172" t="n">
        <f>IF(AF$47="","",Underwriting!AK38)</f>
        <v>11064805.605489803</v>
      </c>
      <c r="AG49" s="172" t="n">
        <f>IF(AG$47="","",Underwriting!AL38)</f>
        <v>8980751.963331705</v>
      </c>
      <c r="AH49" s="172" t="n">
        <f>IF(AH$47="","",Underwriting!AM38)</f>
        <v>7065163.651583838</v>
      </c>
      <c r="AI49" s="172" t="n">
        <f>IF(AI$47="","",Underwriting!AN38)</f>
        <v>5373664.257545568</v>
      </c>
      <c r="AJ49" s="172" t="n">
        <f>IF(AJ$47="","",Underwriting!AO38)</f>
        <v>3934760.112479772</v>
      </c>
      <c r="AK49" s="172" t="n">
        <f>IF(AK$47="","",Underwriting!AP38)</f>
        <v>2753177.670029406</v>
      </c>
      <c r="AL49" s="172" t="n">
        <f>IF(AL$47="","",Underwriting!AQ38)</f>
        <v>1815120.9716493823</v>
      </c>
      <c r="AM49" s="172" t="n">
        <f>IF(AM$47="","",Underwriting!AR38)</f>
        <v>1094287.4844426815</v>
      </c>
      <c r="AN49" s="172" t="n">
        <f>IF(AN$47="","",Underwriting!AS38)</f>
        <v>557650.6541499017</v>
      </c>
      <c r="AO49" s="172" t="n">
        <f>IF(AO$47="","",Underwriting!AT38)</f>
        <v>170317.57335218112</v>
      </c>
      <c r="AP49" s="172" t="n">
        <f>IF(AP$47="","",Underwriting!AU38)</f>
        <v>-100892.82373583224</v>
      </c>
      <c r="AQ49" s="172" t="n">
        <f>IF(AQ$47="","",Underwriting!AV38)</f>
        <v>-285207.09482578107</v>
      </c>
      <c r="AR49" s="172" t="n">
        <f>IF(AR$47="","",Underwriting!AW38)</f>
        <v>0</v>
      </c>
      <c r="AS49" s="172" t="n">
        <f>IF(AS$47="","",Underwriting!AX38)</f>
        <v>0</v>
      </c>
      <c r="AT49" s="172" t="n">
        <f>IF(AT$47="","",Underwriting!AY38)</f>
        <v>0</v>
      </c>
      <c r="AU49" s="172" t="n">
        <f>IF(AU$47="","",Underwriting!AZ38)</f>
        <v>0</v>
      </c>
      <c r="AV49" s="172" t="n">
        <f>IF(AV$47="","",Underwriting!BA38)</f>
        <v>0</v>
      </c>
      <c r="AW49" s="172" t="n">
        <f>IF(AW$47="","",Underwriting!BB38)</f>
        <v>0</v>
      </c>
      <c r="AX49" s="172" t="n">
        <f>IF(AX$47="","",Underwriting!BC38)</f>
        <v>0</v>
      </c>
      <c r="AY49" s="172" t="n">
        <f>IF(AY$47="","",Underwriting!BD38)</f>
        <v>0</v>
      </c>
      <c r="AZ49" s="172" t="n">
        <f>IF(AZ$47="","",Underwriting!BE38)</f>
        <v>0</v>
      </c>
      <c r="BA49" s="172" t="n">
        <f>IF(BA$47="","",Underwriting!BF38)</f>
        <v>0</v>
      </c>
      <c r="BB49" s="172" t="n">
        <f>IF(BB$47="","",Underwriting!BG38)</f>
        <v>0</v>
      </c>
      <c r="BC49" s="172" t="n">
        <f>IF(BC$47="","",Underwriting!BH38)</f>
        <v>0</v>
      </c>
      <c r="BD49" s="172" t="n">
        <f>IF(BD$47="","",Underwriting!BI38)</f>
        <v>0</v>
      </c>
      <c r="BE49" s="172" t="n">
        <f>IF(BE$47="","",Underwriting!BJ38)</f>
        <v>0</v>
      </c>
      <c r="BF49" s="172" t="n">
        <f>IF(BF$47="","",Underwriting!BK38)</f>
        <v>0</v>
      </c>
      <c r="BG49" s="172" t="n">
        <f>IF(BG$47="","",Underwriting!BL38)</f>
        <v>0</v>
      </c>
      <c r="BH49" s="172" t="n">
        <f>IF(BH$47="","",Underwriting!BM38)</f>
        <v>0</v>
      </c>
      <c r="BI49" s="172" t="n">
        <f>IF(BI$47="","",Underwriting!BN38)</f>
        <v>0</v>
      </c>
      <c r="BJ49" s="172" t="n">
        <f>IF(BJ$47="","",Underwriting!BO38)</f>
        <v>0</v>
      </c>
      <c r="BK49" s="172" t="n">
        <f>IF(BK$47="","",Underwriting!BP38)</f>
        <v>0</v>
      </c>
      <c r="BL49" s="172" t="n">
        <f>IF(BL$47="","",Underwriting!BQ38)</f>
        <v>0</v>
      </c>
      <c r="BM49" s="172" t="n">
        <f>IF(BM$47="","",Underwriting!BR38)</f>
        <v>0</v>
      </c>
      <c r="BN49" s="172" t="n">
        <f>IF(BN$47="","",Underwriting!BS38)</f>
        <v>0</v>
      </c>
      <c r="BO49" s="172" t="n">
        <f>IF(BO$47="","",Underwriting!BT38)</f>
        <v>0</v>
      </c>
      <c r="BP49" s="172" t="n">
        <f>IF(BP$47="","",Underwriting!BU38)</f>
        <v>0</v>
      </c>
      <c r="BQ49" s="172" t="str">
        <f>IF(BQ$47="","",Underwriting!BV38)</f>
      </c>
      <c r="BR49" s="172" t="str">
        <f>IF(BR$47="","",Underwriting!BW38)</f>
      </c>
      <c r="BS49" s="172" t="str">
        <f>IF(BS$47="","",Underwriting!BX38)</f>
      </c>
      <c r="BT49" s="172" t="str">
        <f>IF(BT$47="","",Underwriting!BY38)</f>
      </c>
      <c r="BU49" s="172" t="str">
        <f>IF(BU$47="","",Underwriting!BZ38)</f>
      </c>
      <c r="BV49" s="172" t="str">
        <f>IF(BV$47="","",Underwriting!CA38)</f>
      </c>
      <c r="BW49" s="172" t="str">
        <f>IF(BW$47="","",Underwriting!CB38)</f>
      </c>
      <c r="BX49" s="172" t="str">
        <f>IF(BX$47="","",Underwriting!CC38)</f>
      </c>
      <c r="BY49" s="172" t="str">
        <f>IF(BY$47="","",Underwriting!CD38)</f>
      </c>
      <c r="BZ49" s="172" t="str">
        <f>IF(BZ$47="","",Underwriting!CE38)</f>
      </c>
      <c r="CA49" s="172" t="str">
        <f>IF(CA$47="","",Underwriting!CF38)</f>
      </c>
      <c r="CB49" s="172" t="str">
        <f>IF(CB$47="","",Underwriting!CG38)</f>
      </c>
      <c r="CC49" s="172" t="str">
        <f>IF(CC$47="","",Underwriting!CH38)</f>
      </c>
      <c r="CD49" s="172" t="str">
        <f>IF(CD$47="","",Underwriting!CI38)</f>
      </c>
      <c r="CE49" s="172" t="str">
        <f>IF(CE$47="","",Underwriting!CJ38)</f>
      </c>
      <c r="CF49" s="172" t="str">
        <f>IF(CF$47="","",Underwriting!CK38)</f>
      </c>
      <c r="CG49" s="172" t="str">
        <f>IF(CG$47="","",Underwriting!CL38)</f>
      </c>
      <c r="CH49" s="172" t="str">
        <f>IF(CH$47="","",Underwriting!CM38)</f>
      </c>
      <c r="CI49" s="172" t="str">
        <f>IF(CI$47="","",Underwriting!CN38)</f>
      </c>
      <c r="CJ49" s="172" t="str">
        <f>IF(CJ$47="","",Underwriting!CO38)</f>
      </c>
      <c r="CK49" s="172" t="str">
        <f>IF(CK$47="","",Underwriting!CP38)</f>
      </c>
      <c r="CL49" s="172" t="str">
        <f>IF(CL$47="","",Underwriting!CQ38)</f>
      </c>
      <c r="CM49" s="172" t="str">
        <f>IF(CM$47="","",Underwriting!CR38)</f>
      </c>
      <c r="CN49" s="172" t="str">
        <f>IF(CN$47="","",Underwriting!CS38)</f>
      </c>
      <c r="CO49" s="172" t="str">
        <f>IF(CO$47="","",Underwriting!CT38)</f>
      </c>
      <c r="CP49" s="172" t="str">
        <f>IF(CP$47="","",Underwriting!CU38)</f>
      </c>
      <c r="CQ49" s="172" t="str">
        <f>IF(CQ$47="","",Underwriting!CV38)</f>
      </c>
      <c r="CR49" s="172" t="str">
        <f>IF(CR$47="","",Underwriting!CW38)</f>
      </c>
      <c r="CS49" s="172" t="str">
        <f>IF(CS$47="","",Underwriting!CX38)</f>
      </c>
      <c r="CT49" s="172" t="str">
        <f>IF(CT$47="","",Underwriting!CY38)</f>
      </c>
      <c r="CU49" s="172" t="str">
        <f>IF(CU$47="","",Underwriting!CZ38)</f>
      </c>
      <c r="CV49" s="172" t="str">
        <f>IF(CV$47="","",Underwriting!DA38)</f>
      </c>
      <c r="CW49" s="172" t="str">
        <f>IF(CW$47="","",Underwriting!DB38)</f>
      </c>
      <c r="CX49" s="172" t="str">
        <f>IF(CX$47="","",Underwriting!DC38)</f>
      </c>
      <c r="CY49" s="172" t="str">
        <f>IF(CY$47="","",Underwriting!DD38)</f>
      </c>
      <c r="CZ49" s="172" t="str">
        <f>IF(CZ$47="","",Underwriting!DE38)</f>
      </c>
      <c r="DA49" s="172" t="str">
        <f>IF(DA$47="","",Underwriting!DF38)</f>
      </c>
      <c r="DB49" s="172" t="str">
        <f>IF(DB$47="","",Underwriting!DG38)</f>
      </c>
      <c r="DC49" s="172" t="str">
        <f>IF(DC$47="","",Underwriting!DH38)</f>
      </c>
      <c r="DD49" s="172" t="str">
        <f>IF(DD$47="","",Underwriting!DI38)</f>
      </c>
      <c r="DE49" s="172" t="str">
        <f>IF(DE$47="","",Underwriting!DJ38)</f>
      </c>
      <c r="DF49" s="172" t="str">
        <f>IF(DF$47="","",Underwriting!DK38)</f>
      </c>
      <c r="DG49" s="172" t="str">
        <f>IF(DG$47="","",Underwriting!DL38)</f>
      </c>
      <c r="DH49" s="172" t="str">
        <f>IF(DH$47="","",Underwriting!DM38)</f>
      </c>
      <c r="DI49" s="172" t="str">
        <f>IF(DI$47="","",Underwriting!DN38)</f>
      </c>
      <c r="DJ49" s="172" t="str">
        <f>IF(DJ$47="","",Underwriting!DO38)</f>
      </c>
      <c r="DK49" s="172" t="str">
        <f>IF(DK$47="","",Underwriting!DP38)</f>
      </c>
      <c r="DL49" s="172" t="str">
        <f>IF(DL$47="","",Underwriting!DQ38)</f>
      </c>
      <c r="DM49" s="172" t="str">
        <f>IF(DM$47="","",Underwriting!DR38)</f>
      </c>
      <c r="DN49" s="172" t="str">
        <f>IF(DN$47="","",Underwriting!DS38)</f>
      </c>
      <c r="DO49" s="172" t="str">
        <f>IF(DO$47="","",Underwriting!DT38)</f>
      </c>
      <c r="DP49" s="172" t="str">
        <f>IF(DP$47="","",Underwriting!DU38)</f>
      </c>
      <c r="DQ49" s="172" t="str">
        <f>IF(DQ$47="","",Underwriting!DV38)</f>
      </c>
      <c r="DR49" s="172" t="str">
        <f>IF(DR$47="","",Underwriting!DW38)</f>
      </c>
      <c r="DS49" s="172" t="str">
        <f>IF(DS$47="","",Underwriting!DX38)</f>
      </c>
      <c r="DT49" s="172" t="str">
        <f>IF(DT$47="","",Underwriting!DY38)</f>
      </c>
      <c r="DU49" s="172" t="str">
        <f>IF(DU$47="","",Underwriting!DZ38)</f>
      </c>
      <c r="DV49" s="172" t="str">
        <f>IF(DV$47="","",Underwriting!EA38)</f>
      </c>
      <c r="DW49" s="172" t="str">
        <f>IF(DW$47="","",Underwriting!EB38)</f>
      </c>
      <c r="DX49" s="172" t="str">
        <f>IF(DX$47="","",Underwriting!EC38)</f>
      </c>
      <c r="DY49" s="172" t="str">
        <f>IF(DY$47="","",Underwriting!ED38)</f>
      </c>
      <c r="DZ49" s="172" t="str">
        <f>IF(DZ$47="","",Underwriting!EE38)</f>
      </c>
      <c r="EA49" s="172" t="str">
        <f>IF(EA$47="","",Underwriting!EF38)</f>
      </c>
      <c r="EB49" s="172" t="str">
        <f>IF(EB$47="","",Underwriting!EG38)</f>
      </c>
      <c r="EC49" s="172" t="str">
        <f>IF(EC$47="","",Underwriting!EH38)</f>
      </c>
      <c r="ED49" s="172" t="str">
        <f>IF(ED$47="","",Underwriting!EI38)</f>
      </c>
      <c r="EE49" s="172" t="str">
        <f>IF(EE$47="","",Underwriting!EJ38)</f>
      </c>
      <c r="EF49" s="172" t="str">
        <f>IF(EF$47="","",Underwriting!EK38)</f>
      </c>
      <c r="EG49" s="172" t="str">
        <f>IF(EG$47="","",Underwriting!EL38)</f>
      </c>
      <c r="EH49" s="172" t="str">
        <f>IF(EH$47="","",Underwriting!EM38)</f>
      </c>
      <c r="EI49" s="172" t="str">
        <f>IF(EI$47="","",Underwriting!EN38)</f>
      </c>
    </row>
    <row r="50">
      <c r="B50" s="164" t="s">
        <v>483</v>
      </c>
      <c r="C50" s="4"/>
      <c r="D50" s="4"/>
      <c r="E50" s="4"/>
      <c r="F50" s="4"/>
      <c r="G50" s="173" t="str">
        <f>IF(G$47="","",Underwriting!L47)</f>
      </c>
      <c r="H50" s="173" t="n">
        <f>IF(H$47="","",Underwriting!M47)</f>
        <v>0</v>
      </c>
      <c r="I50" s="173" t="n">
        <f>IF(I$47="","",Underwriting!N47)</f>
        <v>0</v>
      </c>
      <c r="J50" s="173" t="n">
        <f>IF(J$47="","",Underwriting!O47)</f>
        <v>0</v>
      </c>
      <c r="K50" s="173" t="n">
        <f>IF(K$47="","",Underwriting!P47)</f>
        <v>0</v>
      </c>
      <c r="L50" s="173" t="n">
        <f>IF(L$47="","",Underwriting!Q47)</f>
        <v>0</v>
      </c>
      <c r="M50" s="173" t="n">
        <f>IF(M$47="","",Underwriting!R47)</f>
        <v>0</v>
      </c>
      <c r="N50" s="173" t="n">
        <f>IF(N$47="","",Underwriting!S47)</f>
        <v>0</v>
      </c>
      <c r="O50" s="173" t="n">
        <f>IF(O$47="","",Underwriting!T47)</f>
        <v>0</v>
      </c>
      <c r="P50" s="173" t="n">
        <f>IF(P$47="","",Underwriting!U47)</f>
        <v>0</v>
      </c>
      <c r="Q50" s="173" t="n">
        <f>IF(Q$47="","",Underwriting!V47)</f>
        <v>0</v>
      </c>
      <c r="R50" s="173" t="n">
        <f>IF(R$47="","",Underwriting!W47)</f>
        <v>0</v>
      </c>
      <c r="S50" s="173" t="n">
        <f>IF(S$47="","",Underwriting!X47)</f>
        <v>0</v>
      </c>
      <c r="T50" s="173" t="n">
        <f>IF(T$47="","",Underwriting!Y47)</f>
        <v>0</v>
      </c>
      <c r="U50" s="173" t="n">
        <f>IF(U$47="","",Underwriting!Z47)</f>
        <v>0</v>
      </c>
      <c r="V50" s="173" t="n">
        <f>IF(V$47="","",Underwriting!AA47)</f>
        <v>0</v>
      </c>
      <c r="W50" s="173" t="n">
        <f>IF(W$47="","",Underwriting!AB47)</f>
        <v>0</v>
      </c>
      <c r="X50" s="173" t="n">
        <f>IF(X$47="","",Underwriting!AC47)</f>
        <v>0</v>
      </c>
      <c r="Y50" s="173" t="n">
        <f>IF(Y$47="","",Underwriting!AD47)</f>
        <v>0</v>
      </c>
      <c r="Z50" s="173" t="n">
        <f>IF(Z$47="","",Underwriting!AE47)</f>
        <v>0</v>
      </c>
      <c r="AA50" s="173" t="n">
        <f>IF(AA$47="","",Underwriting!AF47)</f>
        <v>0</v>
      </c>
      <c r="AB50" s="173" t="n">
        <f>IF(AB$47="","",Underwriting!AG47)</f>
        <v>0</v>
      </c>
      <c r="AC50" s="173" t="n">
        <f>IF(AC$47="","",Underwriting!AH47)</f>
        <v>0</v>
      </c>
      <c r="AD50" s="173" t="n">
        <f>IF(AD$47="","",Underwriting!AI47)</f>
        <v>0</v>
      </c>
      <c r="AE50" s="173" t="n">
        <f>IF(AE$47="","",Underwriting!AJ47)</f>
        <v>0</v>
      </c>
      <c r="AF50" s="173" t="n">
        <f>IF(AF$47="","",Underwriting!AK47)</f>
        <v>0</v>
      </c>
      <c r="AG50" s="173" t="n">
        <f>IF(AG$47="","",Underwriting!AL47)</f>
        <v>0</v>
      </c>
      <c r="AH50" s="173" t="n">
        <f>IF(AH$47="","",Underwriting!AM47)</f>
        <v>0</v>
      </c>
      <c r="AI50" s="173" t="n">
        <f>IF(AI$47="","",Underwriting!AN47)</f>
        <v>0</v>
      </c>
      <c r="AJ50" s="173" t="n">
        <f>IF(AJ$47="","",Underwriting!AO47)</f>
        <v>0</v>
      </c>
      <c r="AK50" s="173" t="n">
        <f>IF(AK$47="","",Underwriting!AP47)</f>
        <v>0</v>
      </c>
      <c r="AL50" s="173" t="n">
        <f>IF(AL$47="","",Underwriting!AQ47)</f>
        <v>0</v>
      </c>
      <c r="AM50" s="173" t="n">
        <f>IF(AM$47="","",Underwriting!AR47)</f>
        <v>0</v>
      </c>
      <c r="AN50" s="173" t="n">
        <f>IF(AN$47="","",Underwriting!AS47)</f>
        <v>0</v>
      </c>
      <c r="AO50" s="173" t="n">
        <f>IF(AO$47="","",Underwriting!AT47)</f>
        <v>0</v>
      </c>
      <c r="AP50" s="173" t="n">
        <f>IF(AP$47="","",Underwriting!AU47)</f>
        <v>0</v>
      </c>
      <c r="AQ50" s="173" t="n">
        <f>IF(AQ$47="","",Underwriting!AV47)</f>
        <v>0</v>
      </c>
      <c r="AR50" s="173" t="n">
        <f>IF(AR$47="","",Underwriting!AW47)</f>
        <v>0</v>
      </c>
      <c r="AS50" s="173" t="n">
        <f>IF(AS$47="","",Underwriting!AX47)</f>
        <v>0</v>
      </c>
      <c r="AT50" s="173" t="n">
        <f>IF(AT$47="","",Underwriting!AY47)</f>
        <v>0</v>
      </c>
      <c r="AU50" s="173" t="n">
        <f>IF(AU$47="","",Underwriting!AZ47)</f>
        <v>0</v>
      </c>
      <c r="AV50" s="173" t="n">
        <f>IF(AV$47="","",Underwriting!BA47)</f>
        <v>0</v>
      </c>
      <c r="AW50" s="173" t="n">
        <f>IF(AW$47="","",Underwriting!BB47)</f>
        <v>0</v>
      </c>
      <c r="AX50" s="173" t="n">
        <f>IF(AX$47="","",Underwriting!BC47)</f>
        <v>0</v>
      </c>
      <c r="AY50" s="173" t="n">
        <f>IF(AY$47="","",Underwriting!BD47)</f>
        <v>0</v>
      </c>
      <c r="AZ50" s="173" t="n">
        <f>IF(AZ$47="","",Underwriting!BE47)</f>
        <v>0</v>
      </c>
      <c r="BA50" s="173" t="n">
        <f>IF(BA$47="","",Underwriting!BF47)</f>
        <v>0</v>
      </c>
      <c r="BB50" s="173" t="n">
        <f>IF(BB$47="","",Underwriting!BG47)</f>
        <v>0</v>
      </c>
      <c r="BC50" s="173" t="n">
        <f>IF(BC$47="","",Underwriting!BH47)</f>
        <v>0</v>
      </c>
      <c r="BD50" s="173" t="n">
        <f>IF(BD$47="","",Underwriting!BI47)</f>
        <v>0</v>
      </c>
      <c r="BE50" s="173" t="n">
        <f>IF(BE$47="","",Underwriting!BJ47)</f>
        <v>0</v>
      </c>
      <c r="BF50" s="173" t="n">
        <f>IF(BF$47="","",Underwriting!BK47)</f>
        <v>0</v>
      </c>
      <c r="BG50" s="173" t="n">
        <f>IF(BG$47="","",Underwriting!BL47)</f>
        <v>0</v>
      </c>
      <c r="BH50" s="173" t="n">
        <f>IF(BH$47="","",Underwriting!BM47)</f>
        <v>0</v>
      </c>
      <c r="BI50" s="173" t="n">
        <f>IF(BI$47="","",Underwriting!BN47)</f>
        <v>0</v>
      </c>
      <c r="BJ50" s="173" t="n">
        <f>IF(BJ$47="","",Underwriting!BO47)</f>
        <v>0</v>
      </c>
      <c r="BK50" s="173" t="n">
        <f>IF(BK$47="","",Underwriting!BP47)</f>
        <v>0</v>
      </c>
      <c r="BL50" s="173" t="n">
        <f>IF(BL$47="","",Underwriting!BQ47)</f>
        <v>0</v>
      </c>
      <c r="BM50" s="173" t="n">
        <f>IF(BM$47="","",Underwriting!BR47)</f>
        <v>0</v>
      </c>
      <c r="BN50" s="173" t="n">
        <f>IF(BN$47="","",Underwriting!BS47)</f>
        <v>0</v>
      </c>
      <c r="BO50" s="173" t="n">
        <f>IF(BO$47="","",Underwriting!BT47)</f>
        <v>0</v>
      </c>
      <c r="BP50" s="173" t="n">
        <f>IF(BP$47="","",Underwriting!BU47)</f>
        <v>0</v>
      </c>
      <c r="BQ50" s="173" t="str">
        <f>IF(BQ$47="","",Underwriting!BV47)</f>
      </c>
      <c r="BR50" s="173" t="str">
        <f>IF(BR$47="","",Underwriting!BW47)</f>
      </c>
      <c r="BS50" s="173" t="str">
        <f>IF(BS$47="","",Underwriting!BX47)</f>
      </c>
      <c r="BT50" s="173" t="str">
        <f>IF(BT$47="","",Underwriting!BY47)</f>
      </c>
      <c r="BU50" s="173" t="str">
        <f>IF(BU$47="","",Underwriting!BZ47)</f>
      </c>
      <c r="BV50" s="173" t="str">
        <f>IF(BV$47="","",Underwriting!CA47)</f>
      </c>
      <c r="BW50" s="173" t="str">
        <f>IF(BW$47="","",Underwriting!CB47)</f>
      </c>
      <c r="BX50" s="173" t="str">
        <f>IF(BX$47="","",Underwriting!CC47)</f>
      </c>
      <c r="BY50" s="173" t="str">
        <f>IF(BY$47="","",Underwriting!CD47)</f>
      </c>
      <c r="BZ50" s="173" t="str">
        <f>IF(BZ$47="","",Underwriting!CE47)</f>
      </c>
      <c r="CA50" s="173" t="str">
        <f>IF(CA$47="","",Underwriting!CF47)</f>
      </c>
      <c r="CB50" s="173" t="str">
        <f>IF(CB$47="","",Underwriting!CG47)</f>
      </c>
      <c r="CC50" s="173" t="str">
        <f>IF(CC$47="","",Underwriting!CH47)</f>
      </c>
      <c r="CD50" s="173" t="str">
        <f>IF(CD$47="","",Underwriting!CI47)</f>
      </c>
      <c r="CE50" s="173" t="str">
        <f>IF(CE$47="","",Underwriting!CJ47)</f>
      </c>
      <c r="CF50" s="173" t="str">
        <f>IF(CF$47="","",Underwriting!CK47)</f>
      </c>
      <c r="CG50" s="173" t="str">
        <f>IF(CG$47="","",Underwriting!CL47)</f>
      </c>
      <c r="CH50" s="173" t="str">
        <f>IF(CH$47="","",Underwriting!CM47)</f>
      </c>
      <c r="CI50" s="173" t="str">
        <f>IF(CI$47="","",Underwriting!CN47)</f>
      </c>
      <c r="CJ50" s="173" t="str">
        <f>IF(CJ$47="","",Underwriting!CO47)</f>
      </c>
      <c r="CK50" s="173" t="str">
        <f>IF(CK$47="","",Underwriting!CP47)</f>
      </c>
      <c r="CL50" s="173" t="str">
        <f>IF(CL$47="","",Underwriting!CQ47)</f>
      </c>
      <c r="CM50" s="173" t="str">
        <f>IF(CM$47="","",Underwriting!CR47)</f>
      </c>
      <c r="CN50" s="173" t="str">
        <f>IF(CN$47="","",Underwriting!CS47)</f>
      </c>
      <c r="CO50" s="173" t="str">
        <f>IF(CO$47="","",Underwriting!CT47)</f>
      </c>
      <c r="CP50" s="173" t="str">
        <f>IF(CP$47="","",Underwriting!CU47)</f>
      </c>
      <c r="CQ50" s="173" t="str">
        <f>IF(CQ$47="","",Underwriting!CV47)</f>
      </c>
      <c r="CR50" s="173" t="str">
        <f>IF(CR$47="","",Underwriting!CW47)</f>
      </c>
      <c r="CS50" s="173" t="str">
        <f>IF(CS$47="","",Underwriting!CX47)</f>
      </c>
      <c r="CT50" s="173" t="str">
        <f>IF(CT$47="","",Underwriting!CY47)</f>
      </c>
      <c r="CU50" s="173" t="str">
        <f>IF(CU$47="","",Underwriting!CZ47)</f>
      </c>
      <c r="CV50" s="173" t="str">
        <f>IF(CV$47="","",Underwriting!DA47)</f>
      </c>
      <c r="CW50" s="173" t="str">
        <f>IF(CW$47="","",Underwriting!DB47)</f>
      </c>
      <c r="CX50" s="173" t="str">
        <f>IF(CX$47="","",Underwriting!DC47)</f>
      </c>
      <c r="CY50" s="173" t="str">
        <f>IF(CY$47="","",Underwriting!DD47)</f>
      </c>
      <c r="CZ50" s="173" t="str">
        <f>IF(CZ$47="","",Underwriting!DE47)</f>
      </c>
      <c r="DA50" s="173" t="str">
        <f>IF(DA$47="","",Underwriting!DF47)</f>
      </c>
      <c r="DB50" s="173" t="str">
        <f>IF(DB$47="","",Underwriting!DG47)</f>
      </c>
      <c r="DC50" s="173" t="str">
        <f>IF(DC$47="","",Underwriting!DH47)</f>
      </c>
      <c r="DD50" s="173" t="str">
        <f>IF(DD$47="","",Underwriting!DI47)</f>
      </c>
      <c r="DE50" s="173" t="str">
        <f>IF(DE$47="","",Underwriting!DJ47)</f>
      </c>
      <c r="DF50" s="173" t="str">
        <f>IF(DF$47="","",Underwriting!DK47)</f>
      </c>
      <c r="DG50" s="173" t="str">
        <f>IF(DG$47="","",Underwriting!DL47)</f>
      </c>
      <c r="DH50" s="173" t="str">
        <f>IF(DH$47="","",Underwriting!DM47)</f>
      </c>
      <c r="DI50" s="173" t="str">
        <f>IF(DI$47="","",Underwriting!DN47)</f>
      </c>
      <c r="DJ50" s="173" t="str">
        <f>IF(DJ$47="","",Underwriting!DO47)</f>
      </c>
      <c r="DK50" s="173" t="str">
        <f>IF(DK$47="","",Underwriting!DP47)</f>
      </c>
      <c r="DL50" s="173" t="str">
        <f>IF(DL$47="","",Underwriting!DQ47)</f>
      </c>
      <c r="DM50" s="173" t="str">
        <f>IF(DM$47="","",Underwriting!DR47)</f>
      </c>
      <c r="DN50" s="173" t="str">
        <f>IF(DN$47="","",Underwriting!DS47)</f>
      </c>
      <c r="DO50" s="173" t="str">
        <f>IF(DO$47="","",Underwriting!DT47)</f>
      </c>
      <c r="DP50" s="173" t="str">
        <f>IF(DP$47="","",Underwriting!DU47)</f>
      </c>
      <c r="DQ50" s="173" t="str">
        <f>IF(DQ$47="","",Underwriting!DV47)</f>
      </c>
      <c r="DR50" s="173" t="str">
        <f>IF(DR$47="","",Underwriting!DW47)</f>
      </c>
      <c r="DS50" s="173" t="str">
        <f>IF(DS$47="","",Underwriting!DX47)</f>
      </c>
      <c r="DT50" s="173" t="str">
        <f>IF(DT$47="","",Underwriting!DY47)</f>
      </c>
      <c r="DU50" s="173" t="str">
        <f>IF(DU$47="","",Underwriting!DZ47)</f>
      </c>
      <c r="DV50" s="173" t="str">
        <f>IF(DV$47="","",Underwriting!EA47)</f>
      </c>
      <c r="DW50" s="173" t="str">
        <f>IF(DW$47="","",Underwriting!EB47)</f>
      </c>
      <c r="DX50" s="173" t="str">
        <f>IF(DX$47="","",Underwriting!EC47)</f>
      </c>
      <c r="DY50" s="173" t="str">
        <f>IF(DY$47="","",Underwriting!ED47)</f>
      </c>
      <c r="DZ50" s="173" t="str">
        <f>IF(DZ$47="","",Underwriting!EE47)</f>
      </c>
      <c r="EA50" s="173" t="str">
        <f>IF(EA$47="","",Underwriting!EF47)</f>
      </c>
      <c r="EB50" s="173" t="str">
        <f>IF(EB$47="","",Underwriting!EG47)</f>
      </c>
      <c r="EC50" s="173" t="str">
        <f>IF(EC$47="","",Underwriting!EH47)</f>
      </c>
      <c r="ED50" s="173" t="str">
        <f>IF(ED$47="","",Underwriting!EI47)</f>
      </c>
      <c r="EE50" s="173" t="str">
        <f>IF(EE$47="","",Underwriting!EJ47)</f>
      </c>
      <c r="EF50" s="173" t="str">
        <f>IF(EF$47="","",Underwriting!EK47)</f>
      </c>
      <c r="EG50" s="173" t="str">
        <f>IF(EG$47="","",Underwriting!EL47)</f>
      </c>
      <c r="EH50" s="173" t="str">
        <f>IF(EH$47="","",Underwriting!EM47)</f>
      </c>
      <c r="EI50" s="173" t="str">
        <f>IF(EI$47="","",Underwriting!EN47)</f>
      </c>
    </row>
    <row r="51">
      <c r="B51" s="4" t="s">
        <v>484</v>
      </c>
      <c r="C51" s="4"/>
      <c r="D51" s="4"/>
      <c r="E51" s="4"/>
      <c r="F51" s="4"/>
      <c r="G51" s="172" t="str">
        <f>IF(G$47="","",SUM(G48:G50))</f>
      </c>
      <c r="H51" s="172" t="n">
        <f t="shared" ref="H51:BS51" si="29">IF(H$47="","",SUM(H48:H50))</f>
        <v>-100892.8237358164</v>
      </c>
      <c r="I51" s="172">
        <f t="shared" si="29"/>
        <v>170317.57335215877</v>
      </c>
      <c r="J51" s="172">
        <f t="shared" si="29"/>
        <v>557650.6541499208</v>
      </c>
      <c r="K51" s="172">
        <f t="shared" si="29"/>
        <v>1094287.4844426755</v>
      </c>
      <c r="L51" s="172">
        <f t="shared" si="29"/>
        <v>1815120.9716493976</v>
      </c>
      <c r="M51" s="172">
        <f t="shared" si="29"/>
        <v>2753177.670029392</v>
      </c>
      <c r="N51" s="172">
        <f t="shared" si="29"/>
        <v>3934760.112479771</v>
      </c>
      <c r="O51" s="172">
        <f t="shared" si="29"/>
        <v>5373664.2575455848</v>
      </c>
      <c r="P51" s="172">
        <f t="shared" si="29"/>
        <v>7065163.6515838141</v>
      </c>
      <c r="Q51" s="172">
        <f t="shared" si="29"/>
        <v>8980751.963331705</v>
      </c>
      <c r="R51" s="172">
        <f t="shared" si="29"/>
        <v>11064805.605489833</v>
      </c>
      <c r="S51" s="172">
        <f t="shared" si="29"/>
        <v>13234281.137995301</v>
      </c>
      <c r="T51" s="172">
        <f t="shared" si="29"/>
        <v>15382246.512724983</v>
      </c>
      <c r="U51" s="172">
        <f t="shared" si="29"/>
        <v>17385471.482058503</v>
      </c>
      <c r="V51" s="172">
        <f t="shared" si="29"/>
        <v>19115556.058013067</v>
      </c>
      <c r="W51" s="172">
        <f t="shared" si="29"/>
        <v>20452308.068071321</v>
      </c>
      <c r="X51" s="172">
        <f t="shared" si="29"/>
        <v>21297476.217184056</v>
      </c>
      <c r="Y51" s="172">
        <f t="shared" si="29"/>
        <v>21586672.281520337</v>
      </c>
      <c r="Z51" s="172">
        <f t="shared" si="29"/>
        <v>21297476.217184074</v>
      </c>
      <c r="AA51" s="172">
        <f t="shared" si="29"/>
        <v>20452308.068071283</v>
      </c>
      <c r="AB51" s="172">
        <f t="shared" si="29"/>
        <v>19115556.058013104</v>
      </c>
      <c r="AC51" s="172">
        <f t="shared" si="29"/>
        <v>17385471.482058477</v>
      </c>
      <c r="AD51" s="172">
        <f t="shared" si="29"/>
        <v>15382246.512724983</v>
      </c>
      <c r="AE51" s="172">
        <f t="shared" si="29"/>
        <v>13234281.137995327</v>
      </c>
      <c r="AF51" s="172">
        <f t="shared" si="29"/>
        <v>11064805.605489803</v>
      </c>
      <c r="AG51" s="172">
        <f t="shared" si="29"/>
        <v>8980751.963331705</v>
      </c>
      <c r="AH51" s="172">
        <f t="shared" si="29"/>
        <v>7065163.6515838383</v>
      </c>
      <c r="AI51" s="172">
        <f t="shared" si="29"/>
        <v>5373664.257545568</v>
      </c>
      <c r="AJ51" s="172">
        <f t="shared" si="29"/>
        <v>3934760.112479772</v>
      </c>
      <c r="AK51" s="172">
        <f t="shared" si="29"/>
        <v>2753177.670029406</v>
      </c>
      <c r="AL51" s="172">
        <f t="shared" si="29"/>
        <v>1815120.9716493823</v>
      </c>
      <c r="AM51" s="172">
        <f t="shared" si="29"/>
        <v>1094287.4844426815</v>
      </c>
      <c r="AN51" s="172">
        <f t="shared" si="29"/>
        <v>557650.6541499017</v>
      </c>
      <c r="AO51" s="172">
        <f t="shared" si="29"/>
        <v>170317.57335218112</v>
      </c>
      <c r="AP51" s="172">
        <f t="shared" si="29"/>
        <v>-100892.82373583224</v>
      </c>
      <c r="AQ51" s="172">
        <f t="shared" si="29"/>
        <v>-285207.09482578107</v>
      </c>
      <c r="AR51" s="172">
        <f t="shared" si="29"/>
        <v>0</v>
      </c>
      <c r="AS51" s="172">
        <f t="shared" si="29"/>
        <v>0</v>
      </c>
      <c r="AT51" s="172">
        <f t="shared" si="29"/>
        <v>0</v>
      </c>
      <c r="AU51" s="172">
        <f t="shared" si="29"/>
        <v>0</v>
      </c>
      <c r="AV51" s="172">
        <f t="shared" si="29"/>
        <v>0</v>
      </c>
      <c r="AW51" s="172">
        <f t="shared" si="29"/>
        <v>0</v>
      </c>
      <c r="AX51" s="172">
        <f t="shared" si="29"/>
        <v>0</v>
      </c>
      <c r="AY51" s="172">
        <f t="shared" si="29"/>
        <v>0</v>
      </c>
      <c r="AZ51" s="172">
        <f t="shared" si="29"/>
        <v>0</v>
      </c>
      <c r="BA51" s="172">
        <f t="shared" si="29"/>
        <v>0</v>
      </c>
      <c r="BB51" s="172">
        <f t="shared" si="29"/>
        <v>0</v>
      </c>
      <c r="BC51" s="172">
        <f t="shared" si="29"/>
        <v>0</v>
      </c>
      <c r="BD51" s="172">
        <f t="shared" si="29"/>
        <v>0</v>
      </c>
      <c r="BE51" s="172">
        <f t="shared" si="29"/>
        <v>0</v>
      </c>
      <c r="BF51" s="172">
        <f t="shared" si="29"/>
        <v>0</v>
      </c>
      <c r="BG51" s="172">
        <f t="shared" si="29"/>
        <v>0</v>
      </c>
      <c r="BH51" s="172">
        <f t="shared" si="29"/>
        <v>0</v>
      </c>
      <c r="BI51" s="172">
        <f t="shared" si="29"/>
        <v>0</v>
      </c>
      <c r="BJ51" s="172">
        <f t="shared" si="29"/>
        <v>0</v>
      </c>
      <c r="BK51" s="172">
        <f t="shared" si="29"/>
        <v>0</v>
      </c>
      <c r="BL51" s="172">
        <f t="shared" si="29"/>
        <v>0</v>
      </c>
      <c r="BM51" s="172">
        <f t="shared" si="29"/>
        <v>0</v>
      </c>
      <c r="BN51" s="172">
        <f t="shared" si="29"/>
        <v>0</v>
      </c>
      <c r="BO51" s="172">
        <f t="shared" si="29"/>
        <v>0</v>
      </c>
      <c r="BP51" s="172">
        <f t="shared" si="29"/>
        <v>0</v>
      </c>
      <c r="BQ51" s="172" t="str">
        <f t="shared" si="29"/>
      </c>
      <c r="BR51" s="172" t="str">
        <f t="shared" si="29"/>
      </c>
      <c r="BS51" s="172" t="str">
        <f t="shared" si="29"/>
      </c>
      <c r="BT51" s="172" t="str">
        <f t="shared" ref="BT51:EE51" si="30">IF(BT$47="","",SUM(BT48:BT50))</f>
      </c>
      <c r="BU51" s="172" t="str">
        <f t="shared" si="30"/>
      </c>
      <c r="BV51" s="172" t="str">
        <f t="shared" si="30"/>
      </c>
      <c r="BW51" s="172" t="str">
        <f t="shared" si="30"/>
      </c>
      <c r="BX51" s="172" t="str">
        <f t="shared" si="30"/>
      </c>
      <c r="BY51" s="172" t="str">
        <f t="shared" si="30"/>
      </c>
      <c r="BZ51" s="172" t="str">
        <f t="shared" si="30"/>
      </c>
      <c r="CA51" s="172" t="str">
        <f t="shared" si="30"/>
      </c>
      <c r="CB51" s="172" t="str">
        <f t="shared" si="30"/>
      </c>
      <c r="CC51" s="172" t="str">
        <f t="shared" si="30"/>
      </c>
      <c r="CD51" s="172" t="str">
        <f t="shared" si="30"/>
      </c>
      <c r="CE51" s="172" t="str">
        <f t="shared" si="30"/>
      </c>
      <c r="CF51" s="172" t="str">
        <f t="shared" si="30"/>
      </c>
      <c r="CG51" s="172" t="str">
        <f t="shared" si="30"/>
      </c>
      <c r="CH51" s="172" t="str">
        <f t="shared" si="30"/>
      </c>
      <c r="CI51" s="172" t="str">
        <f t="shared" si="30"/>
      </c>
      <c r="CJ51" s="172" t="str">
        <f t="shared" si="30"/>
      </c>
      <c r="CK51" s="172" t="str">
        <f t="shared" si="30"/>
      </c>
      <c r="CL51" s="172" t="str">
        <f t="shared" si="30"/>
      </c>
      <c r="CM51" s="172" t="str">
        <f t="shared" si="30"/>
      </c>
      <c r="CN51" s="172" t="str">
        <f t="shared" si="30"/>
      </c>
      <c r="CO51" s="172" t="str">
        <f t="shared" si="30"/>
      </c>
      <c r="CP51" s="172" t="str">
        <f t="shared" si="30"/>
      </c>
      <c r="CQ51" s="172" t="str">
        <f t="shared" si="30"/>
      </c>
      <c r="CR51" s="172" t="str">
        <f t="shared" si="30"/>
      </c>
      <c r="CS51" s="172" t="str">
        <f t="shared" si="30"/>
      </c>
      <c r="CT51" s="172" t="str">
        <f t="shared" si="30"/>
      </c>
      <c r="CU51" s="172" t="str">
        <f t="shared" si="30"/>
      </c>
      <c r="CV51" s="172" t="str">
        <f t="shared" si="30"/>
      </c>
      <c r="CW51" s="172" t="str">
        <f t="shared" si="30"/>
      </c>
      <c r="CX51" s="172" t="str">
        <f t="shared" si="30"/>
      </c>
      <c r="CY51" s="172" t="str">
        <f t="shared" si="30"/>
      </c>
      <c r="CZ51" s="172" t="str">
        <f t="shared" si="30"/>
      </c>
      <c r="DA51" s="172" t="str">
        <f t="shared" si="30"/>
      </c>
      <c r="DB51" s="172" t="str">
        <f t="shared" si="30"/>
      </c>
      <c r="DC51" s="172" t="str">
        <f t="shared" si="30"/>
      </c>
      <c r="DD51" s="172" t="str">
        <f t="shared" si="30"/>
      </c>
      <c r="DE51" s="172" t="str">
        <f t="shared" si="30"/>
      </c>
      <c r="DF51" s="172" t="str">
        <f t="shared" si="30"/>
      </c>
      <c r="DG51" s="172" t="str">
        <f t="shared" si="30"/>
      </c>
      <c r="DH51" s="172" t="str">
        <f t="shared" si="30"/>
      </c>
      <c r="DI51" s="172" t="str">
        <f t="shared" si="30"/>
      </c>
      <c r="DJ51" s="172" t="str">
        <f t="shared" si="30"/>
      </c>
      <c r="DK51" s="172" t="str">
        <f t="shared" si="30"/>
      </c>
      <c r="DL51" s="172" t="str">
        <f t="shared" si="30"/>
      </c>
      <c r="DM51" s="172" t="str">
        <f t="shared" si="30"/>
      </c>
      <c r="DN51" s="172" t="str">
        <f t="shared" si="30"/>
      </c>
      <c r="DO51" s="172" t="str">
        <f t="shared" si="30"/>
      </c>
      <c r="DP51" s="172" t="str">
        <f t="shared" si="30"/>
      </c>
      <c r="DQ51" s="172" t="str">
        <f t="shared" si="30"/>
      </c>
      <c r="DR51" s="172" t="str">
        <f t="shared" si="30"/>
      </c>
      <c r="DS51" s="172" t="str">
        <f t="shared" si="30"/>
      </c>
      <c r="DT51" s="172" t="str">
        <f t="shared" si="30"/>
      </c>
      <c r="DU51" s="172" t="str">
        <f t="shared" si="30"/>
      </c>
      <c r="DV51" s="172" t="str">
        <f t="shared" si="30"/>
      </c>
      <c r="DW51" s="172" t="str">
        <f t="shared" si="30"/>
      </c>
      <c r="DX51" s="172" t="str">
        <f t="shared" si="30"/>
      </c>
      <c r="DY51" s="172" t="str">
        <f t="shared" si="30"/>
      </c>
      <c r="DZ51" s="172" t="str">
        <f t="shared" si="30"/>
      </c>
      <c r="EA51" s="172" t="str">
        <f t="shared" si="30"/>
      </c>
      <c r="EB51" s="172" t="str">
        <f t="shared" si="30"/>
      </c>
      <c r="EC51" s="172" t="str">
        <f t="shared" si="30"/>
      </c>
      <c r="ED51" s="172" t="str">
        <f t="shared" si="30"/>
      </c>
      <c r="EE51" s="172" t="str">
        <f t="shared" si="30"/>
      </c>
      <c r="EF51" s="172" t="str">
        <f t="shared" ref="EF51:EI51" si="31">IF(EF$47="","",SUM(EF48:EF50))</f>
      </c>
      <c r="EG51" s="172" t="str">
        <f t="shared" si="31"/>
      </c>
      <c r="EH51" s="172" t="str">
        <f t="shared" si="31"/>
      </c>
      <c r="EI51" s="172" t="str">
        <f t="shared" si="31"/>
      </c>
    </row>
    <row r="52">
      <c r="B52" s="4"/>
      <c r="C52" s="4"/>
      <c r="D52" s="4"/>
      <c r="E52" s="4"/>
      <c r="F52" s="4"/>
      <c r="G52" s="172"/>
      <c r="H52" s="172"/>
      <c r="I52" s="172"/>
      <c r="J52" s="172"/>
      <c r="K52" s="172"/>
      <c r="L52" s="172"/>
      <c r="M52" s="172"/>
      <c r="N52" s="172"/>
      <c r="O52" s="172"/>
      <c r="P52" s="172"/>
      <c r="Q52" s="172"/>
      <c r="R52" s="172"/>
      <c r="S52" s="172"/>
      <c r="T52" s="172"/>
      <c r="U52" s="172"/>
      <c r="V52" s="172"/>
      <c r="W52" s="172"/>
      <c r="X52" s="172"/>
      <c r="Y52" s="172"/>
      <c r="Z52" s="172"/>
      <c r="AA52" s="172"/>
      <c r="AB52" s="172"/>
      <c r="AC52" s="172"/>
      <c r="AD52" s="172"/>
      <c r="AE52" s="172"/>
      <c r="AF52" s="172"/>
      <c r="AG52" s="172"/>
      <c r="AH52" s="172"/>
      <c r="AI52" s="172"/>
      <c r="AJ52" s="172"/>
      <c r="AK52" s="172"/>
      <c r="AL52" s="172"/>
      <c r="AM52" s="172"/>
      <c r="AN52" s="172"/>
      <c r="AO52" s="172"/>
      <c r="AP52" s="172"/>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72"/>
      <c r="BP52" s="172"/>
      <c r="BQ52" s="172"/>
      <c r="BR52" s="172"/>
      <c r="BS52" s="172"/>
      <c r="BT52" s="172"/>
      <c r="BU52" s="172"/>
      <c r="BV52" s="172"/>
      <c r="BW52" s="172"/>
      <c r="BX52" s="172"/>
      <c r="BY52" s="172"/>
      <c r="BZ52" s="172"/>
      <c r="CA52" s="172"/>
      <c r="CB52" s="172"/>
      <c r="CC52" s="172"/>
      <c r="CD52" s="172"/>
      <c r="CE52" s="172"/>
      <c r="CF52" s="172"/>
      <c r="CG52" s="172"/>
      <c r="CH52" s="172"/>
      <c r="CI52" s="172"/>
      <c r="CJ52" s="172"/>
      <c r="CK52" s="172"/>
      <c r="CL52" s="172"/>
      <c r="CM52" s="172"/>
      <c r="CN52" s="172"/>
      <c r="CO52" s="172"/>
      <c r="CP52" s="172"/>
      <c r="CQ52" s="172"/>
      <c r="CR52" s="172"/>
      <c r="CS52" s="172"/>
      <c r="CT52" s="172"/>
      <c r="CU52" s="172"/>
      <c r="CV52" s="172"/>
      <c r="CW52" s="172"/>
      <c r="CX52" s="172"/>
      <c r="CY52" s="172"/>
      <c r="CZ52" s="172"/>
      <c r="DA52" s="172"/>
      <c r="DB52" s="172"/>
      <c r="DC52" s="172"/>
      <c r="DD52" s="172"/>
      <c r="DE52" s="172"/>
      <c r="DF52" s="172"/>
      <c r="DG52" s="172"/>
      <c r="DH52" s="172"/>
      <c r="DI52" s="172"/>
      <c r="DJ52" s="172"/>
      <c r="DK52" s="172"/>
      <c r="DL52" s="172"/>
      <c r="DM52" s="172"/>
      <c r="DN52" s="172"/>
      <c r="DO52" s="172"/>
      <c r="DP52" s="172"/>
      <c r="DQ52" s="172"/>
      <c r="DR52" s="172"/>
      <c r="DS52" s="172"/>
      <c r="DT52" s="172"/>
      <c r="DU52" s="172"/>
      <c r="DV52" s="172"/>
      <c r="DW52" s="172"/>
      <c r="DX52" s="172"/>
      <c r="DY52" s="172"/>
      <c r="DZ52" s="172"/>
      <c r="EA52" s="172"/>
      <c r="EB52" s="172"/>
      <c r="EC52" s="172"/>
      <c r="ED52" s="172"/>
      <c r="EE52" s="172"/>
      <c r="EF52" s="172"/>
      <c r="EG52" s="172"/>
      <c r="EH52" s="172"/>
      <c r="EI52" s="172"/>
    </row>
    <row r="53">
      <c r="B53" s="164" t="s">
        <v>155</v>
      </c>
      <c r="C53" s="4"/>
      <c r="D53" s="4"/>
      <c r="E53" s="4"/>
      <c r="F53" s="4"/>
      <c r="G53" s="172" t="str">
        <f>IF(G$47="","",Underwriting!L55)</f>
      </c>
      <c r="H53" s="172" t="n">
        <f>IF(H$47="","",Underwriting!M55)</f>
        <v>313055.55555555556</v>
      </c>
      <c r="I53" s="172" t="n">
        <f>IF(I$47="","",Underwriting!N55)</f>
        <v>313055.55555555556</v>
      </c>
      <c r="J53" s="172" t="n">
        <f>IF(J$47="","",Underwriting!O55)</f>
        <v>313055.55555555556</v>
      </c>
      <c r="K53" s="172" t="n">
        <f>IF(K$47="","",Underwriting!P55)</f>
        <v>313055.55555555556</v>
      </c>
      <c r="L53" s="172" t="n">
        <f>IF(L$47="","",Underwriting!Q55)</f>
        <v>427394.4451914611</v>
      </c>
      <c r="M53" s="172" t="n">
        <f>IF(M$47="","",Underwriting!R55)</f>
        <v>313055.55555555556</v>
      </c>
      <c r="N53" s="172" t="n">
        <f>IF(N$47="","",Underwriting!S55)</f>
        <v>313055.55555555556</v>
      </c>
      <c r="O53" s="172" t="n">
        <f>IF(O$47="","",Underwriting!T55)</f>
        <v>313055.55555555556</v>
      </c>
      <c r="P53" s="172" t="n">
        <f>IF(P$47="","",Underwriting!U55)</f>
        <v>313055.55555555556</v>
      </c>
      <c r="Q53" s="172" t="n">
        <f>IF(Q$47="","",Underwriting!V55)</f>
        <v>313055.55555555556</v>
      </c>
      <c r="R53" s="172" t="n">
        <f>IF(R$47="","",Underwriting!W55)</f>
        <v>313055.55555555556</v>
      </c>
      <c r="S53" s="172" t="n">
        <f>IF(S$47="","",Underwriting!X55)</f>
        <v>313055.55555555556</v>
      </c>
      <c r="T53" s="172" t="n">
        <f>IF(T$47="","",Underwriting!Y55)</f>
        <v>313055.55555555556</v>
      </c>
      <c r="U53" s="172" t="n">
        <f>IF(U$47="","",Underwriting!Z55)</f>
        <v>313055.55555555556</v>
      </c>
      <c r="V53" s="172" t="n">
        <f>IF(V$47="","",Underwriting!AA55)</f>
        <v>313055.55555555556</v>
      </c>
      <c r="W53" s="172" t="n">
        <f>IF(W$47="","",Underwriting!AB55)</f>
        <v>313055.55555555556</v>
      </c>
      <c r="X53" s="172" t="n">
        <f>IF(X$47="","",Underwriting!AC55)</f>
        <v>313055.55555555556</v>
      </c>
      <c r="Y53" s="172" t="n">
        <f>IF(Y$47="","",Underwriting!AD55)</f>
        <v>313055.55555555556</v>
      </c>
      <c r="Z53" s="172" t="n">
        <f>IF(Z$47="","",Underwriting!AE55)</f>
        <v>313055.55555555556</v>
      </c>
      <c r="AA53" s="172" t="n">
        <f>IF(AA$47="","",Underwriting!AF55)</f>
        <v>313055.55555555556</v>
      </c>
      <c r="AB53" s="172" t="n">
        <f>IF(AB$47="","",Underwriting!AG55)</f>
        <v>313055.55555555556</v>
      </c>
      <c r="AC53" s="172" t="n">
        <f>IF(AC$47="","",Underwriting!AH55)</f>
        <v>313055.55555555556</v>
      </c>
      <c r="AD53" s="172" t="n">
        <f>IF(AD$47="","",Underwriting!AI55)</f>
        <v>313055.55555555556</v>
      </c>
      <c r="AE53" s="172" t="n">
        <f>IF(AE$47="","",Underwriting!AJ55)</f>
        <v>313055.55555555556</v>
      </c>
      <c r="AF53" s="172" t="n">
        <f>IF(AF$47="","",Underwriting!AK55)</f>
        <v>313055.55555555556</v>
      </c>
      <c r="AG53" s="172" t="n">
        <f>IF(AG$47="","",Underwriting!AL55)</f>
        <v>313055.55555555556</v>
      </c>
      <c r="AH53" s="172" t="n">
        <f>IF(AH$47="","",Underwriting!AM55)</f>
        <v>313055.55555555556</v>
      </c>
      <c r="AI53" s="172" t="n">
        <f>IF(AI$47="","",Underwriting!AN55)</f>
        <v>313055.55555555556</v>
      </c>
      <c r="AJ53" s="172" t="n">
        <f>IF(AJ$47="","",Underwriting!AO55)</f>
        <v>313055.55555555556</v>
      </c>
      <c r="AK53" s="172" t="n">
        <f>IF(AK$47="","",Underwriting!AP55)</f>
        <v>313055.55555555556</v>
      </c>
      <c r="AL53" s="172" t="n">
        <f>IF(AL$47="","",Underwriting!AQ55)</f>
        <v>313055.55555555556</v>
      </c>
      <c r="AM53" s="172" t="n">
        <f>IF(AM$47="","",Underwriting!AR55)</f>
        <v>313055.55555555556</v>
      </c>
      <c r="AN53" s="172" t="n">
        <f>IF(AN$47="","",Underwriting!AS55)</f>
        <v>313055.55555555556</v>
      </c>
      <c r="AO53" s="172" t="n">
        <f>IF(AO$47="","",Underwriting!AT55)</f>
        <v>313055.55555555556</v>
      </c>
      <c r="AP53" s="172" t="n">
        <f>IF(AP$47="","",Underwriting!AU55)</f>
        <v>313055.55555555556</v>
      </c>
      <c r="AQ53" s="172" t="n">
        <f>IF(AQ$47="","",Underwriting!AV55)</f>
        <v>313055.55555555556</v>
      </c>
      <c r="AR53" s="172" t="n">
        <f>IF(AR$47="","",Underwriting!AW55)</f>
        <v>0</v>
      </c>
      <c r="AS53" s="172" t="n">
        <f>IF(AS$47="","",Underwriting!AX55)</f>
        <v>0</v>
      </c>
      <c r="AT53" s="172" t="n">
        <f>IF(AT$47="","",Underwriting!AY55)</f>
        <v>0</v>
      </c>
      <c r="AU53" s="172" t="n">
        <f>IF(AU$47="","",Underwriting!AZ55)</f>
        <v>0</v>
      </c>
      <c r="AV53" s="172" t="n">
        <f>IF(AV$47="","",Underwriting!BA55)</f>
        <v>0</v>
      </c>
      <c r="AW53" s="172" t="n">
        <f>IF(AW$47="","",Underwriting!BB55)</f>
        <v>0</v>
      </c>
      <c r="AX53" s="172" t="n">
        <f>IF(AX$47="","",Underwriting!BC55)</f>
        <v>0</v>
      </c>
      <c r="AY53" s="172" t="n">
        <f>IF(AY$47="","",Underwriting!BD55)</f>
        <v>0</v>
      </c>
      <c r="AZ53" s="172" t="n">
        <f>IF(AZ$47="","",Underwriting!BE55)</f>
        <v>0</v>
      </c>
      <c r="BA53" s="172" t="n">
        <f>IF(BA$47="","",Underwriting!BF55)</f>
        <v>0</v>
      </c>
      <c r="BB53" s="172" t="n">
        <f>IF(BB$47="","",Underwriting!BG55)</f>
        <v>0</v>
      </c>
      <c r="BC53" s="172" t="n">
        <f>IF(BC$47="","",Underwriting!BH55)</f>
        <v>0</v>
      </c>
      <c r="BD53" s="172" t="n">
        <f>IF(BD$47="","",Underwriting!BI55)</f>
        <v>0</v>
      </c>
      <c r="BE53" s="172" t="n">
        <f>IF(BE$47="","",Underwriting!BJ55)</f>
        <v>0</v>
      </c>
      <c r="BF53" s="172" t="n">
        <f>IF(BF$47="","",Underwriting!BK55)</f>
        <v>0</v>
      </c>
      <c r="BG53" s="172" t="n">
        <f>IF(BG$47="","",Underwriting!BL55)</f>
        <v>0</v>
      </c>
      <c r="BH53" s="172" t="n">
        <f>IF(BH$47="","",Underwriting!BM55)</f>
        <v>0</v>
      </c>
      <c r="BI53" s="172" t="n">
        <f>IF(BI$47="","",Underwriting!BN55)</f>
        <v>0</v>
      </c>
      <c r="BJ53" s="172" t="n">
        <f>IF(BJ$47="","",Underwriting!BO55)</f>
        <v>0</v>
      </c>
      <c r="BK53" s="172" t="n">
        <f>IF(BK$47="","",Underwriting!BP55)</f>
        <v>0</v>
      </c>
      <c r="BL53" s="172" t="n">
        <f>IF(BL$47="","",Underwriting!BQ55)</f>
        <v>0</v>
      </c>
      <c r="BM53" s="172" t="n">
        <f>IF(BM$47="","",Underwriting!BR55)</f>
        <v>0</v>
      </c>
      <c r="BN53" s="172" t="n">
        <f>IF(BN$47="","",Underwriting!BS55)</f>
        <v>0</v>
      </c>
      <c r="BO53" s="172" t="n">
        <f>IF(BO$47="","",Underwriting!BT55)</f>
        <v>0</v>
      </c>
      <c r="BP53" s="172" t="n">
        <f>IF(BP$47="","",Underwriting!BU55)</f>
        <v>0</v>
      </c>
      <c r="BQ53" s="172" t="str">
        <f>IF(BQ$47="","",Underwriting!BV55)</f>
      </c>
      <c r="BR53" s="172" t="str">
        <f>IF(BR$47="","",Underwriting!BW55)</f>
      </c>
      <c r="BS53" s="172" t="str">
        <f>IF(BS$47="","",Underwriting!BX55)</f>
      </c>
      <c r="BT53" s="172" t="str">
        <f>IF(BT$47="","",Underwriting!BY55)</f>
      </c>
      <c r="BU53" s="172" t="str">
        <f>IF(BU$47="","",Underwriting!BZ55)</f>
      </c>
      <c r="BV53" s="172" t="str">
        <f>IF(BV$47="","",Underwriting!CA55)</f>
      </c>
      <c r="BW53" s="172" t="str">
        <f>IF(BW$47="","",Underwriting!CB55)</f>
      </c>
      <c r="BX53" s="172" t="str">
        <f>IF(BX$47="","",Underwriting!CC55)</f>
      </c>
      <c r="BY53" s="172" t="str">
        <f>IF(BY$47="","",Underwriting!CD55)</f>
      </c>
      <c r="BZ53" s="172" t="str">
        <f>IF(BZ$47="","",Underwriting!CE55)</f>
      </c>
      <c r="CA53" s="172" t="str">
        <f>IF(CA$47="","",Underwriting!CF55)</f>
      </c>
      <c r="CB53" s="172" t="str">
        <f>IF(CB$47="","",Underwriting!CG55)</f>
      </c>
      <c r="CC53" s="172" t="str">
        <f>IF(CC$47="","",Underwriting!CH55)</f>
      </c>
      <c r="CD53" s="172" t="str">
        <f>IF(CD$47="","",Underwriting!CI55)</f>
      </c>
      <c r="CE53" s="172" t="str">
        <f>IF(CE$47="","",Underwriting!CJ55)</f>
      </c>
      <c r="CF53" s="172" t="str">
        <f>IF(CF$47="","",Underwriting!CK55)</f>
      </c>
      <c r="CG53" s="172" t="str">
        <f>IF(CG$47="","",Underwriting!CL55)</f>
      </c>
      <c r="CH53" s="172" t="str">
        <f>IF(CH$47="","",Underwriting!CM55)</f>
      </c>
      <c r="CI53" s="172" t="str">
        <f>IF(CI$47="","",Underwriting!CN55)</f>
      </c>
      <c r="CJ53" s="172" t="str">
        <f>IF(CJ$47="","",Underwriting!CO55)</f>
      </c>
      <c r="CK53" s="172" t="str">
        <f>IF(CK$47="","",Underwriting!CP55)</f>
      </c>
      <c r="CL53" s="172" t="str">
        <f>IF(CL$47="","",Underwriting!CQ55)</f>
      </c>
      <c r="CM53" s="172" t="str">
        <f>IF(CM$47="","",Underwriting!CR55)</f>
      </c>
      <c r="CN53" s="172" t="str">
        <f>IF(CN$47="","",Underwriting!CS55)</f>
      </c>
      <c r="CO53" s="172" t="str">
        <f>IF(CO$47="","",Underwriting!CT55)</f>
      </c>
      <c r="CP53" s="172" t="str">
        <f>IF(CP$47="","",Underwriting!CU55)</f>
      </c>
      <c r="CQ53" s="172" t="str">
        <f>IF(CQ$47="","",Underwriting!CV55)</f>
      </c>
      <c r="CR53" s="172" t="str">
        <f>IF(CR$47="","",Underwriting!CW55)</f>
      </c>
      <c r="CS53" s="172" t="str">
        <f>IF(CS$47="","",Underwriting!CX55)</f>
      </c>
      <c r="CT53" s="172" t="str">
        <f>IF(CT$47="","",Underwriting!CY55)</f>
      </c>
      <c r="CU53" s="172" t="str">
        <f>IF(CU$47="","",Underwriting!CZ55)</f>
      </c>
      <c r="CV53" s="172" t="str">
        <f>IF(CV$47="","",Underwriting!DA55)</f>
      </c>
      <c r="CW53" s="172" t="str">
        <f>IF(CW$47="","",Underwriting!DB55)</f>
      </c>
      <c r="CX53" s="172" t="str">
        <f>IF(CX$47="","",Underwriting!DC55)</f>
      </c>
      <c r="CY53" s="172" t="str">
        <f>IF(CY$47="","",Underwriting!DD55)</f>
      </c>
      <c r="CZ53" s="172" t="str">
        <f>IF(CZ$47="","",Underwriting!DE55)</f>
      </c>
      <c r="DA53" s="172" t="str">
        <f>IF(DA$47="","",Underwriting!DF55)</f>
      </c>
      <c r="DB53" s="172" t="str">
        <f>IF(DB$47="","",Underwriting!DG55)</f>
      </c>
      <c r="DC53" s="172" t="str">
        <f>IF(DC$47="","",Underwriting!DH55)</f>
      </c>
      <c r="DD53" s="172" t="str">
        <f>IF(DD$47="","",Underwriting!DI55)</f>
      </c>
      <c r="DE53" s="172" t="str">
        <f>IF(DE$47="","",Underwriting!DJ55)</f>
      </c>
      <c r="DF53" s="172" t="str">
        <f>IF(DF$47="","",Underwriting!DK55)</f>
      </c>
      <c r="DG53" s="172" t="str">
        <f>IF(DG$47="","",Underwriting!DL55)</f>
      </c>
      <c r="DH53" s="172" t="str">
        <f>IF(DH$47="","",Underwriting!DM55)</f>
      </c>
      <c r="DI53" s="172" t="str">
        <f>IF(DI$47="","",Underwriting!DN55)</f>
      </c>
      <c r="DJ53" s="172" t="str">
        <f>IF(DJ$47="","",Underwriting!DO55)</f>
      </c>
      <c r="DK53" s="172" t="str">
        <f>IF(DK$47="","",Underwriting!DP55)</f>
      </c>
      <c r="DL53" s="172" t="str">
        <f>IF(DL$47="","",Underwriting!DQ55)</f>
      </c>
      <c r="DM53" s="172" t="str">
        <f>IF(DM$47="","",Underwriting!DR55)</f>
      </c>
      <c r="DN53" s="172" t="str">
        <f>IF(DN$47="","",Underwriting!DS55)</f>
      </c>
      <c r="DO53" s="172" t="str">
        <f>IF(DO$47="","",Underwriting!DT55)</f>
      </c>
      <c r="DP53" s="172" t="str">
        <f>IF(DP$47="","",Underwriting!DU55)</f>
      </c>
      <c r="DQ53" s="172" t="str">
        <f>IF(DQ$47="","",Underwriting!DV55)</f>
      </c>
      <c r="DR53" s="172" t="str">
        <f>IF(DR$47="","",Underwriting!DW55)</f>
      </c>
      <c r="DS53" s="172" t="str">
        <f>IF(DS$47="","",Underwriting!DX55)</f>
      </c>
      <c r="DT53" s="172" t="str">
        <f>IF(DT$47="","",Underwriting!DY55)</f>
      </c>
      <c r="DU53" s="172" t="str">
        <f>IF(DU$47="","",Underwriting!DZ55)</f>
      </c>
      <c r="DV53" s="172" t="str">
        <f>IF(DV$47="","",Underwriting!EA55)</f>
      </c>
      <c r="DW53" s="172" t="str">
        <f>IF(DW$47="","",Underwriting!EB55)</f>
      </c>
      <c r="DX53" s="172" t="str">
        <f>IF(DX$47="","",Underwriting!EC55)</f>
      </c>
      <c r="DY53" s="172" t="str">
        <f>IF(DY$47="","",Underwriting!ED55)</f>
      </c>
      <c r="DZ53" s="172" t="str">
        <f>IF(DZ$47="","",Underwriting!EE55)</f>
      </c>
      <c r="EA53" s="172" t="str">
        <f>IF(EA$47="","",Underwriting!EF55)</f>
      </c>
      <c r="EB53" s="172" t="str">
        <f>IF(EB$47="","",Underwriting!EG55)</f>
      </c>
      <c r="EC53" s="172" t="str">
        <f>IF(EC$47="","",Underwriting!EH55)</f>
      </c>
      <c r="ED53" s="172" t="str">
        <f>IF(ED$47="","",Underwriting!EI55)</f>
      </c>
      <c r="EE53" s="172" t="str">
        <f>IF(EE$47="","",Underwriting!EJ55)</f>
      </c>
      <c r="EF53" s="172" t="str">
        <f>IF(EF$47="","",Underwriting!EK55)</f>
      </c>
      <c r="EG53" s="172" t="str">
        <f>IF(EG$47="","",Underwriting!EL55)</f>
      </c>
      <c r="EH53" s="172" t="str">
        <f>IF(EH$47="","",Underwriting!EM55)</f>
      </c>
      <c r="EI53" s="172" t="str">
        <f>IF(EI$47="","",Underwriting!EN55)</f>
      </c>
    </row>
    <row r="54">
      <c r="B54" s="4"/>
      <c r="C54" s="4"/>
      <c r="D54" s="4"/>
      <c r="E54" s="4"/>
      <c r="F54" s="4"/>
      <c r="G54" s="172"/>
      <c r="H54" s="172"/>
      <c r="I54" s="172"/>
      <c r="J54" s="172"/>
      <c r="K54" s="172"/>
      <c r="L54" s="172"/>
      <c r="M54" s="172"/>
      <c r="N54" s="172"/>
      <c r="O54" s="172"/>
      <c r="P54" s="172"/>
      <c r="Q54" s="172"/>
      <c r="R54" s="172"/>
      <c r="S54" s="172"/>
      <c r="T54" s="172"/>
      <c r="U54" s="172"/>
      <c r="V54" s="172"/>
      <c r="W54" s="172"/>
      <c r="X54" s="172"/>
      <c r="Y54" s="172"/>
      <c r="Z54" s="172"/>
      <c r="AA54" s="172"/>
      <c r="AB54" s="172"/>
      <c r="AC54" s="172"/>
      <c r="AD54" s="172"/>
      <c r="AE54" s="172"/>
      <c r="AF54" s="172"/>
      <c r="AG54" s="172"/>
      <c r="AH54" s="172"/>
      <c r="AI54" s="172"/>
      <c r="AJ54" s="172"/>
      <c r="AK54" s="172"/>
      <c r="AL54" s="172"/>
      <c r="AM54" s="172"/>
      <c r="AN54" s="172"/>
      <c r="AO54" s="172"/>
      <c r="AP54" s="172"/>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72"/>
      <c r="BP54" s="172"/>
      <c r="BQ54" s="172"/>
      <c r="BR54" s="172"/>
      <c r="BS54" s="172"/>
      <c r="BT54" s="172"/>
      <c r="BU54" s="172"/>
      <c r="BV54" s="172"/>
      <c r="BW54" s="172"/>
      <c r="BX54" s="172"/>
      <c r="BY54" s="172"/>
      <c r="BZ54" s="172"/>
      <c r="CA54" s="172"/>
      <c r="CB54" s="172"/>
      <c r="CC54" s="172"/>
      <c r="CD54" s="172"/>
      <c r="CE54" s="172"/>
      <c r="CF54" s="172"/>
      <c r="CG54" s="172"/>
      <c r="CH54" s="172"/>
      <c r="CI54" s="172"/>
      <c r="CJ54" s="172"/>
      <c r="CK54" s="172"/>
      <c r="CL54" s="172"/>
      <c r="CM54" s="172"/>
      <c r="CN54" s="172"/>
      <c r="CO54" s="172"/>
      <c r="CP54" s="172"/>
      <c r="CQ54" s="172"/>
      <c r="CR54" s="172"/>
      <c r="CS54" s="172"/>
      <c r="CT54" s="172"/>
      <c r="CU54" s="172"/>
      <c r="CV54" s="172"/>
      <c r="CW54" s="172"/>
      <c r="CX54" s="172"/>
      <c r="CY54" s="172"/>
      <c r="CZ54" s="172"/>
      <c r="DA54" s="172"/>
      <c r="DB54" s="172"/>
      <c r="DC54" s="172"/>
      <c r="DD54" s="172"/>
      <c r="DE54" s="172"/>
      <c r="DF54" s="172"/>
      <c r="DG54" s="172"/>
      <c r="DH54" s="172"/>
      <c r="DI54" s="172"/>
      <c r="DJ54" s="172"/>
      <c r="DK54" s="172"/>
      <c r="DL54" s="172"/>
      <c r="DM54" s="172"/>
      <c r="DN54" s="172"/>
      <c r="DO54" s="172"/>
      <c r="DP54" s="172"/>
      <c r="DQ54" s="172"/>
      <c r="DR54" s="172"/>
      <c r="DS54" s="172"/>
      <c r="DT54" s="172"/>
      <c r="DU54" s="172"/>
      <c r="DV54" s="172"/>
      <c r="DW54" s="172"/>
      <c r="DX54" s="172"/>
      <c r="DY54" s="172"/>
      <c r="DZ54" s="172"/>
      <c r="EA54" s="172"/>
      <c r="EB54" s="172"/>
      <c r="EC54" s="172"/>
      <c r="ED54" s="172"/>
      <c r="EE54" s="172"/>
      <c r="EF54" s="172"/>
      <c r="EG54" s="172"/>
      <c r="EH54" s="172"/>
      <c r="EI54" s="172"/>
    </row>
    <row r="55">
      <c r="B55" s="4" t="s">
        <v>485</v>
      </c>
      <c r="C55" s="4"/>
      <c r="D55" s="4"/>
      <c r="E55" s="4"/>
      <c r="F55" s="4"/>
      <c r="G55" s="172" t="str">
        <f>IF(G$47="","",G53+G51)</f>
      </c>
      <c r="H55" s="172" t="n">
        <f t="shared" ref="H55:BS55" si="32">IF(H$47="","",H53+H51)</f>
        <v>212162.73181973916</v>
      </c>
      <c r="I55" s="172">
        <f t="shared" si="32"/>
        <v>483373.12890771433</v>
      </c>
      <c r="J55" s="172">
        <f t="shared" si="32"/>
        <v>870706.20970547642</v>
      </c>
      <c r="K55" s="172">
        <f t="shared" si="32"/>
        <v>1407343.039998231</v>
      </c>
      <c r="L55" s="172">
        <f t="shared" si="32"/>
        <v>2242515.4168408588</v>
      </c>
      <c r="M55" s="172">
        <f t="shared" si="32"/>
        <v>3066233.2255849475</v>
      </c>
      <c r="N55" s="172">
        <f t="shared" si="32"/>
        <v>4247815.6680353265</v>
      </c>
      <c r="O55" s="172">
        <f t="shared" si="32"/>
        <v>5686719.8131011408</v>
      </c>
      <c r="P55" s="172">
        <f t="shared" si="32"/>
        <v>7378219.20713937</v>
      </c>
      <c r="Q55" s="172">
        <f t="shared" si="32"/>
        <v>9293807.5188872609</v>
      </c>
      <c r="R55" s="172">
        <f t="shared" si="32"/>
        <v>11377861.161045389</v>
      </c>
      <c r="S55" s="172">
        <f t="shared" si="32"/>
        <v>13547336.693550857</v>
      </c>
      <c r="T55" s="172">
        <f t="shared" si="32"/>
        <v>15695302.068280539</v>
      </c>
      <c r="U55" s="172">
        <f t="shared" si="32"/>
        <v>17698527.037614059</v>
      </c>
      <c r="V55" s="172">
        <f t="shared" si="32"/>
        <v>19428611.613568623</v>
      </c>
      <c r="W55" s="172">
        <f t="shared" si="32"/>
        <v>20765363.623626877</v>
      </c>
      <c r="X55" s="172">
        <f t="shared" si="32"/>
        <v>21610531.772739612</v>
      </c>
      <c r="Y55" s="172">
        <f t="shared" si="32"/>
        <v>21899727.837075893</v>
      </c>
      <c r="Z55" s="172">
        <f t="shared" si="32"/>
        <v>21610531.77273963</v>
      </c>
      <c r="AA55" s="172">
        <f t="shared" si="32"/>
        <v>20765363.623626839</v>
      </c>
      <c r="AB55" s="172">
        <f t="shared" si="32"/>
        <v>19428611.61356866</v>
      </c>
      <c r="AC55" s="172">
        <f t="shared" si="32"/>
        <v>17698527.037614033</v>
      </c>
      <c r="AD55" s="172">
        <f t="shared" si="32"/>
        <v>15695302.068280539</v>
      </c>
      <c r="AE55" s="172">
        <f t="shared" si="32"/>
        <v>13547336.693550883</v>
      </c>
      <c r="AF55" s="172">
        <f t="shared" si="32"/>
        <v>11377861.161045359</v>
      </c>
      <c r="AG55" s="172">
        <f t="shared" si="32"/>
        <v>9293807.5188872609</v>
      </c>
      <c r="AH55" s="172">
        <f t="shared" si="32"/>
        <v>7378219.2071393942</v>
      </c>
      <c r="AI55" s="172">
        <f t="shared" si="32"/>
        <v>5686719.813101124</v>
      </c>
      <c r="AJ55" s="172">
        <f t="shared" si="32"/>
        <v>4247815.6680353275</v>
      </c>
      <c r="AK55" s="172">
        <f t="shared" si="32"/>
        <v>3066233.2255849615</v>
      </c>
      <c r="AL55" s="172">
        <f t="shared" si="32"/>
        <v>2128176.5272049378</v>
      </c>
      <c r="AM55" s="172">
        <f t="shared" si="32"/>
        <v>1407343.039998237</v>
      </c>
      <c r="AN55" s="172">
        <f t="shared" si="32"/>
        <v>870706.20970545732</v>
      </c>
      <c r="AO55" s="172">
        <f t="shared" si="32"/>
        <v>483373.12890773668</v>
      </c>
      <c r="AP55" s="172">
        <f t="shared" si="32"/>
        <v>212162.73181972333</v>
      </c>
      <c r="AQ55" s="172">
        <f t="shared" si="32"/>
        <v>27848.460729774495</v>
      </c>
      <c r="AR55" s="172">
        <f t="shared" si="32"/>
        <v>0</v>
      </c>
      <c r="AS55" s="172">
        <f t="shared" si="32"/>
        <v>0</v>
      </c>
      <c r="AT55" s="172">
        <f t="shared" si="32"/>
        <v>0</v>
      </c>
      <c r="AU55" s="172">
        <f t="shared" si="32"/>
        <v>0</v>
      </c>
      <c r="AV55" s="172">
        <f t="shared" si="32"/>
        <v>0</v>
      </c>
      <c r="AW55" s="172">
        <f t="shared" si="32"/>
        <v>0</v>
      </c>
      <c r="AX55" s="172">
        <f t="shared" si="32"/>
        <v>0</v>
      </c>
      <c r="AY55" s="172">
        <f t="shared" si="32"/>
        <v>0</v>
      </c>
      <c r="AZ55" s="172">
        <f t="shared" si="32"/>
        <v>0</v>
      </c>
      <c r="BA55" s="172">
        <f t="shared" si="32"/>
        <v>0</v>
      </c>
      <c r="BB55" s="172">
        <f t="shared" si="32"/>
        <v>0</v>
      </c>
      <c r="BC55" s="172">
        <f t="shared" si="32"/>
        <v>0</v>
      </c>
      <c r="BD55" s="172">
        <f t="shared" si="32"/>
        <v>0</v>
      </c>
      <c r="BE55" s="172">
        <f t="shared" si="32"/>
        <v>0</v>
      </c>
      <c r="BF55" s="172">
        <f t="shared" si="32"/>
        <v>0</v>
      </c>
      <c r="BG55" s="172">
        <f t="shared" si="32"/>
        <v>0</v>
      </c>
      <c r="BH55" s="172">
        <f t="shared" si="32"/>
        <v>0</v>
      </c>
      <c r="BI55" s="172">
        <f t="shared" si="32"/>
        <v>0</v>
      </c>
      <c r="BJ55" s="172">
        <f t="shared" si="32"/>
        <v>0</v>
      </c>
      <c r="BK55" s="172">
        <f t="shared" si="32"/>
        <v>0</v>
      </c>
      <c r="BL55" s="172">
        <f t="shared" si="32"/>
        <v>0</v>
      </c>
      <c r="BM55" s="172">
        <f t="shared" si="32"/>
        <v>0</v>
      </c>
      <c r="BN55" s="172">
        <f t="shared" si="32"/>
        <v>0</v>
      </c>
      <c r="BO55" s="172">
        <f t="shared" si="32"/>
        <v>0</v>
      </c>
      <c r="BP55" s="172">
        <f t="shared" si="32"/>
        <v>0</v>
      </c>
      <c r="BQ55" s="172" t="str">
        <f t="shared" si="32"/>
      </c>
      <c r="BR55" s="172" t="str">
        <f t="shared" si="32"/>
      </c>
      <c r="BS55" s="172" t="str">
        <f t="shared" si="32"/>
      </c>
      <c r="BT55" s="172" t="str">
        <f t="shared" ref="BT55:EE55" si="33">IF(BT$47="","",BT53+BT51)</f>
      </c>
      <c r="BU55" s="172" t="str">
        <f t="shared" si="33"/>
      </c>
      <c r="BV55" s="172" t="str">
        <f t="shared" si="33"/>
      </c>
      <c r="BW55" s="172" t="str">
        <f t="shared" si="33"/>
      </c>
      <c r="BX55" s="172" t="str">
        <f t="shared" si="33"/>
      </c>
      <c r="BY55" s="172" t="str">
        <f t="shared" si="33"/>
      </c>
      <c r="BZ55" s="172" t="str">
        <f t="shared" si="33"/>
      </c>
      <c r="CA55" s="172" t="str">
        <f t="shared" si="33"/>
      </c>
      <c r="CB55" s="172" t="str">
        <f t="shared" si="33"/>
      </c>
      <c r="CC55" s="172" t="str">
        <f t="shared" si="33"/>
      </c>
      <c r="CD55" s="172" t="str">
        <f t="shared" si="33"/>
      </c>
      <c r="CE55" s="172" t="str">
        <f t="shared" si="33"/>
      </c>
      <c r="CF55" s="172" t="str">
        <f t="shared" si="33"/>
      </c>
      <c r="CG55" s="172" t="str">
        <f t="shared" si="33"/>
      </c>
      <c r="CH55" s="172" t="str">
        <f t="shared" si="33"/>
      </c>
      <c r="CI55" s="172" t="str">
        <f t="shared" si="33"/>
      </c>
      <c r="CJ55" s="172" t="str">
        <f t="shared" si="33"/>
      </c>
      <c r="CK55" s="172" t="str">
        <f t="shared" si="33"/>
      </c>
      <c r="CL55" s="172" t="str">
        <f t="shared" si="33"/>
      </c>
      <c r="CM55" s="172" t="str">
        <f t="shared" si="33"/>
      </c>
      <c r="CN55" s="172" t="str">
        <f t="shared" si="33"/>
      </c>
      <c r="CO55" s="172" t="str">
        <f t="shared" si="33"/>
      </c>
      <c r="CP55" s="172" t="str">
        <f t="shared" si="33"/>
      </c>
      <c r="CQ55" s="172" t="str">
        <f t="shared" si="33"/>
      </c>
      <c r="CR55" s="172" t="str">
        <f t="shared" si="33"/>
      </c>
      <c r="CS55" s="172" t="str">
        <f t="shared" si="33"/>
      </c>
      <c r="CT55" s="172" t="str">
        <f t="shared" si="33"/>
      </c>
      <c r="CU55" s="172" t="str">
        <f t="shared" si="33"/>
      </c>
      <c r="CV55" s="172" t="str">
        <f t="shared" si="33"/>
      </c>
      <c r="CW55" s="172" t="str">
        <f t="shared" si="33"/>
      </c>
      <c r="CX55" s="172" t="str">
        <f t="shared" si="33"/>
      </c>
      <c r="CY55" s="172" t="str">
        <f t="shared" si="33"/>
      </c>
      <c r="CZ55" s="172" t="str">
        <f t="shared" si="33"/>
      </c>
      <c r="DA55" s="172" t="str">
        <f t="shared" si="33"/>
      </c>
      <c r="DB55" s="172" t="str">
        <f t="shared" si="33"/>
      </c>
      <c r="DC55" s="172" t="str">
        <f t="shared" si="33"/>
      </c>
      <c r="DD55" s="172" t="str">
        <f t="shared" si="33"/>
      </c>
      <c r="DE55" s="172" t="str">
        <f t="shared" si="33"/>
      </c>
      <c r="DF55" s="172" t="str">
        <f t="shared" si="33"/>
      </c>
      <c r="DG55" s="172" t="str">
        <f t="shared" si="33"/>
      </c>
      <c r="DH55" s="172" t="str">
        <f t="shared" si="33"/>
      </c>
      <c r="DI55" s="172" t="str">
        <f t="shared" si="33"/>
      </c>
      <c r="DJ55" s="172" t="str">
        <f t="shared" si="33"/>
      </c>
      <c r="DK55" s="172" t="str">
        <f t="shared" si="33"/>
      </c>
      <c r="DL55" s="172" t="str">
        <f t="shared" si="33"/>
      </c>
      <c r="DM55" s="172" t="str">
        <f t="shared" si="33"/>
      </c>
      <c r="DN55" s="172" t="str">
        <f t="shared" si="33"/>
      </c>
      <c r="DO55" s="172" t="str">
        <f t="shared" si="33"/>
      </c>
      <c r="DP55" s="172" t="str">
        <f t="shared" si="33"/>
      </c>
      <c r="DQ55" s="172" t="str">
        <f t="shared" si="33"/>
      </c>
      <c r="DR55" s="172" t="str">
        <f t="shared" si="33"/>
      </c>
      <c r="DS55" s="172" t="str">
        <f t="shared" si="33"/>
      </c>
      <c r="DT55" s="172" t="str">
        <f t="shared" si="33"/>
      </c>
      <c r="DU55" s="172" t="str">
        <f t="shared" si="33"/>
      </c>
      <c r="DV55" s="172" t="str">
        <f t="shared" si="33"/>
      </c>
      <c r="DW55" s="172" t="str">
        <f t="shared" si="33"/>
      </c>
      <c r="DX55" s="172" t="str">
        <f t="shared" si="33"/>
      </c>
      <c r="DY55" s="172" t="str">
        <f t="shared" si="33"/>
      </c>
      <c r="DZ55" s="172" t="str">
        <f t="shared" si="33"/>
      </c>
      <c r="EA55" s="172" t="str">
        <f t="shared" si="33"/>
      </c>
      <c r="EB55" s="172" t="str">
        <f t="shared" si="33"/>
      </c>
      <c r="EC55" s="172" t="str">
        <f t="shared" si="33"/>
      </c>
      <c r="ED55" s="172" t="str">
        <f t="shared" si="33"/>
      </c>
      <c r="EE55" s="172" t="str">
        <f t="shared" si="33"/>
      </c>
      <c r="EF55" s="172" t="str">
        <f t="shared" ref="EF55:EI55" si="34">IF(EF$47="","",EF53+EF51)</f>
      </c>
      <c r="EG55" s="172" t="str">
        <f t="shared" si="34"/>
      </c>
      <c r="EH55" s="172" t="str">
        <f t="shared" si="34"/>
      </c>
      <c r="EI55" s="172" t="str">
        <f t="shared" si="34"/>
      </c>
    </row>
    <row r="56">
      <c r="B56" s="4"/>
      <c r="C56" s="4"/>
      <c r="D56" s="4"/>
      <c r="E56" s="4"/>
      <c r="F56" s="4"/>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72"/>
      <c r="AM56" s="172"/>
      <c r="AN56" s="172"/>
      <c r="AO56" s="172"/>
      <c r="AP56" s="172"/>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72"/>
      <c r="BP56" s="172"/>
      <c r="BQ56" s="172"/>
      <c r="BR56" s="172"/>
      <c r="BS56" s="172"/>
      <c r="BT56" s="172"/>
      <c r="BU56" s="172"/>
      <c r="BV56" s="172"/>
      <c r="BW56" s="172"/>
      <c r="BX56" s="172"/>
      <c r="BY56" s="172"/>
      <c r="BZ56" s="172"/>
      <c r="CA56" s="172"/>
      <c r="CB56" s="172"/>
      <c r="CC56" s="172"/>
      <c r="CD56" s="172"/>
      <c r="CE56" s="172"/>
      <c r="CF56" s="172"/>
      <c r="CG56" s="172"/>
      <c r="CH56" s="172"/>
      <c r="CI56" s="172"/>
      <c r="CJ56" s="172"/>
      <c r="CK56" s="172"/>
      <c r="CL56" s="172"/>
      <c r="CM56" s="172"/>
      <c r="CN56" s="172"/>
      <c r="CO56" s="172"/>
      <c r="CP56" s="172"/>
      <c r="CQ56" s="172"/>
      <c r="CR56" s="172"/>
      <c r="CS56" s="172"/>
      <c r="CT56" s="172"/>
      <c r="CU56" s="172"/>
      <c r="CV56" s="172"/>
      <c r="CW56" s="172"/>
      <c r="CX56" s="172"/>
      <c r="CY56" s="172"/>
      <c r="CZ56" s="172"/>
      <c r="DA56" s="172"/>
      <c r="DB56" s="172"/>
      <c r="DC56" s="172"/>
      <c r="DD56" s="172"/>
      <c r="DE56" s="172"/>
      <c r="DF56" s="172"/>
      <c r="DG56" s="172"/>
      <c r="DH56" s="172"/>
      <c r="DI56" s="172"/>
      <c r="DJ56" s="172"/>
      <c r="DK56" s="172"/>
      <c r="DL56" s="172"/>
      <c r="DM56" s="172"/>
      <c r="DN56" s="172"/>
      <c r="DO56" s="172"/>
      <c r="DP56" s="172"/>
      <c r="DQ56" s="172"/>
      <c r="DR56" s="172"/>
      <c r="DS56" s="172"/>
      <c r="DT56" s="172"/>
      <c r="DU56" s="172"/>
      <c r="DV56" s="172"/>
      <c r="DW56" s="172"/>
      <c r="DX56" s="172"/>
      <c r="DY56" s="172"/>
      <c r="DZ56" s="172"/>
      <c r="EA56" s="172"/>
      <c r="EB56" s="172"/>
      <c r="EC56" s="172"/>
      <c r="ED56" s="172"/>
      <c r="EE56" s="172"/>
      <c r="EF56" s="172"/>
      <c r="EG56" s="172"/>
      <c r="EH56" s="172"/>
      <c r="EI56" s="172"/>
    </row>
    <row r="57">
      <c r="B57" s="4" t="s">
        <v>496</v>
      </c>
      <c r="C57" s="4"/>
      <c r="D57" s="4"/>
      <c r="E57" s="4"/>
      <c r="F57" s="4"/>
      <c r="G57" s="172" t="str">
        <f>IF(G$47="","",Underwriting!L77)</f>
      </c>
      <c r="H57" s="172" t="n">
        <f>IF(H$47="","",Underwriting!M77)</f>
        <v>313055.55555555556</v>
      </c>
      <c r="I57" s="172" t="n">
        <f>IF(I$47="","",Underwriting!N77)</f>
        <v>483373.12890771433</v>
      </c>
      <c r="J57" s="172" t="n">
        <f>IF(J$47="","",Underwriting!O77)</f>
        <v>870706.2097054764</v>
      </c>
      <c r="K57" s="172" t="n">
        <f>IF(K$47="","",Underwriting!P77)</f>
        <v>1407343.039998231</v>
      </c>
      <c r="L57" s="172" t="n">
        <f>IF(L$47="","",Underwriting!Q77)</f>
        <v>2242515.4168408588</v>
      </c>
      <c r="M57" s="172" t="n">
        <f>IF(M$47="","",Underwriting!R77)</f>
        <v>3066233.2255849475</v>
      </c>
      <c r="N57" s="172" t="n">
        <f>IF(N$47="","",Underwriting!S77)</f>
        <v>4247815.6680353265</v>
      </c>
      <c r="O57" s="172" t="n">
        <f>IF(O$47="","",Underwriting!T77)</f>
        <v>5686719.813101141</v>
      </c>
      <c r="P57" s="172" t="n">
        <f>IF(P$47="","",Underwriting!U77)</f>
        <v>7378219.20713937</v>
      </c>
      <c r="Q57" s="172" t="n">
        <f>IF(Q$47="","",Underwriting!V77)</f>
        <v>9293807.51888726</v>
      </c>
      <c r="R57" s="172" t="n">
        <f>IF(R$47="","",Underwriting!W77)</f>
        <v>11377861.16104539</v>
      </c>
      <c r="S57" s="172" t="n">
        <f>IF(S$47="","",Underwriting!X77)</f>
        <v>13547336.693550857</v>
      </c>
      <c r="T57" s="172" t="n">
        <f>IF(T$47="","",Underwriting!Y77)</f>
        <v>15695302.068280539</v>
      </c>
      <c r="U57" s="172" t="n">
        <f>IF(U$47="","",Underwriting!Z77)</f>
        <v>17698527.03761406</v>
      </c>
      <c r="V57" s="172" t="n">
        <f>IF(V$47="","",Underwriting!AA77)</f>
        <v>19428611.613568623</v>
      </c>
      <c r="W57" s="172" t="n">
        <f>IF(W$47="","",Underwriting!AB77)</f>
        <v>20765363.623626877</v>
      </c>
      <c r="X57" s="172" t="n">
        <f>IF(X$47="","",Underwriting!AC77)</f>
        <v>21785085.385473285</v>
      </c>
      <c r="Y57" s="172" t="n">
        <f>IF(Y$47="","",Underwriting!AD77)</f>
        <v>21990476.974151812</v>
      </c>
      <c r="Z57" s="172" t="n">
        <f>IF(Z$47="","",Underwriting!AE77)</f>
        <v>21610531.77273963</v>
      </c>
      <c r="AA57" s="172" t="n">
        <f>IF(AA$47="","",Underwriting!AF77)</f>
        <v>20765363.62362684</v>
      </c>
      <c r="AB57" s="172" t="n">
        <f>IF(AB$47="","",Underwriting!AG77)</f>
        <v>19428611.61356866</v>
      </c>
      <c r="AC57" s="172" t="n">
        <f>IF(AC$47="","",Underwriting!AH77)</f>
        <v>17698527.037614033</v>
      </c>
      <c r="AD57" s="172" t="n">
        <f>IF(AD$47="","",Underwriting!AI77)</f>
        <v>15695302.068280539</v>
      </c>
      <c r="AE57" s="172" t="n">
        <f>IF(AE$47="","",Underwriting!AJ77)</f>
        <v>13547336.693550883</v>
      </c>
      <c r="AF57" s="172" t="n">
        <f>IF(AF$47="","",Underwriting!AK77)</f>
        <v>11377861.16104536</v>
      </c>
      <c r="AG57" s="172" t="n">
        <f>IF(AG$47="","",Underwriting!AL77)</f>
        <v>9293807.51888726</v>
      </c>
      <c r="AH57" s="172" t="n">
        <f>IF(AH$47="","",Underwriting!AM77)</f>
        <v>7378219.207139394</v>
      </c>
      <c r="AI57" s="172" t="n">
        <f>IF(AI$47="","",Underwriting!AN77)</f>
        <v>5686719.813101124</v>
      </c>
      <c r="AJ57" s="172" t="n">
        <f>IF(AJ$47="","",Underwriting!AO77)</f>
        <v>4247815.668035327</v>
      </c>
      <c r="AK57" s="172" t="n">
        <f>IF(AK$47="","",Underwriting!AP77)</f>
        <v>3066233.2255849615</v>
      </c>
      <c r="AL57" s="172" t="n">
        <f>IF(AL$47="","",Underwriting!AQ77)</f>
        <v>2128176.527204938</v>
      </c>
      <c r="AM57" s="172" t="n">
        <f>IF(AM$47="","",Underwriting!AR77)</f>
        <v>1407343.039998237</v>
      </c>
      <c r="AN57" s="172" t="n">
        <f>IF(AN$47="","",Underwriting!AS77)</f>
        <v>870706.2097054573</v>
      </c>
      <c r="AO57" s="172" t="n">
        <f>IF(AO$47="","",Underwriting!AT77)</f>
        <v>483373.1289077367</v>
      </c>
      <c r="AP57" s="172" t="n">
        <f>IF(AP$47="","",Underwriting!AU77)</f>
        <v>212162.73181972333</v>
      </c>
      <c r="AQ57" s="172" t="n">
        <f>IF(AQ$47="","",Underwriting!AV77)</f>
        <v>44612.05233198404</v>
      </c>
      <c r="AR57" s="172" t="n">
        <f>IF(AR$47="","",Underwriting!AW77)</f>
        <v>0</v>
      </c>
      <c r="AS57" s="172" t="n">
        <f>IF(AS$47="","",Underwriting!AX77)</f>
        <v>0</v>
      </c>
      <c r="AT57" s="172" t="n">
        <f>IF(AT$47="","",Underwriting!AY77)</f>
        <v>0</v>
      </c>
      <c r="AU57" s="172" t="n">
        <f>IF(AU$47="","",Underwriting!AZ77)</f>
        <v>0</v>
      </c>
      <c r="AV57" s="172" t="n">
        <f>IF(AV$47="","",Underwriting!BA77)</f>
        <v>0</v>
      </c>
      <c r="AW57" s="172" t="n">
        <f>IF(AW$47="","",Underwriting!BB77)</f>
        <v>0</v>
      </c>
      <c r="AX57" s="172" t="n">
        <f>IF(AX$47="","",Underwriting!BC77)</f>
        <v>0</v>
      </c>
      <c r="AY57" s="172" t="n">
        <f>IF(AY$47="","",Underwriting!BD77)</f>
        <v>0</v>
      </c>
      <c r="AZ57" s="172" t="n">
        <f>IF(AZ$47="","",Underwriting!BE77)</f>
        <v>0</v>
      </c>
      <c r="BA57" s="172" t="n">
        <f>IF(BA$47="","",Underwriting!BF77)</f>
        <v>0</v>
      </c>
      <c r="BB57" s="172" t="n">
        <f>IF(BB$47="","",Underwriting!BG77)</f>
        <v>0</v>
      </c>
      <c r="BC57" s="172" t="n">
        <f>IF(BC$47="","",Underwriting!BH77)</f>
        <v>0</v>
      </c>
      <c r="BD57" s="172" t="n">
        <f>IF(BD$47="","",Underwriting!BI77)</f>
        <v>0</v>
      </c>
      <c r="BE57" s="172" t="n">
        <f>IF(BE$47="","",Underwriting!BJ77)</f>
        <v>0</v>
      </c>
      <c r="BF57" s="172" t="n">
        <f>IF(BF$47="","",Underwriting!BK77)</f>
        <v>0</v>
      </c>
      <c r="BG57" s="172" t="n">
        <f>IF(BG$47="","",Underwriting!BL77)</f>
        <v>0</v>
      </c>
      <c r="BH57" s="172" t="n">
        <f>IF(BH$47="","",Underwriting!BM77)</f>
        <v>0</v>
      </c>
      <c r="BI57" s="172" t="n">
        <f>IF(BI$47="","",Underwriting!BN77)</f>
        <v>0</v>
      </c>
      <c r="BJ57" s="172" t="n">
        <f>IF(BJ$47="","",Underwriting!BO77)</f>
        <v>0</v>
      </c>
      <c r="BK57" s="172" t="n">
        <f>IF(BK$47="","",Underwriting!BP77)</f>
        <v>0</v>
      </c>
      <c r="BL57" s="172" t="n">
        <f>IF(BL$47="","",Underwriting!BQ77)</f>
        <v>0</v>
      </c>
      <c r="BM57" s="172" t="n">
        <f>IF(BM$47="","",Underwriting!BR77)</f>
        <v>0</v>
      </c>
      <c r="BN57" s="172" t="n">
        <f>IF(BN$47="","",Underwriting!BS77)</f>
        <v>0</v>
      </c>
      <c r="BO57" s="172" t="n">
        <f>IF(BO$47="","",Underwriting!BT77)</f>
        <v>0</v>
      </c>
      <c r="BP57" s="172" t="n">
        <f>IF(BP$47="","",Underwriting!BU77)</f>
        <v>0</v>
      </c>
      <c r="BQ57" s="172" t="str">
        <f>IF(BQ$47="","",Underwriting!BV77)</f>
      </c>
      <c r="BR57" s="172" t="str">
        <f>IF(BR$47="","",Underwriting!BW77)</f>
      </c>
      <c r="BS57" s="172" t="str">
        <f>IF(BS$47="","",Underwriting!BX77)</f>
      </c>
      <c r="BT57" s="172" t="str">
        <f>IF(BT$47="","",Underwriting!BY77)</f>
      </c>
      <c r="BU57" s="172" t="str">
        <f>IF(BU$47="","",Underwriting!BZ77)</f>
      </c>
      <c r="BV57" s="172" t="str">
        <f>IF(BV$47="","",Underwriting!CA77)</f>
      </c>
      <c r="BW57" s="172" t="str">
        <f>IF(BW$47="","",Underwriting!CB77)</f>
      </c>
      <c r="BX57" s="172" t="str">
        <f>IF(BX$47="","",Underwriting!CC77)</f>
      </c>
      <c r="BY57" s="172" t="str">
        <f>IF(BY$47="","",Underwriting!CD77)</f>
      </c>
      <c r="BZ57" s="172" t="str">
        <f>IF(BZ$47="","",Underwriting!CE77)</f>
      </c>
      <c r="CA57" s="172" t="str">
        <f>IF(CA$47="","",Underwriting!CF77)</f>
      </c>
      <c r="CB57" s="172" t="str">
        <f>IF(CB$47="","",Underwriting!CG77)</f>
      </c>
      <c r="CC57" s="172" t="str">
        <f>IF(CC$47="","",Underwriting!CH77)</f>
      </c>
      <c r="CD57" s="172" t="str">
        <f>IF(CD$47="","",Underwriting!CI77)</f>
      </c>
      <c r="CE57" s="172" t="str">
        <f>IF(CE$47="","",Underwriting!CJ77)</f>
      </c>
      <c r="CF57" s="172" t="str">
        <f>IF(CF$47="","",Underwriting!CK77)</f>
      </c>
      <c r="CG57" s="172" t="str">
        <f>IF(CG$47="","",Underwriting!CL77)</f>
      </c>
      <c r="CH57" s="172" t="str">
        <f>IF(CH$47="","",Underwriting!CM77)</f>
      </c>
      <c r="CI57" s="172" t="str">
        <f>IF(CI$47="","",Underwriting!CN77)</f>
      </c>
      <c r="CJ57" s="172" t="str">
        <f>IF(CJ$47="","",Underwriting!CO77)</f>
      </c>
      <c r="CK57" s="172" t="str">
        <f>IF(CK$47="","",Underwriting!CP77)</f>
      </c>
      <c r="CL57" s="172" t="str">
        <f>IF(CL$47="","",Underwriting!CQ77)</f>
      </c>
      <c r="CM57" s="172" t="str">
        <f>IF(CM$47="","",Underwriting!CR77)</f>
      </c>
      <c r="CN57" s="172" t="str">
        <f>IF(CN$47="","",Underwriting!CS77)</f>
      </c>
      <c r="CO57" s="172" t="str">
        <f>IF(CO$47="","",Underwriting!CT77)</f>
      </c>
      <c r="CP57" s="172" t="str">
        <f>IF(CP$47="","",Underwriting!CU77)</f>
      </c>
      <c r="CQ57" s="172" t="str">
        <f>IF(CQ$47="","",Underwriting!CV77)</f>
      </c>
      <c r="CR57" s="172" t="str">
        <f>IF(CR$47="","",Underwriting!CW77)</f>
      </c>
      <c r="CS57" s="172" t="str">
        <f>IF(CS$47="","",Underwriting!CX77)</f>
      </c>
      <c r="CT57" s="172" t="str">
        <f>IF(CT$47="","",Underwriting!CY77)</f>
      </c>
      <c r="CU57" s="172" t="str">
        <f>IF(CU$47="","",Underwriting!CZ77)</f>
      </c>
      <c r="CV57" s="172" t="str">
        <f>IF(CV$47="","",Underwriting!DA77)</f>
      </c>
      <c r="CW57" s="172" t="str">
        <f>IF(CW$47="","",Underwriting!DB77)</f>
      </c>
      <c r="CX57" s="172" t="str">
        <f>IF(CX$47="","",Underwriting!DC77)</f>
      </c>
      <c r="CY57" s="172" t="str">
        <f>IF(CY$47="","",Underwriting!DD77)</f>
      </c>
      <c r="CZ57" s="172" t="str">
        <f>IF(CZ$47="","",Underwriting!DE77)</f>
      </c>
      <c r="DA57" s="172" t="str">
        <f>IF(DA$47="","",Underwriting!DF77)</f>
      </c>
      <c r="DB57" s="172" t="str">
        <f>IF(DB$47="","",Underwriting!DG77)</f>
      </c>
      <c r="DC57" s="172" t="str">
        <f>IF(DC$47="","",Underwriting!DH77)</f>
      </c>
      <c r="DD57" s="172" t="str">
        <f>IF(DD$47="","",Underwriting!DI77)</f>
      </c>
      <c r="DE57" s="172" t="str">
        <f>IF(DE$47="","",Underwriting!DJ77)</f>
      </c>
      <c r="DF57" s="172" t="str">
        <f>IF(DF$47="","",Underwriting!DK77)</f>
      </c>
      <c r="DG57" s="172" t="str">
        <f>IF(DG$47="","",Underwriting!DL77)</f>
      </c>
      <c r="DH57" s="172" t="str">
        <f>IF(DH$47="","",Underwriting!DM77)</f>
      </c>
      <c r="DI57" s="172" t="str">
        <f>IF(DI$47="","",Underwriting!DN77)</f>
      </c>
      <c r="DJ57" s="172" t="str">
        <f>IF(DJ$47="","",Underwriting!DO77)</f>
      </c>
      <c r="DK57" s="172" t="str">
        <f>IF(DK$47="","",Underwriting!DP77)</f>
      </c>
      <c r="DL57" s="172" t="str">
        <f>IF(DL$47="","",Underwriting!DQ77)</f>
      </c>
      <c r="DM57" s="172" t="str">
        <f>IF(DM$47="","",Underwriting!DR77)</f>
      </c>
      <c r="DN57" s="172" t="str">
        <f>IF(DN$47="","",Underwriting!DS77)</f>
      </c>
      <c r="DO57" s="172" t="str">
        <f>IF(DO$47="","",Underwriting!DT77)</f>
      </c>
      <c r="DP57" s="172" t="str">
        <f>IF(DP$47="","",Underwriting!DU77)</f>
      </c>
      <c r="DQ57" s="172" t="str">
        <f>IF(DQ$47="","",Underwriting!DV77)</f>
      </c>
      <c r="DR57" s="172" t="str">
        <f>IF(DR$47="","",Underwriting!DW77)</f>
      </c>
      <c r="DS57" s="172" t="str">
        <f>IF(DS$47="","",Underwriting!DX77)</f>
      </c>
      <c r="DT57" s="172" t="str">
        <f>IF(DT$47="","",Underwriting!DY77)</f>
      </c>
      <c r="DU57" s="172" t="str">
        <f>IF(DU$47="","",Underwriting!DZ77)</f>
      </c>
      <c r="DV57" s="172" t="str">
        <f>IF(DV$47="","",Underwriting!EA77)</f>
      </c>
      <c r="DW57" s="172" t="str">
        <f>IF(DW$47="","",Underwriting!EB77)</f>
      </c>
      <c r="DX57" s="172" t="str">
        <f>IF(DX$47="","",Underwriting!EC77)</f>
      </c>
      <c r="DY57" s="172" t="str">
        <f>IF(DY$47="","",Underwriting!ED77)</f>
      </c>
      <c r="DZ57" s="172" t="str">
        <f>IF(DZ$47="","",Underwriting!EE77)</f>
      </c>
      <c r="EA57" s="172" t="str">
        <f>IF(EA$47="","",Underwriting!EF77)</f>
      </c>
      <c r="EB57" s="172" t="str">
        <f>IF(EB$47="","",Underwriting!EG77)</f>
      </c>
      <c r="EC57" s="172" t="str">
        <f>IF(EC$47="","",Underwriting!EH77)</f>
      </c>
      <c r="ED57" s="172" t="str">
        <f>IF(ED$47="","",Underwriting!EI77)</f>
      </c>
      <c r="EE57" s="172" t="str">
        <f>IF(EE$47="","",Underwriting!EJ77)</f>
      </c>
      <c r="EF57" s="172" t="str">
        <f>IF(EF$47="","",Underwriting!EK77)</f>
      </c>
      <c r="EG57" s="172" t="str">
        <f>IF(EG$47="","",Underwriting!EL77)</f>
      </c>
      <c r="EH57" s="172" t="str">
        <f>IF(EH$47="","",Underwriting!EM77)</f>
      </c>
      <c r="EI57" s="172" t="str">
        <f>IF(EI$47="","",Underwriting!EN77)</f>
      </c>
    </row>
    <row r="58">
      <c r="B58" s="4" t="s">
        <v>81</v>
      </c>
      <c r="C58" s="4"/>
      <c r="D58" s="4"/>
      <c r="E58" s="4"/>
      <c r="F58" s="4"/>
      <c r="G58" s="172" t="str">
        <f>IF(G$47="","",Underwriting!L57)</f>
      </c>
      <c r="H58" s="172" t="n">
        <f>IF(H$47="","",Underwriting!M57)</f>
        <v>212162.73181973916</v>
      </c>
      <c r="I58" s="172" t="n">
        <f>IF(I$47="","",Underwriting!N57)</f>
        <v>483373.12890771433</v>
      </c>
      <c r="J58" s="172" t="n">
        <f>IF(J$47="","",Underwriting!O57)</f>
        <v>870706.2097054764</v>
      </c>
      <c r="K58" s="172" t="n">
        <f>IF(K$47="","",Underwriting!P57)</f>
        <v>1407343.039998231</v>
      </c>
      <c r="L58" s="172" t="n">
        <f>IF(L$47="","",Underwriting!Q57)</f>
        <v>2242515.4168408588</v>
      </c>
      <c r="M58" s="172" t="n">
        <f>IF(M$47="","",Underwriting!R57)</f>
        <v>3066233.2255849475</v>
      </c>
      <c r="N58" s="172" t="n">
        <f>IF(N$47="","",Underwriting!S57)</f>
        <v>4247815.6680353265</v>
      </c>
      <c r="O58" s="172" t="n">
        <f>IF(O$47="","",Underwriting!T57)</f>
        <v>5686719.813101141</v>
      </c>
      <c r="P58" s="172" t="n">
        <f>IF(P$47="","",Underwriting!U57)</f>
        <v>7378219.20713937</v>
      </c>
      <c r="Q58" s="172" t="n">
        <f>IF(Q$47="","",Underwriting!V57)</f>
        <v>9293807.51888726</v>
      </c>
      <c r="R58" s="172" t="n">
        <f>IF(R$47="","",Underwriting!W57)</f>
        <v>11377861.16104539</v>
      </c>
      <c r="S58" s="172" t="n">
        <f>IF(S$47="","",Underwriting!X57)</f>
        <v>13547336.693550857</v>
      </c>
      <c r="T58" s="172" t="n">
        <f>IF(T$47="","",Underwriting!Y57)</f>
        <v>15695302.068280539</v>
      </c>
      <c r="U58" s="172" t="n">
        <f>IF(U$47="","",Underwriting!Z57)</f>
        <v>17698527.03761406</v>
      </c>
      <c r="V58" s="172" t="n">
        <f>IF(V$47="","",Underwriting!AA57)</f>
        <v>19428611.613568623</v>
      </c>
      <c r="W58" s="172" t="n">
        <f>IF(W$47="","",Underwriting!AB57)</f>
        <v>20765363.623626877</v>
      </c>
      <c r="X58" s="172" t="n">
        <f>IF(X$47="","",Underwriting!AC57)</f>
        <v>21610531.77273961</v>
      </c>
      <c r="Y58" s="172" t="n">
        <f>IF(Y$47="","",Underwriting!AD57)</f>
        <v>21899727.837075893</v>
      </c>
      <c r="Z58" s="172" t="n">
        <f>IF(Z$47="","",Underwriting!AE57)</f>
        <v>21610531.77273963</v>
      </c>
      <c r="AA58" s="172" t="n">
        <f>IF(AA$47="","",Underwriting!AF57)</f>
        <v>20765363.62362684</v>
      </c>
      <c r="AB58" s="172" t="n">
        <f>IF(AB$47="","",Underwriting!AG57)</f>
        <v>19428611.61356866</v>
      </c>
      <c r="AC58" s="172" t="n">
        <f>IF(AC$47="","",Underwriting!AH57)</f>
        <v>17698527.037614033</v>
      </c>
      <c r="AD58" s="172" t="n">
        <f>IF(AD$47="","",Underwriting!AI57)</f>
        <v>15695302.068280539</v>
      </c>
      <c r="AE58" s="172" t="n">
        <f>IF(AE$47="","",Underwriting!AJ57)</f>
        <v>13547336.693550883</v>
      </c>
      <c r="AF58" s="172" t="n">
        <f>IF(AF$47="","",Underwriting!AK57)</f>
        <v>11377861.16104536</v>
      </c>
      <c r="AG58" s="172" t="n">
        <f>IF(AG$47="","",Underwriting!AL57)</f>
        <v>9293807.51888726</v>
      </c>
      <c r="AH58" s="172" t="n">
        <f>IF(AH$47="","",Underwriting!AM57)</f>
        <v>7378219.207139394</v>
      </c>
      <c r="AI58" s="172" t="n">
        <f>IF(AI$47="","",Underwriting!AN57)</f>
        <v>5686719.813101124</v>
      </c>
      <c r="AJ58" s="172" t="n">
        <f>IF(AJ$47="","",Underwriting!AO57)</f>
        <v>4247815.668035327</v>
      </c>
      <c r="AK58" s="172" t="n">
        <f>IF(AK$47="","",Underwriting!AP57)</f>
        <v>3066233.2255849615</v>
      </c>
      <c r="AL58" s="172" t="n">
        <f>IF(AL$47="","",Underwriting!AQ57)</f>
        <v>2128176.527204938</v>
      </c>
      <c r="AM58" s="172" t="n">
        <f>IF(AM$47="","",Underwriting!AR57)</f>
        <v>1407343.039998237</v>
      </c>
      <c r="AN58" s="172" t="n">
        <f>IF(AN$47="","",Underwriting!AS57)</f>
        <v>870706.2097054573</v>
      </c>
      <c r="AO58" s="172" t="n">
        <f>IF(AO$47="","",Underwriting!AT57)</f>
        <v>483373.1289077367</v>
      </c>
      <c r="AP58" s="172" t="n">
        <f>IF(AP$47="","",Underwriting!AU57)</f>
        <v>212162.73181972333</v>
      </c>
      <c r="AQ58" s="172" t="n">
        <f>IF(AQ$47="","",Underwriting!AV57)</f>
        <v>27848.460729774495</v>
      </c>
      <c r="AR58" s="172" t="n">
        <f>IF(AR$47="","",Underwriting!AW57)</f>
        <v>0</v>
      </c>
      <c r="AS58" s="172" t="n">
        <f>IF(AS$47="","",Underwriting!AX57)</f>
        <v>0</v>
      </c>
      <c r="AT58" s="172" t="n">
        <f>IF(AT$47="","",Underwriting!AY57)</f>
        <v>0</v>
      </c>
      <c r="AU58" s="172" t="n">
        <f>IF(AU$47="","",Underwriting!AZ57)</f>
        <v>0</v>
      </c>
      <c r="AV58" s="172" t="n">
        <f>IF(AV$47="","",Underwriting!BA57)</f>
        <v>0</v>
      </c>
      <c r="AW58" s="172" t="n">
        <f>IF(AW$47="","",Underwriting!BB57)</f>
        <v>0</v>
      </c>
      <c r="AX58" s="172" t="n">
        <f>IF(AX$47="","",Underwriting!BC57)</f>
        <v>0</v>
      </c>
      <c r="AY58" s="172" t="n">
        <f>IF(AY$47="","",Underwriting!BD57)</f>
        <v>0</v>
      </c>
      <c r="AZ58" s="172" t="n">
        <f>IF(AZ$47="","",Underwriting!BE57)</f>
        <v>0</v>
      </c>
      <c r="BA58" s="172" t="n">
        <f>IF(BA$47="","",Underwriting!BF57)</f>
        <v>0</v>
      </c>
      <c r="BB58" s="172" t="n">
        <f>IF(BB$47="","",Underwriting!BG57)</f>
        <v>0</v>
      </c>
      <c r="BC58" s="172" t="n">
        <f>IF(BC$47="","",Underwriting!BH57)</f>
        <v>0</v>
      </c>
      <c r="BD58" s="172" t="n">
        <f>IF(BD$47="","",Underwriting!BI57)</f>
        <v>0</v>
      </c>
      <c r="BE58" s="172" t="n">
        <f>IF(BE$47="","",Underwriting!BJ57)</f>
        <v>0</v>
      </c>
      <c r="BF58" s="172" t="n">
        <f>IF(BF$47="","",Underwriting!BK57)</f>
        <v>0</v>
      </c>
      <c r="BG58" s="172" t="n">
        <f>IF(BG$47="","",Underwriting!BL57)</f>
        <v>0</v>
      </c>
      <c r="BH58" s="172" t="n">
        <f>IF(BH$47="","",Underwriting!BM57)</f>
        <v>0</v>
      </c>
      <c r="BI58" s="172" t="n">
        <f>IF(BI$47="","",Underwriting!BN57)</f>
        <v>0</v>
      </c>
      <c r="BJ58" s="172" t="n">
        <f>IF(BJ$47="","",Underwriting!BO57)</f>
        <v>0</v>
      </c>
      <c r="BK58" s="172" t="n">
        <f>IF(BK$47="","",Underwriting!BP57)</f>
        <v>0</v>
      </c>
      <c r="BL58" s="172" t="n">
        <f>IF(BL$47="","",Underwriting!BQ57)</f>
        <v>0</v>
      </c>
      <c r="BM58" s="172" t="n">
        <f>IF(BM$47="","",Underwriting!BR57)</f>
        <v>0</v>
      </c>
      <c r="BN58" s="172" t="n">
        <f>IF(BN$47="","",Underwriting!BS57)</f>
        <v>0</v>
      </c>
      <c r="BO58" s="172" t="n">
        <f>IF(BO$47="","",Underwriting!BT57)</f>
        <v>0</v>
      </c>
      <c r="BP58" s="172" t="n">
        <f>IF(BP$47="","",Underwriting!BU57)</f>
        <v>0</v>
      </c>
      <c r="BQ58" s="172" t="str">
        <f>IF(BQ$47="","",Underwriting!BV57)</f>
      </c>
      <c r="BR58" s="172" t="str">
        <f>IF(BR$47="","",Underwriting!BW57)</f>
      </c>
      <c r="BS58" s="172" t="str">
        <f>IF(BS$47="","",Underwriting!BX57)</f>
      </c>
      <c r="BT58" s="172" t="str">
        <f>IF(BT$47="","",Underwriting!BY57)</f>
      </c>
      <c r="BU58" s="172" t="str">
        <f>IF(BU$47="","",Underwriting!BZ57)</f>
      </c>
      <c r="BV58" s="172" t="str">
        <f>IF(BV$47="","",Underwriting!CA57)</f>
      </c>
      <c r="BW58" s="172" t="str">
        <f>IF(BW$47="","",Underwriting!CB57)</f>
      </c>
      <c r="BX58" s="172" t="str">
        <f>IF(BX$47="","",Underwriting!CC57)</f>
      </c>
      <c r="BY58" s="172" t="str">
        <f>IF(BY$47="","",Underwriting!CD57)</f>
      </c>
      <c r="BZ58" s="172" t="str">
        <f>IF(BZ$47="","",Underwriting!CE57)</f>
      </c>
      <c r="CA58" s="172" t="str">
        <f>IF(CA$47="","",Underwriting!CF57)</f>
      </c>
      <c r="CB58" s="172" t="str">
        <f>IF(CB$47="","",Underwriting!CG57)</f>
      </c>
      <c r="CC58" s="172" t="str">
        <f>IF(CC$47="","",Underwriting!CH57)</f>
      </c>
      <c r="CD58" s="172" t="str">
        <f>IF(CD$47="","",Underwriting!CI57)</f>
      </c>
      <c r="CE58" s="172" t="str">
        <f>IF(CE$47="","",Underwriting!CJ57)</f>
      </c>
      <c r="CF58" s="172" t="str">
        <f>IF(CF$47="","",Underwriting!CK57)</f>
      </c>
      <c r="CG58" s="172" t="str">
        <f>IF(CG$47="","",Underwriting!CL57)</f>
      </c>
      <c r="CH58" s="172" t="str">
        <f>IF(CH$47="","",Underwriting!CM57)</f>
      </c>
      <c r="CI58" s="172" t="str">
        <f>IF(CI$47="","",Underwriting!CN57)</f>
      </c>
      <c r="CJ58" s="172" t="str">
        <f>IF(CJ$47="","",Underwriting!CO57)</f>
      </c>
      <c r="CK58" s="172" t="str">
        <f>IF(CK$47="","",Underwriting!CP57)</f>
      </c>
      <c r="CL58" s="172" t="str">
        <f>IF(CL$47="","",Underwriting!CQ57)</f>
      </c>
      <c r="CM58" s="172" t="str">
        <f>IF(CM$47="","",Underwriting!CR57)</f>
      </c>
      <c r="CN58" s="172" t="str">
        <f>IF(CN$47="","",Underwriting!CS57)</f>
      </c>
      <c r="CO58" s="172" t="str">
        <f>IF(CO$47="","",Underwriting!CT57)</f>
      </c>
      <c r="CP58" s="172" t="str">
        <f>IF(CP$47="","",Underwriting!CU57)</f>
      </c>
      <c r="CQ58" s="172" t="str">
        <f>IF(CQ$47="","",Underwriting!CV57)</f>
      </c>
      <c r="CR58" s="172" t="str">
        <f>IF(CR$47="","",Underwriting!CW57)</f>
      </c>
      <c r="CS58" s="172" t="str">
        <f>IF(CS$47="","",Underwriting!CX57)</f>
      </c>
      <c r="CT58" s="172" t="str">
        <f>IF(CT$47="","",Underwriting!CY57)</f>
      </c>
      <c r="CU58" s="172" t="str">
        <f>IF(CU$47="","",Underwriting!CZ57)</f>
      </c>
      <c r="CV58" s="172" t="str">
        <f>IF(CV$47="","",Underwriting!DA57)</f>
      </c>
      <c r="CW58" s="172" t="str">
        <f>IF(CW$47="","",Underwriting!DB57)</f>
      </c>
      <c r="CX58" s="172" t="str">
        <f>IF(CX$47="","",Underwriting!DC57)</f>
      </c>
      <c r="CY58" s="172" t="str">
        <f>IF(CY$47="","",Underwriting!DD57)</f>
      </c>
      <c r="CZ58" s="172" t="str">
        <f>IF(CZ$47="","",Underwriting!DE57)</f>
      </c>
      <c r="DA58" s="172" t="str">
        <f>IF(DA$47="","",Underwriting!DF57)</f>
      </c>
      <c r="DB58" s="172" t="str">
        <f>IF(DB$47="","",Underwriting!DG57)</f>
      </c>
      <c r="DC58" s="172" t="str">
        <f>IF(DC$47="","",Underwriting!DH57)</f>
      </c>
      <c r="DD58" s="172" t="str">
        <f>IF(DD$47="","",Underwriting!DI57)</f>
      </c>
      <c r="DE58" s="172" t="str">
        <f>IF(DE$47="","",Underwriting!DJ57)</f>
      </c>
      <c r="DF58" s="172" t="str">
        <f>IF(DF$47="","",Underwriting!DK57)</f>
      </c>
      <c r="DG58" s="172" t="str">
        <f>IF(DG$47="","",Underwriting!DL57)</f>
      </c>
      <c r="DH58" s="172" t="str">
        <f>IF(DH$47="","",Underwriting!DM57)</f>
      </c>
      <c r="DI58" s="172" t="str">
        <f>IF(DI$47="","",Underwriting!DN57)</f>
      </c>
      <c r="DJ58" s="172" t="str">
        <f>IF(DJ$47="","",Underwriting!DO57)</f>
      </c>
      <c r="DK58" s="172" t="str">
        <f>IF(DK$47="","",Underwriting!DP57)</f>
      </c>
      <c r="DL58" s="172" t="str">
        <f>IF(DL$47="","",Underwriting!DQ57)</f>
      </c>
      <c r="DM58" s="172" t="str">
        <f>IF(DM$47="","",Underwriting!DR57)</f>
      </c>
      <c r="DN58" s="172" t="str">
        <f>IF(DN$47="","",Underwriting!DS57)</f>
      </c>
      <c r="DO58" s="172" t="str">
        <f>IF(DO$47="","",Underwriting!DT57)</f>
      </c>
      <c r="DP58" s="172" t="str">
        <f>IF(DP$47="","",Underwriting!DU57)</f>
      </c>
      <c r="DQ58" s="172" t="str">
        <f>IF(DQ$47="","",Underwriting!DV57)</f>
      </c>
      <c r="DR58" s="172" t="str">
        <f>IF(DR$47="","",Underwriting!DW57)</f>
      </c>
      <c r="DS58" s="172" t="str">
        <f>IF(DS$47="","",Underwriting!DX57)</f>
      </c>
      <c r="DT58" s="172" t="str">
        <f>IF(DT$47="","",Underwriting!DY57)</f>
      </c>
      <c r="DU58" s="172" t="str">
        <f>IF(DU$47="","",Underwriting!DZ57)</f>
      </c>
      <c r="DV58" s="172" t="str">
        <f>IF(DV$47="","",Underwriting!EA57)</f>
      </c>
      <c r="DW58" s="172" t="str">
        <f>IF(DW$47="","",Underwriting!EB57)</f>
      </c>
      <c r="DX58" s="172" t="str">
        <f>IF(DX$47="","",Underwriting!EC57)</f>
      </c>
      <c r="DY58" s="172" t="str">
        <f>IF(DY$47="","",Underwriting!ED57)</f>
      </c>
      <c r="DZ58" s="172" t="str">
        <f>IF(DZ$47="","",Underwriting!EE57)</f>
      </c>
      <c r="EA58" s="172" t="str">
        <f>IF(EA$47="","",Underwriting!EF57)</f>
      </c>
      <c r="EB58" s="172" t="str">
        <f>IF(EB$47="","",Underwriting!EG57)</f>
      </c>
      <c r="EC58" s="172" t="str">
        <f>IF(EC$47="","",Underwriting!EH57)</f>
      </c>
      <c r="ED58" s="172" t="str">
        <f>IF(ED$47="","",Underwriting!EI57)</f>
      </c>
      <c r="EE58" s="172" t="str">
        <f>IF(EE$47="","",Underwriting!EJ57)</f>
      </c>
      <c r="EF58" s="172" t="str">
        <f>IF(EF$47="","",Underwriting!EK57)</f>
      </c>
      <c r="EG58" s="172" t="str">
        <f>IF(EG$47="","",Underwriting!EL57)</f>
      </c>
      <c r="EH58" s="172" t="str">
        <f>IF(EH$47="","",Underwriting!EM57)</f>
      </c>
      <c r="EI58" s="172" t="str">
        <f>IF(EI$47="","",Underwriting!EN57)</f>
      </c>
    </row>
    <row r="59">
      <c r="B59" s="4" t="s">
        <v>497</v>
      </c>
      <c r="C59" s="4"/>
      <c r="D59" s="4"/>
      <c r="E59" s="4"/>
      <c r="F59" s="4"/>
      <c r="G59" s="105" t="str">
        <f t="shared" ref="G59:AL59" si="35">IF(G$47="","",G57-G58)</f>
      </c>
      <c r="H59" s="105">
        <f t="shared" si="35"/>
        <v>100892.8237358164</v>
      </c>
      <c r="I59" s="105">
        <f t="shared" si="35"/>
        <v>0</v>
      </c>
      <c r="J59" s="105">
        <f t="shared" si="35"/>
        <v>0</v>
      </c>
      <c r="K59" s="105">
        <f t="shared" si="35"/>
        <v>0</v>
      </c>
      <c r="L59" s="105">
        <f t="shared" si="35"/>
        <v>0</v>
      </c>
      <c r="M59" s="105">
        <f t="shared" si="35"/>
        <v>0</v>
      </c>
      <c r="N59" s="105">
        <f t="shared" si="35"/>
        <v>0</v>
      </c>
      <c r="O59" s="105">
        <f t="shared" si="35"/>
        <v>0</v>
      </c>
      <c r="P59" s="105">
        <f t="shared" si="35"/>
        <v>0</v>
      </c>
      <c r="Q59" s="105">
        <f t="shared" si="35"/>
        <v>0</v>
      </c>
      <c r="R59" s="105">
        <f t="shared" si="35"/>
        <v>0</v>
      </c>
      <c r="S59" s="4">
        <f t="shared" si="35"/>
        <v>0</v>
      </c>
      <c r="T59" s="4">
        <f t="shared" si="35"/>
        <v>0</v>
      </c>
      <c r="U59" s="4">
        <f t="shared" si="35"/>
        <v>0</v>
      </c>
      <c r="V59" s="4">
        <f t="shared" si="35"/>
        <v>0</v>
      </c>
      <c r="W59" s="4">
        <f t="shared" si="35"/>
        <v>0</v>
      </c>
      <c r="X59" s="4">
        <f t="shared" si="35"/>
        <v>174553.6127336733</v>
      </c>
      <c r="Y59" s="4">
        <f t="shared" si="35"/>
        <v>90749.137075919658</v>
      </c>
      <c r="Z59" s="4">
        <f t="shared" si="35"/>
        <v>0</v>
      </c>
      <c r="AA59" s="4">
        <f t="shared" si="35"/>
        <v>0</v>
      </c>
      <c r="AB59" s="4">
        <f t="shared" si="35"/>
        <v>0</v>
      </c>
      <c r="AC59" s="4">
        <f t="shared" si="35"/>
        <v>0</v>
      </c>
      <c r="AD59" s="4">
        <f t="shared" si="35"/>
        <v>0</v>
      </c>
      <c r="AE59" s="4">
        <f t="shared" si="35"/>
        <v>0</v>
      </c>
      <c r="AF59" s="4">
        <f t="shared" si="35"/>
        <v>0</v>
      </c>
      <c r="AG59" s="4">
        <f t="shared" si="35"/>
        <v>0</v>
      </c>
      <c r="AH59" s="4">
        <f t="shared" si="35"/>
        <v>0</v>
      </c>
      <c r="AI59" s="4">
        <f t="shared" si="35"/>
        <v>0</v>
      </c>
      <c r="AJ59" s="4">
        <f t="shared" si="35"/>
        <v>0</v>
      </c>
      <c r="AK59" s="4">
        <f t="shared" si="35"/>
        <v>0</v>
      </c>
      <c r="AL59" s="4">
        <f t="shared" si="35"/>
        <v>0</v>
      </c>
      <c r="AM59" s="4" t="n">
        <f t="shared" ref="AM59:BR59" si="36">IF(AM$47="","",AM57-AM58)</f>
        <v>0</v>
      </c>
      <c r="AN59" s="4">
        <f t="shared" si="36"/>
        <v>0</v>
      </c>
      <c r="AO59" s="4">
        <f t="shared" si="36"/>
        <v>0</v>
      </c>
      <c r="AP59" s="4">
        <f t="shared" si="36"/>
        <v>0</v>
      </c>
      <c r="AQ59" s="4">
        <f t="shared" si="36"/>
        <v>16763.591602209548</v>
      </c>
      <c r="AR59" s="4">
        <f t="shared" si="36"/>
        <v>0</v>
      </c>
      <c r="AS59" s="4">
        <f t="shared" si="36"/>
        <v>0</v>
      </c>
      <c r="AT59" s="4">
        <f t="shared" si="36"/>
        <v>0</v>
      </c>
      <c r="AU59" s="4">
        <f t="shared" si="36"/>
        <v>0</v>
      </c>
      <c r="AV59" s="4">
        <f t="shared" si="36"/>
        <v>0</v>
      </c>
      <c r="AW59" s="4">
        <f t="shared" si="36"/>
        <v>0</v>
      </c>
      <c r="AX59" s="4">
        <f t="shared" si="36"/>
        <v>0</v>
      </c>
      <c r="AY59" s="4">
        <f t="shared" si="36"/>
        <v>0</v>
      </c>
      <c r="AZ59" s="4">
        <f t="shared" si="36"/>
        <v>0</v>
      </c>
      <c r="BA59" s="4">
        <f t="shared" si="36"/>
        <v>0</v>
      </c>
      <c r="BB59" s="4">
        <f t="shared" si="36"/>
        <v>0</v>
      </c>
      <c r="BC59" s="4">
        <f t="shared" si="36"/>
        <v>0</v>
      </c>
      <c r="BD59" s="4">
        <f t="shared" si="36"/>
        <v>0</v>
      </c>
      <c r="BE59" s="4">
        <f t="shared" si="36"/>
        <v>0</v>
      </c>
      <c r="BF59" s="4">
        <f t="shared" si="36"/>
        <v>0</v>
      </c>
      <c r="BG59" s="4">
        <f t="shared" si="36"/>
        <v>0</v>
      </c>
      <c r="BH59" s="4">
        <f t="shared" si="36"/>
        <v>0</v>
      </c>
      <c r="BI59" s="4">
        <f t="shared" si="36"/>
        <v>0</v>
      </c>
      <c r="BJ59" s="4">
        <f t="shared" si="36"/>
        <v>0</v>
      </c>
      <c r="BK59" s="4">
        <f t="shared" si="36"/>
        <v>0</v>
      </c>
      <c r="BL59" s="4">
        <f t="shared" si="36"/>
        <v>0</v>
      </c>
      <c r="BM59" s="4">
        <f t="shared" si="36"/>
        <v>0</v>
      </c>
      <c r="BN59" s="4">
        <f t="shared" si="36"/>
        <v>0</v>
      </c>
      <c r="BO59" s="4">
        <f t="shared" si="36"/>
        <v>0</v>
      </c>
      <c r="BP59" s="4">
        <f t="shared" si="36"/>
        <v>0</v>
      </c>
      <c r="BQ59" s="4" t="str">
        <f t="shared" si="36"/>
      </c>
      <c r="BR59" s="4" t="str">
        <f t="shared" si="36"/>
      </c>
      <c r="BS59" s="4" t="str">
        <f t="shared" ref="BS59:CX59" si="37">IF(BS$47="","",BS57-BS58)</f>
      </c>
      <c r="BT59" s="4" t="str">
        <f t="shared" si="37"/>
      </c>
      <c r="BU59" s="4" t="str">
        <f t="shared" si="37"/>
      </c>
      <c r="BV59" s="4" t="str">
        <f t="shared" si="37"/>
      </c>
      <c r="BW59" s="4" t="str">
        <f t="shared" si="37"/>
      </c>
      <c r="BX59" s="4" t="str">
        <f t="shared" si="37"/>
      </c>
      <c r="BY59" s="4" t="str">
        <f t="shared" si="37"/>
      </c>
      <c r="BZ59" s="4" t="str">
        <f t="shared" si="37"/>
      </c>
      <c r="CA59" s="4" t="str">
        <f t="shared" si="37"/>
      </c>
      <c r="CB59" s="4" t="str">
        <f t="shared" si="37"/>
      </c>
      <c r="CC59" s="4" t="str">
        <f t="shared" si="37"/>
      </c>
      <c r="CD59" s="4" t="str">
        <f t="shared" si="37"/>
      </c>
      <c r="CE59" s="4" t="str">
        <f t="shared" si="37"/>
      </c>
      <c r="CF59" s="4" t="str">
        <f t="shared" si="37"/>
      </c>
      <c r="CG59" s="4" t="str">
        <f t="shared" si="37"/>
      </c>
      <c r="CH59" s="4" t="str">
        <f t="shared" si="37"/>
      </c>
      <c r="CI59" s="4" t="str">
        <f t="shared" si="37"/>
      </c>
      <c r="CJ59" s="4" t="str">
        <f t="shared" si="37"/>
      </c>
      <c r="CK59" s="4" t="str">
        <f t="shared" si="37"/>
      </c>
      <c r="CL59" s="4" t="str">
        <f t="shared" si="37"/>
      </c>
      <c r="CM59" s="4" t="str">
        <f t="shared" si="37"/>
      </c>
      <c r="CN59" s="4" t="str">
        <f t="shared" si="37"/>
      </c>
      <c r="CO59" s="4" t="str">
        <f t="shared" si="37"/>
      </c>
      <c r="CP59" s="4" t="str">
        <f t="shared" si="37"/>
      </c>
      <c r="CQ59" s="4" t="str">
        <f t="shared" si="37"/>
      </c>
      <c r="CR59" s="4" t="str">
        <f t="shared" si="37"/>
      </c>
      <c r="CS59" s="4" t="str">
        <f t="shared" si="37"/>
      </c>
      <c r="CT59" s="4" t="str">
        <f t="shared" si="37"/>
      </c>
      <c r="CU59" s="4" t="str">
        <f t="shared" si="37"/>
      </c>
      <c r="CV59" s="4" t="str">
        <f t="shared" si="37"/>
      </c>
      <c r="CW59" s="4" t="str">
        <f t="shared" si="37"/>
      </c>
      <c r="CX59" s="4" t="str">
        <f t="shared" si="37"/>
      </c>
      <c r="CY59" s="4" t="str">
        <f t="shared" ref="CY59:ED59" si="38">IF(CY$47="","",CY57-CY58)</f>
      </c>
      <c r="CZ59" s="4" t="str">
        <f t="shared" si="38"/>
      </c>
      <c r="DA59" s="4" t="str">
        <f t="shared" si="38"/>
      </c>
      <c r="DB59" s="4" t="str">
        <f t="shared" si="38"/>
      </c>
      <c r="DC59" s="4" t="str">
        <f t="shared" si="38"/>
      </c>
      <c r="DD59" s="4" t="str">
        <f t="shared" si="38"/>
      </c>
      <c r="DE59" s="4" t="str">
        <f t="shared" si="38"/>
      </c>
      <c r="DF59" s="4" t="str">
        <f t="shared" si="38"/>
      </c>
      <c r="DG59" s="4" t="str">
        <f t="shared" si="38"/>
      </c>
      <c r="DH59" s="4" t="str">
        <f t="shared" si="38"/>
      </c>
      <c r="DI59" s="4" t="str">
        <f t="shared" si="38"/>
      </c>
      <c r="DJ59" s="4" t="str">
        <f t="shared" si="38"/>
      </c>
      <c r="DK59" s="4" t="str">
        <f t="shared" si="38"/>
      </c>
      <c r="DL59" s="4" t="str">
        <f t="shared" si="38"/>
      </c>
      <c r="DM59" s="4" t="str">
        <f t="shared" si="38"/>
      </c>
      <c r="DN59" s="4" t="str">
        <f t="shared" si="38"/>
      </c>
      <c r="DO59" s="4" t="str">
        <f t="shared" si="38"/>
      </c>
      <c r="DP59" s="4" t="str">
        <f t="shared" si="38"/>
      </c>
      <c r="DQ59" s="4" t="str">
        <f t="shared" si="38"/>
      </c>
      <c r="DR59" s="4" t="str">
        <f t="shared" si="38"/>
      </c>
      <c r="DS59" s="4" t="str">
        <f t="shared" si="38"/>
      </c>
      <c r="DT59" s="4" t="str">
        <f t="shared" si="38"/>
      </c>
      <c r="DU59" s="4" t="str">
        <f t="shared" si="38"/>
      </c>
      <c r="DV59" s="4" t="str">
        <f t="shared" si="38"/>
      </c>
      <c r="DW59" s="4" t="str">
        <f t="shared" si="38"/>
      </c>
      <c r="DX59" s="4" t="str">
        <f t="shared" si="38"/>
      </c>
      <c r="DY59" s="4" t="str">
        <f t="shared" si="38"/>
      </c>
      <c r="DZ59" s="4" t="str">
        <f t="shared" si="38"/>
      </c>
      <c r="EA59" s="4" t="str">
        <f t="shared" si="38"/>
      </c>
      <c r="EB59" s="4" t="str">
        <f t="shared" si="38"/>
      </c>
      <c r="EC59" s="4" t="str">
        <f t="shared" si="38"/>
      </c>
      <c r="ED59" s="4" t="str">
        <f t="shared" si="38"/>
      </c>
      <c r="EE59" s="4" t="str">
        <f t="shared" ref="EE59:EI59" si="39">IF(EE$47="","",EE57-EE58)</f>
      </c>
      <c r="EF59" s="4" t="str">
        <f t="shared" si="39"/>
      </c>
      <c r="EG59" s="4" t="str">
        <f t="shared" si="39"/>
      </c>
      <c r="EH59" s="4" t="str">
        <f t="shared" si="39"/>
      </c>
      <c r="EI59" s="4" t="str">
        <f t="shared" si="39"/>
      </c>
    </row>
    <row r="60">
      <c r="B60" s="4" t="s">
        <v>498</v>
      </c>
      <c r="C60" s="4"/>
      <c r="D60" s="4"/>
      <c r="E60" s="4"/>
      <c r="F60" s="4"/>
      <c r="G60" s="248" t="n">
        <f>+G47</f>
        <v>0</v>
      </c>
      <c r="H60" s="248" t="n">
        <f t="shared" ref="H60:BS60" si="40">+H47</f>
        <v>46234</v>
      </c>
      <c r="I60" s="248">
        <f t="shared" si="40"/>
        <v>46265</v>
      </c>
      <c r="J60" s="248">
        <f t="shared" si="40"/>
        <v>46295</v>
      </c>
      <c r="K60" s="248">
        <f t="shared" si="40"/>
        <v>46326</v>
      </c>
      <c r="L60" s="248">
        <f t="shared" si="40"/>
        <v>46356</v>
      </c>
      <c r="M60" s="248">
        <f t="shared" si="40"/>
        <v>46387</v>
      </c>
      <c r="N60" s="248">
        <f t="shared" si="40"/>
        <v>46418</v>
      </c>
      <c r="O60" s="248">
        <f t="shared" si="40"/>
        <v>46446</v>
      </c>
      <c r="P60" s="248">
        <f t="shared" si="40"/>
        <v>46477</v>
      </c>
      <c r="Q60" s="248">
        <f t="shared" si="40"/>
        <v>46507</v>
      </c>
      <c r="R60" s="248">
        <f t="shared" si="40"/>
        <v>46538</v>
      </c>
      <c r="S60" s="174">
        <f t="shared" si="40"/>
        <v>46568</v>
      </c>
      <c r="T60" s="174">
        <f t="shared" si="40"/>
        <v>46599</v>
      </c>
      <c r="U60" s="174">
        <f t="shared" si="40"/>
        <v>46630</v>
      </c>
      <c r="V60" s="174">
        <f t="shared" si="40"/>
        <v>46660</v>
      </c>
      <c r="W60" s="174">
        <f t="shared" si="40"/>
        <v>46691</v>
      </c>
      <c r="X60" s="174">
        <f t="shared" si="40"/>
        <v>46721</v>
      </c>
      <c r="Y60" s="174">
        <f t="shared" si="40"/>
        <v>46752</v>
      </c>
      <c r="Z60" s="174">
        <f t="shared" si="40"/>
        <v>46783</v>
      </c>
      <c r="AA60" s="174">
        <f t="shared" si="40"/>
        <v>46812</v>
      </c>
      <c r="AB60" s="174">
        <f t="shared" si="40"/>
        <v>46843</v>
      </c>
      <c r="AC60" s="174">
        <f t="shared" si="40"/>
        <v>46873</v>
      </c>
      <c r="AD60" s="174">
        <f t="shared" si="40"/>
        <v>46904</v>
      </c>
      <c r="AE60" s="174">
        <f t="shared" si="40"/>
        <v>46934</v>
      </c>
      <c r="AF60" s="174">
        <f t="shared" si="40"/>
        <v>46965</v>
      </c>
      <c r="AG60" s="174">
        <f t="shared" si="40"/>
        <v>46996</v>
      </c>
      <c r="AH60" s="174">
        <f t="shared" si="40"/>
        <v>47026</v>
      </c>
      <c r="AI60" s="174">
        <f t="shared" si="40"/>
        <v>47057</v>
      </c>
      <c r="AJ60" s="174">
        <f t="shared" si="40"/>
        <v>47087</v>
      </c>
      <c r="AK60" s="174">
        <f t="shared" si="40"/>
        <v>47118</v>
      </c>
      <c r="AL60" s="174">
        <f t="shared" si="40"/>
        <v>47149</v>
      </c>
      <c r="AM60" s="174">
        <f t="shared" si="40"/>
        <v>47177</v>
      </c>
      <c r="AN60" s="174">
        <f t="shared" si="40"/>
        <v>47208</v>
      </c>
      <c r="AO60" s="174">
        <f t="shared" si="40"/>
        <v>47238</v>
      </c>
      <c r="AP60" s="174">
        <f t="shared" si="40"/>
        <v>47269</v>
      </c>
      <c r="AQ60" s="174">
        <f t="shared" si="40"/>
        <v>47299</v>
      </c>
      <c r="AR60" s="174">
        <f t="shared" si="40"/>
        <v>47330</v>
      </c>
      <c r="AS60" s="174">
        <f t="shared" si="40"/>
        <v>47361</v>
      </c>
      <c r="AT60" s="174">
        <f t="shared" si="40"/>
        <v>47391</v>
      </c>
      <c r="AU60" s="174">
        <f t="shared" si="40"/>
        <v>47422</v>
      </c>
      <c r="AV60" s="174">
        <f t="shared" si="40"/>
        <v>47452</v>
      </c>
      <c r="AW60" s="174">
        <f t="shared" si="40"/>
        <v>47483</v>
      </c>
      <c r="AX60" s="174">
        <f t="shared" si="40"/>
        <v>47514</v>
      </c>
      <c r="AY60" s="174">
        <f t="shared" si="40"/>
        <v>47542</v>
      </c>
      <c r="AZ60" s="174">
        <f t="shared" si="40"/>
        <v>47573</v>
      </c>
      <c r="BA60" s="174">
        <f t="shared" si="40"/>
        <v>47603</v>
      </c>
      <c r="BB60" s="174">
        <f t="shared" si="40"/>
        <v>47634</v>
      </c>
      <c r="BC60" s="174">
        <f t="shared" si="40"/>
        <v>47664</v>
      </c>
      <c r="BD60" s="174">
        <f t="shared" si="40"/>
        <v>47695</v>
      </c>
      <c r="BE60" s="174">
        <f t="shared" si="40"/>
        <v>47726</v>
      </c>
      <c r="BF60" s="174">
        <f t="shared" si="40"/>
        <v>47756</v>
      </c>
      <c r="BG60" s="174">
        <f t="shared" si="40"/>
        <v>47787</v>
      </c>
      <c r="BH60" s="174">
        <f t="shared" si="40"/>
        <v>47817</v>
      </c>
      <c r="BI60" s="174">
        <f t="shared" si="40"/>
        <v>47848</v>
      </c>
      <c r="BJ60" s="174">
        <f t="shared" si="40"/>
        <v>47879</v>
      </c>
      <c r="BK60" s="174">
        <f t="shared" si="40"/>
        <v>47907</v>
      </c>
      <c r="BL60" s="174">
        <f t="shared" si="40"/>
        <v>47938</v>
      </c>
      <c r="BM60" s="174">
        <f t="shared" si="40"/>
        <v>47968</v>
      </c>
      <c r="BN60" s="174">
        <f t="shared" si="40"/>
        <v>47999</v>
      </c>
      <c r="BO60" s="174">
        <f t="shared" si="40"/>
        <v>48029</v>
      </c>
      <c r="BP60" s="174">
        <f t="shared" si="40"/>
        <v>48060</v>
      </c>
      <c r="BQ60" s="174" t="str">
        <f t="shared" si="40"/>
      </c>
      <c r="BR60" s="174" t="str">
        <f t="shared" si="40"/>
      </c>
      <c r="BS60" s="174" t="str">
        <f t="shared" si="40"/>
      </c>
      <c r="BT60" s="174" t="n">
        <f t="shared" ref="BT60:EE60" si="41">+BT47</f>
        <v>0</v>
      </c>
      <c r="BU60" s="174" t="str">
        <f t="shared" si="41"/>
      </c>
      <c r="BV60" s="174" t="str">
        <f t="shared" si="41"/>
      </c>
      <c r="BW60" s="174" t="str">
        <f t="shared" si="41"/>
      </c>
      <c r="BX60" s="174" t="str">
        <f t="shared" si="41"/>
      </c>
      <c r="BY60" s="174" t="str">
        <f t="shared" si="41"/>
      </c>
      <c r="BZ60" s="174" t="str">
        <f t="shared" si="41"/>
      </c>
      <c r="CA60" s="174" t="str">
        <f t="shared" si="41"/>
      </c>
      <c r="CB60" s="174" t="str">
        <f t="shared" si="41"/>
      </c>
      <c r="CC60" s="174" t="str">
        <f t="shared" si="41"/>
      </c>
      <c r="CD60" s="174" t="str">
        <f t="shared" si="41"/>
      </c>
      <c r="CE60" s="174" t="str">
        <f t="shared" si="41"/>
      </c>
      <c r="CF60" s="174" t="str">
        <f t="shared" si="41"/>
      </c>
      <c r="CG60" s="174" t="str">
        <f t="shared" si="41"/>
      </c>
      <c r="CH60" s="174" t="str">
        <f t="shared" si="41"/>
      </c>
      <c r="CI60" s="174" t="str">
        <f t="shared" si="41"/>
      </c>
      <c r="CJ60" s="174" t="str">
        <f t="shared" si="41"/>
      </c>
      <c r="CK60" s="174" t="str">
        <f t="shared" si="41"/>
      </c>
      <c r="CL60" s="174" t="str">
        <f t="shared" si="41"/>
      </c>
      <c r="CM60" s="174" t="str">
        <f t="shared" si="41"/>
      </c>
      <c r="CN60" s="174" t="str">
        <f t="shared" si="41"/>
      </c>
      <c r="CO60" s="174" t="str">
        <f t="shared" si="41"/>
      </c>
      <c r="CP60" s="174" t="str">
        <f t="shared" si="41"/>
      </c>
      <c r="CQ60" s="174" t="str">
        <f t="shared" si="41"/>
      </c>
      <c r="CR60" s="174" t="str">
        <f t="shared" si="41"/>
      </c>
      <c r="CS60" s="174" t="str">
        <f t="shared" si="41"/>
      </c>
      <c r="CT60" s="174" t="str">
        <f t="shared" si="41"/>
      </c>
      <c r="CU60" s="174" t="str">
        <f t="shared" si="41"/>
      </c>
      <c r="CV60" s="174" t="str">
        <f t="shared" si="41"/>
      </c>
      <c r="CW60" s="174" t="str">
        <f t="shared" si="41"/>
      </c>
      <c r="CX60" s="174" t="str">
        <f t="shared" si="41"/>
      </c>
      <c r="CY60" s="174" t="str">
        <f t="shared" si="41"/>
      </c>
      <c r="CZ60" s="174" t="str">
        <f t="shared" si="41"/>
      </c>
      <c r="DA60" s="174" t="str">
        <f t="shared" si="41"/>
      </c>
      <c r="DB60" s="174" t="str">
        <f t="shared" si="41"/>
      </c>
      <c r="DC60" s="174" t="str">
        <f t="shared" si="41"/>
      </c>
      <c r="DD60" s="174" t="str">
        <f t="shared" si="41"/>
      </c>
      <c r="DE60" s="174" t="str">
        <f t="shared" si="41"/>
      </c>
      <c r="DF60" s="174" t="str">
        <f t="shared" si="41"/>
      </c>
      <c r="DG60" s="174" t="str">
        <f t="shared" si="41"/>
      </c>
      <c r="DH60" s="174" t="str">
        <f t="shared" si="41"/>
      </c>
      <c r="DI60" s="174" t="str">
        <f t="shared" si="41"/>
      </c>
      <c r="DJ60" s="174" t="str">
        <f t="shared" si="41"/>
      </c>
      <c r="DK60" s="174" t="str">
        <f t="shared" si="41"/>
      </c>
      <c r="DL60" s="174" t="str">
        <f t="shared" si="41"/>
      </c>
      <c r="DM60" s="174" t="str">
        <f t="shared" si="41"/>
      </c>
      <c r="DN60" s="174" t="str">
        <f t="shared" si="41"/>
      </c>
      <c r="DO60" s="174" t="str">
        <f t="shared" si="41"/>
      </c>
      <c r="DP60" s="174" t="str">
        <f t="shared" si="41"/>
      </c>
      <c r="DQ60" s="174" t="str">
        <f t="shared" si="41"/>
      </c>
      <c r="DR60" s="174" t="str">
        <f t="shared" si="41"/>
      </c>
      <c r="DS60" s="174" t="str">
        <f t="shared" si="41"/>
      </c>
      <c r="DT60" s="174" t="str">
        <f t="shared" si="41"/>
      </c>
      <c r="DU60" s="174" t="str">
        <f t="shared" si="41"/>
      </c>
      <c r="DV60" s="174" t="str">
        <f t="shared" si="41"/>
      </c>
      <c r="DW60" s="174" t="str">
        <f t="shared" si="41"/>
      </c>
      <c r="DX60" s="174" t="str">
        <f t="shared" si="41"/>
      </c>
      <c r="DY60" s="174" t="str">
        <f t="shared" si="41"/>
      </c>
      <c r="DZ60" s="174" t="str">
        <f t="shared" si="41"/>
      </c>
      <c r="EA60" s="174" t="str">
        <f t="shared" si="41"/>
      </c>
      <c r="EB60" s="174" t="str">
        <f t="shared" si="41"/>
      </c>
      <c r="EC60" s="174" t="str">
        <f t="shared" si="41"/>
      </c>
      <c r="ED60" s="174" t="str">
        <f t="shared" si="41"/>
      </c>
      <c r="EE60" s="174" t="str">
        <f t="shared" si="41"/>
      </c>
      <c r="EF60" s="174" t="n">
        <f t="shared" ref="EF60:EI60" si="42">+EF47</f>
        <v>0</v>
      </c>
      <c r="EG60" s="174" t="str">
        <f t="shared" si="42"/>
      </c>
      <c r="EH60" s="174" t="str">
        <f t="shared" si="42"/>
      </c>
      <c r="EI60" s="174" t="str">
        <f t="shared" si="42"/>
      </c>
    </row>
    <row r="61">
      <c r="B61" s="164" t="s">
        <v>336</v>
      </c>
      <c r="C61" s="4"/>
      <c r="D61" s="4"/>
      <c r="E61" s="4"/>
      <c r="F61" s="4"/>
      <c r="G61" s="172" t="str">
        <f>IF(G$81="","",Underwriting!L105)</f>
      </c>
      <c r="H61" s="172" t="n">
        <f>IF(H$81="","",Underwriting!M105)</f>
        <v>0</v>
      </c>
      <c r="I61" s="172" t="n">
        <f>IF(I$81="","",Underwriting!N105)</f>
        <v>0</v>
      </c>
      <c r="J61" s="172" t="n">
        <f>IF(J$81="","",Underwriting!O105)</f>
        <v>0</v>
      </c>
      <c r="K61" s="172" t="n">
        <f>IF(K$81="","",Underwriting!P105)</f>
        <v>0</v>
      </c>
      <c r="L61" s="172" t="n">
        <f>IF(L$81="","",Underwriting!Q105)</f>
        <v>0</v>
      </c>
      <c r="M61" s="172" t="n">
        <f>IF(M$81="","",Underwriting!R105)</f>
        <v>0</v>
      </c>
      <c r="N61" s="172" t="n">
        <f>IF(N$81="","",Underwriting!S105)</f>
        <v>0</v>
      </c>
      <c r="O61" s="172" t="n">
        <f>IF(O$81="","",Underwriting!T105)</f>
        <v>0</v>
      </c>
      <c r="P61" s="172" t="n">
        <f>IF(P$81="","",Underwriting!U105)</f>
        <v>0</v>
      </c>
      <c r="Q61" s="172" t="n">
        <f>IF(Q$81="","",Underwriting!V105)</f>
        <v>0</v>
      </c>
      <c r="R61" s="172" t="n">
        <f>IF(R$81="","",Underwriting!W105)</f>
        <v>0</v>
      </c>
      <c r="S61" s="170" t="n">
        <f>IF(S$81="","",Underwriting!X105)</f>
        <v>0</v>
      </c>
      <c r="T61" s="170" t="n">
        <f>IF(T$81="","",Underwriting!Y105)</f>
        <v>0</v>
      </c>
      <c r="U61" s="170" t="n">
        <f>IF(U$81="","",Underwriting!Z105)</f>
        <v>0</v>
      </c>
      <c r="V61" s="170" t="n">
        <f>IF(V$81="","",Underwriting!AA105)</f>
        <v>0</v>
      </c>
      <c r="W61" s="170" t="n">
        <f>IF(W$81="","",Underwriting!AB105)</f>
        <v>0</v>
      </c>
      <c r="X61" s="170" t="n">
        <f>IF(X$81="","",Underwriting!AC105)</f>
        <v>0</v>
      </c>
      <c r="Y61" s="170" t="n">
        <f>IF(Y$81="","",Underwriting!AD105)</f>
        <v>0</v>
      </c>
      <c r="Z61" s="170" t="n">
        <f>IF(Z$81="","",Underwriting!AE105)</f>
        <v>0</v>
      </c>
      <c r="AA61" s="170" t="n">
        <f>IF(AA$81="","",Underwriting!AF105)</f>
        <v>0</v>
      </c>
      <c r="AB61" s="170" t="n">
        <f>IF(AB$81="","",Underwriting!AG105)</f>
        <v>0</v>
      </c>
      <c r="AC61" s="170" t="n">
        <f>IF(AC$81="","",Underwriting!AH105)</f>
        <v>716666.6666666666</v>
      </c>
      <c r="AD61" s="170" t="n">
        <f>IF(AD$81="","",Underwriting!AI105)</f>
        <v>716666.6666666666</v>
      </c>
      <c r="AE61" s="170" t="n">
        <f>IF(AE$81="","",Underwriting!AJ105)</f>
        <v>716666.6666666666</v>
      </c>
      <c r="AF61" s="170" t="n">
        <f>IF(AF$81="","",Underwriting!AK105)</f>
        <v>933333.3333333333</v>
      </c>
      <c r="AG61" s="170" t="n">
        <f>IF(AG$81="","",Underwriting!AL105)</f>
        <v>933333.3333333333</v>
      </c>
      <c r="AH61" s="170" t="n">
        <f>IF(AH$81="","",Underwriting!AM105)</f>
        <v>933333.3333333333</v>
      </c>
      <c r="AI61" s="170" t="n">
        <f>IF(AI$81="","",Underwriting!AN105)</f>
        <v>1107500</v>
      </c>
      <c r="AJ61" s="170" t="n">
        <f>IF(AJ$81="","",Underwriting!AO105)</f>
        <v>1107500</v>
      </c>
      <c r="AK61" s="170" t="n">
        <f>IF(AK$81="","",Underwriting!AP105)</f>
        <v>1107500</v>
      </c>
      <c r="AL61" s="170" t="n">
        <f>IF(AL$81="","",Underwriting!AQ105)</f>
        <v>1265833.3333333333</v>
      </c>
      <c r="AM61" s="170" t="n">
        <f>IF(AM$81="","",Underwriting!AR105)</f>
        <v>1265833.3333333333</v>
      </c>
      <c r="AN61" s="170" t="n">
        <f>IF(AN$81="","",Underwriting!AS105)</f>
        <v>1265833.3333333333</v>
      </c>
      <c r="AO61" s="170" t="n">
        <f>IF(AO$81="","",Underwriting!AT105)</f>
        <v>1381749.9999999998</v>
      </c>
      <c r="AP61" s="170" t="n">
        <f>IF(AP$81="","",Underwriting!AU105)</f>
        <v>1381749.9999999998</v>
      </c>
      <c r="AQ61" s="170" t="n">
        <f>IF(AQ$81="","",Underwriting!AV105)</f>
        <v>1381749.9999999998</v>
      </c>
      <c r="AR61" s="170" t="n">
        <f>IF(AR$81="","",Underwriting!AW105)</f>
        <v>1389333.333333333</v>
      </c>
      <c r="AS61" s="170" t="n">
        <f>IF(AS$81="","",Underwriting!AX105)</f>
        <v>1389333.333333333</v>
      </c>
      <c r="AT61" s="170" t="n">
        <f>IF(AT$81="","",Underwriting!AY105)</f>
        <v>1389333.333333333</v>
      </c>
      <c r="AU61" s="170" t="n">
        <f>IF(AU$81="","",Underwriting!AZ105)</f>
        <v>1395429.1666666663</v>
      </c>
      <c r="AV61" s="170" t="n">
        <f>IF(AV$81="","",Underwriting!BA105)</f>
        <v>1395429.1666666663</v>
      </c>
      <c r="AW61" s="170" t="n">
        <f>IF(AW$81="","",Underwriting!BB105)</f>
        <v>1395429.1666666663</v>
      </c>
      <c r="AX61" s="170" t="n">
        <f>IF(AX$81="","",Underwriting!BC105)</f>
        <v>1400970.833333333</v>
      </c>
      <c r="AY61" s="170" t="n">
        <f>IF(AY$81="","",Underwriting!BD105)</f>
        <v>1400970.833333333</v>
      </c>
      <c r="AZ61" s="170" t="n">
        <f>IF(AZ$81="","",Underwriting!BE105)</f>
        <v>1400970.833333333</v>
      </c>
      <c r="BA61" s="170" t="n">
        <f>IF(BA$81="","",Underwriting!BF105)</f>
        <v>1430111.2499999998</v>
      </c>
      <c r="BB61" s="170" t="n">
        <f>IF(BB$81="","",Underwriting!BG105)</f>
        <v>1430111.2499999998</v>
      </c>
      <c r="BC61" s="170" t="n">
        <f>IF(BC$81="","",Underwriting!BH105)</f>
        <v>1430111.2499999998</v>
      </c>
      <c r="BD61" s="170" t="n">
        <f>IF(BD$81="","",Underwriting!BI105)</f>
        <v>1437959.9999999998</v>
      </c>
      <c r="BE61" s="170" t="n">
        <f>IF(BE$81="","",Underwriting!BJ105)</f>
        <v>1437959.9999999998</v>
      </c>
      <c r="BF61" s="170" t="n">
        <f>IF(BF$81="","",Underwriting!BK105)</f>
        <v>1437959.9999999998</v>
      </c>
      <c r="BG61" s="170" t="n">
        <f>IF(BG$81="","",Underwriting!BL105)</f>
        <v>1444269.1874999998</v>
      </c>
      <c r="BH61" s="170" t="n">
        <f>IF(BH$81="","",Underwriting!BM105)</f>
        <v>1444269.1874999998</v>
      </c>
      <c r="BI61" s="170" t="n">
        <f>IF(BI$81="","",Underwriting!BN105)</f>
        <v>1444269.1874999998</v>
      </c>
      <c r="BJ61" s="170" t="n">
        <f>IF(BJ$81="","",Underwriting!BO105)</f>
        <v>1450004.8124999998</v>
      </c>
      <c r="BK61" s="170" t="n">
        <f>IF(BK$81="","",Underwriting!BP105)</f>
        <v>1450004.8124999998</v>
      </c>
      <c r="BL61" s="170" t="n">
        <f>IF(BL$81="","",Underwriting!BQ105)</f>
        <v>1450004.8124999998</v>
      </c>
      <c r="BM61" s="170" t="n">
        <f>IF(BM$81="","",Underwriting!BR105)</f>
        <v>1480165.1437499998</v>
      </c>
      <c r="BN61" s="170" t="n">
        <f>IF(BN$81="","",Underwriting!BS105)</f>
        <v>1480165.1437499998</v>
      </c>
      <c r="BO61" s="170" t="n">
        <f>IF(BO$81="","",Underwriting!BT105)</f>
        <v>1480165.1437499998</v>
      </c>
      <c r="BP61" s="170" t="n">
        <f>IF(BP$81="","",Underwriting!BU105)</f>
        <v>1488288.5999999996</v>
      </c>
      <c r="BQ61" s="170" t="str">
        <f>IF(BQ$81="","",Underwriting!BV105)</f>
      </c>
      <c r="BR61" s="170" t="str">
        <f>IF(BR$81="","",Underwriting!BW105)</f>
      </c>
      <c r="BS61" s="170" t="str">
        <f>IF(BS$81="","",Underwriting!BX105)</f>
      </c>
      <c r="BT61" s="170" t="str">
        <f>IF(BT$81="","",Underwriting!BY105)</f>
      </c>
      <c r="BU61" s="170" t="str">
        <f>IF(BU$81="","",Underwriting!BZ105)</f>
      </c>
      <c r="BV61" s="170" t="str">
        <f>IF(BV$81="","",Underwriting!CA105)</f>
      </c>
      <c r="BW61" s="170" t="str">
        <f>IF(BW$81="","",Underwriting!CB105)</f>
      </c>
      <c r="BX61" s="170" t="str">
        <f>IF(BX$81="","",Underwriting!CC105)</f>
      </c>
      <c r="BY61" s="170" t="str">
        <f>IF(BY$81="","",Underwriting!CD105)</f>
      </c>
      <c r="BZ61" s="170" t="str">
        <f>IF(BZ$81="","",Underwriting!CE105)</f>
      </c>
      <c r="CA61" s="170" t="str">
        <f>IF(CA$81="","",Underwriting!CF105)</f>
      </c>
      <c r="CB61" s="170" t="str">
        <f>IF(CB$81="","",Underwriting!CG105)</f>
      </c>
      <c r="CC61" s="170" t="str">
        <f>IF(CC$81="","",Underwriting!CH105)</f>
      </c>
      <c r="CD61" s="170" t="str">
        <f>IF(CD$81="","",Underwriting!CI105)</f>
      </c>
      <c r="CE61" s="170" t="str">
        <f>IF(CE$81="","",Underwriting!CJ105)</f>
      </c>
      <c r="CF61" s="170" t="str">
        <f>IF(CF$81="","",Underwriting!CK105)</f>
      </c>
      <c r="CG61" s="170" t="str">
        <f>IF(CG$81="","",Underwriting!CL105)</f>
      </c>
      <c r="CH61" s="170" t="str">
        <f>IF(CH$81="","",Underwriting!CM105)</f>
      </c>
      <c r="CI61" s="170" t="str">
        <f>IF(CI$81="","",Underwriting!CN105)</f>
      </c>
      <c r="CJ61" s="170" t="str">
        <f>IF(CJ$81="","",Underwriting!CO105)</f>
      </c>
      <c r="CK61" s="170" t="str">
        <f>IF(CK$81="","",Underwriting!CP105)</f>
      </c>
      <c r="CL61" s="170" t="str">
        <f>IF(CL$81="","",Underwriting!CQ105)</f>
      </c>
      <c r="CM61" s="170" t="str">
        <f>IF(CM$81="","",Underwriting!CR105)</f>
      </c>
      <c r="CN61" s="170" t="str">
        <f>IF(CN$81="","",Underwriting!CS105)</f>
      </c>
      <c r="CO61" s="170" t="str">
        <f>IF(CO$81="","",Underwriting!CT105)</f>
      </c>
      <c r="CP61" s="170" t="str">
        <f>IF(CP$81="","",Underwriting!CU105)</f>
      </c>
      <c r="CQ61" s="170" t="str">
        <f>IF(CQ$81="","",Underwriting!CV105)</f>
      </c>
      <c r="CR61" s="170" t="str">
        <f>IF(CR$81="","",Underwriting!CW105)</f>
      </c>
      <c r="CS61" s="170" t="str">
        <f>IF(CS$81="","",Underwriting!CX105)</f>
      </c>
      <c r="CT61" s="170" t="str">
        <f>IF(CT$81="","",Underwriting!CY105)</f>
      </c>
      <c r="CU61" s="170" t="str">
        <f>IF(CU$81="","",Underwriting!CZ105)</f>
      </c>
      <c r="CV61" s="170" t="str">
        <f>IF(CV$81="","",Underwriting!DA105)</f>
      </c>
      <c r="CW61" s="170" t="str">
        <f>IF(CW$81="","",Underwriting!DB105)</f>
      </c>
      <c r="CX61" s="170" t="str">
        <f>IF(CX$81="","",Underwriting!DC105)</f>
      </c>
      <c r="CY61" s="170" t="str">
        <f>IF(CY$81="","",Underwriting!DD105)</f>
      </c>
      <c r="CZ61" s="170" t="str">
        <f>IF(CZ$81="","",Underwriting!DE105)</f>
      </c>
      <c r="DA61" s="170" t="str">
        <f>IF(DA$81="","",Underwriting!DF105)</f>
      </c>
      <c r="DB61" s="170" t="str">
        <f>IF(DB$81="","",Underwriting!DG105)</f>
      </c>
      <c r="DC61" s="170" t="str">
        <f>IF(DC$81="","",Underwriting!DH105)</f>
      </c>
      <c r="DD61" s="170" t="str">
        <f>IF(DD$81="","",Underwriting!DI105)</f>
      </c>
      <c r="DE61" s="170" t="str">
        <f>IF(DE$81="","",Underwriting!DJ105)</f>
      </c>
      <c r="DF61" s="170" t="str">
        <f>IF(DF$81="","",Underwriting!DK105)</f>
      </c>
      <c r="DG61" s="170" t="str">
        <f>IF(DG$81="","",Underwriting!DL105)</f>
      </c>
      <c r="DH61" s="170" t="str">
        <f>IF(DH$81="","",Underwriting!DM105)</f>
      </c>
      <c r="DI61" s="170" t="str">
        <f>IF(DI$81="","",Underwriting!DN105)</f>
      </c>
      <c r="DJ61" s="170" t="str">
        <f>IF(DJ$81="","",Underwriting!DO105)</f>
      </c>
      <c r="DK61" s="170" t="str">
        <f>IF(DK$81="","",Underwriting!DP105)</f>
      </c>
      <c r="DL61" s="170" t="str">
        <f>IF(DL$81="","",Underwriting!DQ105)</f>
      </c>
      <c r="DM61" s="170" t="str">
        <f>IF(DM$81="","",Underwriting!DR105)</f>
      </c>
      <c r="DN61" s="170" t="str">
        <f>IF(DN$81="","",Underwriting!DS105)</f>
      </c>
      <c r="DO61" s="170" t="str">
        <f>IF(DO$81="","",Underwriting!DT105)</f>
      </c>
      <c r="DP61" s="170" t="str">
        <f>IF(DP$81="","",Underwriting!DU105)</f>
      </c>
      <c r="DQ61" s="170" t="str">
        <f>IF(DQ$81="","",Underwriting!DV105)</f>
      </c>
      <c r="DR61" s="170" t="str">
        <f>IF(DR$81="","",Underwriting!DW105)</f>
      </c>
      <c r="DS61" s="170" t="str">
        <f>IF(DS$81="","",Underwriting!DX105)</f>
      </c>
      <c r="DT61" s="170" t="str">
        <f>IF(DT$81="","",Underwriting!DY105)</f>
      </c>
      <c r="DU61" s="170" t="str">
        <f>IF(DU$81="","",Underwriting!DZ105)</f>
      </c>
      <c r="DV61" s="170" t="str">
        <f>IF(DV$81="","",Underwriting!EA105)</f>
      </c>
      <c r="DW61" s="170" t="str">
        <f>IF(DW$81="","",Underwriting!EB105)</f>
      </c>
      <c r="DX61" s="170" t="str">
        <f>IF(DX$81="","",Underwriting!EC105)</f>
      </c>
      <c r="DY61" s="170" t="str">
        <f>IF(DY$81="","",Underwriting!ED105)</f>
      </c>
      <c r="DZ61" s="170" t="str">
        <f>IF(DZ$81="","",Underwriting!EE105)</f>
      </c>
      <c r="EA61" s="170" t="str">
        <f>IF(EA$81="","",Underwriting!EF105)</f>
      </c>
      <c r="EB61" s="170" t="str">
        <f>IF(EB$81="","",Underwriting!EG105)</f>
      </c>
      <c r="EC61" s="170" t="str">
        <f>IF(EC$81="","",Underwriting!EH105)</f>
      </c>
      <c r="ED61" s="170" t="str">
        <f>IF(ED$81="","",Underwriting!EI105)</f>
      </c>
      <c r="EE61" s="170" t="str">
        <f>IF(EE$81="","",Underwriting!EJ105)</f>
      </c>
      <c r="EF61" s="170" t="str">
        <f>IF(EF$81="","",Underwriting!EK105)</f>
      </c>
      <c r="EG61" s="170" t="str">
        <f>IF(EG$81="","",Underwriting!EL105)</f>
      </c>
      <c r="EH61" s="170" t="str">
        <f>IF(EH$81="","",Underwriting!EM105)</f>
      </c>
      <c r="EI61" s="170" t="str">
        <f>IF(EI$81="","",Underwriting!EN105)</f>
      </c>
    </row>
    <row r="62">
      <c r="B62" s="164" t="s">
        <v>338</v>
      </c>
      <c r="C62" s="4"/>
      <c r="D62" s="4"/>
      <c r="E62" s="4"/>
      <c r="F62" s="4"/>
      <c r="G62" s="172" t="str">
        <f>IF(G$81="","",Underwriting!L120)</f>
      </c>
      <c r="H62" s="172" t="n">
        <f>IF(H$81="","",Underwriting!M120)</f>
        <v>0</v>
      </c>
      <c r="I62" s="172" t="n">
        <f>IF(I$81="","",Underwriting!N120)</f>
        <v>0</v>
      </c>
      <c r="J62" s="172" t="n">
        <f>IF(J$81="","",Underwriting!O120)</f>
        <v>0</v>
      </c>
      <c r="K62" s="172" t="n">
        <f>IF(K$81="","",Underwriting!P120)</f>
        <v>0</v>
      </c>
      <c r="L62" s="172" t="n">
        <f>IF(L$81="","",Underwriting!Q120)</f>
        <v>0</v>
      </c>
      <c r="M62" s="172" t="n">
        <f>IF(M$81="","",Underwriting!R120)</f>
        <v>0</v>
      </c>
      <c r="N62" s="172" t="n">
        <f>IF(N$81="","",Underwriting!S120)</f>
        <v>0</v>
      </c>
      <c r="O62" s="172" t="n">
        <f>IF(O$81="","",Underwriting!T120)</f>
        <v>0</v>
      </c>
      <c r="P62" s="172" t="n">
        <f>IF(P$81="","",Underwriting!U120)</f>
        <v>0</v>
      </c>
      <c r="Q62" s="172" t="n">
        <f>IF(Q$81="","",Underwriting!V120)</f>
        <v>0</v>
      </c>
      <c r="R62" s="172" t="n">
        <f>IF(R$81="","",Underwriting!W120)</f>
        <v>0</v>
      </c>
      <c r="S62" s="170" t="n">
        <f>IF(S$81="","",Underwriting!X120)</f>
        <v>0</v>
      </c>
      <c r="T62" s="170" t="n">
        <f>IF(T$81="","",Underwriting!Y120)</f>
        <v>0</v>
      </c>
      <c r="U62" s="170" t="n">
        <f>IF(U$81="","",Underwriting!Z120)</f>
        <v>0</v>
      </c>
      <c r="V62" s="170" t="n">
        <f>IF(V$81="","",Underwriting!AA120)</f>
        <v>0</v>
      </c>
      <c r="W62" s="170" t="n">
        <f>IF(W$81="","",Underwriting!AB120)</f>
        <v>0</v>
      </c>
      <c r="X62" s="170" t="n">
        <f>IF(X$81="","",Underwriting!AC120)</f>
        <v>0</v>
      </c>
      <c r="Y62" s="170" t="n">
        <f>IF(Y$81="","",Underwriting!AD120)</f>
        <v>0</v>
      </c>
      <c r="Z62" s="170" t="n">
        <f>IF(Z$81="","",Underwriting!AE120)</f>
        <v>0</v>
      </c>
      <c r="AA62" s="170" t="n">
        <f>IF(AA$81="","",Underwriting!AF120)</f>
        <v>0</v>
      </c>
      <c r="AB62" s="170" t="n">
        <f>IF(AB$81="","",Underwriting!AG120)</f>
        <v>0</v>
      </c>
      <c r="AC62" s="170" t="n">
        <f>IF(AC$81="","",Underwriting!AH120)</f>
        <v>72095.63354492864</v>
      </c>
      <c r="AD62" s="170" t="n">
        <f>IF(AD$81="","",Underwriting!AI120)</f>
        <v>72095.63354492864</v>
      </c>
      <c r="AE62" s="170" t="n">
        <f>IF(AE$81="","",Underwriting!AJ120)</f>
        <v>72095.63354492864</v>
      </c>
      <c r="AF62" s="170" t="n">
        <f>IF(AF$81="","",Underwriting!AK120)</f>
        <v>160957.69349565465</v>
      </c>
      <c r="AG62" s="170" t="n">
        <f>IF(AG$81="","",Underwriting!AL120)</f>
        <v>160957.69349565465</v>
      </c>
      <c r="AH62" s="170" t="n">
        <f>IF(AH$81="","",Underwriting!AM120)</f>
        <v>160957.69349565465</v>
      </c>
      <c r="AI62" s="170" t="n">
        <f>IF(AI$81="","",Underwriting!AN120)</f>
        <v>174873.82741246646</v>
      </c>
      <c r="AJ62" s="170" t="n">
        <f>IF(AJ$81="","",Underwriting!AO120)</f>
        <v>174873.82741246646</v>
      </c>
      <c r="AK62" s="170" t="n">
        <f>IF(AK$81="","",Underwriting!AP120)</f>
        <v>182478.311091441</v>
      </c>
      <c r="AL62" s="170" t="n">
        <f>IF(AL$81="","",Underwriting!AQ120)</f>
        <v>264008.78070196434</v>
      </c>
      <c r="AM62" s="170" t="n">
        <f>IF(AM$81="","",Underwriting!AR120)</f>
        <v>264008.78070196434</v>
      </c>
      <c r="AN62" s="170" t="n">
        <f>IF(AN$81="","",Underwriting!AS120)</f>
        <v>264008.78070196434</v>
      </c>
      <c r="AO62" s="170" t="n">
        <f>IF(AO$81="","",Underwriting!AT120)</f>
        <v>273631.31867898186</v>
      </c>
      <c r="AP62" s="170" t="n">
        <f>IF(AP$81="","",Underwriting!AU120)</f>
        <v>273631.31867898186</v>
      </c>
      <c r="AQ62" s="170" t="n">
        <f>IF(AQ$81="","",Underwriting!AV120)</f>
        <v>273631.31867898186</v>
      </c>
      <c r="AR62" s="170" t="n">
        <f>IF(AR$81="","",Underwriting!AW120)</f>
        <v>273631.31867898186</v>
      </c>
      <c r="AS62" s="170" t="n">
        <f>IF(AS$81="","",Underwriting!AX120)</f>
        <v>273631.31867898186</v>
      </c>
      <c r="AT62" s="170" t="n">
        <f>IF(AT$81="","",Underwriting!AY120)</f>
        <v>273631.31867898186</v>
      </c>
      <c r="AU62" s="170" t="n">
        <f>IF(AU$81="","",Underwriting!AZ120)</f>
        <v>274023.21840750036</v>
      </c>
      <c r="AV62" s="170" t="n">
        <f>IF(AV$81="","",Underwriting!BA120)</f>
        <v>274023.21840750036</v>
      </c>
      <c r="AW62" s="170" t="n">
        <f>IF(AW$81="","",Underwriting!BB120)</f>
        <v>274023.21840750036</v>
      </c>
      <c r="AX62" s="170" t="n">
        <f>IF(AX$81="","",Underwriting!BC120)</f>
        <v>280051.0646697077</v>
      </c>
      <c r="AY62" s="170" t="n">
        <f>IF(AY$81="","",Underwriting!BD120)</f>
        <v>280051.0646697077</v>
      </c>
      <c r="AZ62" s="170" t="n">
        <f>IF(AZ$81="","",Underwriting!BE120)</f>
        <v>280051.0646697077</v>
      </c>
      <c r="BA62" s="170" t="n">
        <f>IF(BA$81="","",Underwriting!BF120)</f>
        <v>280051.0646697077</v>
      </c>
      <c r="BB62" s="170" t="n">
        <f>IF(BB$81="","",Underwriting!BG120)</f>
        <v>280051.0646697077</v>
      </c>
      <c r="BC62" s="170" t="n">
        <f>IF(BC$81="","",Underwriting!BH120)</f>
        <v>280051.0646697077</v>
      </c>
      <c r="BD62" s="170" t="n">
        <f>IF(BD$81="","",Underwriting!BI120)</f>
        <v>280051.0646697077</v>
      </c>
      <c r="BE62" s="170" t="n">
        <f>IF(BE$81="","",Underwriting!BJ120)</f>
        <v>280051.0646697077</v>
      </c>
      <c r="BF62" s="170" t="n">
        <f>IF(BF$81="","",Underwriting!BK120)</f>
        <v>280051.0646697077</v>
      </c>
      <c r="BG62" s="170" t="n">
        <f>IF(BG$81="","",Underwriting!BL120)</f>
        <v>280051.0646697077</v>
      </c>
      <c r="BH62" s="170" t="n">
        <f>IF(BH$81="","",Underwriting!BM120)</f>
        <v>280051.0646697077</v>
      </c>
      <c r="BI62" s="170" t="n">
        <f>IF(BI$81="","",Underwriting!BN120)</f>
        <v>280051.0646697077</v>
      </c>
      <c r="BJ62" s="170" t="n">
        <f>IF(BJ$81="","",Underwriting!BO120)</f>
        <v>285541.2466786235</v>
      </c>
      <c r="BK62" s="170" t="n">
        <f>IF(BK$81="","",Underwriting!BP120)</f>
        <v>285541.2466786235</v>
      </c>
      <c r="BL62" s="170" t="n">
        <f>IF(BL$81="","",Underwriting!BQ120)</f>
        <v>285541.2466786235</v>
      </c>
      <c r="BM62" s="170" t="n">
        <f>IF(BM$81="","",Underwriting!BR120)</f>
        <v>285541.2466786235</v>
      </c>
      <c r="BN62" s="170" t="n">
        <f>IF(BN$81="","",Underwriting!BS120)</f>
        <v>285541.2466786235</v>
      </c>
      <c r="BO62" s="170" t="n">
        <f>IF(BO$81="","",Underwriting!BT120)</f>
        <v>285541.2466786235</v>
      </c>
      <c r="BP62" s="170" t="n">
        <f>IF(BP$81="","",Underwriting!BU120)</f>
        <v>285541.2466786235</v>
      </c>
      <c r="BQ62" s="170" t="str">
        <f>IF(BQ$81="","",Underwriting!BV120)</f>
      </c>
      <c r="BR62" s="170" t="str">
        <f>IF(BR$81="","",Underwriting!BW120)</f>
      </c>
      <c r="BS62" s="170" t="str">
        <f>IF(BS$81="","",Underwriting!BX120)</f>
      </c>
      <c r="BT62" s="170" t="str">
        <f>IF(BT$81="","",Underwriting!BY120)</f>
      </c>
      <c r="BU62" s="170" t="str">
        <f>IF(BU$81="","",Underwriting!BZ120)</f>
      </c>
      <c r="BV62" s="170" t="str">
        <f>IF(BV$81="","",Underwriting!CA120)</f>
      </c>
      <c r="BW62" s="170" t="str">
        <f>IF(BW$81="","",Underwriting!CB120)</f>
      </c>
      <c r="BX62" s="170" t="str">
        <f>IF(BX$81="","",Underwriting!CC120)</f>
      </c>
      <c r="BY62" s="170" t="str">
        <f>IF(BY$81="","",Underwriting!CD120)</f>
      </c>
      <c r="BZ62" s="170" t="str">
        <f>IF(BZ$81="","",Underwriting!CE120)</f>
      </c>
      <c r="CA62" s="170" t="str">
        <f>IF(CA$81="","",Underwriting!CF120)</f>
      </c>
      <c r="CB62" s="170" t="str">
        <f>IF(CB$81="","",Underwriting!CG120)</f>
      </c>
      <c r="CC62" s="170" t="str">
        <f>IF(CC$81="","",Underwriting!CH120)</f>
      </c>
      <c r="CD62" s="170" t="str">
        <f>IF(CD$81="","",Underwriting!CI120)</f>
      </c>
      <c r="CE62" s="170" t="str">
        <f>IF(CE$81="","",Underwriting!CJ120)</f>
      </c>
      <c r="CF62" s="170" t="str">
        <f>IF(CF$81="","",Underwriting!CK120)</f>
      </c>
      <c r="CG62" s="170" t="str">
        <f>IF(CG$81="","",Underwriting!CL120)</f>
      </c>
      <c r="CH62" s="170" t="str">
        <f>IF(CH$81="","",Underwriting!CM120)</f>
      </c>
      <c r="CI62" s="170" t="str">
        <f>IF(CI$81="","",Underwriting!CN120)</f>
      </c>
      <c r="CJ62" s="170" t="str">
        <f>IF(CJ$81="","",Underwriting!CO120)</f>
      </c>
      <c r="CK62" s="170" t="str">
        <f>IF(CK$81="","",Underwriting!CP120)</f>
      </c>
      <c r="CL62" s="170" t="str">
        <f>IF(CL$81="","",Underwriting!CQ120)</f>
      </c>
      <c r="CM62" s="170" t="str">
        <f>IF(CM$81="","",Underwriting!CR120)</f>
      </c>
      <c r="CN62" s="170" t="str">
        <f>IF(CN$81="","",Underwriting!CS120)</f>
      </c>
      <c r="CO62" s="170" t="str">
        <f>IF(CO$81="","",Underwriting!CT120)</f>
      </c>
      <c r="CP62" s="170" t="str">
        <f>IF(CP$81="","",Underwriting!CU120)</f>
      </c>
      <c r="CQ62" s="170" t="str">
        <f>IF(CQ$81="","",Underwriting!CV120)</f>
      </c>
      <c r="CR62" s="170" t="str">
        <f>IF(CR$81="","",Underwriting!CW120)</f>
      </c>
      <c r="CS62" s="170" t="str">
        <f>IF(CS$81="","",Underwriting!CX120)</f>
      </c>
      <c r="CT62" s="170" t="str">
        <f>IF(CT$81="","",Underwriting!CY120)</f>
      </c>
      <c r="CU62" s="170" t="str">
        <f>IF(CU$81="","",Underwriting!CZ120)</f>
      </c>
      <c r="CV62" s="170" t="str">
        <f>IF(CV$81="","",Underwriting!DA120)</f>
      </c>
      <c r="CW62" s="170" t="str">
        <f>IF(CW$81="","",Underwriting!DB120)</f>
      </c>
      <c r="CX62" s="170" t="str">
        <f>IF(CX$81="","",Underwriting!DC120)</f>
      </c>
      <c r="CY62" s="170" t="str">
        <f>IF(CY$81="","",Underwriting!DD120)</f>
      </c>
      <c r="CZ62" s="170" t="str">
        <f>IF(CZ$81="","",Underwriting!DE120)</f>
      </c>
      <c r="DA62" s="170" t="str">
        <f>IF(DA$81="","",Underwriting!DF120)</f>
      </c>
      <c r="DB62" s="170" t="str">
        <f>IF(DB$81="","",Underwriting!DG120)</f>
      </c>
      <c r="DC62" s="170" t="str">
        <f>IF(DC$81="","",Underwriting!DH120)</f>
      </c>
      <c r="DD62" s="170" t="str">
        <f>IF(DD$81="","",Underwriting!DI120)</f>
      </c>
      <c r="DE62" s="170" t="str">
        <f>IF(DE$81="","",Underwriting!DJ120)</f>
      </c>
      <c r="DF62" s="170" t="str">
        <f>IF(DF$81="","",Underwriting!DK120)</f>
      </c>
      <c r="DG62" s="170" t="str">
        <f>IF(DG$81="","",Underwriting!DL120)</f>
      </c>
      <c r="DH62" s="170" t="str">
        <f>IF(DH$81="","",Underwriting!DM120)</f>
      </c>
      <c r="DI62" s="170" t="str">
        <f>IF(DI$81="","",Underwriting!DN120)</f>
      </c>
      <c r="DJ62" s="170" t="str">
        <f>IF(DJ$81="","",Underwriting!DO120)</f>
      </c>
      <c r="DK62" s="170" t="str">
        <f>IF(DK$81="","",Underwriting!DP120)</f>
      </c>
      <c r="DL62" s="170" t="str">
        <f>IF(DL$81="","",Underwriting!DQ120)</f>
      </c>
      <c r="DM62" s="170" t="str">
        <f>IF(DM$81="","",Underwriting!DR120)</f>
      </c>
      <c r="DN62" s="170" t="str">
        <f>IF(DN$81="","",Underwriting!DS120)</f>
      </c>
      <c r="DO62" s="170" t="str">
        <f>IF(DO$81="","",Underwriting!DT120)</f>
      </c>
      <c r="DP62" s="170" t="str">
        <f>IF(DP$81="","",Underwriting!DU120)</f>
      </c>
      <c r="DQ62" s="170" t="str">
        <f>IF(DQ$81="","",Underwriting!DV120)</f>
      </c>
      <c r="DR62" s="170" t="str">
        <f>IF(DR$81="","",Underwriting!DW120)</f>
      </c>
      <c r="DS62" s="170" t="str">
        <f>IF(DS$81="","",Underwriting!DX120)</f>
      </c>
      <c r="DT62" s="170" t="str">
        <f>IF(DT$81="","",Underwriting!DY120)</f>
      </c>
      <c r="DU62" s="170" t="str">
        <f>IF(DU$81="","",Underwriting!DZ120)</f>
      </c>
      <c r="DV62" s="170" t="str">
        <f>IF(DV$81="","",Underwriting!EA120)</f>
      </c>
      <c r="DW62" s="170" t="str">
        <f>IF(DW$81="","",Underwriting!EB120)</f>
      </c>
      <c r="DX62" s="170" t="str">
        <f>IF(DX$81="","",Underwriting!EC120)</f>
      </c>
      <c r="DY62" s="170" t="str">
        <f>IF(DY$81="","",Underwriting!ED120)</f>
      </c>
      <c r="DZ62" s="170" t="str">
        <f>IF(DZ$81="","",Underwriting!EE120)</f>
      </c>
      <c r="EA62" s="170" t="str">
        <f>IF(EA$81="","",Underwriting!EF120)</f>
      </c>
      <c r="EB62" s="170" t="str">
        <f>IF(EB$81="","",Underwriting!EG120)</f>
      </c>
      <c r="EC62" s="170" t="str">
        <f>IF(EC$81="","",Underwriting!EH120)</f>
      </c>
      <c r="ED62" s="170" t="str">
        <f>IF(ED$81="","",Underwriting!EI120)</f>
      </c>
      <c r="EE62" s="170" t="str">
        <f>IF(EE$81="","",Underwriting!EJ120)</f>
      </c>
      <c r="EF62" s="170" t="str">
        <f>IF(EF$81="","",Underwriting!EK120)</f>
      </c>
      <c r="EG62" s="170" t="str">
        <f>IF(EG$81="","",Underwriting!EL120)</f>
      </c>
      <c r="EH62" s="170" t="str">
        <f>IF(EH$81="","",Underwriting!EM120)</f>
      </c>
      <c r="EI62" s="170" t="str">
        <f>IF(EI$81="","",Underwriting!EN120)</f>
      </c>
    </row>
    <row r="63">
      <c r="B63" s="164" t="s">
        <v>339</v>
      </c>
      <c r="C63" s="4"/>
      <c r="D63" s="4"/>
      <c r="E63" s="4"/>
      <c r="F63" s="4"/>
      <c r="G63" s="173" t="str">
        <f>IF(G$81="","",Underwriting!L126)</f>
      </c>
      <c r="H63" s="173" t="n">
        <f>IF(H$81="","",Underwriting!M126)</f>
        <v>0</v>
      </c>
      <c r="I63" s="173" t="n">
        <f>IF(I$81="","",Underwriting!N126)</f>
        <v>0</v>
      </c>
      <c r="J63" s="173" t="n">
        <f>IF(J$81="","",Underwriting!O126)</f>
        <v>0</v>
      </c>
      <c r="K63" s="173" t="n">
        <f>IF(K$81="","",Underwriting!P126)</f>
        <v>0</v>
      </c>
      <c r="L63" s="173" t="n">
        <f>IF(L$81="","",Underwriting!Q126)</f>
        <v>0</v>
      </c>
      <c r="M63" s="173" t="n">
        <f>IF(M$81="","",Underwriting!R126)</f>
        <v>0</v>
      </c>
      <c r="N63" s="173" t="n">
        <f>IF(N$81="","",Underwriting!S126)</f>
        <v>700145.9419782542</v>
      </c>
      <c r="O63" s="173" t="n">
        <f>IF(O$81="","",Underwriting!T126)</f>
        <v>700145.9419782542</v>
      </c>
      <c r="P63" s="173" t="n">
        <f>IF(P$81="","",Underwriting!U126)</f>
        <v>700145.9419782542</v>
      </c>
      <c r="Q63" s="173" t="n">
        <f>IF(Q$81="","",Underwriting!V126)</f>
        <v>700145.9419782542</v>
      </c>
      <c r="R63" s="173" t="n">
        <f>IF(R$81="","",Underwriting!W126)</f>
        <v>700145.9419782542</v>
      </c>
      <c r="S63" s="171" t="n">
        <f>IF(S$81="","",Underwriting!X126)</f>
        <v>700145.9419782542</v>
      </c>
      <c r="T63" s="171" t="n">
        <f>IF(T$81="","",Underwriting!Y126)</f>
        <v>700145.9419782542</v>
      </c>
      <c r="U63" s="171" t="n">
        <f>IF(U$81="","",Underwriting!Z126)</f>
        <v>700145.9419782542</v>
      </c>
      <c r="V63" s="171" t="n">
        <f>IF(V$81="","",Underwriting!AA126)</f>
        <v>700145.9419782542</v>
      </c>
      <c r="W63" s="171" t="n">
        <f>IF(W$81="","",Underwriting!AB126)</f>
        <v>700145.9419782542</v>
      </c>
      <c r="X63" s="171" t="n">
        <f>IF(X$81="","",Underwriting!AC126)</f>
        <v>700145.9419782542</v>
      </c>
      <c r="Y63" s="171" t="n">
        <f>IF(Y$81="","",Underwriting!AD126)</f>
        <v>700145.9419782542</v>
      </c>
      <c r="Z63" s="171" t="n">
        <f>IF(Z$81="","",Underwriting!AE126)</f>
        <v>3756155.729140019</v>
      </c>
      <c r="AA63" s="171" t="n">
        <f>IF(AA$81="","",Underwriting!AF126)</f>
        <v>3756155.729140019</v>
      </c>
      <c r="AB63" s="171" t="n">
        <f>IF(AB$81="","",Underwriting!AG126)</f>
        <v>3756155.729140019</v>
      </c>
      <c r="AC63" s="171" t="n">
        <f>IF(AC$81="","",Underwriting!AH126)</f>
        <v>3756155.729140019</v>
      </c>
      <c r="AD63" s="171" t="n">
        <f>IF(AD$81="","",Underwriting!AI126)</f>
        <v>3756155.729140019</v>
      </c>
      <c r="AE63" s="171" t="n">
        <f>IF(AE$81="","",Underwriting!AJ126)</f>
        <v>3756155.729140019</v>
      </c>
      <c r="AF63" s="171" t="n">
        <f>IF(AF$81="","",Underwriting!AK126)</f>
        <v>3756155.729140019</v>
      </c>
      <c r="AG63" s="171" t="n">
        <f>IF(AG$81="","",Underwriting!AL126)</f>
        <v>3756155.729140019</v>
      </c>
      <c r="AH63" s="171" t="n">
        <f>IF(AH$81="","",Underwriting!AM126)</f>
        <v>3756155.729140019</v>
      </c>
      <c r="AI63" s="171" t="n">
        <f>IF(AI$81="","",Underwriting!AN126)</f>
        <v>3756155.729140019</v>
      </c>
      <c r="AJ63" s="171" t="n">
        <f>IF(AJ$81="","",Underwriting!AO126)</f>
        <v>3756155.729140019</v>
      </c>
      <c r="AK63" s="171" t="n">
        <f>IF(AK$81="","",Underwriting!AP126)</f>
        <v>3756155.729140019</v>
      </c>
      <c r="AL63" s="171" t="n">
        <f>IF(AL$81="","",Underwriting!AQ126)</f>
        <v>4069183.364023819</v>
      </c>
      <c r="AM63" s="171" t="n">
        <f>IF(AM$81="","",Underwriting!AR126)</f>
        <v>4069183.364023819</v>
      </c>
      <c r="AN63" s="171" t="n">
        <f>IF(AN$81="","",Underwriting!AS126)</f>
        <v>4069183.364023819</v>
      </c>
      <c r="AO63" s="171" t="n">
        <f>IF(AO$81="","",Underwriting!AT126)</f>
        <v>4069183.364023819</v>
      </c>
      <c r="AP63" s="171" t="n">
        <f>IF(AP$81="","",Underwriting!AU126)</f>
        <v>4069183.364023819</v>
      </c>
      <c r="AQ63" s="171" t="n">
        <f>IF(AQ$81="","",Underwriting!AV126)</f>
        <v>4069183.364023819</v>
      </c>
      <c r="AR63" s="171" t="n">
        <f>IF(AR$81="","",Underwriting!AW126)</f>
        <v>4069183.364023819</v>
      </c>
      <c r="AS63" s="171" t="n">
        <f>IF(AS$81="","",Underwriting!AX126)</f>
        <v>4069183.364023819</v>
      </c>
      <c r="AT63" s="171" t="n">
        <f>IF(AT$81="","",Underwriting!AY126)</f>
        <v>4069183.364023819</v>
      </c>
      <c r="AU63" s="171" t="n">
        <f>IF(AU$81="","",Underwriting!AZ126)</f>
        <v>4069015.406997311</v>
      </c>
      <c r="AV63" s="171" t="n">
        <f>IF(AV$81="","",Underwriting!BA126)</f>
        <v>4069015.406997311</v>
      </c>
      <c r="AW63" s="171" t="n">
        <f>IF(AW$81="","",Underwriting!BB126)</f>
        <v>4069015.406997311</v>
      </c>
      <c r="AX63" s="171" t="n">
        <f>IF(AX$81="","",Underwriting!BC126)</f>
        <v>4227595.748413112</v>
      </c>
      <c r="AY63" s="171" t="n">
        <f>IF(AY$81="","",Underwriting!BD126)</f>
        <v>4227595.748413112</v>
      </c>
      <c r="AZ63" s="171" t="n">
        <f>IF(AZ$81="","",Underwriting!BE126)</f>
        <v>4227595.748413112</v>
      </c>
      <c r="BA63" s="171" t="n">
        <f>IF(BA$81="","",Underwriting!BF126)</f>
        <v>4227595.748413112</v>
      </c>
      <c r="BB63" s="171" t="n">
        <f>IF(BB$81="","",Underwriting!BG126)</f>
        <v>4227595.748413112</v>
      </c>
      <c r="BC63" s="171" t="n">
        <f>IF(BC$81="","",Underwriting!BH126)</f>
        <v>4227595.748413112</v>
      </c>
      <c r="BD63" s="171" t="n">
        <f>IF(BD$81="","",Underwriting!BI126)</f>
        <v>4227595.748413112</v>
      </c>
      <c r="BE63" s="171" t="n">
        <f>IF(BE$81="","",Underwriting!BJ126)</f>
        <v>4227595.748413112</v>
      </c>
      <c r="BF63" s="171" t="n">
        <f>IF(BF$81="","",Underwriting!BK126)</f>
        <v>4227595.748413112</v>
      </c>
      <c r="BG63" s="171" t="n">
        <f>IF(BG$81="","",Underwriting!BL126)</f>
        <v>4227595.748413112</v>
      </c>
      <c r="BH63" s="171" t="n">
        <f>IF(BH$81="","",Underwriting!BM126)</f>
        <v>4227595.748413112</v>
      </c>
      <c r="BI63" s="171" t="n">
        <f>IF(BI$81="","",Underwriting!BN126)</f>
        <v>4227595.748413112</v>
      </c>
      <c r="BJ63" s="171" t="n">
        <f>IF(BJ$81="","",Underwriting!BO126)</f>
        <v>4370405.379285374</v>
      </c>
      <c r="BK63" s="171" t="n">
        <f>IF(BK$81="","",Underwriting!BP126)</f>
        <v>4370405.379285374</v>
      </c>
      <c r="BL63" s="171" t="n">
        <f>IF(BL$81="","",Underwriting!BQ126)</f>
        <v>4370405.379285374</v>
      </c>
      <c r="BM63" s="171" t="n">
        <f>IF(BM$81="","",Underwriting!BR126)</f>
        <v>4370405.379285374</v>
      </c>
      <c r="BN63" s="171" t="n">
        <f>IF(BN$81="","",Underwriting!BS126)</f>
        <v>4370405.379285374</v>
      </c>
      <c r="BO63" s="171" t="n">
        <f>IF(BO$81="","",Underwriting!BT126)</f>
        <v>4370405.379285374</v>
      </c>
      <c r="BP63" s="171" t="n">
        <f>IF(BP$81="","",Underwriting!BU126)</f>
        <v>4370405.379285374</v>
      </c>
      <c r="BQ63" s="171" t="str">
        <f>IF(BQ$81="","",Underwriting!BV126)</f>
      </c>
      <c r="BR63" s="171" t="str">
        <f>IF(BR$81="","",Underwriting!BW126)</f>
      </c>
      <c r="BS63" s="171" t="str">
        <f>IF(BS$81="","",Underwriting!BX126)</f>
      </c>
      <c r="BT63" s="171" t="str">
        <f>IF(BT$81="","",Underwriting!BY126)</f>
      </c>
      <c r="BU63" s="171" t="str">
        <f>IF(BU$81="","",Underwriting!BZ126)</f>
      </c>
      <c r="BV63" s="171" t="str">
        <f>IF(BV$81="","",Underwriting!CA126)</f>
      </c>
      <c r="BW63" s="171" t="str">
        <f>IF(BW$81="","",Underwriting!CB126)</f>
      </c>
      <c r="BX63" s="171" t="str">
        <f>IF(BX$81="","",Underwriting!CC126)</f>
      </c>
      <c r="BY63" s="171" t="str">
        <f>IF(BY$81="","",Underwriting!CD126)</f>
      </c>
      <c r="BZ63" s="171" t="str">
        <f>IF(BZ$81="","",Underwriting!CE126)</f>
      </c>
      <c r="CA63" s="171" t="str">
        <f>IF(CA$81="","",Underwriting!CF126)</f>
      </c>
      <c r="CB63" s="171" t="str">
        <f>IF(CB$81="","",Underwriting!CG126)</f>
      </c>
      <c r="CC63" s="171" t="str">
        <f>IF(CC$81="","",Underwriting!CH126)</f>
      </c>
      <c r="CD63" s="171" t="str">
        <f>IF(CD$81="","",Underwriting!CI126)</f>
      </c>
      <c r="CE63" s="171" t="str">
        <f>IF(CE$81="","",Underwriting!CJ126)</f>
      </c>
      <c r="CF63" s="171" t="str">
        <f>IF(CF$81="","",Underwriting!CK126)</f>
      </c>
      <c r="CG63" s="171" t="str">
        <f>IF(CG$81="","",Underwriting!CL126)</f>
      </c>
      <c r="CH63" s="171" t="str">
        <f>IF(CH$81="","",Underwriting!CM126)</f>
      </c>
      <c r="CI63" s="171" t="str">
        <f>IF(CI$81="","",Underwriting!CN126)</f>
      </c>
      <c r="CJ63" s="171" t="str">
        <f>IF(CJ$81="","",Underwriting!CO126)</f>
      </c>
      <c r="CK63" s="171" t="str">
        <f>IF(CK$81="","",Underwriting!CP126)</f>
      </c>
      <c r="CL63" s="171" t="str">
        <f>IF(CL$81="","",Underwriting!CQ126)</f>
      </c>
      <c r="CM63" s="171" t="str">
        <f>IF(CM$81="","",Underwriting!CR126)</f>
      </c>
      <c r="CN63" s="171" t="str">
        <f>IF(CN$81="","",Underwriting!CS126)</f>
      </c>
      <c r="CO63" s="171" t="str">
        <f>IF(CO$81="","",Underwriting!CT126)</f>
      </c>
      <c r="CP63" s="171" t="str">
        <f>IF(CP$81="","",Underwriting!CU126)</f>
      </c>
      <c r="CQ63" s="171" t="str">
        <f>IF(CQ$81="","",Underwriting!CV126)</f>
      </c>
      <c r="CR63" s="171" t="str">
        <f>IF(CR$81="","",Underwriting!CW126)</f>
      </c>
      <c r="CS63" s="171" t="str">
        <f>IF(CS$81="","",Underwriting!CX126)</f>
      </c>
      <c r="CT63" s="171" t="str">
        <f>IF(CT$81="","",Underwriting!CY126)</f>
      </c>
      <c r="CU63" s="171" t="str">
        <f>IF(CU$81="","",Underwriting!CZ126)</f>
      </c>
      <c r="CV63" s="171" t="str">
        <f>IF(CV$81="","",Underwriting!DA126)</f>
      </c>
      <c r="CW63" s="171" t="str">
        <f>IF(CW$81="","",Underwriting!DB126)</f>
      </c>
      <c r="CX63" s="171" t="str">
        <f>IF(CX$81="","",Underwriting!DC126)</f>
      </c>
      <c r="CY63" s="171" t="str">
        <f>IF(CY$81="","",Underwriting!DD126)</f>
      </c>
      <c r="CZ63" s="171" t="str">
        <f>IF(CZ$81="","",Underwriting!DE126)</f>
      </c>
      <c r="DA63" s="171" t="str">
        <f>IF(DA$81="","",Underwriting!DF126)</f>
      </c>
      <c r="DB63" s="171" t="str">
        <f>IF(DB$81="","",Underwriting!DG126)</f>
      </c>
      <c r="DC63" s="171" t="str">
        <f>IF(DC$81="","",Underwriting!DH126)</f>
      </c>
      <c r="DD63" s="171" t="str">
        <f>IF(DD$81="","",Underwriting!DI126)</f>
      </c>
      <c r="DE63" s="171" t="str">
        <f>IF(DE$81="","",Underwriting!DJ126)</f>
      </c>
      <c r="DF63" s="171" t="str">
        <f>IF(DF$81="","",Underwriting!DK126)</f>
      </c>
      <c r="DG63" s="171" t="str">
        <f>IF(DG$81="","",Underwriting!DL126)</f>
      </c>
      <c r="DH63" s="171" t="str">
        <f>IF(DH$81="","",Underwriting!DM126)</f>
      </c>
      <c r="DI63" s="171" t="str">
        <f>IF(DI$81="","",Underwriting!DN126)</f>
      </c>
      <c r="DJ63" s="171" t="str">
        <f>IF(DJ$81="","",Underwriting!DO126)</f>
      </c>
      <c r="DK63" s="171" t="str">
        <f>IF(DK$81="","",Underwriting!DP126)</f>
      </c>
      <c r="DL63" s="171" t="str">
        <f>IF(DL$81="","",Underwriting!DQ126)</f>
      </c>
      <c r="DM63" s="171" t="str">
        <f>IF(DM$81="","",Underwriting!DR126)</f>
      </c>
      <c r="DN63" s="171" t="str">
        <f>IF(DN$81="","",Underwriting!DS126)</f>
      </c>
      <c r="DO63" s="171" t="str">
        <f>IF(DO$81="","",Underwriting!DT126)</f>
      </c>
      <c r="DP63" s="171" t="str">
        <f>IF(DP$81="","",Underwriting!DU126)</f>
      </c>
      <c r="DQ63" s="171" t="str">
        <f>IF(DQ$81="","",Underwriting!DV126)</f>
      </c>
      <c r="DR63" s="171" t="str">
        <f>IF(DR$81="","",Underwriting!DW126)</f>
      </c>
      <c r="DS63" s="171" t="str">
        <f>IF(DS$81="","",Underwriting!DX126)</f>
      </c>
      <c r="DT63" s="171" t="str">
        <f>IF(DT$81="","",Underwriting!DY126)</f>
      </c>
      <c r="DU63" s="171" t="str">
        <f>IF(DU$81="","",Underwriting!DZ126)</f>
      </c>
      <c r="DV63" s="171" t="str">
        <f>IF(DV$81="","",Underwriting!EA126)</f>
      </c>
      <c r="DW63" s="171" t="str">
        <f>IF(DW$81="","",Underwriting!EB126)</f>
      </c>
      <c r="DX63" s="171" t="str">
        <f>IF(DX$81="","",Underwriting!EC126)</f>
      </c>
      <c r="DY63" s="171" t="str">
        <f>IF(DY$81="","",Underwriting!ED126)</f>
      </c>
      <c r="DZ63" s="171" t="str">
        <f>IF(DZ$81="","",Underwriting!EE126)</f>
      </c>
      <c r="EA63" s="171" t="str">
        <f>IF(EA$81="","",Underwriting!EF126)</f>
      </c>
      <c r="EB63" s="171" t="str">
        <f>IF(EB$81="","",Underwriting!EG126)</f>
      </c>
      <c r="EC63" s="171" t="str">
        <f>IF(EC$81="","",Underwriting!EH126)</f>
      </c>
      <c r="ED63" s="171" t="str">
        <f>IF(ED$81="","",Underwriting!EI126)</f>
      </c>
      <c r="EE63" s="171" t="str">
        <f>IF(EE$81="","",Underwriting!EJ126)</f>
      </c>
      <c r="EF63" s="171" t="str">
        <f>IF(EF$81="","",Underwriting!EK126)</f>
      </c>
      <c r="EG63" s="171" t="str">
        <f>IF(EG$81="","",Underwriting!EL126)</f>
      </c>
      <c r="EH63" s="171" t="str">
        <f>IF(EH$81="","",Underwriting!EM126)</f>
      </c>
      <c r="EI63" s="171" t="str">
        <f>IF(EI$81="","",Underwriting!EN126)</f>
      </c>
    </row>
    <row r="64">
      <c r="B64" s="4" t="s">
        <v>489</v>
      </c>
      <c r="C64" s="4"/>
      <c r="D64" s="4"/>
      <c r="E64" s="4"/>
      <c r="F64" s="4"/>
      <c r="G64" s="172" t="str">
        <f t="shared" ref="G64:AL64" si="43">IF(G$81="","",SUM(G61:G63))</f>
      </c>
      <c r="H64" s="172">
        <f t="shared" si="43"/>
        <v>0</v>
      </c>
      <c r="I64" s="172">
        <f t="shared" si="43"/>
        <v>0</v>
      </c>
      <c r="J64" s="172">
        <f t="shared" si="43"/>
        <v>0</v>
      </c>
      <c r="K64" s="172">
        <f t="shared" si="43"/>
        <v>0</v>
      </c>
      <c r="L64" s="172">
        <f t="shared" si="43"/>
        <v>0</v>
      </c>
      <c r="M64" s="172">
        <f t="shared" si="43"/>
        <v>0</v>
      </c>
      <c r="N64" s="172">
        <f t="shared" si="43"/>
        <v>700145.94197825424</v>
      </c>
      <c r="O64" s="172">
        <f t="shared" si="43"/>
        <v>700145.94197825424</v>
      </c>
      <c r="P64" s="172">
        <f t="shared" si="43"/>
        <v>700145.94197825424</v>
      </c>
      <c r="Q64" s="172">
        <f t="shared" si="43"/>
        <v>700145.94197825424</v>
      </c>
      <c r="R64" s="172">
        <f t="shared" si="43"/>
        <v>700145.94197825424</v>
      </c>
      <c r="S64" s="170">
        <f t="shared" si="43"/>
        <v>700145.94197825424</v>
      </c>
      <c r="T64" s="170">
        <f t="shared" si="43"/>
        <v>700145.94197825424</v>
      </c>
      <c r="U64" s="170">
        <f t="shared" si="43"/>
        <v>700145.94197825424</v>
      </c>
      <c r="V64" s="170">
        <f t="shared" si="43"/>
        <v>700145.94197825424</v>
      </c>
      <c r="W64" s="170">
        <f t="shared" si="43"/>
        <v>700145.94197825424</v>
      </c>
      <c r="X64" s="170">
        <f t="shared" si="43"/>
        <v>700145.94197825424</v>
      </c>
      <c r="Y64" s="170">
        <f t="shared" si="43"/>
        <v>700145.94197825424</v>
      </c>
      <c r="Z64" s="170">
        <f t="shared" si="43"/>
        <v>3756155.729140019</v>
      </c>
      <c r="AA64" s="170">
        <f t="shared" si="43"/>
        <v>3756155.729140019</v>
      </c>
      <c r="AB64" s="170">
        <f t="shared" si="43"/>
        <v>3756155.729140019</v>
      </c>
      <c r="AC64" s="170">
        <f t="shared" si="43"/>
        <v>4544918.0293516144</v>
      </c>
      <c r="AD64" s="170">
        <f t="shared" si="43"/>
        <v>4544918.0293516144</v>
      </c>
      <c r="AE64" s="170">
        <f t="shared" si="43"/>
        <v>4544918.0293516144</v>
      </c>
      <c r="AF64" s="170">
        <f t="shared" si="43"/>
        <v>4850446.7559690066</v>
      </c>
      <c r="AG64" s="170">
        <f t="shared" si="43"/>
        <v>4850446.7559690066</v>
      </c>
      <c r="AH64" s="170">
        <f t="shared" si="43"/>
        <v>4850446.7559690066</v>
      </c>
      <c r="AI64" s="170">
        <f t="shared" si="43"/>
        <v>5038529.5565524856</v>
      </c>
      <c r="AJ64" s="170">
        <f t="shared" si="43"/>
        <v>5038529.5565524856</v>
      </c>
      <c r="AK64" s="170">
        <f t="shared" si="43"/>
        <v>5046134.0402314598</v>
      </c>
      <c r="AL64" s="170">
        <f t="shared" si="43"/>
        <v>5599025.4780591168</v>
      </c>
      <c r="AM64" s="170" t="n">
        <f t="shared" ref="AM64:BR64" si="44">IF(AM$81="","",SUM(AM61:AM63))</f>
        <v>5599025.478059117</v>
      </c>
      <c r="AN64" s="170">
        <f t="shared" si="44"/>
        <v>5599025.4780591168</v>
      </c>
      <c r="AO64" s="170">
        <f t="shared" si="44"/>
        <v>5724564.6827028003</v>
      </c>
      <c r="AP64" s="170">
        <f t="shared" si="44"/>
        <v>5724564.6827028003</v>
      </c>
      <c r="AQ64" s="170">
        <f t="shared" si="44"/>
        <v>5724564.6827028003</v>
      </c>
      <c r="AR64" s="170">
        <f t="shared" si="44"/>
        <v>5732148.0160361342</v>
      </c>
      <c r="AS64" s="170">
        <f t="shared" si="44"/>
        <v>5732148.0160361342</v>
      </c>
      <c r="AT64" s="170">
        <f t="shared" si="44"/>
        <v>5732148.0160361342</v>
      </c>
      <c r="AU64" s="170">
        <f t="shared" si="44"/>
        <v>5738467.7920714775</v>
      </c>
      <c r="AV64" s="170">
        <f t="shared" si="44"/>
        <v>5738467.7920714775</v>
      </c>
      <c r="AW64" s="170">
        <f t="shared" si="44"/>
        <v>5738467.7920714775</v>
      </c>
      <c r="AX64" s="170">
        <f t="shared" si="44"/>
        <v>5908617.6464161528</v>
      </c>
      <c r="AY64" s="170">
        <f t="shared" si="44"/>
        <v>5908617.6464161528</v>
      </c>
      <c r="AZ64" s="170">
        <f t="shared" si="44"/>
        <v>5908617.6464161528</v>
      </c>
      <c r="BA64" s="170">
        <f t="shared" si="44"/>
        <v>5937758.0630828198</v>
      </c>
      <c r="BB64" s="170">
        <f t="shared" si="44"/>
        <v>5937758.0630828198</v>
      </c>
      <c r="BC64" s="170">
        <f t="shared" si="44"/>
        <v>5937758.0630828198</v>
      </c>
      <c r="BD64" s="170">
        <f t="shared" si="44"/>
        <v>5945606.8130828198</v>
      </c>
      <c r="BE64" s="170">
        <f t="shared" si="44"/>
        <v>5945606.8130828198</v>
      </c>
      <c r="BF64" s="170">
        <f t="shared" si="44"/>
        <v>5945606.8130828198</v>
      </c>
      <c r="BG64" s="170">
        <f t="shared" si="44"/>
        <v>5951916.0005828198</v>
      </c>
      <c r="BH64" s="170">
        <f t="shared" si="44"/>
        <v>5951916.0005828198</v>
      </c>
      <c r="BI64" s="170">
        <f t="shared" si="44"/>
        <v>5951916.0005828198</v>
      </c>
      <c r="BJ64" s="170">
        <f t="shared" si="44"/>
        <v>6105951.4384639971</v>
      </c>
      <c r="BK64" s="170">
        <f t="shared" si="44"/>
        <v>6105951.4384639971</v>
      </c>
      <c r="BL64" s="170">
        <f t="shared" si="44"/>
        <v>6105951.4384639971</v>
      </c>
      <c r="BM64" s="170">
        <f t="shared" si="44"/>
        <v>6136111.7697139969</v>
      </c>
      <c r="BN64" s="170">
        <f t="shared" si="44"/>
        <v>6136111.7697139969</v>
      </c>
      <c r="BO64" s="170">
        <f t="shared" si="44"/>
        <v>6136111.7697139969</v>
      </c>
      <c r="BP64" s="170">
        <f t="shared" si="44"/>
        <v>6144235.2259639967</v>
      </c>
      <c r="BQ64" s="170" t="str">
        <f t="shared" si="44"/>
      </c>
      <c r="BR64" s="170" t="str">
        <f t="shared" si="44"/>
      </c>
      <c r="BS64" s="170" t="str">
        <f t="shared" ref="BS64:CX64" si="45">IF(BS$81="","",SUM(BS61:BS63))</f>
      </c>
      <c r="BT64" s="170" t="str">
        <f t="shared" si="45"/>
      </c>
      <c r="BU64" s="170" t="str">
        <f t="shared" si="45"/>
      </c>
      <c r="BV64" s="170" t="str">
        <f t="shared" si="45"/>
      </c>
      <c r="BW64" s="170" t="str">
        <f t="shared" si="45"/>
      </c>
      <c r="BX64" s="170" t="str">
        <f t="shared" si="45"/>
      </c>
      <c r="BY64" s="170" t="str">
        <f t="shared" si="45"/>
      </c>
      <c r="BZ64" s="170" t="str">
        <f t="shared" si="45"/>
      </c>
      <c r="CA64" s="170" t="str">
        <f t="shared" si="45"/>
      </c>
      <c r="CB64" s="170" t="str">
        <f t="shared" si="45"/>
      </c>
      <c r="CC64" s="170" t="str">
        <f t="shared" si="45"/>
      </c>
      <c r="CD64" s="170" t="str">
        <f t="shared" si="45"/>
      </c>
      <c r="CE64" s="170" t="str">
        <f t="shared" si="45"/>
      </c>
      <c r="CF64" s="170" t="str">
        <f t="shared" si="45"/>
      </c>
      <c r="CG64" s="170" t="str">
        <f t="shared" si="45"/>
      </c>
      <c r="CH64" s="170" t="str">
        <f t="shared" si="45"/>
      </c>
      <c r="CI64" s="170" t="str">
        <f t="shared" si="45"/>
      </c>
      <c r="CJ64" s="170" t="str">
        <f t="shared" si="45"/>
      </c>
      <c r="CK64" s="170" t="str">
        <f t="shared" si="45"/>
      </c>
      <c r="CL64" s="170" t="str">
        <f t="shared" si="45"/>
      </c>
      <c r="CM64" s="170" t="str">
        <f t="shared" si="45"/>
      </c>
      <c r="CN64" s="170" t="str">
        <f t="shared" si="45"/>
      </c>
      <c r="CO64" s="170" t="str">
        <f t="shared" si="45"/>
      </c>
      <c r="CP64" s="170" t="str">
        <f t="shared" si="45"/>
      </c>
      <c r="CQ64" s="170" t="str">
        <f t="shared" si="45"/>
      </c>
      <c r="CR64" s="170" t="str">
        <f t="shared" si="45"/>
      </c>
      <c r="CS64" s="170" t="str">
        <f t="shared" si="45"/>
      </c>
      <c r="CT64" s="170" t="str">
        <f t="shared" si="45"/>
      </c>
      <c r="CU64" s="170" t="str">
        <f t="shared" si="45"/>
      </c>
      <c r="CV64" s="170" t="str">
        <f t="shared" si="45"/>
      </c>
      <c r="CW64" s="170" t="str">
        <f t="shared" si="45"/>
      </c>
      <c r="CX64" s="170" t="str">
        <f t="shared" si="45"/>
      </c>
      <c r="CY64" s="170" t="str">
        <f t="shared" ref="CY64:ED64" si="46">IF(CY$81="","",SUM(CY61:CY63))</f>
      </c>
      <c r="CZ64" s="170" t="str">
        <f t="shared" si="46"/>
      </c>
      <c r="DA64" s="170" t="str">
        <f t="shared" si="46"/>
      </c>
      <c r="DB64" s="170" t="str">
        <f t="shared" si="46"/>
      </c>
      <c r="DC64" s="170" t="str">
        <f t="shared" si="46"/>
      </c>
      <c r="DD64" s="170" t="str">
        <f t="shared" si="46"/>
      </c>
      <c r="DE64" s="170" t="str">
        <f t="shared" si="46"/>
      </c>
      <c r="DF64" s="170" t="str">
        <f t="shared" si="46"/>
      </c>
      <c r="DG64" s="170" t="str">
        <f t="shared" si="46"/>
      </c>
      <c r="DH64" s="170" t="str">
        <f t="shared" si="46"/>
      </c>
      <c r="DI64" s="170" t="str">
        <f t="shared" si="46"/>
      </c>
      <c r="DJ64" s="170" t="str">
        <f t="shared" si="46"/>
      </c>
      <c r="DK64" s="170" t="str">
        <f t="shared" si="46"/>
      </c>
      <c r="DL64" s="170" t="str">
        <f t="shared" si="46"/>
      </c>
      <c r="DM64" s="170" t="str">
        <f t="shared" si="46"/>
      </c>
      <c r="DN64" s="170" t="str">
        <f t="shared" si="46"/>
      </c>
      <c r="DO64" s="170" t="str">
        <f t="shared" si="46"/>
      </c>
      <c r="DP64" s="170" t="str">
        <f t="shared" si="46"/>
      </c>
      <c r="DQ64" s="170" t="str">
        <f t="shared" si="46"/>
      </c>
      <c r="DR64" s="170" t="str">
        <f t="shared" si="46"/>
      </c>
      <c r="DS64" s="170" t="str">
        <f t="shared" si="46"/>
      </c>
      <c r="DT64" s="170" t="str">
        <f t="shared" si="46"/>
      </c>
      <c r="DU64" s="170" t="str">
        <f t="shared" si="46"/>
      </c>
      <c r="DV64" s="170" t="str">
        <f t="shared" si="46"/>
      </c>
      <c r="DW64" s="170" t="str">
        <f t="shared" si="46"/>
      </c>
      <c r="DX64" s="170" t="str">
        <f t="shared" si="46"/>
      </c>
      <c r="DY64" s="170" t="str">
        <f t="shared" si="46"/>
      </c>
      <c r="DZ64" s="170" t="str">
        <f t="shared" si="46"/>
      </c>
      <c r="EA64" s="170" t="str">
        <f t="shared" si="46"/>
      </c>
      <c r="EB64" s="170" t="str">
        <f t="shared" si="46"/>
      </c>
      <c r="EC64" s="170" t="str">
        <f t="shared" si="46"/>
      </c>
      <c r="ED64" s="170" t="str">
        <f t="shared" si="46"/>
      </c>
      <c r="EE64" s="170" t="str">
        <f t="shared" ref="EE64:EI64" si="47">IF(EE$81="","",SUM(EE61:EE63))</f>
      </c>
      <c r="EF64" s="170" t="str">
        <f t="shared" si="47"/>
      </c>
      <c r="EG64" s="170" t="str">
        <f t="shared" si="47"/>
      </c>
      <c r="EH64" s="170" t="str">
        <f t="shared" si="47"/>
      </c>
      <c r="EI64" s="170" t="str">
        <f t="shared" si="47"/>
      </c>
    </row>
    <row r="65">
      <c r="B65" s="164" t="s">
        <v>490</v>
      </c>
      <c r="C65" s="4"/>
      <c r="D65" s="4"/>
      <c r="E65" s="4"/>
      <c r="F65" s="4"/>
      <c r="G65" s="172" t="str">
        <f>IF(G$81="","",Underwriting!L129)</f>
      </c>
      <c r="H65" s="172" t="n">
        <f>IF(H$81="","",Underwriting!M129)</f>
        <v>0</v>
      </c>
      <c r="I65" s="172" t="n">
        <f>IF(I$81="","",Underwriting!N129)</f>
        <v>0</v>
      </c>
      <c r="J65" s="172" t="n">
        <f>IF(J$81="","",Underwriting!O129)</f>
        <v>0</v>
      </c>
      <c r="K65" s="172" t="n">
        <f>IF(K$81="","",Underwriting!P129)</f>
        <v>0</v>
      </c>
      <c r="L65" s="172" t="n">
        <f>IF(L$81="","",Underwriting!Q129)</f>
        <v>0</v>
      </c>
      <c r="M65" s="172" t="n">
        <f>IF(M$81="","",Underwriting!R129)</f>
        <v>0</v>
      </c>
      <c r="N65" s="172" t="n">
        <f>IF(N$81="","",Underwriting!S129)</f>
        <v>0</v>
      </c>
      <c r="O65" s="172" t="n">
        <f>IF(O$81="","",Underwriting!T129)</f>
        <v>0</v>
      </c>
      <c r="P65" s="172" t="n">
        <f>IF(P$81="","",Underwriting!U129)</f>
        <v>0</v>
      </c>
      <c r="Q65" s="172" t="n">
        <f>IF(Q$81="","",Underwriting!V129)</f>
        <v>0</v>
      </c>
      <c r="R65" s="172" t="n">
        <f>IF(R$81="","",Underwriting!W129)</f>
        <v>0</v>
      </c>
      <c r="S65" s="170" t="n">
        <f>IF(S$81="","",Underwriting!X129)</f>
        <v>0</v>
      </c>
      <c r="T65" s="170" t="n">
        <f>IF(T$81="","",Underwriting!Y129)</f>
        <v>0</v>
      </c>
      <c r="U65" s="170" t="n">
        <f>IF(U$81="","",Underwriting!Z129)</f>
        <v>0</v>
      </c>
      <c r="V65" s="170" t="n">
        <f>IF(V$81="","",Underwriting!AA129)</f>
        <v>0</v>
      </c>
      <c r="W65" s="170" t="n">
        <f>IF(W$81="","",Underwriting!AB129)</f>
        <v>0</v>
      </c>
      <c r="X65" s="170" t="n">
        <f>IF(X$81="","",Underwriting!AC129)</f>
        <v>0</v>
      </c>
      <c r="Y65" s="170" t="n">
        <f>IF(Y$81="","",Underwriting!AD129)</f>
        <v>0</v>
      </c>
      <c r="Z65" s="170" t="n">
        <f>IF(Z$81="","",Underwriting!AE129)</f>
        <v>0</v>
      </c>
      <c r="AA65" s="170" t="n">
        <f>IF(AA$81="","",Underwriting!AF129)</f>
        <v>0</v>
      </c>
      <c r="AB65" s="170" t="n">
        <f>IF(AB$81="","",Underwriting!AG129)</f>
        <v>0</v>
      </c>
      <c r="AC65" s="170" t="n">
        <f>IF(AC$81="","",Underwriting!AH129)</f>
        <v>0</v>
      </c>
      <c r="AD65" s="170" t="n">
        <f>IF(AD$81="","",Underwriting!AI129)</f>
        <v>0</v>
      </c>
      <c r="AE65" s="170" t="n">
        <f>IF(AE$81="","",Underwriting!AJ129)</f>
        <v>0</v>
      </c>
      <c r="AF65" s="170" t="n">
        <f>IF(AF$81="","",Underwriting!AK129)</f>
        <v>0</v>
      </c>
      <c r="AG65" s="170" t="n">
        <f>IF(AG$81="","",Underwriting!AL129)</f>
        <v>0</v>
      </c>
      <c r="AH65" s="170" t="n">
        <f>IF(AH$81="","",Underwriting!AM129)</f>
        <v>0</v>
      </c>
      <c r="AI65" s="170" t="n">
        <f>IF(AI$81="","",Underwriting!AN129)</f>
        <v>0</v>
      </c>
      <c r="AJ65" s="170" t="n">
        <f>IF(AJ$81="","",Underwriting!AO129)</f>
        <v>0</v>
      </c>
      <c r="AK65" s="170" t="n">
        <f>IF(AK$81="","",Underwriting!AP129)</f>
        <v>0</v>
      </c>
      <c r="AL65" s="170" t="n">
        <f>IF(AL$81="","",Underwriting!AQ129)</f>
        <v>0</v>
      </c>
      <c r="AM65" s="170" t="n">
        <f>IF(AM$81="","",Underwriting!AR129)</f>
        <v>0</v>
      </c>
      <c r="AN65" s="170" t="n">
        <f>IF(AN$81="","",Underwriting!AS129)</f>
        <v>0</v>
      </c>
      <c r="AO65" s="170" t="n">
        <f>IF(AO$81="","",Underwriting!AT129)</f>
        <v>0</v>
      </c>
      <c r="AP65" s="170" t="n">
        <f>IF(AP$81="","",Underwriting!AU129)</f>
        <v>0</v>
      </c>
      <c r="AQ65" s="170" t="n">
        <f>IF(AQ$81="","",Underwriting!AV129)</f>
        <v>0</v>
      </c>
      <c r="AR65" s="170" t="n">
        <f>IF(AR$81="","",Underwriting!AW129)</f>
        <v>0</v>
      </c>
      <c r="AS65" s="170" t="n">
        <f>IF(AS$81="","",Underwriting!AX129)</f>
        <v>0</v>
      </c>
      <c r="AT65" s="170" t="n">
        <f>IF(AT$81="","",Underwriting!AY129)</f>
        <v>0</v>
      </c>
      <c r="AU65" s="170" t="n">
        <f>IF(AU$81="","",Underwriting!AZ129)</f>
        <v>0</v>
      </c>
      <c r="AV65" s="170" t="n">
        <f>IF(AV$81="","",Underwriting!BA129)</f>
        <v>0</v>
      </c>
      <c r="AW65" s="170" t="n">
        <f>IF(AW$81="","",Underwriting!BB129)</f>
        <v>0</v>
      </c>
      <c r="AX65" s="170" t="n">
        <f>IF(AX$81="","",Underwriting!BC129)</f>
        <v>0</v>
      </c>
      <c r="AY65" s="170" t="n">
        <f>IF(AY$81="","",Underwriting!BD129)</f>
        <v>0</v>
      </c>
      <c r="AZ65" s="170" t="n">
        <f>IF(AZ$81="","",Underwriting!BE129)</f>
        <v>0</v>
      </c>
      <c r="BA65" s="170" t="n">
        <f>IF(BA$81="","",Underwriting!BF129)</f>
        <v>0</v>
      </c>
      <c r="BB65" s="170" t="n">
        <f>IF(BB$81="","",Underwriting!BG129)</f>
        <v>0</v>
      </c>
      <c r="BC65" s="170" t="n">
        <f>IF(BC$81="","",Underwriting!BH129)</f>
        <v>0</v>
      </c>
      <c r="BD65" s="170" t="n">
        <f>IF(BD$81="","",Underwriting!BI129)</f>
        <v>0</v>
      </c>
      <c r="BE65" s="170" t="n">
        <f>IF(BE$81="","",Underwriting!BJ129)</f>
        <v>0</v>
      </c>
      <c r="BF65" s="170" t="n">
        <f>IF(BF$81="","",Underwriting!BK129)</f>
        <v>0</v>
      </c>
      <c r="BG65" s="170" t="n">
        <f>IF(BG$81="","",Underwriting!BL129)</f>
        <v>0</v>
      </c>
      <c r="BH65" s="170" t="n">
        <f>IF(BH$81="","",Underwriting!BM129)</f>
        <v>0</v>
      </c>
      <c r="BI65" s="170" t="n">
        <f>IF(BI$81="","",Underwriting!BN129)</f>
        <v>0</v>
      </c>
      <c r="BJ65" s="170" t="n">
        <f>IF(BJ$81="","",Underwriting!BO129)</f>
        <v>0</v>
      </c>
      <c r="BK65" s="170" t="n">
        <f>IF(BK$81="","",Underwriting!BP129)</f>
        <v>0</v>
      </c>
      <c r="BL65" s="170" t="n">
        <f>IF(BL$81="","",Underwriting!BQ129)</f>
        <v>0</v>
      </c>
      <c r="BM65" s="170" t="n">
        <f>IF(BM$81="","",Underwriting!BR129)</f>
        <v>0</v>
      </c>
      <c r="BN65" s="170" t="n">
        <f>IF(BN$81="","",Underwriting!BS129)</f>
        <v>0</v>
      </c>
      <c r="BO65" s="170" t="n">
        <f>IF(BO$81="","",Underwriting!BT129)</f>
        <v>0</v>
      </c>
      <c r="BP65" s="170" t="n">
        <f>IF(BP$81="","",Underwriting!BU129)</f>
        <v>0</v>
      </c>
      <c r="BQ65" s="170" t="str">
        <f>IF(BQ$81="","",Underwriting!BV129)</f>
      </c>
      <c r="BR65" s="170" t="str">
        <f>IF(BR$81="","",Underwriting!BW129)</f>
      </c>
      <c r="BS65" s="170" t="str">
        <f>IF(BS$81="","",Underwriting!BX129)</f>
      </c>
      <c r="BT65" s="170" t="str">
        <f>IF(BT$81="","",Underwriting!BY129)</f>
      </c>
      <c r="BU65" s="170" t="str">
        <f>IF(BU$81="","",Underwriting!BZ129)</f>
      </c>
      <c r="BV65" s="170" t="str">
        <f>IF(BV$81="","",Underwriting!CA129)</f>
      </c>
      <c r="BW65" s="170" t="str">
        <f>IF(BW$81="","",Underwriting!CB129)</f>
      </c>
      <c r="BX65" s="170" t="str">
        <f>IF(BX$81="","",Underwriting!CC129)</f>
      </c>
      <c r="BY65" s="170" t="str">
        <f>IF(BY$81="","",Underwriting!CD129)</f>
      </c>
      <c r="BZ65" s="170" t="str">
        <f>IF(BZ$81="","",Underwriting!CE129)</f>
      </c>
      <c r="CA65" s="170" t="str">
        <f>IF(CA$81="","",Underwriting!CF129)</f>
      </c>
      <c r="CB65" s="170" t="str">
        <f>IF(CB$81="","",Underwriting!CG129)</f>
      </c>
      <c r="CC65" s="170" t="str">
        <f>IF(CC$81="","",Underwriting!CH129)</f>
      </c>
      <c r="CD65" s="170" t="str">
        <f>IF(CD$81="","",Underwriting!CI129)</f>
      </c>
      <c r="CE65" s="170" t="str">
        <f>IF(CE$81="","",Underwriting!CJ129)</f>
      </c>
      <c r="CF65" s="170" t="str">
        <f>IF(CF$81="","",Underwriting!CK129)</f>
      </c>
      <c r="CG65" s="170" t="str">
        <f>IF(CG$81="","",Underwriting!CL129)</f>
      </c>
      <c r="CH65" s="170" t="str">
        <f>IF(CH$81="","",Underwriting!CM129)</f>
      </c>
      <c r="CI65" s="170" t="str">
        <f>IF(CI$81="","",Underwriting!CN129)</f>
      </c>
      <c r="CJ65" s="170" t="str">
        <f>IF(CJ$81="","",Underwriting!CO129)</f>
      </c>
      <c r="CK65" s="170" t="str">
        <f>IF(CK$81="","",Underwriting!CP129)</f>
      </c>
      <c r="CL65" s="170" t="str">
        <f>IF(CL$81="","",Underwriting!CQ129)</f>
      </c>
      <c r="CM65" s="170" t="str">
        <f>IF(CM$81="","",Underwriting!CR129)</f>
      </c>
      <c r="CN65" s="170" t="str">
        <f>IF(CN$81="","",Underwriting!CS129)</f>
      </c>
      <c r="CO65" s="170" t="str">
        <f>IF(CO$81="","",Underwriting!CT129)</f>
      </c>
      <c r="CP65" s="170" t="str">
        <f>IF(CP$81="","",Underwriting!CU129)</f>
      </c>
      <c r="CQ65" s="170" t="str">
        <f>IF(CQ$81="","",Underwriting!CV129)</f>
      </c>
      <c r="CR65" s="170" t="str">
        <f>IF(CR$81="","",Underwriting!CW129)</f>
      </c>
      <c r="CS65" s="170" t="str">
        <f>IF(CS$81="","",Underwriting!CX129)</f>
      </c>
      <c r="CT65" s="170" t="str">
        <f>IF(CT$81="","",Underwriting!CY129)</f>
      </c>
      <c r="CU65" s="170" t="str">
        <f>IF(CU$81="","",Underwriting!CZ129)</f>
      </c>
      <c r="CV65" s="170" t="str">
        <f>IF(CV$81="","",Underwriting!DA129)</f>
      </c>
      <c r="CW65" s="170" t="str">
        <f>IF(CW$81="","",Underwriting!DB129)</f>
      </c>
      <c r="CX65" s="170" t="str">
        <f>IF(CX$81="","",Underwriting!DC129)</f>
      </c>
      <c r="CY65" s="170" t="str">
        <f>IF(CY$81="","",Underwriting!DD129)</f>
      </c>
      <c r="CZ65" s="170" t="str">
        <f>IF(CZ$81="","",Underwriting!DE129)</f>
      </c>
      <c r="DA65" s="170" t="str">
        <f>IF(DA$81="","",Underwriting!DF129)</f>
      </c>
      <c r="DB65" s="170" t="str">
        <f>IF(DB$81="","",Underwriting!DG129)</f>
      </c>
      <c r="DC65" s="170" t="str">
        <f>IF(DC$81="","",Underwriting!DH129)</f>
      </c>
      <c r="DD65" s="170" t="str">
        <f>IF(DD$81="","",Underwriting!DI129)</f>
      </c>
      <c r="DE65" s="170" t="str">
        <f>IF(DE$81="","",Underwriting!DJ129)</f>
      </c>
      <c r="DF65" s="170" t="str">
        <f>IF(DF$81="","",Underwriting!DK129)</f>
      </c>
      <c r="DG65" s="170" t="str">
        <f>IF(DG$81="","",Underwriting!DL129)</f>
      </c>
      <c r="DH65" s="170" t="str">
        <f>IF(DH$81="","",Underwriting!DM129)</f>
      </c>
      <c r="DI65" s="170" t="str">
        <f>IF(DI$81="","",Underwriting!DN129)</f>
      </c>
      <c r="DJ65" s="170" t="str">
        <f>IF(DJ$81="","",Underwriting!DO129)</f>
      </c>
      <c r="DK65" s="170" t="str">
        <f>IF(DK$81="","",Underwriting!DP129)</f>
      </c>
      <c r="DL65" s="170" t="str">
        <f>IF(DL$81="","",Underwriting!DQ129)</f>
      </c>
      <c r="DM65" s="170" t="str">
        <f>IF(DM$81="","",Underwriting!DR129)</f>
      </c>
      <c r="DN65" s="170" t="str">
        <f>IF(DN$81="","",Underwriting!DS129)</f>
      </c>
      <c r="DO65" s="170" t="str">
        <f>IF(DO$81="","",Underwriting!DT129)</f>
      </c>
      <c r="DP65" s="170" t="str">
        <f>IF(DP$81="","",Underwriting!DU129)</f>
      </c>
      <c r="DQ65" s="170" t="str">
        <f>IF(DQ$81="","",Underwriting!DV129)</f>
      </c>
      <c r="DR65" s="170" t="str">
        <f>IF(DR$81="","",Underwriting!DW129)</f>
      </c>
      <c r="DS65" s="170" t="str">
        <f>IF(DS$81="","",Underwriting!DX129)</f>
      </c>
      <c r="DT65" s="170" t="str">
        <f>IF(DT$81="","",Underwriting!DY129)</f>
      </c>
      <c r="DU65" s="170" t="str">
        <f>IF(DU$81="","",Underwriting!DZ129)</f>
      </c>
      <c r="DV65" s="170" t="str">
        <f>IF(DV$81="","",Underwriting!EA129)</f>
      </c>
      <c r="DW65" s="170" t="str">
        <f>IF(DW$81="","",Underwriting!EB129)</f>
      </c>
      <c r="DX65" s="170" t="str">
        <f>IF(DX$81="","",Underwriting!EC129)</f>
      </c>
      <c r="DY65" s="170" t="str">
        <f>IF(DY$81="","",Underwriting!ED129)</f>
      </c>
      <c r="DZ65" s="170" t="str">
        <f>IF(DZ$81="","",Underwriting!EE129)</f>
      </c>
      <c r="EA65" s="170" t="str">
        <f>IF(EA$81="","",Underwriting!EF129)</f>
      </c>
      <c r="EB65" s="170" t="str">
        <f>IF(EB$81="","",Underwriting!EG129)</f>
      </c>
      <c r="EC65" s="170" t="str">
        <f>IF(EC$81="","",Underwriting!EH129)</f>
      </c>
      <c r="ED65" s="170" t="str">
        <f>IF(ED$81="","",Underwriting!EI129)</f>
      </c>
      <c r="EE65" s="170" t="str">
        <f>IF(EE$81="","",Underwriting!EJ129)</f>
      </c>
      <c r="EF65" s="170" t="str">
        <f>IF(EF$81="","",Underwriting!EK129)</f>
      </c>
      <c r="EG65" s="170" t="str">
        <f>IF(EG$81="","",Underwriting!EL129)</f>
      </c>
      <c r="EH65" s="170" t="str">
        <f>IF(EH$81="","",Underwriting!EM129)</f>
      </c>
      <c r="EI65" s="170" t="str">
        <f>IF(EI$81="","",Underwriting!EN129)</f>
      </c>
    </row>
    <row r="66">
      <c r="B66" s="4" t="s">
        <v>343</v>
      </c>
      <c r="C66" s="4"/>
      <c r="D66" s="4"/>
      <c r="E66" s="4"/>
      <c r="F66" s="4"/>
      <c r="G66" s="172" t="str">
        <f t="shared" ref="G66:AL66" si="48">IF(G$81="","",SUM(G64:G65))</f>
      </c>
      <c r="H66" s="172">
        <f t="shared" si="48"/>
        <v>0</v>
      </c>
      <c r="I66" s="172">
        <f t="shared" si="48"/>
        <v>0</v>
      </c>
      <c r="J66" s="172">
        <f t="shared" si="48"/>
        <v>0</v>
      </c>
      <c r="K66" s="172">
        <f t="shared" si="48"/>
        <v>0</v>
      </c>
      <c r="L66" s="172">
        <f t="shared" si="48"/>
        <v>0</v>
      </c>
      <c r="M66" s="172">
        <f t="shared" si="48"/>
        <v>0</v>
      </c>
      <c r="N66" s="172">
        <f t="shared" si="48"/>
        <v>700145.94197825424</v>
      </c>
      <c r="O66" s="172">
        <f t="shared" si="48"/>
        <v>700145.94197825424</v>
      </c>
      <c r="P66" s="172">
        <f t="shared" si="48"/>
        <v>700145.94197825424</v>
      </c>
      <c r="Q66" s="172">
        <f t="shared" si="48"/>
        <v>700145.94197825424</v>
      </c>
      <c r="R66" s="172">
        <f t="shared" si="48"/>
        <v>700145.94197825424</v>
      </c>
      <c r="S66" s="170">
        <f t="shared" si="48"/>
        <v>700145.94197825424</v>
      </c>
      <c r="T66" s="170">
        <f t="shared" si="48"/>
        <v>700145.94197825424</v>
      </c>
      <c r="U66" s="170">
        <f t="shared" si="48"/>
        <v>700145.94197825424</v>
      </c>
      <c r="V66" s="170">
        <f t="shared" si="48"/>
        <v>700145.94197825424</v>
      </c>
      <c r="W66" s="170">
        <f t="shared" si="48"/>
        <v>700145.94197825424</v>
      </c>
      <c r="X66" s="170">
        <f t="shared" si="48"/>
        <v>700145.94197825424</v>
      </c>
      <c r="Y66" s="170">
        <f t="shared" si="48"/>
        <v>700145.94197825424</v>
      </c>
      <c r="Z66" s="170">
        <f t="shared" si="48"/>
        <v>3756155.729140019</v>
      </c>
      <c r="AA66" s="170">
        <f t="shared" si="48"/>
        <v>3756155.729140019</v>
      </c>
      <c r="AB66" s="170">
        <f t="shared" si="48"/>
        <v>3756155.729140019</v>
      </c>
      <c r="AC66" s="170">
        <f t="shared" si="48"/>
        <v>4544918.0293516144</v>
      </c>
      <c r="AD66" s="170">
        <f t="shared" si="48"/>
        <v>4544918.0293516144</v>
      </c>
      <c r="AE66" s="170">
        <f t="shared" si="48"/>
        <v>4544918.0293516144</v>
      </c>
      <c r="AF66" s="170">
        <f t="shared" si="48"/>
        <v>4850446.7559690066</v>
      </c>
      <c r="AG66" s="170">
        <f t="shared" si="48"/>
        <v>4850446.7559690066</v>
      </c>
      <c r="AH66" s="170">
        <f t="shared" si="48"/>
        <v>4850446.7559690066</v>
      </c>
      <c r="AI66" s="170">
        <f t="shared" si="48"/>
        <v>5038529.5565524856</v>
      </c>
      <c r="AJ66" s="170">
        <f t="shared" si="48"/>
        <v>5038529.5565524856</v>
      </c>
      <c r="AK66" s="170">
        <f t="shared" si="48"/>
        <v>5046134.0402314598</v>
      </c>
      <c r="AL66" s="170">
        <f t="shared" si="48"/>
        <v>5599025.4780591168</v>
      </c>
      <c r="AM66" s="170" t="n">
        <f t="shared" ref="AM66:BR66" si="49">IF(AM$81="","",SUM(AM64:AM65))</f>
        <v>5599025.478059117</v>
      </c>
      <c r="AN66" s="170">
        <f t="shared" si="49"/>
        <v>5599025.4780591168</v>
      </c>
      <c r="AO66" s="170">
        <f t="shared" si="49"/>
        <v>5724564.6827028003</v>
      </c>
      <c r="AP66" s="170">
        <f t="shared" si="49"/>
        <v>5724564.6827028003</v>
      </c>
      <c r="AQ66" s="170">
        <f t="shared" si="49"/>
        <v>5724564.6827028003</v>
      </c>
      <c r="AR66" s="170">
        <f t="shared" si="49"/>
        <v>5732148.0160361342</v>
      </c>
      <c r="AS66" s="170">
        <f t="shared" si="49"/>
        <v>5732148.0160361342</v>
      </c>
      <c r="AT66" s="170">
        <f t="shared" si="49"/>
        <v>5732148.0160361342</v>
      </c>
      <c r="AU66" s="170">
        <f t="shared" si="49"/>
        <v>5738467.7920714775</v>
      </c>
      <c r="AV66" s="170">
        <f t="shared" si="49"/>
        <v>5738467.7920714775</v>
      </c>
      <c r="AW66" s="170">
        <f t="shared" si="49"/>
        <v>5738467.7920714775</v>
      </c>
      <c r="AX66" s="170">
        <f t="shared" si="49"/>
        <v>5908617.6464161528</v>
      </c>
      <c r="AY66" s="170">
        <f t="shared" si="49"/>
        <v>5908617.6464161528</v>
      </c>
      <c r="AZ66" s="170">
        <f t="shared" si="49"/>
        <v>5908617.6464161528</v>
      </c>
      <c r="BA66" s="170">
        <f t="shared" si="49"/>
        <v>5937758.0630828198</v>
      </c>
      <c r="BB66" s="170">
        <f t="shared" si="49"/>
        <v>5937758.0630828198</v>
      </c>
      <c r="BC66" s="170">
        <f t="shared" si="49"/>
        <v>5937758.0630828198</v>
      </c>
      <c r="BD66" s="170">
        <f t="shared" si="49"/>
        <v>5945606.8130828198</v>
      </c>
      <c r="BE66" s="170">
        <f t="shared" si="49"/>
        <v>5945606.8130828198</v>
      </c>
      <c r="BF66" s="170">
        <f t="shared" si="49"/>
        <v>5945606.8130828198</v>
      </c>
      <c r="BG66" s="170">
        <f t="shared" si="49"/>
        <v>5951916.0005828198</v>
      </c>
      <c r="BH66" s="170">
        <f t="shared" si="49"/>
        <v>5951916.0005828198</v>
      </c>
      <c r="BI66" s="170">
        <f t="shared" si="49"/>
        <v>5951916.0005828198</v>
      </c>
      <c r="BJ66" s="170">
        <f t="shared" si="49"/>
        <v>6105951.4384639971</v>
      </c>
      <c r="BK66" s="170">
        <f t="shared" si="49"/>
        <v>6105951.4384639971</v>
      </c>
      <c r="BL66" s="170">
        <f t="shared" si="49"/>
        <v>6105951.4384639971</v>
      </c>
      <c r="BM66" s="170">
        <f t="shared" si="49"/>
        <v>6136111.7697139969</v>
      </c>
      <c r="BN66" s="170">
        <f t="shared" si="49"/>
        <v>6136111.7697139969</v>
      </c>
      <c r="BO66" s="170">
        <f t="shared" si="49"/>
        <v>6136111.7697139969</v>
      </c>
      <c r="BP66" s="170">
        <f t="shared" si="49"/>
        <v>6144235.2259639967</v>
      </c>
      <c r="BQ66" s="170" t="str">
        <f t="shared" si="49"/>
      </c>
      <c r="BR66" s="170" t="str">
        <f t="shared" si="49"/>
      </c>
      <c r="BS66" s="170" t="str">
        <f t="shared" ref="BS66:CX66" si="50">IF(BS$81="","",SUM(BS64:BS65))</f>
      </c>
      <c r="BT66" s="170" t="str">
        <f t="shared" si="50"/>
      </c>
      <c r="BU66" s="170" t="str">
        <f t="shared" si="50"/>
      </c>
      <c r="BV66" s="170" t="str">
        <f t="shared" si="50"/>
      </c>
      <c r="BW66" s="170" t="str">
        <f t="shared" si="50"/>
      </c>
      <c r="BX66" s="170" t="str">
        <f t="shared" si="50"/>
      </c>
      <c r="BY66" s="170" t="str">
        <f t="shared" si="50"/>
      </c>
      <c r="BZ66" s="170" t="str">
        <f t="shared" si="50"/>
      </c>
      <c r="CA66" s="170" t="str">
        <f t="shared" si="50"/>
      </c>
      <c r="CB66" s="170" t="str">
        <f t="shared" si="50"/>
      </c>
      <c r="CC66" s="170" t="str">
        <f t="shared" si="50"/>
      </c>
      <c r="CD66" s="170" t="str">
        <f t="shared" si="50"/>
      </c>
      <c r="CE66" s="170" t="str">
        <f t="shared" si="50"/>
      </c>
      <c r="CF66" s="170" t="str">
        <f t="shared" si="50"/>
      </c>
      <c r="CG66" s="170" t="str">
        <f t="shared" si="50"/>
      </c>
      <c r="CH66" s="170" t="str">
        <f t="shared" si="50"/>
      </c>
      <c r="CI66" s="170" t="str">
        <f t="shared" si="50"/>
      </c>
      <c r="CJ66" s="170" t="str">
        <f t="shared" si="50"/>
      </c>
      <c r="CK66" s="170" t="str">
        <f t="shared" si="50"/>
      </c>
      <c r="CL66" s="170" t="str">
        <f t="shared" si="50"/>
      </c>
      <c r="CM66" s="170" t="str">
        <f t="shared" si="50"/>
      </c>
      <c r="CN66" s="170" t="str">
        <f t="shared" si="50"/>
      </c>
      <c r="CO66" s="170" t="str">
        <f t="shared" si="50"/>
      </c>
      <c r="CP66" s="170" t="str">
        <f t="shared" si="50"/>
      </c>
      <c r="CQ66" s="170" t="str">
        <f t="shared" si="50"/>
      </c>
      <c r="CR66" s="170" t="str">
        <f t="shared" si="50"/>
      </c>
      <c r="CS66" s="170" t="str">
        <f t="shared" si="50"/>
      </c>
      <c r="CT66" s="170" t="str">
        <f t="shared" si="50"/>
      </c>
      <c r="CU66" s="170" t="str">
        <f t="shared" si="50"/>
      </c>
      <c r="CV66" s="170" t="str">
        <f t="shared" si="50"/>
      </c>
      <c r="CW66" s="170" t="str">
        <f t="shared" si="50"/>
      </c>
      <c r="CX66" s="170" t="str">
        <f t="shared" si="50"/>
      </c>
      <c r="CY66" s="170" t="str">
        <f t="shared" ref="CY66:ED66" si="51">IF(CY$81="","",SUM(CY64:CY65))</f>
      </c>
      <c r="CZ66" s="170" t="str">
        <f t="shared" si="51"/>
      </c>
      <c r="DA66" s="170" t="str">
        <f t="shared" si="51"/>
      </c>
      <c r="DB66" s="170" t="str">
        <f t="shared" si="51"/>
      </c>
      <c r="DC66" s="170" t="str">
        <f t="shared" si="51"/>
      </c>
      <c r="DD66" s="170" t="str">
        <f t="shared" si="51"/>
      </c>
      <c r="DE66" s="170" t="str">
        <f t="shared" si="51"/>
      </c>
      <c r="DF66" s="170" t="str">
        <f t="shared" si="51"/>
      </c>
      <c r="DG66" s="170" t="str">
        <f t="shared" si="51"/>
      </c>
      <c r="DH66" s="170" t="str">
        <f t="shared" si="51"/>
      </c>
      <c r="DI66" s="170" t="str">
        <f t="shared" si="51"/>
      </c>
      <c r="DJ66" s="170" t="str">
        <f t="shared" si="51"/>
      </c>
      <c r="DK66" s="170" t="str">
        <f t="shared" si="51"/>
      </c>
      <c r="DL66" s="170" t="str">
        <f t="shared" si="51"/>
      </c>
      <c r="DM66" s="170" t="str">
        <f t="shared" si="51"/>
      </c>
      <c r="DN66" s="170" t="str">
        <f t="shared" si="51"/>
      </c>
      <c r="DO66" s="170" t="str">
        <f t="shared" si="51"/>
      </c>
      <c r="DP66" s="170" t="str">
        <f t="shared" si="51"/>
      </c>
      <c r="DQ66" s="170" t="str">
        <f t="shared" si="51"/>
      </c>
      <c r="DR66" s="170" t="str">
        <f t="shared" si="51"/>
      </c>
      <c r="DS66" s="170" t="str">
        <f t="shared" si="51"/>
      </c>
      <c r="DT66" s="170" t="str">
        <f t="shared" si="51"/>
      </c>
      <c r="DU66" s="170" t="str">
        <f t="shared" si="51"/>
      </c>
      <c r="DV66" s="170" t="str">
        <f t="shared" si="51"/>
      </c>
      <c r="DW66" s="170" t="str">
        <f t="shared" si="51"/>
      </c>
      <c r="DX66" s="170" t="str">
        <f t="shared" si="51"/>
      </c>
      <c r="DY66" s="170" t="str">
        <f t="shared" si="51"/>
      </c>
      <c r="DZ66" s="170" t="str">
        <f t="shared" si="51"/>
      </c>
      <c r="EA66" s="170" t="str">
        <f t="shared" si="51"/>
      </c>
      <c r="EB66" s="170" t="str">
        <f t="shared" si="51"/>
      </c>
      <c r="EC66" s="170" t="str">
        <f t="shared" si="51"/>
      </c>
      <c r="ED66" s="170" t="str">
        <f t="shared" si="51"/>
      </c>
      <c r="EE66" s="170" t="str">
        <f t="shared" ref="EE66:EI66" si="52">IF(EE$81="","",SUM(EE64:EE65))</f>
      </c>
      <c r="EF66" s="170" t="str">
        <f t="shared" si="52"/>
      </c>
      <c r="EG66" s="170" t="str">
        <f t="shared" si="52"/>
      </c>
      <c r="EH66" s="170" t="str">
        <f t="shared" si="52"/>
      </c>
      <c r="EI66" s="170" t="str">
        <f t="shared" si="52"/>
      </c>
    </row>
    <row r="67">
      <c r="B67" s="4"/>
      <c r="C67" s="4"/>
      <c r="D67" s="4"/>
      <c r="E67" s="4"/>
      <c r="F67" s="4"/>
      <c r="G67" s="172"/>
      <c r="H67" s="172"/>
      <c r="I67" s="172"/>
      <c r="J67" s="172"/>
      <c r="K67" s="172"/>
      <c r="L67" s="172"/>
      <c r="M67" s="172"/>
      <c r="N67" s="172"/>
      <c r="O67" s="172"/>
      <c r="P67" s="172"/>
      <c r="Q67" s="172"/>
      <c r="R67" s="172"/>
      <c r="S67" s="170"/>
      <c r="T67" s="170"/>
      <c r="U67" s="170"/>
      <c r="V67" s="170"/>
      <c r="W67" s="170"/>
      <c r="X67" s="170"/>
      <c r="Y67" s="170"/>
      <c r="Z67" s="170"/>
      <c r="AA67" s="170"/>
      <c r="AB67" s="170"/>
      <c r="AC67" s="170"/>
      <c r="AD67" s="170"/>
      <c r="AE67" s="170"/>
      <c r="AF67" s="170"/>
      <c r="AG67" s="170"/>
      <c r="AH67" s="170"/>
      <c r="AI67" s="170"/>
      <c r="AJ67" s="170"/>
      <c r="AK67" s="170"/>
      <c r="AL67" s="170"/>
      <c r="AM67" s="170"/>
      <c r="AN67" s="170"/>
      <c r="AO67" s="170"/>
      <c r="AP67" s="170"/>
      <c r="AQ67" s="170"/>
      <c r="AR67" s="170"/>
      <c r="AS67" s="170"/>
      <c r="AT67" s="170"/>
      <c r="AU67" s="170"/>
      <c r="AV67" s="170"/>
      <c r="AW67" s="170"/>
      <c r="AX67" s="170"/>
      <c r="AY67" s="170"/>
      <c r="AZ67" s="170"/>
      <c r="BA67" s="170"/>
      <c r="BB67" s="170"/>
      <c r="BC67" s="170"/>
      <c r="BD67" s="170"/>
      <c r="BE67" s="170"/>
      <c r="BF67" s="170"/>
      <c r="BG67" s="170"/>
      <c r="BH67" s="170"/>
      <c r="BI67" s="170"/>
      <c r="BJ67" s="170"/>
      <c r="BK67" s="170"/>
      <c r="BL67" s="170"/>
      <c r="BM67" s="170"/>
      <c r="BN67" s="170"/>
      <c r="BO67" s="170"/>
      <c r="BP67" s="170"/>
      <c r="BQ67" s="170"/>
      <c r="BR67" s="170"/>
      <c r="BS67" s="170"/>
      <c r="BT67" s="170"/>
      <c r="BU67" s="170"/>
      <c r="BV67" s="170"/>
      <c r="BW67" s="170"/>
      <c r="BX67" s="170"/>
      <c r="BY67" s="170"/>
      <c r="BZ67" s="170"/>
      <c r="CA67" s="170"/>
      <c r="CB67" s="170"/>
      <c r="CC67" s="170"/>
      <c r="CD67" s="170"/>
      <c r="CE67" s="170"/>
      <c r="CF67" s="170"/>
      <c r="CG67" s="170"/>
      <c r="CH67" s="170"/>
      <c r="CI67" s="170"/>
      <c r="CJ67" s="170"/>
      <c r="CK67" s="170"/>
      <c r="CL67" s="170"/>
      <c r="CM67" s="170"/>
      <c r="CN67" s="170"/>
      <c r="CO67" s="170"/>
      <c r="CP67" s="170"/>
      <c r="CQ67" s="170"/>
      <c r="CR67" s="170"/>
      <c r="CS67" s="170"/>
      <c r="CT67" s="170"/>
      <c r="CU67" s="170"/>
      <c r="CV67" s="170"/>
      <c r="CW67" s="170"/>
      <c r="CX67" s="170"/>
      <c r="CY67" s="170"/>
      <c r="CZ67" s="170"/>
      <c r="DA67" s="170"/>
      <c r="DB67" s="170"/>
      <c r="DC67" s="170"/>
      <c r="DD67" s="170"/>
      <c r="DE67" s="170"/>
      <c r="DF67" s="170"/>
      <c r="DG67" s="170"/>
      <c r="DH67" s="170"/>
      <c r="DI67" s="170"/>
      <c r="DJ67" s="170"/>
      <c r="DK67" s="170"/>
      <c r="DL67" s="170"/>
      <c r="DM67" s="170"/>
      <c r="DN67" s="170"/>
      <c r="DO67" s="170"/>
      <c r="DP67" s="170"/>
      <c r="DQ67" s="170"/>
      <c r="DR67" s="170"/>
      <c r="DS67" s="170"/>
      <c r="DT67" s="170"/>
      <c r="DU67" s="170"/>
      <c r="DV67" s="170"/>
      <c r="DW67" s="170"/>
      <c r="DX67" s="170"/>
      <c r="DY67" s="170"/>
      <c r="DZ67" s="170"/>
      <c r="EA67" s="170"/>
      <c r="EB67" s="170"/>
      <c r="EC67" s="170"/>
      <c r="ED67" s="170"/>
      <c r="EE67" s="170"/>
      <c r="EF67" s="170"/>
      <c r="EG67" s="170"/>
      <c r="EH67" s="170"/>
      <c r="EI67" s="170"/>
    </row>
    <row r="68">
      <c r="B68" s="4" t="s">
        <v>491</v>
      </c>
      <c r="C68" s="4"/>
      <c r="D68" s="4"/>
      <c r="E68" s="4"/>
      <c r="F68" s="4"/>
      <c r="G68" s="172"/>
      <c r="H68" s="172"/>
      <c r="I68" s="172"/>
      <c r="J68" s="172"/>
      <c r="K68" s="172"/>
      <c r="L68" s="172"/>
      <c r="M68" s="172"/>
      <c r="N68" s="172"/>
      <c r="O68" s="172"/>
      <c r="P68" s="172"/>
      <c r="Q68" s="172"/>
      <c r="R68" s="172"/>
      <c r="S68" s="170"/>
      <c r="T68" s="170"/>
      <c r="U68" s="170"/>
      <c r="V68" s="170"/>
      <c r="W68" s="170"/>
      <c r="X68" s="170"/>
      <c r="Y68" s="170"/>
      <c r="Z68" s="170"/>
      <c r="AA68" s="170"/>
      <c r="AB68" s="170"/>
      <c r="AC68" s="170"/>
      <c r="AD68" s="170"/>
      <c r="AE68" s="170"/>
      <c r="AF68" s="170"/>
      <c r="AG68" s="170"/>
      <c r="AH68" s="170"/>
      <c r="AI68" s="170"/>
      <c r="AJ68" s="170"/>
      <c r="AK68" s="170"/>
      <c r="AL68" s="170"/>
      <c r="AM68" s="170"/>
      <c r="AN68" s="170"/>
      <c r="AO68" s="170"/>
      <c r="AP68" s="170"/>
      <c r="AQ68" s="170"/>
      <c r="AR68" s="170"/>
      <c r="AS68" s="170"/>
      <c r="AT68" s="170"/>
      <c r="AU68" s="170"/>
      <c r="AV68" s="170"/>
      <c r="AW68" s="170"/>
      <c r="AX68" s="170"/>
      <c r="AY68" s="170"/>
      <c r="AZ68" s="170"/>
      <c r="BA68" s="170"/>
      <c r="BB68" s="170"/>
      <c r="BC68" s="170"/>
      <c r="BD68" s="170"/>
      <c r="BE68" s="170"/>
      <c r="BF68" s="170"/>
      <c r="BG68" s="170"/>
      <c r="BH68" s="170"/>
      <c r="BI68" s="170"/>
      <c r="BJ68" s="170"/>
      <c r="BK68" s="170"/>
      <c r="BL68" s="170"/>
      <c r="BM68" s="170"/>
      <c r="BN68" s="170"/>
      <c r="BO68" s="170"/>
      <c r="BP68" s="170"/>
      <c r="BQ68" s="170"/>
      <c r="BR68" s="170"/>
      <c r="BS68" s="170"/>
      <c r="BT68" s="170"/>
      <c r="BU68" s="170"/>
      <c r="BV68" s="170"/>
      <c r="BW68" s="170"/>
      <c r="BX68" s="170"/>
      <c r="BY68" s="170"/>
      <c r="BZ68" s="170"/>
      <c r="CA68" s="170"/>
      <c r="CB68" s="170"/>
      <c r="CC68" s="170"/>
      <c r="CD68" s="170"/>
      <c r="CE68" s="170"/>
      <c r="CF68" s="170"/>
      <c r="CG68" s="170"/>
      <c r="CH68" s="170"/>
      <c r="CI68" s="170"/>
      <c r="CJ68" s="170"/>
      <c r="CK68" s="170"/>
      <c r="CL68" s="170"/>
      <c r="CM68" s="170"/>
      <c r="CN68" s="170"/>
      <c r="CO68" s="170"/>
      <c r="CP68" s="170"/>
      <c r="CQ68" s="170"/>
      <c r="CR68" s="170"/>
      <c r="CS68" s="170"/>
      <c r="CT68" s="170"/>
      <c r="CU68" s="170"/>
      <c r="CV68" s="170"/>
      <c r="CW68" s="170"/>
      <c r="CX68" s="170"/>
      <c r="CY68" s="170"/>
      <c r="CZ68" s="170"/>
      <c r="DA68" s="170"/>
      <c r="DB68" s="170"/>
      <c r="DC68" s="170"/>
      <c r="DD68" s="170"/>
      <c r="DE68" s="170"/>
      <c r="DF68" s="170"/>
      <c r="DG68" s="170"/>
      <c r="DH68" s="170"/>
      <c r="DI68" s="170"/>
      <c r="DJ68" s="170"/>
      <c r="DK68" s="170"/>
      <c r="DL68" s="170"/>
      <c r="DM68" s="170"/>
      <c r="DN68" s="170"/>
      <c r="DO68" s="170"/>
      <c r="DP68" s="170"/>
      <c r="DQ68" s="170"/>
      <c r="DR68" s="170"/>
      <c r="DS68" s="170"/>
      <c r="DT68" s="170"/>
      <c r="DU68" s="170"/>
      <c r="DV68" s="170"/>
      <c r="DW68" s="170"/>
      <c r="DX68" s="170"/>
      <c r="DY68" s="170"/>
      <c r="DZ68" s="170"/>
      <c r="EA68" s="170"/>
      <c r="EB68" s="170"/>
      <c r="EC68" s="170"/>
      <c r="ED68" s="170"/>
      <c r="EE68" s="170"/>
      <c r="EF68" s="170"/>
      <c r="EG68" s="170"/>
      <c r="EH68" s="170"/>
      <c r="EI68" s="170"/>
    </row>
    <row r="69">
      <c r="B69" s="164" t="n">
        <f>Underwriting!B134</f>
        <v>0</v>
      </c>
      <c r="C69" s="4"/>
      <c r="D69" s="4"/>
      <c r="E69" s="4"/>
      <c r="F69" s="4"/>
      <c r="G69" s="172" t="str">
        <f>IF(G$81="","",Underwriting!L134)</f>
      </c>
      <c r="H69" s="172" t="n">
        <f>IF(H$81="","",Underwriting!M134)</f>
        <v>0</v>
      </c>
      <c r="I69" s="172" t="n">
        <f>IF(I$81="","",Underwriting!N134)</f>
        <v>0</v>
      </c>
      <c r="J69" s="172" t="n">
        <f>IF(J$81="","",Underwriting!O134)</f>
        <v>0</v>
      </c>
      <c r="K69" s="172" t="n">
        <f>IF(K$81="","",Underwriting!P134)</f>
        <v>0</v>
      </c>
      <c r="L69" s="172" t="n">
        <f>IF(L$81="","",Underwriting!Q134)</f>
        <v>0</v>
      </c>
      <c r="M69" s="172" t="n">
        <f>IF(M$81="","",Underwriting!R134)</f>
        <v>0</v>
      </c>
      <c r="N69" s="172" t="n">
        <f>IF(N$81="","",Underwriting!S134)</f>
        <v>114338.88963590557</v>
      </c>
      <c r="O69" s="172" t="n">
        <f>IF(O$81="","",Underwriting!T134)</f>
        <v>114338.88963590557</v>
      </c>
      <c r="P69" s="172" t="n">
        <f>IF(P$81="","",Underwriting!U134)</f>
        <v>114338.88963590557</v>
      </c>
      <c r="Q69" s="172" t="n">
        <f>IF(Q$81="","",Underwriting!V134)</f>
        <v>114338.88963590557</v>
      </c>
      <c r="R69" s="172" t="n">
        <f>IF(R$81="","",Underwriting!W134)</f>
        <v>114338.88963590557</v>
      </c>
      <c r="S69" s="170" t="n">
        <f>IF(S$81="","",Underwriting!X134)</f>
        <v>114338.88963590557</v>
      </c>
      <c r="T69" s="170" t="n">
        <f>IF(T$81="","",Underwriting!Y134)</f>
        <v>114338.88963590557</v>
      </c>
      <c r="U69" s="170" t="n">
        <f>IF(U$81="","",Underwriting!Z134)</f>
        <v>114338.88963590557</v>
      </c>
      <c r="V69" s="170" t="n">
        <f>IF(V$81="","",Underwriting!AA134)</f>
        <v>114338.88963590557</v>
      </c>
      <c r="W69" s="170" t="n">
        <f>IF(W$81="","",Underwriting!AB134)</f>
        <v>114338.88963590557</v>
      </c>
      <c r="X69" s="170" t="n">
        <f>IF(X$81="","",Underwriting!AC134)</f>
        <v>114338.88963590557</v>
      </c>
      <c r="Y69" s="170" t="n">
        <f>IF(Y$81="","",Underwriting!AD134)</f>
        <v>114338.88963590557</v>
      </c>
      <c r="Z69" s="170" t="n">
        <f>IF(Z$81="","",Underwriting!AE134)</f>
        <v>262603.75118656736</v>
      </c>
      <c r="AA69" s="170" t="n">
        <f>IF(AA$81="","",Underwriting!AF134)</f>
        <v>262603.75118656736</v>
      </c>
      <c r="AB69" s="170" t="n">
        <f>IF(AB$81="","",Underwriting!AG134)</f>
        <v>262603.75118656736</v>
      </c>
      <c r="AC69" s="170" t="n">
        <f>IF(AC$81="","",Underwriting!AH134)</f>
        <v>262603.75118656736</v>
      </c>
      <c r="AD69" s="170" t="n">
        <f>IF(AD$81="","",Underwriting!AI134)</f>
        <v>262603.75118656736</v>
      </c>
      <c r="AE69" s="170" t="n">
        <f>IF(AE$81="","",Underwriting!AJ134)</f>
        <v>262603.75118656736</v>
      </c>
      <c r="AF69" s="170" t="n">
        <f>IF(AF$81="","",Underwriting!AK134)</f>
        <v>262603.75118656736</v>
      </c>
      <c r="AG69" s="170" t="n">
        <f>IF(AG$81="","",Underwriting!AL134)</f>
        <v>262603.75118656736</v>
      </c>
      <c r="AH69" s="170" t="n">
        <f>IF(AH$81="","",Underwriting!AM134)</f>
        <v>262603.75118656736</v>
      </c>
      <c r="AI69" s="170" t="n">
        <f>IF(AI$81="","",Underwriting!AN134)</f>
        <v>262603.75118656736</v>
      </c>
      <c r="AJ69" s="170" t="n">
        <f>IF(AJ$81="","",Underwriting!AO134)</f>
        <v>262603.75118656736</v>
      </c>
      <c r="AK69" s="170" t="n">
        <f>IF(AK$81="","",Underwriting!AP134)</f>
        <v>262603.75118656736</v>
      </c>
      <c r="AL69" s="170" t="n">
        <f>IF(AL$81="","",Underwriting!AQ134)</f>
        <v>274023.21840750036</v>
      </c>
      <c r="AM69" s="170" t="n">
        <f>IF(AM$81="","",Underwriting!AR134)</f>
        <v>274023.21840750036</v>
      </c>
      <c r="AN69" s="170" t="n">
        <f>IF(AN$81="","",Underwriting!AS134)</f>
        <v>274023.21840750036</v>
      </c>
      <c r="AO69" s="170" t="n">
        <f>IF(AO$81="","",Underwriting!AT134)</f>
        <v>274023.21840750036</v>
      </c>
      <c r="AP69" s="170" t="n">
        <f>IF(AP$81="","",Underwriting!AU134)</f>
        <v>274023.21840750036</v>
      </c>
      <c r="AQ69" s="170" t="n">
        <f>IF(AQ$81="","",Underwriting!AV134)</f>
        <v>274023.21840750036</v>
      </c>
      <c r="AR69" s="170" t="n">
        <f>IF(AR$81="","",Underwriting!AW134)</f>
        <v>274023.21840750036</v>
      </c>
      <c r="AS69" s="170" t="n">
        <f>IF(AS$81="","",Underwriting!AX134)</f>
        <v>274023.21840750036</v>
      </c>
      <c r="AT69" s="170" t="n">
        <f>IF(AT$81="","",Underwriting!AY134)</f>
        <v>274023.21840750036</v>
      </c>
      <c r="AU69" s="170" t="n">
        <f>IF(AU$81="","",Underwriting!AZ134)</f>
        <v>274023.21840750036</v>
      </c>
      <c r="AV69" s="170" t="n">
        <f>IF(AV$81="","",Underwriting!BA134)</f>
        <v>274023.21840750036</v>
      </c>
      <c r="AW69" s="170" t="n">
        <f>IF(AW$81="","",Underwriting!BB134)</f>
        <v>274023.21840750036</v>
      </c>
      <c r="AX69" s="170" t="n">
        <f>IF(AX$81="","",Underwriting!BC134)</f>
        <v>280051.0646697076</v>
      </c>
      <c r="AY69" s="170" t="n">
        <f>IF(AY$81="","",Underwriting!BD134)</f>
        <v>280051.0646697076</v>
      </c>
      <c r="AZ69" s="170" t="n">
        <f>IF(AZ$81="","",Underwriting!BE134)</f>
        <v>280051.0646697076</v>
      </c>
      <c r="BA69" s="170" t="n">
        <f>IF(BA$81="","",Underwriting!BF134)</f>
        <v>280051.0646697076</v>
      </c>
      <c r="BB69" s="170" t="n">
        <f>IF(BB$81="","",Underwriting!BG134)</f>
        <v>280051.0646697076</v>
      </c>
      <c r="BC69" s="170" t="n">
        <f>IF(BC$81="","",Underwriting!BH134)</f>
        <v>280051.0646697076</v>
      </c>
      <c r="BD69" s="170" t="n">
        <f>IF(BD$81="","",Underwriting!BI134)</f>
        <v>280051.0646697076</v>
      </c>
      <c r="BE69" s="170" t="n">
        <f>IF(BE$81="","",Underwriting!BJ134)</f>
        <v>280051.0646697076</v>
      </c>
      <c r="BF69" s="170" t="n">
        <f>IF(BF$81="","",Underwriting!BK134)</f>
        <v>280051.0646697076</v>
      </c>
      <c r="BG69" s="170" t="n">
        <f>IF(BG$81="","",Underwriting!BL134)</f>
        <v>280051.0646697076</v>
      </c>
      <c r="BH69" s="170" t="n">
        <f>IF(BH$81="","",Underwriting!BM134)</f>
        <v>280051.0646697076</v>
      </c>
      <c r="BI69" s="170" t="n">
        <f>IF(BI$81="","",Underwriting!BN134)</f>
        <v>280051.0646697076</v>
      </c>
      <c r="BJ69" s="170" t="n">
        <f>IF(BJ$81="","",Underwriting!BO134)</f>
        <v>285541.2466786235</v>
      </c>
      <c r="BK69" s="170" t="n">
        <f>IF(BK$81="","",Underwriting!BP134)</f>
        <v>285541.2466786235</v>
      </c>
      <c r="BL69" s="170" t="n">
        <f>IF(BL$81="","",Underwriting!BQ134)</f>
        <v>285541.2466786235</v>
      </c>
      <c r="BM69" s="170" t="n">
        <f>IF(BM$81="","",Underwriting!BR134)</f>
        <v>285541.2466786235</v>
      </c>
      <c r="BN69" s="170" t="n">
        <f>IF(BN$81="","",Underwriting!BS134)</f>
        <v>285541.2466786235</v>
      </c>
      <c r="BO69" s="170" t="n">
        <f>IF(BO$81="","",Underwriting!BT134)</f>
        <v>285541.2466786235</v>
      </c>
      <c r="BP69" s="170" t="n">
        <f>IF(BP$81="","",Underwriting!BU134)</f>
        <v>285541.2466786235</v>
      </c>
      <c r="BQ69" s="170" t="str">
        <f>IF(BQ$81="","",Underwriting!BV134)</f>
      </c>
      <c r="BR69" s="170" t="str">
        <f>IF(BR$81="","",Underwriting!BW134)</f>
      </c>
      <c r="BS69" s="170" t="str">
        <f>IF(BS$81="","",Underwriting!BX134)</f>
      </c>
      <c r="BT69" s="170" t="str">
        <f>IF(BT$81="","",Underwriting!BY134)</f>
      </c>
      <c r="BU69" s="170" t="str">
        <f>IF(BU$81="","",Underwriting!BZ134)</f>
      </c>
      <c r="BV69" s="170" t="str">
        <f>IF(BV$81="","",Underwriting!CA134)</f>
      </c>
      <c r="BW69" s="170" t="str">
        <f>IF(BW$81="","",Underwriting!CB134)</f>
      </c>
      <c r="BX69" s="170" t="str">
        <f>IF(BX$81="","",Underwriting!CC134)</f>
      </c>
      <c r="BY69" s="170" t="str">
        <f>IF(BY$81="","",Underwriting!CD134)</f>
      </c>
      <c r="BZ69" s="170" t="str">
        <f>IF(BZ$81="","",Underwriting!CE134)</f>
      </c>
      <c r="CA69" s="170" t="str">
        <f>IF(CA$81="","",Underwriting!CF134)</f>
      </c>
      <c r="CB69" s="170" t="str">
        <f>IF(CB$81="","",Underwriting!CG134)</f>
      </c>
      <c r="CC69" s="170" t="str">
        <f>IF(CC$81="","",Underwriting!CH134)</f>
      </c>
      <c r="CD69" s="170" t="str">
        <f>IF(CD$81="","",Underwriting!CI134)</f>
      </c>
      <c r="CE69" s="170" t="str">
        <f>IF(CE$81="","",Underwriting!CJ134)</f>
      </c>
      <c r="CF69" s="170" t="str">
        <f>IF(CF$81="","",Underwriting!CK134)</f>
      </c>
      <c r="CG69" s="170" t="str">
        <f>IF(CG$81="","",Underwriting!CL134)</f>
      </c>
      <c r="CH69" s="170" t="str">
        <f>IF(CH$81="","",Underwriting!CM134)</f>
      </c>
      <c r="CI69" s="170" t="str">
        <f>IF(CI$81="","",Underwriting!CN134)</f>
      </c>
      <c r="CJ69" s="170" t="str">
        <f>IF(CJ$81="","",Underwriting!CO134)</f>
      </c>
      <c r="CK69" s="170" t="str">
        <f>IF(CK$81="","",Underwriting!CP134)</f>
      </c>
      <c r="CL69" s="170" t="str">
        <f>IF(CL$81="","",Underwriting!CQ134)</f>
      </c>
      <c r="CM69" s="170" t="str">
        <f>IF(CM$81="","",Underwriting!CR134)</f>
      </c>
      <c r="CN69" s="170" t="str">
        <f>IF(CN$81="","",Underwriting!CS134)</f>
      </c>
      <c r="CO69" s="170" t="str">
        <f>IF(CO$81="","",Underwriting!CT134)</f>
      </c>
      <c r="CP69" s="170" t="str">
        <f>IF(CP$81="","",Underwriting!CU134)</f>
      </c>
      <c r="CQ69" s="170" t="str">
        <f>IF(CQ$81="","",Underwriting!CV134)</f>
      </c>
      <c r="CR69" s="170" t="str">
        <f>IF(CR$81="","",Underwriting!CW134)</f>
      </c>
      <c r="CS69" s="170" t="str">
        <f>IF(CS$81="","",Underwriting!CX134)</f>
      </c>
      <c r="CT69" s="170" t="str">
        <f>IF(CT$81="","",Underwriting!CY134)</f>
      </c>
      <c r="CU69" s="170" t="str">
        <f>IF(CU$81="","",Underwriting!CZ134)</f>
      </c>
      <c r="CV69" s="170" t="str">
        <f>IF(CV$81="","",Underwriting!DA134)</f>
      </c>
      <c r="CW69" s="170" t="str">
        <f>IF(CW$81="","",Underwriting!DB134)</f>
      </c>
      <c r="CX69" s="170" t="str">
        <f>IF(CX$81="","",Underwriting!DC134)</f>
      </c>
      <c r="CY69" s="170" t="str">
        <f>IF(CY$81="","",Underwriting!DD134)</f>
      </c>
      <c r="CZ69" s="170" t="str">
        <f>IF(CZ$81="","",Underwriting!DE134)</f>
      </c>
      <c r="DA69" s="170" t="str">
        <f>IF(DA$81="","",Underwriting!DF134)</f>
      </c>
      <c r="DB69" s="170" t="str">
        <f>IF(DB$81="","",Underwriting!DG134)</f>
      </c>
      <c r="DC69" s="170" t="str">
        <f>IF(DC$81="","",Underwriting!DH134)</f>
      </c>
      <c r="DD69" s="170" t="str">
        <f>IF(DD$81="","",Underwriting!DI134)</f>
      </c>
      <c r="DE69" s="170" t="str">
        <f>IF(DE$81="","",Underwriting!DJ134)</f>
      </c>
      <c r="DF69" s="170" t="str">
        <f>IF(DF$81="","",Underwriting!DK134)</f>
      </c>
      <c r="DG69" s="170" t="str">
        <f>IF(DG$81="","",Underwriting!DL134)</f>
      </c>
      <c r="DH69" s="170" t="str">
        <f>IF(DH$81="","",Underwriting!DM134)</f>
      </c>
      <c r="DI69" s="170" t="str">
        <f>IF(DI$81="","",Underwriting!DN134)</f>
      </c>
      <c r="DJ69" s="170" t="str">
        <f>IF(DJ$81="","",Underwriting!DO134)</f>
      </c>
      <c r="DK69" s="170" t="str">
        <f>IF(DK$81="","",Underwriting!DP134)</f>
      </c>
      <c r="DL69" s="170" t="str">
        <f>IF(DL$81="","",Underwriting!DQ134)</f>
      </c>
      <c r="DM69" s="170" t="str">
        <f>IF(DM$81="","",Underwriting!DR134)</f>
      </c>
      <c r="DN69" s="170" t="str">
        <f>IF(DN$81="","",Underwriting!DS134)</f>
      </c>
      <c r="DO69" s="170" t="str">
        <f>IF(DO$81="","",Underwriting!DT134)</f>
      </c>
      <c r="DP69" s="170" t="str">
        <f>IF(DP$81="","",Underwriting!DU134)</f>
      </c>
      <c r="DQ69" s="170" t="str">
        <f>IF(DQ$81="","",Underwriting!DV134)</f>
      </c>
      <c r="DR69" s="170" t="str">
        <f>IF(DR$81="","",Underwriting!DW134)</f>
      </c>
      <c r="DS69" s="170" t="str">
        <f>IF(DS$81="","",Underwriting!DX134)</f>
      </c>
      <c r="DT69" s="170" t="str">
        <f>IF(DT$81="","",Underwriting!DY134)</f>
      </c>
      <c r="DU69" s="170" t="str">
        <f>IF(DU$81="","",Underwriting!DZ134)</f>
      </c>
      <c r="DV69" s="170" t="str">
        <f>IF(DV$81="","",Underwriting!EA134)</f>
      </c>
      <c r="DW69" s="170" t="str">
        <f>IF(DW$81="","",Underwriting!EB134)</f>
      </c>
      <c r="DX69" s="170" t="str">
        <f>IF(DX$81="","",Underwriting!EC134)</f>
      </c>
      <c r="DY69" s="170" t="str">
        <f>IF(DY$81="","",Underwriting!ED134)</f>
      </c>
      <c r="DZ69" s="170" t="str">
        <f>IF(DZ$81="","",Underwriting!EE134)</f>
      </c>
      <c r="EA69" s="170" t="str">
        <f>IF(EA$81="","",Underwriting!EF134)</f>
      </c>
      <c r="EB69" s="170" t="str">
        <f>IF(EB$81="","",Underwriting!EG134)</f>
      </c>
      <c r="EC69" s="170" t="str">
        <f>IF(EC$81="","",Underwriting!EH134)</f>
      </c>
      <c r="ED69" s="170" t="str">
        <f>IF(ED$81="","",Underwriting!EI134)</f>
      </c>
      <c r="EE69" s="170" t="str">
        <f>IF(EE$81="","",Underwriting!EJ134)</f>
      </c>
      <c r="EF69" s="170" t="str">
        <f>IF(EF$81="","",Underwriting!EK134)</f>
      </c>
      <c r="EG69" s="170" t="str">
        <f>IF(EG$81="","",Underwriting!EL134)</f>
      </c>
      <c r="EH69" s="170" t="str">
        <f>IF(EH$81="","",Underwriting!EM134)</f>
      </c>
      <c r="EI69" s="170" t="str">
        <f>IF(EI$81="","",Underwriting!EN134)</f>
      </c>
    </row>
    <row r="70">
      <c r="B70" s="164" t="n">
        <f>Underwriting!B135</f>
        <v>0</v>
      </c>
      <c r="C70" s="4"/>
      <c r="D70" s="4"/>
      <c r="E70" s="4"/>
      <c r="F70" s="4"/>
      <c r="G70" s="172" t="str">
        <f>IF(G$81="","",Underwriting!L135)</f>
      </c>
      <c r="H70" s="172" t="n">
        <f>IF(H$81="","",Underwriting!M135)</f>
        <v>0</v>
      </c>
      <c r="I70" s="172" t="n">
        <f>IF(I$81="","",Underwriting!N135)</f>
        <v>0</v>
      </c>
      <c r="J70" s="172" t="n">
        <f>IF(J$81="","",Underwriting!O135)</f>
        <v>0</v>
      </c>
      <c r="K70" s="172" t="n">
        <f>IF(K$81="","",Underwriting!P135)</f>
        <v>0</v>
      </c>
      <c r="L70" s="172" t="n">
        <f>IF(L$81="","",Underwriting!Q135)</f>
        <v>0</v>
      </c>
      <c r="M70" s="172" t="n">
        <f>IF(M$81="","",Underwriting!R135)</f>
        <v>0</v>
      </c>
      <c r="N70" s="172" t="n">
        <f>IF(N$81="","",Underwriting!S135)</f>
        <v>0</v>
      </c>
      <c r="O70" s="172" t="n">
        <f>IF(O$81="","",Underwriting!T135)</f>
        <v>0</v>
      </c>
      <c r="P70" s="172" t="n">
        <f>IF(P$81="","",Underwriting!U135)</f>
        <v>0</v>
      </c>
      <c r="Q70" s="172" t="n">
        <f>IF(Q$81="","",Underwriting!V135)</f>
        <v>0</v>
      </c>
      <c r="R70" s="172" t="n">
        <f>IF(R$81="","",Underwriting!W135)</f>
        <v>0</v>
      </c>
      <c r="S70" s="170" t="n">
        <f>IF(S$81="","",Underwriting!X135)</f>
        <v>0</v>
      </c>
      <c r="T70" s="170" t="n">
        <f>IF(T$81="","",Underwriting!Y135)</f>
        <v>0</v>
      </c>
      <c r="U70" s="170" t="n">
        <f>IF(U$81="","",Underwriting!Z135)</f>
        <v>0</v>
      </c>
      <c r="V70" s="170" t="n">
        <f>IF(V$81="","",Underwriting!AA135)</f>
        <v>0</v>
      </c>
      <c r="W70" s="170" t="n">
        <f>IF(W$81="","",Underwriting!AB135)</f>
        <v>0</v>
      </c>
      <c r="X70" s="170" t="n">
        <f>IF(X$81="","",Underwriting!AC135)</f>
        <v>0</v>
      </c>
      <c r="Y70" s="170" t="n">
        <f>IF(Y$81="","",Underwriting!AD135)</f>
        <v>0</v>
      </c>
      <c r="Z70" s="170" t="n">
        <f>IF(Z$81="","",Underwriting!AE135)</f>
        <v>0</v>
      </c>
      <c r="AA70" s="170" t="n">
        <f>IF(AA$81="","",Underwriting!AF135)</f>
        <v>0</v>
      </c>
      <c r="AB70" s="170" t="n">
        <f>IF(AB$81="","",Underwriting!AG135)</f>
        <v>0</v>
      </c>
      <c r="AC70" s="170" t="n">
        <f>IF(AC$81="","",Underwriting!AH135)</f>
        <v>0</v>
      </c>
      <c r="AD70" s="170" t="n">
        <f>IF(AD$81="","",Underwriting!AI135)</f>
        <v>0</v>
      </c>
      <c r="AE70" s="170" t="n">
        <f>IF(AE$81="","",Underwriting!AJ135)</f>
        <v>0</v>
      </c>
      <c r="AF70" s="170" t="n">
        <f>IF(AF$81="","",Underwriting!AK135)</f>
        <v>0</v>
      </c>
      <c r="AG70" s="170" t="n">
        <f>IF(AG$81="","",Underwriting!AL135)</f>
        <v>0</v>
      </c>
      <c r="AH70" s="170" t="n">
        <f>IF(AH$81="","",Underwriting!AM135)</f>
        <v>0</v>
      </c>
      <c r="AI70" s="170" t="n">
        <f>IF(AI$81="","",Underwriting!AN135)</f>
        <v>0</v>
      </c>
      <c r="AJ70" s="170" t="n">
        <f>IF(AJ$81="","",Underwriting!AO135)</f>
        <v>0</v>
      </c>
      <c r="AK70" s="170" t="n">
        <f>IF(AK$81="","",Underwriting!AP135)</f>
        <v>0</v>
      </c>
      <c r="AL70" s="170" t="n">
        <f>IF(AL$81="","",Underwriting!AQ135)</f>
        <v>0</v>
      </c>
      <c r="AM70" s="170" t="n">
        <f>IF(AM$81="","",Underwriting!AR135)</f>
        <v>0</v>
      </c>
      <c r="AN70" s="170" t="n">
        <f>IF(AN$81="","",Underwriting!AS135)</f>
        <v>0</v>
      </c>
      <c r="AO70" s="170" t="n">
        <f>IF(AO$81="","",Underwriting!AT135)</f>
        <v>0</v>
      </c>
      <c r="AP70" s="170" t="n">
        <f>IF(AP$81="","",Underwriting!AU135)</f>
        <v>0</v>
      </c>
      <c r="AQ70" s="170" t="n">
        <f>IF(AQ$81="","",Underwriting!AV135)</f>
        <v>0</v>
      </c>
      <c r="AR70" s="170" t="n">
        <f>IF(AR$81="","",Underwriting!AW135)</f>
        <v>0</v>
      </c>
      <c r="AS70" s="170" t="n">
        <f>IF(AS$81="","",Underwriting!AX135)</f>
        <v>0</v>
      </c>
      <c r="AT70" s="170" t="n">
        <f>IF(AT$81="","",Underwriting!AY135)</f>
        <v>0</v>
      </c>
      <c r="AU70" s="170" t="n">
        <f>IF(AU$81="","",Underwriting!AZ135)</f>
        <v>0</v>
      </c>
      <c r="AV70" s="170" t="n">
        <f>IF(AV$81="","",Underwriting!BA135)</f>
        <v>0</v>
      </c>
      <c r="AW70" s="170" t="n">
        <f>IF(AW$81="","",Underwriting!BB135)</f>
        <v>0</v>
      </c>
      <c r="AX70" s="170" t="n">
        <f>IF(AX$81="","",Underwriting!BC135)</f>
        <v>0</v>
      </c>
      <c r="AY70" s="170" t="n">
        <f>IF(AY$81="","",Underwriting!BD135)</f>
        <v>0</v>
      </c>
      <c r="AZ70" s="170" t="n">
        <f>IF(AZ$81="","",Underwriting!BE135)</f>
        <v>0</v>
      </c>
      <c r="BA70" s="170" t="n">
        <f>IF(BA$81="","",Underwriting!BF135)</f>
        <v>0</v>
      </c>
      <c r="BB70" s="170" t="n">
        <f>IF(BB$81="","",Underwriting!BG135)</f>
        <v>0</v>
      </c>
      <c r="BC70" s="170" t="n">
        <f>IF(BC$81="","",Underwriting!BH135)</f>
        <v>0</v>
      </c>
      <c r="BD70" s="170" t="n">
        <f>IF(BD$81="","",Underwriting!BI135)</f>
        <v>0</v>
      </c>
      <c r="BE70" s="170" t="n">
        <f>IF(BE$81="","",Underwriting!BJ135)</f>
        <v>0</v>
      </c>
      <c r="BF70" s="170" t="n">
        <f>IF(BF$81="","",Underwriting!BK135)</f>
        <v>0</v>
      </c>
      <c r="BG70" s="170" t="n">
        <f>IF(BG$81="","",Underwriting!BL135)</f>
        <v>0</v>
      </c>
      <c r="BH70" s="170" t="n">
        <f>IF(BH$81="","",Underwriting!BM135)</f>
        <v>0</v>
      </c>
      <c r="BI70" s="170" t="n">
        <f>IF(BI$81="","",Underwriting!BN135)</f>
        <v>0</v>
      </c>
      <c r="BJ70" s="170" t="n">
        <f>IF(BJ$81="","",Underwriting!BO135)</f>
        <v>0</v>
      </c>
      <c r="BK70" s="170" t="n">
        <f>IF(BK$81="","",Underwriting!BP135)</f>
        <v>0</v>
      </c>
      <c r="BL70" s="170" t="n">
        <f>IF(BL$81="","",Underwriting!BQ135)</f>
        <v>0</v>
      </c>
      <c r="BM70" s="170" t="n">
        <f>IF(BM$81="","",Underwriting!BR135)</f>
        <v>0</v>
      </c>
      <c r="BN70" s="170" t="n">
        <f>IF(BN$81="","",Underwriting!BS135)</f>
        <v>0</v>
      </c>
      <c r="BO70" s="170" t="n">
        <f>IF(BO$81="","",Underwriting!BT135)</f>
        <v>0</v>
      </c>
      <c r="BP70" s="170" t="n">
        <f>IF(BP$81="","",Underwriting!BU135)</f>
        <v>0</v>
      </c>
      <c r="BQ70" s="170" t="str">
        <f>IF(BQ$81="","",Underwriting!BV135)</f>
      </c>
      <c r="BR70" s="170" t="str">
        <f>IF(BR$81="","",Underwriting!BW135)</f>
      </c>
      <c r="BS70" s="170" t="str">
        <f>IF(BS$81="","",Underwriting!BX135)</f>
      </c>
      <c r="BT70" s="170" t="str">
        <f>IF(BT$81="","",Underwriting!BY135)</f>
      </c>
      <c r="BU70" s="170" t="str">
        <f>IF(BU$81="","",Underwriting!BZ135)</f>
      </c>
      <c r="BV70" s="170" t="str">
        <f>IF(BV$81="","",Underwriting!CA135)</f>
      </c>
      <c r="BW70" s="170" t="str">
        <f>IF(BW$81="","",Underwriting!CB135)</f>
      </c>
      <c r="BX70" s="170" t="str">
        <f>IF(BX$81="","",Underwriting!CC135)</f>
      </c>
      <c r="BY70" s="170" t="str">
        <f>IF(BY$81="","",Underwriting!CD135)</f>
      </c>
      <c r="BZ70" s="170" t="str">
        <f>IF(BZ$81="","",Underwriting!CE135)</f>
      </c>
      <c r="CA70" s="170" t="str">
        <f>IF(CA$81="","",Underwriting!CF135)</f>
      </c>
      <c r="CB70" s="170" t="str">
        <f>IF(CB$81="","",Underwriting!CG135)</f>
      </c>
      <c r="CC70" s="170" t="str">
        <f>IF(CC$81="","",Underwriting!CH135)</f>
      </c>
      <c r="CD70" s="170" t="str">
        <f>IF(CD$81="","",Underwriting!CI135)</f>
      </c>
      <c r="CE70" s="170" t="str">
        <f>IF(CE$81="","",Underwriting!CJ135)</f>
      </c>
      <c r="CF70" s="170" t="str">
        <f>IF(CF$81="","",Underwriting!CK135)</f>
      </c>
      <c r="CG70" s="170" t="str">
        <f>IF(CG$81="","",Underwriting!CL135)</f>
      </c>
      <c r="CH70" s="170" t="str">
        <f>IF(CH$81="","",Underwriting!CM135)</f>
      </c>
      <c r="CI70" s="170" t="str">
        <f>IF(CI$81="","",Underwriting!CN135)</f>
      </c>
      <c r="CJ70" s="170" t="str">
        <f>IF(CJ$81="","",Underwriting!CO135)</f>
      </c>
      <c r="CK70" s="170" t="str">
        <f>IF(CK$81="","",Underwriting!CP135)</f>
      </c>
      <c r="CL70" s="170" t="str">
        <f>IF(CL$81="","",Underwriting!CQ135)</f>
      </c>
      <c r="CM70" s="170" t="str">
        <f>IF(CM$81="","",Underwriting!CR135)</f>
      </c>
      <c r="CN70" s="170" t="str">
        <f>IF(CN$81="","",Underwriting!CS135)</f>
      </c>
      <c r="CO70" s="170" t="str">
        <f>IF(CO$81="","",Underwriting!CT135)</f>
      </c>
      <c r="CP70" s="170" t="str">
        <f>IF(CP$81="","",Underwriting!CU135)</f>
      </c>
      <c r="CQ70" s="170" t="str">
        <f>IF(CQ$81="","",Underwriting!CV135)</f>
      </c>
      <c r="CR70" s="170" t="str">
        <f>IF(CR$81="","",Underwriting!CW135)</f>
      </c>
      <c r="CS70" s="170" t="str">
        <f>IF(CS$81="","",Underwriting!CX135)</f>
      </c>
      <c r="CT70" s="170" t="str">
        <f>IF(CT$81="","",Underwriting!CY135)</f>
      </c>
      <c r="CU70" s="170" t="str">
        <f>IF(CU$81="","",Underwriting!CZ135)</f>
      </c>
      <c r="CV70" s="170" t="str">
        <f>IF(CV$81="","",Underwriting!DA135)</f>
      </c>
      <c r="CW70" s="170" t="str">
        <f>IF(CW$81="","",Underwriting!DB135)</f>
      </c>
      <c r="CX70" s="170" t="str">
        <f>IF(CX$81="","",Underwriting!DC135)</f>
      </c>
      <c r="CY70" s="170" t="str">
        <f>IF(CY$81="","",Underwriting!DD135)</f>
      </c>
      <c r="CZ70" s="170" t="str">
        <f>IF(CZ$81="","",Underwriting!DE135)</f>
      </c>
      <c r="DA70" s="170" t="str">
        <f>IF(DA$81="","",Underwriting!DF135)</f>
      </c>
      <c r="DB70" s="170" t="str">
        <f>IF(DB$81="","",Underwriting!DG135)</f>
      </c>
      <c r="DC70" s="170" t="str">
        <f>IF(DC$81="","",Underwriting!DH135)</f>
      </c>
      <c r="DD70" s="170" t="str">
        <f>IF(DD$81="","",Underwriting!DI135)</f>
      </c>
      <c r="DE70" s="170" t="str">
        <f>IF(DE$81="","",Underwriting!DJ135)</f>
      </c>
      <c r="DF70" s="170" t="str">
        <f>IF(DF$81="","",Underwriting!DK135)</f>
      </c>
      <c r="DG70" s="170" t="str">
        <f>IF(DG$81="","",Underwriting!DL135)</f>
      </c>
      <c r="DH70" s="170" t="str">
        <f>IF(DH$81="","",Underwriting!DM135)</f>
      </c>
      <c r="DI70" s="170" t="str">
        <f>IF(DI$81="","",Underwriting!DN135)</f>
      </c>
      <c r="DJ70" s="170" t="str">
        <f>IF(DJ$81="","",Underwriting!DO135)</f>
      </c>
      <c r="DK70" s="170" t="str">
        <f>IF(DK$81="","",Underwriting!DP135)</f>
      </c>
      <c r="DL70" s="170" t="str">
        <f>IF(DL$81="","",Underwriting!DQ135)</f>
      </c>
      <c r="DM70" s="170" t="str">
        <f>IF(DM$81="","",Underwriting!DR135)</f>
      </c>
      <c r="DN70" s="170" t="str">
        <f>IF(DN$81="","",Underwriting!DS135)</f>
      </c>
      <c r="DO70" s="170" t="str">
        <f>IF(DO$81="","",Underwriting!DT135)</f>
      </c>
      <c r="DP70" s="170" t="str">
        <f>IF(DP$81="","",Underwriting!DU135)</f>
      </c>
      <c r="DQ70" s="170" t="str">
        <f>IF(DQ$81="","",Underwriting!DV135)</f>
      </c>
      <c r="DR70" s="170" t="str">
        <f>IF(DR$81="","",Underwriting!DW135)</f>
      </c>
      <c r="DS70" s="170" t="str">
        <f>IF(DS$81="","",Underwriting!DX135)</f>
      </c>
      <c r="DT70" s="170" t="str">
        <f>IF(DT$81="","",Underwriting!DY135)</f>
      </c>
      <c r="DU70" s="170" t="str">
        <f>IF(DU$81="","",Underwriting!DZ135)</f>
      </c>
      <c r="DV70" s="170" t="str">
        <f>IF(DV$81="","",Underwriting!EA135)</f>
      </c>
      <c r="DW70" s="170" t="str">
        <f>IF(DW$81="","",Underwriting!EB135)</f>
      </c>
      <c r="DX70" s="170" t="str">
        <f>IF(DX$81="","",Underwriting!EC135)</f>
      </c>
      <c r="DY70" s="170" t="str">
        <f>IF(DY$81="","",Underwriting!ED135)</f>
      </c>
      <c r="DZ70" s="170" t="str">
        <f>IF(DZ$81="","",Underwriting!EE135)</f>
      </c>
      <c r="EA70" s="170" t="str">
        <f>IF(EA$81="","",Underwriting!EF135)</f>
      </c>
      <c r="EB70" s="170" t="str">
        <f>IF(EB$81="","",Underwriting!EG135)</f>
      </c>
      <c r="EC70" s="170" t="str">
        <f>IF(EC$81="","",Underwriting!EH135)</f>
      </c>
      <c r="ED70" s="170" t="str">
        <f>IF(ED$81="","",Underwriting!EI135)</f>
      </c>
      <c r="EE70" s="170" t="str">
        <f>IF(EE$81="","",Underwriting!EJ135)</f>
      </c>
      <c r="EF70" s="170" t="str">
        <f>IF(EF$81="","",Underwriting!EK135)</f>
      </c>
      <c r="EG70" s="170" t="str">
        <f>IF(EG$81="","",Underwriting!EL135)</f>
      </c>
      <c r="EH70" s="170" t="str">
        <f>IF(EH$81="","",Underwriting!EM135)</f>
      </c>
      <c r="EI70" s="170" t="str">
        <f>IF(EI$81="","",Underwriting!EN135)</f>
      </c>
    </row>
    <row r="71">
      <c r="B71" s="164" t="n">
        <f>Underwriting!B136</f>
        <v>0</v>
      </c>
      <c r="C71" s="4"/>
      <c r="D71" s="4"/>
      <c r="E71" s="4"/>
      <c r="F71" s="4"/>
      <c r="G71" s="172" t="str">
        <f>IF(G$81="","",Underwriting!L136)</f>
      </c>
      <c r="H71" s="172" t="n">
        <f>IF(H$81="","",Underwriting!M136)</f>
        <v>0</v>
      </c>
      <c r="I71" s="172" t="n">
        <f>IF(I$81="","",Underwriting!N136)</f>
        <v>0</v>
      </c>
      <c r="J71" s="172" t="n">
        <f>IF(J$81="","",Underwriting!O136)</f>
        <v>0</v>
      </c>
      <c r="K71" s="172" t="n">
        <f>IF(K$81="","",Underwriting!P136)</f>
        <v>0</v>
      </c>
      <c r="L71" s="172" t="n">
        <f>IF(L$81="","",Underwriting!Q136)</f>
        <v>0</v>
      </c>
      <c r="M71" s="172" t="n">
        <f>IF(M$81="","",Underwriting!R136)</f>
        <v>0</v>
      </c>
      <c r="N71" s="172" t="n">
        <f>IF(N$81="","",Underwriting!S136)</f>
        <v>0</v>
      </c>
      <c r="O71" s="172" t="n">
        <f>IF(O$81="","",Underwriting!T136)</f>
        <v>0</v>
      </c>
      <c r="P71" s="172" t="n">
        <f>IF(P$81="","",Underwriting!U136)</f>
        <v>0</v>
      </c>
      <c r="Q71" s="172" t="n">
        <f>IF(Q$81="","",Underwriting!V136)</f>
        <v>0</v>
      </c>
      <c r="R71" s="172" t="n">
        <f>IF(R$81="","",Underwriting!W136)</f>
        <v>0</v>
      </c>
      <c r="S71" s="170" t="n">
        <f>IF(S$81="","",Underwriting!X136)</f>
        <v>0</v>
      </c>
      <c r="T71" s="170" t="n">
        <f>IF(T$81="","",Underwriting!Y136)</f>
        <v>0</v>
      </c>
      <c r="U71" s="170" t="n">
        <f>IF(U$81="","",Underwriting!Z136)</f>
        <v>0</v>
      </c>
      <c r="V71" s="170" t="n">
        <f>IF(V$81="","",Underwriting!AA136)</f>
        <v>0</v>
      </c>
      <c r="W71" s="170" t="n">
        <f>IF(W$81="","",Underwriting!AB136)</f>
        <v>0</v>
      </c>
      <c r="X71" s="170" t="n">
        <f>IF(X$81="","",Underwriting!AC136)</f>
        <v>0</v>
      </c>
      <c r="Y71" s="170" t="n">
        <f>IF(Y$81="","",Underwriting!AD136)</f>
        <v>0</v>
      </c>
      <c r="Z71" s="170" t="n">
        <f>IF(Z$81="","",Underwriting!AE136)</f>
        <v>0</v>
      </c>
      <c r="AA71" s="170" t="n">
        <f>IF(AA$81="","",Underwriting!AF136)</f>
        <v>0</v>
      </c>
      <c r="AB71" s="170" t="n">
        <f>IF(AB$81="","",Underwriting!AG136)</f>
        <v>0</v>
      </c>
      <c r="AC71" s="170" t="n">
        <f>IF(AC$81="","",Underwriting!AH136)</f>
        <v>0</v>
      </c>
      <c r="AD71" s="170" t="n">
        <f>IF(AD$81="","",Underwriting!AI136)</f>
        <v>0</v>
      </c>
      <c r="AE71" s="170" t="n">
        <f>IF(AE$81="","",Underwriting!AJ136)</f>
        <v>0</v>
      </c>
      <c r="AF71" s="170" t="n">
        <f>IF(AF$81="","",Underwriting!AK136)</f>
        <v>0</v>
      </c>
      <c r="AG71" s="170" t="n">
        <f>IF(AG$81="","",Underwriting!AL136)</f>
        <v>0</v>
      </c>
      <c r="AH71" s="170" t="n">
        <f>IF(AH$81="","",Underwriting!AM136)</f>
        <v>0</v>
      </c>
      <c r="AI71" s="170" t="n">
        <f>IF(AI$81="","",Underwriting!AN136)</f>
        <v>0</v>
      </c>
      <c r="AJ71" s="170" t="n">
        <f>IF(AJ$81="","",Underwriting!AO136)</f>
        <v>0</v>
      </c>
      <c r="AK71" s="170" t="n">
        <f>IF(AK$81="","",Underwriting!AP136)</f>
        <v>0</v>
      </c>
      <c r="AL71" s="170" t="n">
        <f>IF(AL$81="","",Underwriting!AQ136)</f>
        <v>0</v>
      </c>
      <c r="AM71" s="170" t="n">
        <f>IF(AM$81="","",Underwriting!AR136)</f>
        <v>0</v>
      </c>
      <c r="AN71" s="170" t="n">
        <f>IF(AN$81="","",Underwriting!AS136)</f>
        <v>0</v>
      </c>
      <c r="AO71" s="170" t="n">
        <f>IF(AO$81="","",Underwriting!AT136)</f>
        <v>0</v>
      </c>
      <c r="AP71" s="170" t="n">
        <f>IF(AP$81="","",Underwriting!AU136)</f>
        <v>0</v>
      </c>
      <c r="AQ71" s="170" t="n">
        <f>IF(AQ$81="","",Underwriting!AV136)</f>
        <v>0</v>
      </c>
      <c r="AR71" s="170" t="n">
        <f>IF(AR$81="","",Underwriting!AW136)</f>
        <v>0</v>
      </c>
      <c r="AS71" s="170" t="n">
        <f>IF(AS$81="","",Underwriting!AX136)</f>
        <v>0</v>
      </c>
      <c r="AT71" s="170" t="n">
        <f>IF(AT$81="","",Underwriting!AY136)</f>
        <v>0</v>
      </c>
      <c r="AU71" s="170" t="n">
        <f>IF(AU$81="","",Underwriting!AZ136)</f>
        <v>0</v>
      </c>
      <c r="AV71" s="170" t="n">
        <f>IF(AV$81="","",Underwriting!BA136)</f>
        <v>0</v>
      </c>
      <c r="AW71" s="170" t="n">
        <f>IF(AW$81="","",Underwriting!BB136)</f>
        <v>0</v>
      </c>
      <c r="AX71" s="170" t="n">
        <f>IF(AX$81="","",Underwriting!BC136)</f>
        <v>0</v>
      </c>
      <c r="AY71" s="170" t="n">
        <f>IF(AY$81="","",Underwriting!BD136)</f>
        <v>0</v>
      </c>
      <c r="AZ71" s="170" t="n">
        <f>IF(AZ$81="","",Underwriting!BE136)</f>
        <v>0</v>
      </c>
      <c r="BA71" s="170" t="n">
        <f>IF(BA$81="","",Underwriting!BF136)</f>
        <v>0</v>
      </c>
      <c r="BB71" s="170" t="n">
        <f>IF(BB$81="","",Underwriting!BG136)</f>
        <v>0</v>
      </c>
      <c r="BC71" s="170" t="n">
        <f>IF(BC$81="","",Underwriting!BH136)</f>
        <v>0</v>
      </c>
      <c r="BD71" s="170" t="n">
        <f>IF(BD$81="","",Underwriting!BI136)</f>
        <v>0</v>
      </c>
      <c r="BE71" s="170" t="n">
        <f>IF(BE$81="","",Underwriting!BJ136)</f>
        <v>0</v>
      </c>
      <c r="BF71" s="170" t="n">
        <f>IF(BF$81="","",Underwriting!BK136)</f>
        <v>0</v>
      </c>
      <c r="BG71" s="170" t="n">
        <f>IF(BG$81="","",Underwriting!BL136)</f>
        <v>0</v>
      </c>
      <c r="BH71" s="170" t="n">
        <f>IF(BH$81="","",Underwriting!BM136)</f>
        <v>0</v>
      </c>
      <c r="BI71" s="170" t="n">
        <f>IF(BI$81="","",Underwriting!BN136)</f>
        <v>0</v>
      </c>
      <c r="BJ71" s="170" t="n">
        <f>IF(BJ$81="","",Underwriting!BO136)</f>
        <v>0</v>
      </c>
      <c r="BK71" s="170" t="n">
        <f>IF(BK$81="","",Underwriting!BP136)</f>
        <v>0</v>
      </c>
      <c r="BL71" s="170" t="n">
        <f>IF(BL$81="","",Underwriting!BQ136)</f>
        <v>0</v>
      </c>
      <c r="BM71" s="170" t="n">
        <f>IF(BM$81="","",Underwriting!BR136)</f>
        <v>0</v>
      </c>
      <c r="BN71" s="170" t="n">
        <f>IF(BN$81="","",Underwriting!BS136)</f>
        <v>0</v>
      </c>
      <c r="BO71" s="170" t="n">
        <f>IF(BO$81="","",Underwriting!BT136)</f>
        <v>0</v>
      </c>
      <c r="BP71" s="170" t="n">
        <f>IF(BP$81="","",Underwriting!BU136)</f>
        <v>0</v>
      </c>
      <c r="BQ71" s="170" t="str">
        <f>IF(BQ$81="","",Underwriting!BV136)</f>
      </c>
      <c r="BR71" s="170" t="str">
        <f>IF(BR$81="","",Underwriting!BW136)</f>
      </c>
      <c r="BS71" s="170" t="str">
        <f>IF(BS$81="","",Underwriting!BX136)</f>
      </c>
      <c r="BT71" s="170" t="str">
        <f>IF(BT$81="","",Underwriting!BY136)</f>
      </c>
      <c r="BU71" s="170" t="str">
        <f>IF(BU$81="","",Underwriting!BZ136)</f>
      </c>
      <c r="BV71" s="170" t="str">
        <f>IF(BV$81="","",Underwriting!CA136)</f>
      </c>
      <c r="BW71" s="170" t="str">
        <f>IF(BW$81="","",Underwriting!CB136)</f>
      </c>
      <c r="BX71" s="170" t="str">
        <f>IF(BX$81="","",Underwriting!CC136)</f>
      </c>
      <c r="BY71" s="170" t="str">
        <f>IF(BY$81="","",Underwriting!CD136)</f>
      </c>
      <c r="BZ71" s="170" t="str">
        <f>IF(BZ$81="","",Underwriting!CE136)</f>
      </c>
      <c r="CA71" s="170" t="str">
        <f>IF(CA$81="","",Underwriting!CF136)</f>
      </c>
      <c r="CB71" s="170" t="str">
        <f>IF(CB$81="","",Underwriting!CG136)</f>
      </c>
      <c r="CC71" s="170" t="str">
        <f>IF(CC$81="","",Underwriting!CH136)</f>
      </c>
      <c r="CD71" s="170" t="str">
        <f>IF(CD$81="","",Underwriting!CI136)</f>
      </c>
      <c r="CE71" s="170" t="str">
        <f>IF(CE$81="","",Underwriting!CJ136)</f>
      </c>
      <c r="CF71" s="170" t="str">
        <f>IF(CF$81="","",Underwriting!CK136)</f>
      </c>
      <c r="CG71" s="170" t="str">
        <f>IF(CG$81="","",Underwriting!CL136)</f>
      </c>
      <c r="CH71" s="170" t="str">
        <f>IF(CH$81="","",Underwriting!CM136)</f>
      </c>
      <c r="CI71" s="170" t="str">
        <f>IF(CI$81="","",Underwriting!CN136)</f>
      </c>
      <c r="CJ71" s="170" t="str">
        <f>IF(CJ$81="","",Underwriting!CO136)</f>
      </c>
      <c r="CK71" s="170" t="str">
        <f>IF(CK$81="","",Underwriting!CP136)</f>
      </c>
      <c r="CL71" s="170" t="str">
        <f>IF(CL$81="","",Underwriting!CQ136)</f>
      </c>
      <c r="CM71" s="170" t="str">
        <f>IF(CM$81="","",Underwriting!CR136)</f>
      </c>
      <c r="CN71" s="170" t="str">
        <f>IF(CN$81="","",Underwriting!CS136)</f>
      </c>
      <c r="CO71" s="170" t="str">
        <f>IF(CO$81="","",Underwriting!CT136)</f>
      </c>
      <c r="CP71" s="170" t="str">
        <f>IF(CP$81="","",Underwriting!CU136)</f>
      </c>
      <c r="CQ71" s="170" t="str">
        <f>IF(CQ$81="","",Underwriting!CV136)</f>
      </c>
      <c r="CR71" s="170" t="str">
        <f>IF(CR$81="","",Underwriting!CW136)</f>
      </c>
      <c r="CS71" s="170" t="str">
        <f>IF(CS$81="","",Underwriting!CX136)</f>
      </c>
      <c r="CT71" s="170" t="str">
        <f>IF(CT$81="","",Underwriting!CY136)</f>
      </c>
      <c r="CU71" s="170" t="str">
        <f>IF(CU$81="","",Underwriting!CZ136)</f>
      </c>
      <c r="CV71" s="170" t="str">
        <f>IF(CV$81="","",Underwriting!DA136)</f>
      </c>
      <c r="CW71" s="170" t="str">
        <f>IF(CW$81="","",Underwriting!DB136)</f>
      </c>
      <c r="CX71" s="170" t="str">
        <f>IF(CX$81="","",Underwriting!DC136)</f>
      </c>
      <c r="CY71" s="170" t="str">
        <f>IF(CY$81="","",Underwriting!DD136)</f>
      </c>
      <c r="CZ71" s="170" t="str">
        <f>IF(CZ$81="","",Underwriting!DE136)</f>
      </c>
      <c r="DA71" s="170" t="str">
        <f>IF(DA$81="","",Underwriting!DF136)</f>
      </c>
      <c r="DB71" s="170" t="str">
        <f>IF(DB$81="","",Underwriting!DG136)</f>
      </c>
      <c r="DC71" s="170" t="str">
        <f>IF(DC$81="","",Underwriting!DH136)</f>
      </c>
      <c r="DD71" s="170" t="str">
        <f>IF(DD$81="","",Underwriting!DI136)</f>
      </c>
      <c r="DE71" s="170" t="str">
        <f>IF(DE$81="","",Underwriting!DJ136)</f>
      </c>
      <c r="DF71" s="170" t="str">
        <f>IF(DF$81="","",Underwriting!DK136)</f>
      </c>
      <c r="DG71" s="170" t="str">
        <f>IF(DG$81="","",Underwriting!DL136)</f>
      </c>
      <c r="DH71" s="170" t="str">
        <f>IF(DH$81="","",Underwriting!DM136)</f>
      </c>
      <c r="DI71" s="170" t="str">
        <f>IF(DI$81="","",Underwriting!DN136)</f>
      </c>
      <c r="DJ71" s="170" t="str">
        <f>IF(DJ$81="","",Underwriting!DO136)</f>
      </c>
      <c r="DK71" s="170" t="str">
        <f>IF(DK$81="","",Underwriting!DP136)</f>
      </c>
      <c r="DL71" s="170" t="str">
        <f>IF(DL$81="","",Underwriting!DQ136)</f>
      </c>
      <c r="DM71" s="170" t="str">
        <f>IF(DM$81="","",Underwriting!DR136)</f>
      </c>
      <c r="DN71" s="170" t="str">
        <f>IF(DN$81="","",Underwriting!DS136)</f>
      </c>
      <c r="DO71" s="170" t="str">
        <f>IF(DO$81="","",Underwriting!DT136)</f>
      </c>
      <c r="DP71" s="170" t="str">
        <f>IF(DP$81="","",Underwriting!DU136)</f>
      </c>
      <c r="DQ71" s="170" t="str">
        <f>IF(DQ$81="","",Underwriting!DV136)</f>
      </c>
      <c r="DR71" s="170" t="str">
        <f>IF(DR$81="","",Underwriting!DW136)</f>
      </c>
      <c r="DS71" s="170" t="str">
        <f>IF(DS$81="","",Underwriting!DX136)</f>
      </c>
      <c r="DT71" s="170" t="str">
        <f>IF(DT$81="","",Underwriting!DY136)</f>
      </c>
      <c r="DU71" s="170" t="str">
        <f>IF(DU$81="","",Underwriting!DZ136)</f>
      </c>
      <c r="DV71" s="170" t="str">
        <f>IF(DV$81="","",Underwriting!EA136)</f>
      </c>
      <c r="DW71" s="170" t="str">
        <f>IF(DW$81="","",Underwriting!EB136)</f>
      </c>
      <c r="DX71" s="170" t="str">
        <f>IF(DX$81="","",Underwriting!EC136)</f>
      </c>
      <c r="DY71" s="170" t="str">
        <f>IF(DY$81="","",Underwriting!ED136)</f>
      </c>
      <c r="DZ71" s="170" t="str">
        <f>IF(DZ$81="","",Underwriting!EE136)</f>
      </c>
      <c r="EA71" s="170" t="str">
        <f>IF(EA$81="","",Underwriting!EF136)</f>
      </c>
      <c r="EB71" s="170" t="str">
        <f>IF(EB$81="","",Underwriting!EG136)</f>
      </c>
      <c r="EC71" s="170" t="str">
        <f>IF(EC$81="","",Underwriting!EH136)</f>
      </c>
      <c r="ED71" s="170" t="str">
        <f>IF(ED$81="","",Underwriting!EI136)</f>
      </c>
      <c r="EE71" s="170" t="str">
        <f>IF(EE$81="","",Underwriting!EJ136)</f>
      </c>
      <c r="EF71" s="170" t="str">
        <f>IF(EF$81="","",Underwriting!EK136)</f>
      </c>
      <c r="EG71" s="170" t="str">
        <f>IF(EG$81="","",Underwriting!EL136)</f>
      </c>
      <c r="EH71" s="170" t="str">
        <f>IF(EH$81="","",Underwriting!EM136)</f>
      </c>
      <c r="EI71" s="170" t="str">
        <f>IF(EI$81="","",Underwriting!EN136)</f>
      </c>
    </row>
    <row r="72">
      <c r="B72" s="164" t="n">
        <f>Underwriting!B137</f>
        <v>0</v>
      </c>
      <c r="C72" s="4"/>
      <c r="D72" s="4"/>
      <c r="E72" s="4"/>
      <c r="F72" s="4"/>
      <c r="G72" s="173" t="str">
        <f>IF(G$81="","",Underwriting!L137)</f>
      </c>
      <c r="H72" s="173" t="n">
        <f>IF(H$81="","",Underwriting!M137)</f>
        <v>0</v>
      </c>
      <c r="I72" s="173" t="n">
        <f>IF(I$81="","",Underwriting!N137)</f>
        <v>0</v>
      </c>
      <c r="J72" s="173" t="n">
        <f>IF(J$81="","",Underwriting!O137)</f>
        <v>0</v>
      </c>
      <c r="K72" s="173" t="n">
        <f>IF(K$81="","",Underwriting!P137)</f>
        <v>0</v>
      </c>
      <c r="L72" s="173" t="n">
        <f>IF(L$81="","",Underwriting!Q137)</f>
        <v>0</v>
      </c>
      <c r="M72" s="173" t="n">
        <f>IF(M$81="","",Underwriting!R137)</f>
        <v>0</v>
      </c>
      <c r="N72" s="173" t="n">
        <f>IF(N$81="","",Underwriting!S137)</f>
        <v>0</v>
      </c>
      <c r="O72" s="173" t="n">
        <f>IF(O$81="","",Underwriting!T137)</f>
        <v>0</v>
      </c>
      <c r="P72" s="173" t="n">
        <f>IF(P$81="","",Underwriting!U137)</f>
        <v>0</v>
      </c>
      <c r="Q72" s="173" t="n">
        <f>IF(Q$81="","",Underwriting!V137)</f>
        <v>0</v>
      </c>
      <c r="R72" s="173" t="n">
        <f>IF(R$81="","",Underwriting!W137)</f>
        <v>0</v>
      </c>
      <c r="S72" s="171" t="n">
        <f>IF(S$81="","",Underwriting!X137)</f>
        <v>0</v>
      </c>
      <c r="T72" s="171" t="n">
        <f>IF(T$81="","",Underwriting!Y137)</f>
        <v>0</v>
      </c>
      <c r="U72" s="171" t="n">
        <f>IF(U$81="","",Underwriting!Z137)</f>
        <v>0</v>
      </c>
      <c r="V72" s="171" t="n">
        <f>IF(V$81="","",Underwriting!AA137)</f>
        <v>0</v>
      </c>
      <c r="W72" s="171" t="n">
        <f>IF(W$81="","",Underwriting!AB137)</f>
        <v>0</v>
      </c>
      <c r="X72" s="171" t="n">
        <f>IF(X$81="","",Underwriting!AC137)</f>
        <v>0</v>
      </c>
      <c r="Y72" s="171" t="n">
        <f>IF(Y$81="","",Underwriting!AD137)</f>
        <v>0</v>
      </c>
      <c r="Z72" s="171" t="n">
        <f>IF(Z$81="","",Underwriting!AE137)</f>
        <v>0</v>
      </c>
      <c r="AA72" s="171" t="n">
        <f>IF(AA$81="","",Underwriting!AF137)</f>
        <v>0</v>
      </c>
      <c r="AB72" s="171" t="n">
        <f>IF(AB$81="","",Underwriting!AG137)</f>
        <v>0</v>
      </c>
      <c r="AC72" s="171" t="n">
        <f>IF(AC$81="","",Underwriting!AH137)</f>
        <v>0</v>
      </c>
      <c r="AD72" s="171" t="n">
        <f>IF(AD$81="","",Underwriting!AI137)</f>
        <v>0</v>
      </c>
      <c r="AE72" s="171" t="n">
        <f>IF(AE$81="","",Underwriting!AJ137)</f>
        <v>0</v>
      </c>
      <c r="AF72" s="171" t="n">
        <f>IF(AF$81="","",Underwriting!AK137)</f>
        <v>0</v>
      </c>
      <c r="AG72" s="171" t="n">
        <f>IF(AG$81="","",Underwriting!AL137)</f>
        <v>0</v>
      </c>
      <c r="AH72" s="171" t="n">
        <f>IF(AH$81="","",Underwriting!AM137)</f>
        <v>0</v>
      </c>
      <c r="AI72" s="171" t="n">
        <f>IF(AI$81="","",Underwriting!AN137)</f>
        <v>0</v>
      </c>
      <c r="AJ72" s="171" t="n">
        <f>IF(AJ$81="","",Underwriting!AO137)</f>
        <v>0</v>
      </c>
      <c r="AK72" s="171" t="n">
        <f>IF(AK$81="","",Underwriting!AP137)</f>
        <v>0</v>
      </c>
      <c r="AL72" s="171" t="n">
        <f>IF(AL$81="","",Underwriting!AQ137)</f>
        <v>0</v>
      </c>
      <c r="AM72" s="171" t="n">
        <f>IF(AM$81="","",Underwriting!AR137)</f>
        <v>0</v>
      </c>
      <c r="AN72" s="171" t="n">
        <f>IF(AN$81="","",Underwriting!AS137)</f>
        <v>0</v>
      </c>
      <c r="AO72" s="171" t="n">
        <f>IF(AO$81="","",Underwriting!AT137)</f>
        <v>0</v>
      </c>
      <c r="AP72" s="171" t="n">
        <f>IF(AP$81="","",Underwriting!AU137)</f>
        <v>0</v>
      </c>
      <c r="AQ72" s="171" t="n">
        <f>IF(AQ$81="","",Underwriting!AV137)</f>
        <v>0</v>
      </c>
      <c r="AR72" s="171" t="n">
        <f>IF(AR$81="","",Underwriting!AW137)</f>
        <v>0</v>
      </c>
      <c r="AS72" s="171" t="n">
        <f>IF(AS$81="","",Underwriting!AX137)</f>
        <v>0</v>
      </c>
      <c r="AT72" s="171" t="n">
        <f>IF(AT$81="","",Underwriting!AY137)</f>
        <v>0</v>
      </c>
      <c r="AU72" s="171" t="n">
        <f>IF(AU$81="","",Underwriting!AZ137)</f>
        <v>0</v>
      </c>
      <c r="AV72" s="171" t="n">
        <f>IF(AV$81="","",Underwriting!BA137)</f>
        <v>0</v>
      </c>
      <c r="AW72" s="171" t="n">
        <f>IF(AW$81="","",Underwriting!BB137)</f>
        <v>0</v>
      </c>
      <c r="AX72" s="171" t="n">
        <f>IF(AX$81="","",Underwriting!BC137)</f>
        <v>0</v>
      </c>
      <c r="AY72" s="171" t="n">
        <f>IF(AY$81="","",Underwriting!BD137)</f>
        <v>0</v>
      </c>
      <c r="AZ72" s="171" t="n">
        <f>IF(AZ$81="","",Underwriting!BE137)</f>
        <v>0</v>
      </c>
      <c r="BA72" s="171" t="n">
        <f>IF(BA$81="","",Underwriting!BF137)</f>
        <v>0</v>
      </c>
      <c r="BB72" s="171" t="n">
        <f>IF(BB$81="","",Underwriting!BG137)</f>
        <v>0</v>
      </c>
      <c r="BC72" s="171" t="n">
        <f>IF(BC$81="","",Underwriting!BH137)</f>
        <v>0</v>
      </c>
      <c r="BD72" s="171" t="n">
        <f>IF(BD$81="","",Underwriting!BI137)</f>
        <v>0</v>
      </c>
      <c r="BE72" s="171" t="n">
        <f>IF(BE$81="","",Underwriting!BJ137)</f>
        <v>0</v>
      </c>
      <c r="BF72" s="171" t="n">
        <f>IF(BF$81="","",Underwriting!BK137)</f>
        <v>0</v>
      </c>
      <c r="BG72" s="171" t="n">
        <f>IF(BG$81="","",Underwriting!BL137)</f>
        <v>0</v>
      </c>
      <c r="BH72" s="171" t="n">
        <f>IF(BH$81="","",Underwriting!BM137)</f>
        <v>0</v>
      </c>
      <c r="BI72" s="171" t="n">
        <f>IF(BI$81="","",Underwriting!BN137)</f>
        <v>0</v>
      </c>
      <c r="BJ72" s="171" t="n">
        <f>IF(BJ$81="","",Underwriting!BO137)</f>
        <v>0</v>
      </c>
      <c r="BK72" s="171" t="n">
        <f>IF(BK$81="","",Underwriting!BP137)</f>
        <v>0</v>
      </c>
      <c r="BL72" s="171" t="n">
        <f>IF(BL$81="","",Underwriting!BQ137)</f>
        <v>0</v>
      </c>
      <c r="BM72" s="171" t="n">
        <f>IF(BM$81="","",Underwriting!BR137)</f>
        <v>0</v>
      </c>
      <c r="BN72" s="171" t="n">
        <f>IF(BN$81="","",Underwriting!BS137)</f>
        <v>0</v>
      </c>
      <c r="BO72" s="171" t="n">
        <f>IF(BO$81="","",Underwriting!BT137)</f>
        <v>0</v>
      </c>
      <c r="BP72" s="171" t="n">
        <f>IF(BP$81="","",Underwriting!BU137)</f>
        <v>0</v>
      </c>
      <c r="BQ72" s="171" t="str">
        <f>IF(BQ$81="","",Underwriting!BV137)</f>
      </c>
      <c r="BR72" s="171" t="str">
        <f>IF(BR$81="","",Underwriting!BW137)</f>
      </c>
      <c r="BS72" s="171" t="str">
        <f>IF(BS$81="","",Underwriting!BX137)</f>
      </c>
      <c r="BT72" s="171" t="str">
        <f>IF(BT$81="","",Underwriting!BY137)</f>
      </c>
      <c r="BU72" s="171" t="str">
        <f>IF(BU$81="","",Underwriting!BZ137)</f>
      </c>
      <c r="BV72" s="171" t="str">
        <f>IF(BV$81="","",Underwriting!CA137)</f>
      </c>
      <c r="BW72" s="171" t="str">
        <f>IF(BW$81="","",Underwriting!CB137)</f>
      </c>
      <c r="BX72" s="171" t="str">
        <f>IF(BX$81="","",Underwriting!CC137)</f>
      </c>
      <c r="BY72" s="171" t="str">
        <f>IF(BY$81="","",Underwriting!CD137)</f>
      </c>
      <c r="BZ72" s="171" t="str">
        <f>IF(BZ$81="","",Underwriting!CE137)</f>
      </c>
      <c r="CA72" s="171" t="str">
        <f>IF(CA$81="","",Underwriting!CF137)</f>
      </c>
      <c r="CB72" s="171" t="str">
        <f>IF(CB$81="","",Underwriting!CG137)</f>
      </c>
      <c r="CC72" s="171" t="str">
        <f>IF(CC$81="","",Underwriting!CH137)</f>
      </c>
      <c r="CD72" s="171" t="str">
        <f>IF(CD$81="","",Underwriting!CI137)</f>
      </c>
      <c r="CE72" s="171" t="str">
        <f>IF(CE$81="","",Underwriting!CJ137)</f>
      </c>
      <c r="CF72" s="171" t="str">
        <f>IF(CF$81="","",Underwriting!CK137)</f>
      </c>
      <c r="CG72" s="171" t="str">
        <f>IF(CG$81="","",Underwriting!CL137)</f>
      </c>
      <c r="CH72" s="171" t="str">
        <f>IF(CH$81="","",Underwriting!CM137)</f>
      </c>
      <c r="CI72" s="171" t="str">
        <f>IF(CI$81="","",Underwriting!CN137)</f>
      </c>
      <c r="CJ72" s="171" t="str">
        <f>IF(CJ$81="","",Underwriting!CO137)</f>
      </c>
      <c r="CK72" s="171" t="str">
        <f>IF(CK$81="","",Underwriting!CP137)</f>
      </c>
      <c r="CL72" s="171" t="str">
        <f>IF(CL$81="","",Underwriting!CQ137)</f>
      </c>
      <c r="CM72" s="171" t="str">
        <f>IF(CM$81="","",Underwriting!CR137)</f>
      </c>
      <c r="CN72" s="171" t="str">
        <f>IF(CN$81="","",Underwriting!CS137)</f>
      </c>
      <c r="CO72" s="171" t="str">
        <f>IF(CO$81="","",Underwriting!CT137)</f>
      </c>
      <c r="CP72" s="171" t="str">
        <f>IF(CP$81="","",Underwriting!CU137)</f>
      </c>
      <c r="CQ72" s="171" t="str">
        <f>IF(CQ$81="","",Underwriting!CV137)</f>
      </c>
      <c r="CR72" s="171" t="str">
        <f>IF(CR$81="","",Underwriting!CW137)</f>
      </c>
      <c r="CS72" s="171" t="str">
        <f>IF(CS$81="","",Underwriting!CX137)</f>
      </c>
      <c r="CT72" s="171" t="str">
        <f>IF(CT$81="","",Underwriting!CY137)</f>
      </c>
      <c r="CU72" s="171" t="str">
        <f>IF(CU$81="","",Underwriting!CZ137)</f>
      </c>
      <c r="CV72" s="171" t="str">
        <f>IF(CV$81="","",Underwriting!DA137)</f>
      </c>
      <c r="CW72" s="171" t="str">
        <f>IF(CW$81="","",Underwriting!DB137)</f>
      </c>
      <c r="CX72" s="171" t="str">
        <f>IF(CX$81="","",Underwriting!DC137)</f>
      </c>
      <c r="CY72" s="171" t="str">
        <f>IF(CY$81="","",Underwriting!DD137)</f>
      </c>
      <c r="CZ72" s="171" t="str">
        <f>IF(CZ$81="","",Underwriting!DE137)</f>
      </c>
      <c r="DA72" s="171" t="str">
        <f>IF(DA$81="","",Underwriting!DF137)</f>
      </c>
      <c r="DB72" s="171" t="str">
        <f>IF(DB$81="","",Underwriting!DG137)</f>
      </c>
      <c r="DC72" s="171" t="str">
        <f>IF(DC$81="","",Underwriting!DH137)</f>
      </c>
      <c r="DD72" s="171" t="str">
        <f>IF(DD$81="","",Underwriting!DI137)</f>
      </c>
      <c r="DE72" s="171" t="str">
        <f>IF(DE$81="","",Underwriting!DJ137)</f>
      </c>
      <c r="DF72" s="171" t="str">
        <f>IF(DF$81="","",Underwriting!DK137)</f>
      </c>
      <c r="DG72" s="171" t="str">
        <f>IF(DG$81="","",Underwriting!DL137)</f>
      </c>
      <c r="DH72" s="171" t="str">
        <f>IF(DH$81="","",Underwriting!DM137)</f>
      </c>
      <c r="DI72" s="171" t="str">
        <f>IF(DI$81="","",Underwriting!DN137)</f>
      </c>
      <c r="DJ72" s="171" t="str">
        <f>IF(DJ$81="","",Underwriting!DO137)</f>
      </c>
      <c r="DK72" s="171" t="str">
        <f>IF(DK$81="","",Underwriting!DP137)</f>
      </c>
      <c r="DL72" s="171" t="str">
        <f>IF(DL$81="","",Underwriting!DQ137)</f>
      </c>
      <c r="DM72" s="171" t="str">
        <f>IF(DM$81="","",Underwriting!DR137)</f>
      </c>
      <c r="DN72" s="171" t="str">
        <f>IF(DN$81="","",Underwriting!DS137)</f>
      </c>
      <c r="DO72" s="171" t="str">
        <f>IF(DO$81="","",Underwriting!DT137)</f>
      </c>
      <c r="DP72" s="171" t="str">
        <f>IF(DP$81="","",Underwriting!DU137)</f>
      </c>
      <c r="DQ72" s="171" t="str">
        <f>IF(DQ$81="","",Underwriting!DV137)</f>
      </c>
      <c r="DR72" s="171" t="str">
        <f>IF(DR$81="","",Underwriting!DW137)</f>
      </c>
      <c r="DS72" s="171" t="str">
        <f>IF(DS$81="","",Underwriting!DX137)</f>
      </c>
      <c r="DT72" s="171" t="str">
        <f>IF(DT$81="","",Underwriting!DY137)</f>
      </c>
      <c r="DU72" s="171" t="str">
        <f>IF(DU$81="","",Underwriting!DZ137)</f>
      </c>
      <c r="DV72" s="171" t="str">
        <f>IF(DV$81="","",Underwriting!EA137)</f>
      </c>
      <c r="DW72" s="171" t="str">
        <f>IF(DW$81="","",Underwriting!EB137)</f>
      </c>
      <c r="DX72" s="171" t="str">
        <f>IF(DX$81="","",Underwriting!EC137)</f>
      </c>
      <c r="DY72" s="171" t="str">
        <f>IF(DY$81="","",Underwriting!ED137)</f>
      </c>
      <c r="DZ72" s="171" t="str">
        <f>IF(DZ$81="","",Underwriting!EE137)</f>
      </c>
      <c r="EA72" s="171" t="str">
        <f>IF(EA$81="","",Underwriting!EF137)</f>
      </c>
      <c r="EB72" s="171" t="str">
        <f>IF(EB$81="","",Underwriting!EG137)</f>
      </c>
      <c r="EC72" s="171" t="str">
        <f>IF(EC$81="","",Underwriting!EH137)</f>
      </c>
      <c r="ED72" s="171" t="str">
        <f>IF(ED$81="","",Underwriting!EI137)</f>
      </c>
      <c r="EE72" s="171" t="str">
        <f>IF(EE$81="","",Underwriting!EJ137)</f>
      </c>
      <c r="EF72" s="171" t="str">
        <f>IF(EF$81="","",Underwriting!EK137)</f>
      </c>
      <c r="EG72" s="171" t="str">
        <f>IF(EG$81="","",Underwriting!EL137)</f>
      </c>
      <c r="EH72" s="171" t="str">
        <f>IF(EH$81="","",Underwriting!EM137)</f>
      </c>
      <c r="EI72" s="171" t="str">
        <f>IF(EI$81="","",Underwriting!EN137)</f>
      </c>
    </row>
    <row r="73">
      <c r="B73" s="4" t="s">
        <v>347</v>
      </c>
      <c r="C73" s="4"/>
      <c r="D73" s="4"/>
      <c r="E73" s="4"/>
      <c r="F73" s="4"/>
      <c r="G73" s="172" t="str">
        <f t="shared" ref="G73:AL73" si="53">IF(G$60="","",SUM(G69:G72))</f>
      </c>
      <c r="H73" s="172">
        <f t="shared" si="53"/>
        <v>0</v>
      </c>
      <c r="I73" s="172">
        <f t="shared" si="53"/>
        <v>0</v>
      </c>
      <c r="J73" s="172">
        <f t="shared" si="53"/>
        <v>0</v>
      </c>
      <c r="K73" s="172">
        <f t="shared" si="53"/>
        <v>0</v>
      </c>
      <c r="L73" s="172">
        <f t="shared" si="53"/>
        <v>0</v>
      </c>
      <c r="M73" s="172">
        <f t="shared" si="53"/>
        <v>0</v>
      </c>
      <c r="N73" s="172">
        <f t="shared" si="53"/>
        <v>114338.88963590557</v>
      </c>
      <c r="O73" s="172">
        <f t="shared" si="53"/>
        <v>114338.88963590557</v>
      </c>
      <c r="P73" s="172">
        <f t="shared" si="53"/>
        <v>114338.88963590557</v>
      </c>
      <c r="Q73" s="172">
        <f t="shared" si="53"/>
        <v>114338.88963590557</v>
      </c>
      <c r="R73" s="172">
        <f t="shared" si="53"/>
        <v>114338.88963590557</v>
      </c>
      <c r="S73" s="170">
        <f t="shared" si="53"/>
        <v>114338.88963590557</v>
      </c>
      <c r="T73" s="170">
        <f t="shared" si="53"/>
        <v>114338.88963590557</v>
      </c>
      <c r="U73" s="170">
        <f t="shared" si="53"/>
        <v>114338.88963590557</v>
      </c>
      <c r="V73" s="170">
        <f t="shared" si="53"/>
        <v>114338.88963590557</v>
      </c>
      <c r="W73" s="170">
        <f t="shared" si="53"/>
        <v>114338.88963590557</v>
      </c>
      <c r="X73" s="170">
        <f t="shared" si="53"/>
        <v>114338.88963590557</v>
      </c>
      <c r="Y73" s="170">
        <f t="shared" si="53"/>
        <v>114338.88963590557</v>
      </c>
      <c r="Z73" s="170">
        <f t="shared" si="53"/>
        <v>262603.75118656736</v>
      </c>
      <c r="AA73" s="170">
        <f t="shared" si="53"/>
        <v>262603.75118656736</v>
      </c>
      <c r="AB73" s="170">
        <f t="shared" si="53"/>
        <v>262603.75118656736</v>
      </c>
      <c r="AC73" s="170">
        <f t="shared" si="53"/>
        <v>262603.75118656736</v>
      </c>
      <c r="AD73" s="170">
        <f t="shared" si="53"/>
        <v>262603.75118656736</v>
      </c>
      <c r="AE73" s="170">
        <f t="shared" si="53"/>
        <v>262603.75118656736</v>
      </c>
      <c r="AF73" s="170">
        <f t="shared" si="53"/>
        <v>262603.75118656736</v>
      </c>
      <c r="AG73" s="170">
        <f t="shared" si="53"/>
        <v>262603.75118656736</v>
      </c>
      <c r="AH73" s="170">
        <f t="shared" si="53"/>
        <v>262603.75118656736</v>
      </c>
      <c r="AI73" s="170">
        <f t="shared" si="53"/>
        <v>262603.75118656736</v>
      </c>
      <c r="AJ73" s="170">
        <f t="shared" si="53"/>
        <v>262603.75118656736</v>
      </c>
      <c r="AK73" s="170">
        <f t="shared" si="53"/>
        <v>262603.75118656736</v>
      </c>
      <c r="AL73" s="170">
        <f t="shared" si="53"/>
        <v>274023.21840750036</v>
      </c>
      <c r="AM73" s="170" t="n">
        <f t="shared" ref="AM73:BR73" si="54">IF(AM$60="","",SUM(AM69:AM72))</f>
        <v>274023.21840750036</v>
      </c>
      <c r="AN73" s="170">
        <f t="shared" si="54"/>
        <v>274023.21840750036</v>
      </c>
      <c r="AO73" s="170">
        <f t="shared" si="54"/>
        <v>274023.21840750036</v>
      </c>
      <c r="AP73" s="170">
        <f t="shared" si="54"/>
        <v>274023.21840750036</v>
      </c>
      <c r="AQ73" s="170">
        <f t="shared" si="54"/>
        <v>274023.21840750036</v>
      </c>
      <c r="AR73" s="170">
        <f t="shared" si="54"/>
        <v>274023.21840750036</v>
      </c>
      <c r="AS73" s="170">
        <f t="shared" si="54"/>
        <v>274023.21840750036</v>
      </c>
      <c r="AT73" s="170">
        <f t="shared" si="54"/>
        <v>274023.21840750036</v>
      </c>
      <c r="AU73" s="170">
        <f t="shared" si="54"/>
        <v>274023.21840750036</v>
      </c>
      <c r="AV73" s="170">
        <f t="shared" si="54"/>
        <v>274023.21840750036</v>
      </c>
      <c r="AW73" s="170">
        <f t="shared" si="54"/>
        <v>274023.21840750036</v>
      </c>
      <c r="AX73" s="170">
        <f t="shared" si="54"/>
        <v>280051.06466970762</v>
      </c>
      <c r="AY73" s="170">
        <f t="shared" si="54"/>
        <v>280051.06466970762</v>
      </c>
      <c r="AZ73" s="170">
        <f t="shared" si="54"/>
        <v>280051.06466970762</v>
      </c>
      <c r="BA73" s="170">
        <f t="shared" si="54"/>
        <v>280051.06466970762</v>
      </c>
      <c r="BB73" s="170">
        <f t="shared" si="54"/>
        <v>280051.06466970762</v>
      </c>
      <c r="BC73" s="170">
        <f t="shared" si="54"/>
        <v>280051.06466970762</v>
      </c>
      <c r="BD73" s="170">
        <f t="shared" si="54"/>
        <v>280051.06466970762</v>
      </c>
      <c r="BE73" s="170">
        <f t="shared" si="54"/>
        <v>280051.06466970762</v>
      </c>
      <c r="BF73" s="170">
        <f t="shared" si="54"/>
        <v>280051.06466970762</v>
      </c>
      <c r="BG73" s="170">
        <f t="shared" si="54"/>
        <v>280051.06466970762</v>
      </c>
      <c r="BH73" s="170">
        <f t="shared" si="54"/>
        <v>280051.06466970762</v>
      </c>
      <c r="BI73" s="170">
        <f t="shared" si="54"/>
        <v>280051.06466970762</v>
      </c>
      <c r="BJ73" s="170">
        <f t="shared" si="54"/>
        <v>285541.24667862349</v>
      </c>
      <c r="BK73" s="170">
        <f t="shared" si="54"/>
        <v>285541.24667862349</v>
      </c>
      <c r="BL73" s="170">
        <f t="shared" si="54"/>
        <v>285541.24667862349</v>
      </c>
      <c r="BM73" s="170">
        <f t="shared" si="54"/>
        <v>285541.24667862349</v>
      </c>
      <c r="BN73" s="170">
        <f t="shared" si="54"/>
        <v>285541.24667862349</v>
      </c>
      <c r="BO73" s="170">
        <f t="shared" si="54"/>
        <v>285541.24667862349</v>
      </c>
      <c r="BP73" s="170">
        <f t="shared" si="54"/>
        <v>285541.24667862349</v>
      </c>
      <c r="BQ73" s="170" t="str">
        <f t="shared" si="54"/>
      </c>
      <c r="BR73" s="170" t="str">
        <f t="shared" si="54"/>
      </c>
      <c r="BS73" s="170" t="str">
        <f t="shared" ref="BS73:CX73" si="55">IF(BS$60="","",SUM(BS69:BS72))</f>
      </c>
      <c r="BT73" s="170" t="str">
        <f t="shared" si="55"/>
      </c>
      <c r="BU73" s="170" t="str">
        <f t="shared" si="55"/>
      </c>
      <c r="BV73" s="170" t="str">
        <f t="shared" si="55"/>
      </c>
      <c r="BW73" s="170" t="str">
        <f t="shared" si="55"/>
      </c>
      <c r="BX73" s="170" t="str">
        <f t="shared" si="55"/>
      </c>
      <c r="BY73" s="170" t="str">
        <f t="shared" si="55"/>
      </c>
      <c r="BZ73" s="170" t="str">
        <f t="shared" si="55"/>
      </c>
      <c r="CA73" s="170" t="str">
        <f t="shared" si="55"/>
      </c>
      <c r="CB73" s="170" t="str">
        <f t="shared" si="55"/>
      </c>
      <c r="CC73" s="170" t="str">
        <f t="shared" si="55"/>
      </c>
      <c r="CD73" s="170" t="str">
        <f t="shared" si="55"/>
      </c>
      <c r="CE73" s="170" t="str">
        <f t="shared" si="55"/>
      </c>
      <c r="CF73" s="170" t="str">
        <f t="shared" si="55"/>
      </c>
      <c r="CG73" s="170" t="str">
        <f t="shared" si="55"/>
      </c>
      <c r="CH73" s="170" t="str">
        <f t="shared" si="55"/>
      </c>
      <c r="CI73" s="170" t="str">
        <f t="shared" si="55"/>
      </c>
      <c r="CJ73" s="170" t="str">
        <f t="shared" si="55"/>
      </c>
      <c r="CK73" s="170" t="str">
        <f t="shared" si="55"/>
      </c>
      <c r="CL73" s="170" t="str">
        <f t="shared" si="55"/>
      </c>
      <c r="CM73" s="170" t="str">
        <f t="shared" si="55"/>
      </c>
      <c r="CN73" s="170" t="str">
        <f t="shared" si="55"/>
      </c>
      <c r="CO73" s="170" t="str">
        <f t="shared" si="55"/>
      </c>
      <c r="CP73" s="170" t="str">
        <f t="shared" si="55"/>
      </c>
      <c r="CQ73" s="170" t="str">
        <f t="shared" si="55"/>
      </c>
      <c r="CR73" s="170" t="str">
        <f t="shared" si="55"/>
      </c>
      <c r="CS73" s="170" t="str">
        <f t="shared" si="55"/>
      </c>
      <c r="CT73" s="170" t="str">
        <f t="shared" si="55"/>
      </c>
      <c r="CU73" s="170" t="str">
        <f t="shared" si="55"/>
      </c>
      <c r="CV73" s="170" t="str">
        <f t="shared" si="55"/>
      </c>
      <c r="CW73" s="170" t="str">
        <f t="shared" si="55"/>
      </c>
      <c r="CX73" s="170" t="str">
        <f t="shared" si="55"/>
      </c>
      <c r="CY73" s="170" t="str">
        <f t="shared" ref="CY73:ED73" si="56">IF(CY$60="","",SUM(CY69:CY72))</f>
      </c>
      <c r="CZ73" s="170" t="str">
        <f t="shared" si="56"/>
      </c>
      <c r="DA73" s="170" t="str">
        <f t="shared" si="56"/>
      </c>
      <c r="DB73" s="170" t="str">
        <f t="shared" si="56"/>
      </c>
      <c r="DC73" s="170" t="str">
        <f t="shared" si="56"/>
      </c>
      <c r="DD73" s="170" t="str">
        <f t="shared" si="56"/>
      </c>
      <c r="DE73" s="170" t="str">
        <f t="shared" si="56"/>
      </c>
      <c r="DF73" s="170" t="str">
        <f t="shared" si="56"/>
      </c>
      <c r="DG73" s="170" t="str">
        <f t="shared" si="56"/>
      </c>
      <c r="DH73" s="170" t="str">
        <f t="shared" si="56"/>
      </c>
      <c r="DI73" s="170" t="str">
        <f t="shared" si="56"/>
      </c>
      <c r="DJ73" s="170" t="str">
        <f t="shared" si="56"/>
      </c>
      <c r="DK73" s="170" t="str">
        <f t="shared" si="56"/>
      </c>
      <c r="DL73" s="170" t="str">
        <f t="shared" si="56"/>
      </c>
      <c r="DM73" s="170" t="str">
        <f t="shared" si="56"/>
      </c>
      <c r="DN73" s="170" t="str">
        <f t="shared" si="56"/>
      </c>
      <c r="DO73" s="170" t="str">
        <f t="shared" si="56"/>
      </c>
      <c r="DP73" s="170" t="str">
        <f t="shared" si="56"/>
      </c>
      <c r="DQ73" s="170" t="str">
        <f t="shared" si="56"/>
      </c>
      <c r="DR73" s="170" t="str">
        <f t="shared" si="56"/>
      </c>
      <c r="DS73" s="170" t="str">
        <f t="shared" si="56"/>
      </c>
      <c r="DT73" s="170" t="str">
        <f t="shared" si="56"/>
      </c>
      <c r="DU73" s="170" t="str">
        <f t="shared" si="56"/>
      </c>
      <c r="DV73" s="170" t="str">
        <f t="shared" si="56"/>
      </c>
      <c r="DW73" s="170" t="str">
        <f t="shared" si="56"/>
      </c>
      <c r="DX73" s="170" t="str">
        <f t="shared" si="56"/>
      </c>
      <c r="DY73" s="170" t="str">
        <f t="shared" si="56"/>
      </c>
      <c r="DZ73" s="170" t="str">
        <f t="shared" si="56"/>
      </c>
      <c r="EA73" s="170" t="str">
        <f t="shared" si="56"/>
      </c>
      <c r="EB73" s="170" t="str">
        <f t="shared" si="56"/>
      </c>
      <c r="EC73" s="170" t="str">
        <f t="shared" si="56"/>
      </c>
      <c r="ED73" s="170" t="str">
        <f t="shared" si="56"/>
      </c>
      <c r="EE73" s="170" t="str">
        <f t="shared" ref="EE73:EI73" si="57">IF(EE$60="","",SUM(EE69:EE72))</f>
      </c>
      <c r="EF73" s="170" t="str">
        <f t="shared" si="57"/>
      </c>
      <c r="EG73" s="170" t="str">
        <f t="shared" si="57"/>
      </c>
      <c r="EH73" s="170" t="str">
        <f t="shared" si="57"/>
      </c>
      <c r="EI73" s="170" t="str">
        <f t="shared" si="57"/>
      </c>
    </row>
    <row r="74">
      <c r="B74" s="4"/>
      <c r="C74" s="4"/>
      <c r="D74" s="4"/>
      <c r="E74" s="4"/>
      <c r="F74" s="4"/>
      <c r="G74" s="172"/>
      <c r="H74" s="172"/>
      <c r="I74" s="172"/>
      <c r="J74" s="172"/>
      <c r="K74" s="172"/>
      <c r="L74" s="172"/>
      <c r="M74" s="172"/>
      <c r="N74" s="172"/>
      <c r="O74" s="172"/>
      <c r="P74" s="172"/>
      <c r="Q74" s="172"/>
      <c r="R74" s="172"/>
      <c r="S74" s="170"/>
      <c r="T74" s="170"/>
      <c r="U74" s="170"/>
      <c r="V74" s="170"/>
      <c r="W74" s="170"/>
      <c r="X74" s="170"/>
      <c r="Y74" s="170"/>
      <c r="Z74" s="170"/>
      <c r="AA74" s="170"/>
      <c r="AB74" s="170"/>
      <c r="AC74" s="170"/>
      <c r="AD74" s="170"/>
      <c r="AE74" s="170"/>
      <c r="AF74" s="170"/>
      <c r="AG74" s="170"/>
      <c r="AH74" s="170"/>
      <c r="AI74" s="170"/>
      <c r="AJ74" s="170"/>
      <c r="AK74" s="170"/>
      <c r="AL74" s="170"/>
      <c r="AM74" s="170"/>
      <c r="AN74" s="170"/>
      <c r="AO74" s="170"/>
      <c r="AP74" s="170"/>
      <c r="AQ74" s="170"/>
      <c r="AR74" s="170"/>
      <c r="AS74" s="170"/>
      <c r="AT74" s="170"/>
      <c r="AU74" s="170"/>
      <c r="AV74" s="170"/>
      <c r="AW74" s="170"/>
      <c r="AX74" s="170"/>
      <c r="AY74" s="170"/>
      <c r="AZ74" s="170"/>
      <c r="BA74" s="170"/>
      <c r="BB74" s="170"/>
      <c r="BC74" s="170"/>
      <c r="BD74" s="170"/>
      <c r="BE74" s="170"/>
      <c r="BF74" s="170"/>
      <c r="BG74" s="170"/>
      <c r="BH74" s="170"/>
      <c r="BI74" s="170"/>
      <c r="BJ74" s="170"/>
      <c r="BK74" s="170"/>
      <c r="BL74" s="170"/>
      <c r="BM74" s="170"/>
      <c r="BN74" s="170"/>
      <c r="BO74" s="170"/>
      <c r="BP74" s="170"/>
      <c r="BQ74" s="170"/>
      <c r="BR74" s="170"/>
      <c r="BS74" s="170"/>
      <c r="BT74" s="170"/>
      <c r="BU74" s="170"/>
      <c r="BV74" s="170"/>
      <c r="BW74" s="170"/>
      <c r="BX74" s="170"/>
      <c r="BY74" s="170"/>
      <c r="BZ74" s="170"/>
      <c r="CA74" s="170"/>
      <c r="CB74" s="170"/>
      <c r="CC74" s="170"/>
      <c r="CD74" s="170"/>
      <c r="CE74" s="170"/>
      <c r="CF74" s="170"/>
      <c r="CG74" s="170"/>
      <c r="CH74" s="170"/>
      <c r="CI74" s="170"/>
      <c r="CJ74" s="170"/>
      <c r="CK74" s="170"/>
      <c r="CL74" s="170"/>
      <c r="CM74" s="170"/>
      <c r="CN74" s="170"/>
      <c r="CO74" s="170"/>
      <c r="CP74" s="170"/>
      <c r="CQ74" s="170"/>
      <c r="CR74" s="170"/>
      <c r="CS74" s="170"/>
      <c r="CT74" s="170"/>
      <c r="CU74" s="170"/>
      <c r="CV74" s="170"/>
      <c r="CW74" s="170"/>
      <c r="CX74" s="170"/>
      <c r="CY74" s="170"/>
      <c r="CZ74" s="170"/>
      <c r="DA74" s="170"/>
      <c r="DB74" s="170"/>
      <c r="DC74" s="170"/>
      <c r="DD74" s="170"/>
      <c r="DE74" s="170"/>
      <c r="DF74" s="170"/>
      <c r="DG74" s="170"/>
      <c r="DH74" s="170"/>
      <c r="DI74" s="170"/>
      <c r="DJ74" s="170"/>
      <c r="DK74" s="170"/>
      <c r="DL74" s="170"/>
      <c r="DM74" s="170"/>
      <c r="DN74" s="170"/>
      <c r="DO74" s="170"/>
      <c r="DP74" s="170"/>
      <c r="DQ74" s="170"/>
      <c r="DR74" s="170"/>
      <c r="DS74" s="170"/>
      <c r="DT74" s="170"/>
      <c r="DU74" s="170"/>
      <c r="DV74" s="170"/>
      <c r="DW74" s="170"/>
      <c r="DX74" s="170"/>
      <c r="DY74" s="170"/>
      <c r="DZ74" s="170"/>
      <c r="EA74" s="170"/>
      <c r="EB74" s="170"/>
      <c r="EC74" s="170"/>
      <c r="ED74" s="170"/>
      <c r="EE74" s="170"/>
      <c r="EF74" s="170"/>
      <c r="EG74" s="170"/>
      <c r="EH74" s="170"/>
      <c r="EI74" s="170"/>
    </row>
    <row r="75">
      <c r="B75" s="4" t="s">
        <v>348</v>
      </c>
      <c r="C75" s="4"/>
      <c r="D75" s="4"/>
      <c r="E75" s="4"/>
      <c r="F75" s="4"/>
      <c r="G75" s="172" t="str">
        <f t="shared" ref="G75:AL75" si="58">IF(G$60="","",G66-G73)</f>
      </c>
      <c r="H75" s="172">
        <f t="shared" si="58"/>
        <v>0</v>
      </c>
      <c r="I75" s="172">
        <f t="shared" si="58"/>
        <v>0</v>
      </c>
      <c r="J75" s="172">
        <f t="shared" si="58"/>
        <v>0</v>
      </c>
      <c r="K75" s="172">
        <f t="shared" si="58"/>
        <v>0</v>
      </c>
      <c r="L75" s="172">
        <f t="shared" si="58"/>
        <v>0</v>
      </c>
      <c r="M75" s="172">
        <f t="shared" si="58"/>
        <v>0</v>
      </c>
      <c r="N75" s="172">
        <f t="shared" si="58"/>
        <v>585807.05234234873</v>
      </c>
      <c r="O75" s="172">
        <f t="shared" si="58"/>
        <v>585807.05234234873</v>
      </c>
      <c r="P75" s="172">
        <f t="shared" si="58"/>
        <v>585807.05234234873</v>
      </c>
      <c r="Q75" s="172">
        <f t="shared" si="58"/>
        <v>585807.05234234873</v>
      </c>
      <c r="R75" s="172">
        <f t="shared" si="58"/>
        <v>585807.05234234873</v>
      </c>
      <c r="S75" s="170">
        <f t="shared" si="58"/>
        <v>585807.05234234873</v>
      </c>
      <c r="T75" s="170">
        <f t="shared" si="58"/>
        <v>585807.05234234873</v>
      </c>
      <c r="U75" s="170">
        <f t="shared" si="58"/>
        <v>585807.05234234873</v>
      </c>
      <c r="V75" s="170">
        <f t="shared" si="58"/>
        <v>585807.05234234873</v>
      </c>
      <c r="W75" s="170">
        <f t="shared" si="58"/>
        <v>585807.05234234873</v>
      </c>
      <c r="X75" s="170">
        <f t="shared" si="58"/>
        <v>585807.05234234873</v>
      </c>
      <c r="Y75" s="170">
        <f t="shared" si="58"/>
        <v>585807.05234234873</v>
      </c>
      <c r="Z75" s="170">
        <f t="shared" si="58"/>
        <v>3493551.9779534517</v>
      </c>
      <c r="AA75" s="170">
        <f t="shared" si="58"/>
        <v>3493551.9779534517</v>
      </c>
      <c r="AB75" s="170">
        <f t="shared" si="58"/>
        <v>3493551.9779534517</v>
      </c>
      <c r="AC75" s="170">
        <f t="shared" si="58"/>
        <v>4282314.2781650471</v>
      </c>
      <c r="AD75" s="170">
        <f t="shared" si="58"/>
        <v>4282314.2781650471</v>
      </c>
      <c r="AE75" s="170">
        <f t="shared" si="58"/>
        <v>4282314.2781650471</v>
      </c>
      <c r="AF75" s="170">
        <f t="shared" si="58"/>
        <v>4587843.0047824392</v>
      </c>
      <c r="AG75" s="170">
        <f t="shared" si="58"/>
        <v>4587843.0047824392</v>
      </c>
      <c r="AH75" s="170">
        <f t="shared" si="58"/>
        <v>4587843.0047824392</v>
      </c>
      <c r="AI75" s="170">
        <f t="shared" si="58"/>
        <v>4775925.8053659182</v>
      </c>
      <c r="AJ75" s="170">
        <f t="shared" si="58"/>
        <v>4775925.8053659182</v>
      </c>
      <c r="AK75" s="170">
        <f t="shared" si="58"/>
        <v>4783530.2890448924</v>
      </c>
      <c r="AL75" s="170">
        <f t="shared" si="58"/>
        <v>5325002.2596516162</v>
      </c>
      <c r="AM75" s="170" t="n">
        <f t="shared" ref="AM75:BR75" si="59">IF(AM$60="","",AM66-AM73)</f>
        <v>5325002.259651616</v>
      </c>
      <c r="AN75" s="170">
        <f t="shared" si="59"/>
        <v>5325002.2596516162</v>
      </c>
      <c r="AO75" s="170">
        <f t="shared" si="59"/>
        <v>5450541.4642952997</v>
      </c>
      <c r="AP75" s="170">
        <f t="shared" si="59"/>
        <v>5450541.4642952997</v>
      </c>
      <c r="AQ75" s="170">
        <f t="shared" si="59"/>
        <v>5450541.4642952997</v>
      </c>
      <c r="AR75" s="170">
        <f t="shared" si="59"/>
        <v>5458124.7976286337</v>
      </c>
      <c r="AS75" s="170">
        <f t="shared" si="59"/>
        <v>5458124.7976286337</v>
      </c>
      <c r="AT75" s="170">
        <f t="shared" si="59"/>
        <v>5458124.7976286337</v>
      </c>
      <c r="AU75" s="170">
        <f t="shared" si="59"/>
        <v>5464444.573663977</v>
      </c>
      <c r="AV75" s="170">
        <f t="shared" si="59"/>
        <v>5464444.573663977</v>
      </c>
      <c r="AW75" s="170">
        <f t="shared" si="59"/>
        <v>5464444.573663977</v>
      </c>
      <c r="AX75" s="170">
        <f t="shared" si="59"/>
        <v>5628566.581746445</v>
      </c>
      <c r="AY75" s="170">
        <f t="shared" si="59"/>
        <v>5628566.581746445</v>
      </c>
      <c r="AZ75" s="170">
        <f t="shared" si="59"/>
        <v>5628566.581746445</v>
      </c>
      <c r="BA75" s="170">
        <f t="shared" si="59"/>
        <v>5657706.998413112</v>
      </c>
      <c r="BB75" s="170">
        <f t="shared" si="59"/>
        <v>5657706.998413112</v>
      </c>
      <c r="BC75" s="170">
        <f t="shared" si="59"/>
        <v>5657706.998413112</v>
      </c>
      <c r="BD75" s="170">
        <f t="shared" si="59"/>
        <v>5665555.748413112</v>
      </c>
      <c r="BE75" s="170">
        <f t="shared" si="59"/>
        <v>5665555.748413112</v>
      </c>
      <c r="BF75" s="170">
        <f t="shared" si="59"/>
        <v>5665555.748413112</v>
      </c>
      <c r="BG75" s="170">
        <f t="shared" si="59"/>
        <v>5671864.935913112</v>
      </c>
      <c r="BH75" s="170">
        <f t="shared" si="59"/>
        <v>5671864.935913112</v>
      </c>
      <c r="BI75" s="170">
        <f t="shared" si="59"/>
        <v>5671864.935913112</v>
      </c>
      <c r="BJ75" s="170">
        <f t="shared" si="59"/>
        <v>5820410.1917853737</v>
      </c>
      <c r="BK75" s="170">
        <f t="shared" si="59"/>
        <v>5820410.1917853737</v>
      </c>
      <c r="BL75" s="170">
        <f t="shared" si="59"/>
        <v>5820410.1917853737</v>
      </c>
      <c r="BM75" s="170">
        <f t="shared" si="59"/>
        <v>5850570.5230353735</v>
      </c>
      <c r="BN75" s="170">
        <f t="shared" si="59"/>
        <v>5850570.5230353735</v>
      </c>
      <c r="BO75" s="170">
        <f t="shared" si="59"/>
        <v>5850570.5230353735</v>
      </c>
      <c r="BP75" s="170">
        <f t="shared" si="59"/>
        <v>5858693.9792853734</v>
      </c>
      <c r="BQ75" s="170" t="str">
        <f t="shared" si="59"/>
      </c>
      <c r="BR75" s="170" t="str">
        <f t="shared" si="59"/>
      </c>
      <c r="BS75" s="170" t="str">
        <f t="shared" ref="BS75:CX75" si="60">IF(BS$60="","",BS66-BS73)</f>
      </c>
      <c r="BT75" s="170" t="str">
        <f t="shared" si="60"/>
      </c>
      <c r="BU75" s="170" t="str">
        <f t="shared" si="60"/>
      </c>
      <c r="BV75" s="170" t="str">
        <f t="shared" si="60"/>
      </c>
      <c r="BW75" s="170" t="str">
        <f t="shared" si="60"/>
      </c>
      <c r="BX75" s="170" t="str">
        <f t="shared" si="60"/>
      </c>
      <c r="BY75" s="170" t="str">
        <f t="shared" si="60"/>
      </c>
      <c r="BZ75" s="170" t="str">
        <f t="shared" si="60"/>
      </c>
      <c r="CA75" s="170" t="str">
        <f t="shared" si="60"/>
      </c>
      <c r="CB75" s="170" t="str">
        <f t="shared" si="60"/>
      </c>
      <c r="CC75" s="170" t="str">
        <f t="shared" si="60"/>
      </c>
      <c r="CD75" s="170" t="str">
        <f t="shared" si="60"/>
      </c>
      <c r="CE75" s="170" t="str">
        <f t="shared" si="60"/>
      </c>
      <c r="CF75" s="170" t="str">
        <f t="shared" si="60"/>
      </c>
      <c r="CG75" s="170" t="str">
        <f t="shared" si="60"/>
      </c>
      <c r="CH75" s="170" t="str">
        <f t="shared" si="60"/>
      </c>
      <c r="CI75" s="170" t="str">
        <f t="shared" si="60"/>
      </c>
      <c r="CJ75" s="170" t="str">
        <f t="shared" si="60"/>
      </c>
      <c r="CK75" s="170" t="str">
        <f t="shared" si="60"/>
      </c>
      <c r="CL75" s="170" t="str">
        <f t="shared" si="60"/>
      </c>
      <c r="CM75" s="170" t="str">
        <f t="shared" si="60"/>
      </c>
      <c r="CN75" s="170" t="str">
        <f t="shared" si="60"/>
      </c>
      <c r="CO75" s="170" t="str">
        <f t="shared" si="60"/>
      </c>
      <c r="CP75" s="170" t="str">
        <f t="shared" si="60"/>
      </c>
      <c r="CQ75" s="170" t="str">
        <f t="shared" si="60"/>
      </c>
      <c r="CR75" s="170" t="str">
        <f t="shared" si="60"/>
      </c>
      <c r="CS75" s="170" t="str">
        <f t="shared" si="60"/>
      </c>
      <c r="CT75" s="170" t="str">
        <f t="shared" si="60"/>
      </c>
      <c r="CU75" s="170" t="str">
        <f t="shared" si="60"/>
      </c>
      <c r="CV75" s="170" t="str">
        <f t="shared" si="60"/>
      </c>
      <c r="CW75" s="170" t="str">
        <f t="shared" si="60"/>
      </c>
      <c r="CX75" s="170" t="str">
        <f t="shared" si="60"/>
      </c>
      <c r="CY75" s="170" t="str">
        <f t="shared" ref="CY75:EI75" si="61">IF(CY$60="","",CY66-CY73)</f>
      </c>
      <c r="CZ75" s="170" t="str">
        <f t="shared" si="61"/>
      </c>
      <c r="DA75" s="170" t="str">
        <f t="shared" si="61"/>
      </c>
      <c r="DB75" s="170" t="str">
        <f t="shared" si="61"/>
      </c>
      <c r="DC75" s="170" t="str">
        <f t="shared" si="61"/>
      </c>
      <c r="DD75" s="170" t="str">
        <f t="shared" si="61"/>
      </c>
      <c r="DE75" s="170" t="str">
        <f t="shared" si="61"/>
      </c>
      <c r="DF75" s="170" t="str">
        <f t="shared" si="61"/>
      </c>
      <c r="DG75" s="170" t="str">
        <f t="shared" si="61"/>
      </c>
      <c r="DH75" s="170" t="str">
        <f t="shared" si="61"/>
      </c>
      <c r="DI75" s="170" t="str">
        <f t="shared" si="61"/>
      </c>
      <c r="DJ75" s="170" t="str">
        <f t="shared" si="61"/>
      </c>
      <c r="DK75" s="170" t="str">
        <f t="shared" si="61"/>
      </c>
      <c r="DL75" s="170" t="str">
        <f t="shared" si="61"/>
      </c>
      <c r="DM75" s="170" t="str">
        <f t="shared" si="61"/>
      </c>
      <c r="DN75" s="170" t="str">
        <f t="shared" si="61"/>
      </c>
      <c r="DO75" s="170" t="str">
        <f t="shared" si="61"/>
      </c>
      <c r="DP75" s="170" t="str">
        <f t="shared" si="61"/>
      </c>
      <c r="DQ75" s="170" t="str">
        <f t="shared" si="61"/>
      </c>
      <c r="DR75" s="170" t="str">
        <f t="shared" si="61"/>
      </c>
      <c r="DS75" s="170" t="str">
        <f t="shared" si="61"/>
      </c>
      <c r="DT75" s="170" t="str">
        <f t="shared" si="61"/>
      </c>
      <c r="DU75" s="170" t="str">
        <f t="shared" si="61"/>
      </c>
      <c r="DV75" s="170" t="str">
        <f t="shared" si="61"/>
      </c>
      <c r="DW75" s="170" t="str">
        <f t="shared" si="61"/>
      </c>
      <c r="DX75" s="170" t="str">
        <f t="shared" si="61"/>
      </c>
      <c r="DY75" s="170" t="str">
        <f t="shared" si="61"/>
      </c>
      <c r="DZ75" s="170" t="str">
        <f t="shared" si="61"/>
      </c>
      <c r="EA75" s="170" t="str">
        <f t="shared" si="61"/>
      </c>
      <c r="EB75" s="170" t="str">
        <f t="shared" si="61"/>
      </c>
      <c r="EC75" s="170" t="str">
        <f t="shared" si="61"/>
      </c>
      <c r="ED75" s="170" t="str">
        <f t="shared" si="61"/>
      </c>
      <c r="EE75" s="170" t="str">
        <f t="shared" si="61"/>
      </c>
      <c r="EF75" s="170" t="str">
        <f t="shared" si="61"/>
      </c>
      <c r="EG75" s="170" t="str">
        <f t="shared" si="61"/>
      </c>
      <c r="EH75" s="170" t="str">
        <f t="shared" si="61"/>
      </c>
      <c r="EI75" s="170" t="str">
        <f t="shared" si="61"/>
      </c>
    </row>
    <row r="76">
      <c r="B76" s="4"/>
      <c r="C76" s="4"/>
      <c r="D76" s="4"/>
      <c r="E76" s="4"/>
      <c r="F76" s="4"/>
      <c r="G76" s="172"/>
      <c r="H76" s="172"/>
      <c r="I76" s="172"/>
      <c r="J76" s="172"/>
      <c r="K76" s="172"/>
      <c r="L76" s="172"/>
      <c r="M76" s="172"/>
      <c r="N76" s="172"/>
      <c r="O76" s="172"/>
      <c r="P76" s="172"/>
      <c r="Q76" s="172"/>
      <c r="R76" s="172"/>
      <c r="S76" s="170"/>
      <c r="T76" s="170"/>
      <c r="U76" s="170"/>
      <c r="V76" s="170"/>
      <c r="W76" s="170"/>
      <c r="X76" s="170"/>
      <c r="Y76" s="170"/>
      <c r="Z76" s="170"/>
      <c r="AA76" s="170"/>
      <c r="AB76" s="170"/>
      <c r="AC76" s="170"/>
      <c r="AD76" s="170"/>
      <c r="AE76" s="170"/>
      <c r="AF76" s="170"/>
      <c r="AG76" s="170"/>
      <c r="AH76" s="170"/>
      <c r="AI76" s="170"/>
      <c r="AJ76" s="170"/>
      <c r="AK76" s="170"/>
      <c r="AL76" s="170"/>
      <c r="AM76" s="170"/>
      <c r="AN76" s="170"/>
      <c r="AO76" s="170"/>
      <c r="AP76" s="170"/>
      <c r="AQ76" s="170"/>
      <c r="AR76" s="170"/>
      <c r="AS76" s="170"/>
      <c r="AT76" s="170"/>
      <c r="AU76" s="170"/>
      <c r="AV76" s="170"/>
      <c r="AW76" s="170"/>
      <c r="AX76" s="170"/>
      <c r="AY76" s="170"/>
      <c r="AZ76" s="170"/>
      <c r="BA76" s="170"/>
      <c r="BB76" s="170"/>
      <c r="BC76" s="170"/>
      <c r="BD76" s="170"/>
      <c r="BE76" s="170"/>
      <c r="BF76" s="170"/>
      <c r="BG76" s="170"/>
      <c r="BH76" s="170"/>
      <c r="BI76" s="170"/>
      <c r="BJ76" s="170"/>
      <c r="BK76" s="170"/>
      <c r="BL76" s="170"/>
      <c r="BM76" s="170"/>
      <c r="BN76" s="170"/>
      <c r="BO76" s="170"/>
      <c r="BP76" s="170"/>
      <c r="BQ76" s="170"/>
      <c r="BR76" s="170"/>
      <c r="BS76" s="170"/>
      <c r="BT76" s="170"/>
      <c r="BU76" s="170"/>
      <c r="BV76" s="170"/>
      <c r="BW76" s="170"/>
      <c r="BX76" s="170"/>
      <c r="BY76" s="170"/>
      <c r="BZ76" s="170"/>
      <c r="CA76" s="170"/>
      <c r="CB76" s="170"/>
      <c r="CC76" s="170"/>
      <c r="CD76" s="170"/>
      <c r="CE76" s="170"/>
      <c r="CF76" s="170"/>
      <c r="CG76" s="170"/>
      <c r="CH76" s="170"/>
      <c r="CI76" s="170"/>
      <c r="CJ76" s="170"/>
      <c r="CK76" s="170"/>
      <c r="CL76" s="170"/>
      <c r="CM76" s="170"/>
      <c r="CN76" s="170"/>
      <c r="CO76" s="170"/>
      <c r="CP76" s="170"/>
      <c r="CQ76" s="170"/>
      <c r="CR76" s="170"/>
      <c r="CS76" s="170"/>
      <c r="CT76" s="170"/>
      <c r="CU76" s="170"/>
      <c r="CV76" s="170"/>
      <c r="CW76" s="170"/>
      <c r="CX76" s="170"/>
      <c r="CY76" s="170"/>
      <c r="CZ76" s="170"/>
      <c r="DA76" s="170"/>
      <c r="DB76" s="170"/>
      <c r="DC76" s="170"/>
      <c r="DD76" s="170"/>
      <c r="DE76" s="170"/>
      <c r="DF76" s="170"/>
      <c r="DG76" s="170"/>
      <c r="DH76" s="170"/>
      <c r="DI76" s="170"/>
      <c r="DJ76" s="170"/>
      <c r="DK76" s="170"/>
      <c r="DL76" s="170"/>
      <c r="DM76" s="170"/>
      <c r="DN76" s="170"/>
      <c r="DO76" s="170"/>
      <c r="DP76" s="170"/>
      <c r="DQ76" s="170"/>
      <c r="DR76" s="170"/>
      <c r="DS76" s="170"/>
      <c r="DT76" s="170"/>
      <c r="DU76" s="170"/>
      <c r="DV76" s="170"/>
      <c r="DW76" s="170"/>
      <c r="DX76" s="170"/>
      <c r="DY76" s="170"/>
      <c r="DZ76" s="170"/>
      <c r="EA76" s="170"/>
      <c r="EB76" s="170"/>
      <c r="EC76" s="170"/>
      <c r="ED76" s="170"/>
      <c r="EE76" s="170"/>
      <c r="EF76" s="170"/>
      <c r="EG76" s="170"/>
      <c r="EH76" s="170"/>
      <c r="EI76" s="170"/>
    </row>
    <row r="77">
      <c r="B77" s="4" t="s">
        <v>293</v>
      </c>
      <c r="C77" s="4"/>
      <c r="D77" s="4"/>
      <c r="E77" s="4"/>
      <c r="F77" s="4"/>
      <c r="G77" s="172" t="str">
        <f>IF(G$60="","",Underwriting!L153)</f>
      </c>
      <c r="H77" s="172" t="n">
        <f>IF(H$60="","",Underwriting!M153)</f>
        <v>0</v>
      </c>
      <c r="I77" s="172" t="n">
        <f>IF(I$60="","",Underwriting!N153)</f>
        <v>0</v>
      </c>
      <c r="J77" s="172" t="n">
        <f>IF(J$60="","",Underwriting!O153)</f>
        <v>0</v>
      </c>
      <c r="K77" s="172" t="n">
        <f>IF(K$60="","",Underwriting!P153)</f>
        <v>0</v>
      </c>
      <c r="L77" s="172" t="n">
        <f>IF(L$60="","",Underwriting!Q153)</f>
        <v>0</v>
      </c>
      <c r="M77" s="172" t="n">
        <f>IF(M$60="","",Underwriting!R153)</f>
        <v>0</v>
      </c>
      <c r="N77" s="172" t="n">
        <f>IF(N$60="","",Underwriting!S153)</f>
        <v>0</v>
      </c>
      <c r="O77" s="172" t="n">
        <f>IF(O$60="","",Underwriting!T153)</f>
        <v>0</v>
      </c>
      <c r="P77" s="172" t="n">
        <f>IF(P$60="","",Underwriting!U153)</f>
        <v>0</v>
      </c>
      <c r="Q77" s="172" t="n">
        <f>IF(Q$60="","",Underwriting!V153)</f>
        <v>0</v>
      </c>
      <c r="R77" s="172" t="n">
        <f>IF(R$60="","",Underwriting!W153)</f>
        <v>0</v>
      </c>
      <c r="S77" s="170" t="n">
        <f>IF(S$60="","",Underwriting!X153)</f>
        <v>0</v>
      </c>
      <c r="T77" s="170" t="n">
        <f>IF(T$60="","",Underwriting!Y153)</f>
        <v>0</v>
      </c>
      <c r="U77" s="170" t="n">
        <f>IF(U$60="","",Underwriting!Z153)</f>
        <v>0</v>
      </c>
      <c r="V77" s="170" t="n">
        <f>IF(V$60="","",Underwriting!AA153)</f>
        <v>0</v>
      </c>
      <c r="W77" s="170" t="n">
        <f>IF(W$60="","",Underwriting!AB153)</f>
        <v>0</v>
      </c>
      <c r="X77" s="170" t="n">
        <f>IF(X$60="","",Underwriting!AC153)</f>
        <v>0</v>
      </c>
      <c r="Y77" s="170" t="n">
        <f>IF(Y$60="","",Underwriting!AD153)</f>
        <v>0</v>
      </c>
      <c r="Z77" s="170" t="n">
        <f>IF(Z$60="","",Underwriting!AE153)</f>
        <v>0</v>
      </c>
      <c r="AA77" s="170" t="n">
        <f>IF(AA$60="","",Underwriting!AF153)</f>
        <v>0</v>
      </c>
      <c r="AB77" s="170" t="n">
        <f>IF(AB$60="","",Underwriting!AG153)</f>
        <v>0</v>
      </c>
      <c r="AC77" s="170" t="n">
        <f>IF(AC$60="","",Underwriting!AH153)</f>
        <v>0</v>
      </c>
      <c r="AD77" s="170" t="n">
        <f>IF(AD$60="","",Underwriting!AI153)</f>
        <v>0</v>
      </c>
      <c r="AE77" s="170" t="n">
        <f>IF(AE$60="","",Underwriting!AJ153)</f>
        <v>0</v>
      </c>
      <c r="AF77" s="170" t="n">
        <f>IF(AF$60="","",Underwriting!AK153)</f>
        <v>0</v>
      </c>
      <c r="AG77" s="170" t="n">
        <f>IF(AG$60="","",Underwriting!AL153)</f>
        <v>0</v>
      </c>
      <c r="AH77" s="170" t="n">
        <f>IF(AH$60="","",Underwriting!AM153)</f>
        <v>0</v>
      </c>
      <c r="AI77" s="170" t="n">
        <f>IF(AI$60="","",Underwriting!AN153)</f>
        <v>0</v>
      </c>
      <c r="AJ77" s="170" t="n">
        <f>IF(AJ$60="","",Underwriting!AO153)</f>
        <v>0</v>
      </c>
      <c r="AK77" s="170" t="n">
        <f>IF(AK$60="","",Underwriting!AP153)</f>
        <v>0</v>
      </c>
      <c r="AL77" s="170" t="n">
        <f>IF(AL$60="","",Underwriting!AQ153)</f>
        <v>0</v>
      </c>
      <c r="AM77" s="170" t="n">
        <f>IF(AM$60="","",Underwriting!AR153)</f>
        <v>0</v>
      </c>
      <c r="AN77" s="170" t="n">
        <f>IF(AN$60="","",Underwriting!AS153)</f>
        <v>0</v>
      </c>
      <c r="AO77" s="170" t="n">
        <f>IF(AO$60="","",Underwriting!AT153)</f>
        <v>0</v>
      </c>
      <c r="AP77" s="170" t="n">
        <f>IF(AP$60="","",Underwriting!AU153)</f>
        <v>0</v>
      </c>
      <c r="AQ77" s="170" t="n">
        <f>IF(AQ$60="","",Underwriting!AV153)</f>
        <v>0</v>
      </c>
      <c r="AR77" s="170" t="n">
        <f>IF(AR$60="","",Underwriting!AW153)</f>
        <v>88613.13479166667</v>
      </c>
      <c r="AS77" s="170" t="n">
        <f>IF(AS$60="","",Underwriting!AX153)</f>
        <v>88613.13479166667</v>
      </c>
      <c r="AT77" s="170" t="n">
        <f>IF(AT$60="","",Underwriting!AY153)</f>
        <v>88613.13479166667</v>
      </c>
      <c r="AU77" s="170" t="n">
        <f>IF(AU$60="","",Underwriting!AZ153)</f>
        <v>88613.13479166667</v>
      </c>
      <c r="AV77" s="170" t="n">
        <f>IF(AV$60="","",Underwriting!BA153)</f>
        <v>88613.13479166667</v>
      </c>
      <c r="AW77" s="170" t="n">
        <f>IF(AW$60="","",Underwriting!BB153)</f>
        <v>88613.13479166667</v>
      </c>
      <c r="AX77" s="170" t="n">
        <f>IF(AX$60="","",Underwriting!BC153)</f>
        <v>88613.13479166667</v>
      </c>
      <c r="AY77" s="170" t="n">
        <f>IF(AY$60="","",Underwriting!BD153)</f>
        <v>88613.13479166667</v>
      </c>
      <c r="AZ77" s="170" t="n">
        <f>IF(AZ$60="","",Underwriting!BE153)</f>
        <v>88613.13479166667</v>
      </c>
      <c r="BA77" s="170" t="n">
        <f>IF(BA$60="","",Underwriting!BF153)</f>
        <v>88613.13479166667</v>
      </c>
      <c r="BB77" s="170" t="n">
        <f>IF(BB$60="","",Underwriting!BG153)</f>
        <v>88613.13479166667</v>
      </c>
      <c r="BC77" s="170" t="n">
        <f>IF(BC$60="","",Underwriting!BH153)</f>
        <v>88613.13479166667</v>
      </c>
      <c r="BD77" s="170" t="n">
        <f>IF(BD$60="","",Underwriting!BI153)</f>
        <v>90385.39748750001</v>
      </c>
      <c r="BE77" s="170" t="n">
        <f>IF(BE$60="","",Underwriting!BJ153)</f>
        <v>90385.39748750001</v>
      </c>
      <c r="BF77" s="170" t="n">
        <f>IF(BF$60="","",Underwriting!BK153)</f>
        <v>90385.39748750001</v>
      </c>
      <c r="BG77" s="170" t="n">
        <f>IF(BG$60="","",Underwriting!BL153)</f>
        <v>90385.39748750001</v>
      </c>
      <c r="BH77" s="170" t="n">
        <f>IF(BH$60="","",Underwriting!BM153)</f>
        <v>90385.39748750001</v>
      </c>
      <c r="BI77" s="170" t="n">
        <f>IF(BI$60="","",Underwriting!BN153)</f>
        <v>90385.39748750001</v>
      </c>
      <c r="BJ77" s="170" t="n">
        <f>IF(BJ$60="","",Underwriting!BO153)</f>
        <v>90385.39748750001</v>
      </c>
      <c r="BK77" s="170" t="n">
        <f>IF(BK$60="","",Underwriting!BP153)</f>
        <v>90385.39748750001</v>
      </c>
      <c r="BL77" s="170" t="n">
        <f>IF(BL$60="","",Underwriting!BQ153)</f>
        <v>90385.39748750001</v>
      </c>
      <c r="BM77" s="170" t="n">
        <f>IF(BM$60="","",Underwriting!BR153)</f>
        <v>90385.39748750001</v>
      </c>
      <c r="BN77" s="170" t="n">
        <f>IF(BN$60="","",Underwriting!BS153)</f>
        <v>90385.39748750001</v>
      </c>
      <c r="BO77" s="170" t="n">
        <f>IF(BO$60="","",Underwriting!BT153)</f>
        <v>90385.39748750001</v>
      </c>
      <c r="BP77" s="170" t="n">
        <f>IF(BP$60="","",Underwriting!BU153)</f>
        <v>92193.10543725001</v>
      </c>
      <c r="BQ77" s="170" t="str">
        <f>IF(BQ$60="","",Underwriting!BV153)</f>
      </c>
      <c r="BR77" s="170" t="str">
        <f>IF(BR$60="","",Underwriting!BW153)</f>
      </c>
      <c r="BS77" s="170" t="str">
        <f>IF(BS$60="","",Underwriting!BX153)</f>
      </c>
      <c r="BT77" s="170" t="str">
        <f>IF(BT$60="","",Underwriting!BY153)</f>
      </c>
      <c r="BU77" s="170" t="str">
        <f>IF(BU$60="","",Underwriting!BZ153)</f>
      </c>
      <c r="BV77" s="170" t="str">
        <f>IF(BV$60="","",Underwriting!CA153)</f>
      </c>
      <c r="BW77" s="170" t="str">
        <f>IF(BW$60="","",Underwriting!CB153)</f>
      </c>
      <c r="BX77" s="170" t="str">
        <f>IF(BX$60="","",Underwriting!CC153)</f>
      </c>
      <c r="BY77" s="170" t="str">
        <f>IF(BY$60="","",Underwriting!CD153)</f>
      </c>
      <c r="BZ77" s="170" t="str">
        <f>IF(BZ$60="","",Underwriting!CE153)</f>
      </c>
      <c r="CA77" s="170" t="str">
        <f>IF(CA$60="","",Underwriting!CF153)</f>
      </c>
      <c r="CB77" s="170" t="str">
        <f>IF(CB$60="","",Underwriting!CG153)</f>
      </c>
      <c r="CC77" s="170" t="str">
        <f>IF(CC$60="","",Underwriting!CH153)</f>
      </c>
      <c r="CD77" s="170" t="str">
        <f>IF(CD$60="","",Underwriting!CI153)</f>
      </c>
      <c r="CE77" s="170" t="str">
        <f>IF(CE$60="","",Underwriting!CJ153)</f>
      </c>
      <c r="CF77" s="170" t="str">
        <f>IF(CF$60="","",Underwriting!CK153)</f>
      </c>
      <c r="CG77" s="170" t="str">
        <f>IF(CG$60="","",Underwriting!CL153)</f>
      </c>
      <c r="CH77" s="170" t="str">
        <f>IF(CH$60="","",Underwriting!CM153)</f>
      </c>
      <c r="CI77" s="170" t="str">
        <f>IF(CI$60="","",Underwriting!CN153)</f>
      </c>
      <c r="CJ77" s="170" t="str">
        <f>IF(CJ$60="","",Underwriting!CO153)</f>
      </c>
      <c r="CK77" s="170" t="str">
        <f>IF(CK$60="","",Underwriting!CP153)</f>
      </c>
      <c r="CL77" s="170" t="str">
        <f>IF(CL$60="","",Underwriting!CQ153)</f>
      </c>
      <c r="CM77" s="170" t="str">
        <f>IF(CM$60="","",Underwriting!CR153)</f>
      </c>
      <c r="CN77" s="170" t="str">
        <f>IF(CN$60="","",Underwriting!CS153)</f>
      </c>
      <c r="CO77" s="170" t="str">
        <f>IF(CO$60="","",Underwriting!CT153)</f>
      </c>
      <c r="CP77" s="170" t="str">
        <f>IF(CP$60="","",Underwriting!CU153)</f>
      </c>
      <c r="CQ77" s="170" t="str">
        <f>IF(CQ$60="","",Underwriting!CV153)</f>
      </c>
      <c r="CR77" s="170" t="str">
        <f>IF(CR$60="","",Underwriting!CW153)</f>
      </c>
      <c r="CS77" s="170" t="str">
        <f>IF(CS$60="","",Underwriting!CX153)</f>
      </c>
      <c r="CT77" s="170" t="str">
        <f>IF(CT$60="","",Underwriting!CY153)</f>
      </c>
      <c r="CU77" s="170" t="str">
        <f>IF(CU$60="","",Underwriting!CZ153)</f>
      </c>
      <c r="CV77" s="170" t="str">
        <f>IF(CV$60="","",Underwriting!DA153)</f>
      </c>
      <c r="CW77" s="170" t="str">
        <f>IF(CW$60="","",Underwriting!DB153)</f>
      </c>
      <c r="CX77" s="170" t="str">
        <f>IF(CX$60="","",Underwriting!DC153)</f>
      </c>
      <c r="CY77" s="170" t="str">
        <f>IF(CY$60="","",Underwriting!DD153)</f>
      </c>
      <c r="CZ77" s="170" t="str">
        <f>IF(CZ$60="","",Underwriting!DE153)</f>
      </c>
      <c r="DA77" s="170" t="str">
        <f>IF(DA$60="","",Underwriting!DF153)</f>
      </c>
      <c r="DB77" s="170" t="str">
        <f>IF(DB$60="","",Underwriting!DG153)</f>
      </c>
      <c r="DC77" s="170" t="str">
        <f>IF(DC$60="","",Underwriting!DH153)</f>
      </c>
      <c r="DD77" s="170" t="str">
        <f>IF(DD$60="","",Underwriting!DI153)</f>
      </c>
      <c r="DE77" s="170" t="str">
        <f>IF(DE$60="","",Underwriting!DJ153)</f>
      </c>
      <c r="DF77" s="170" t="str">
        <f>IF(DF$60="","",Underwriting!DK153)</f>
      </c>
      <c r="DG77" s="170" t="str">
        <f>IF(DG$60="","",Underwriting!DL153)</f>
      </c>
      <c r="DH77" s="170" t="str">
        <f>IF(DH$60="","",Underwriting!DM153)</f>
      </c>
      <c r="DI77" s="170" t="str">
        <f>IF(DI$60="","",Underwriting!DN153)</f>
      </c>
      <c r="DJ77" s="170" t="str">
        <f>IF(DJ$60="","",Underwriting!DO153)</f>
      </c>
      <c r="DK77" s="170" t="str">
        <f>IF(DK$60="","",Underwriting!DP153)</f>
      </c>
      <c r="DL77" s="170" t="str">
        <f>IF(DL$60="","",Underwriting!DQ153)</f>
      </c>
      <c r="DM77" s="170" t="str">
        <f>IF(DM$60="","",Underwriting!DR153)</f>
      </c>
      <c r="DN77" s="170" t="str">
        <f>IF(DN$60="","",Underwriting!DS153)</f>
      </c>
      <c r="DO77" s="170" t="str">
        <f>IF(DO$60="","",Underwriting!DT153)</f>
      </c>
      <c r="DP77" s="170" t="str">
        <f>IF(DP$60="","",Underwriting!DU153)</f>
      </c>
      <c r="DQ77" s="170" t="str">
        <f>IF(DQ$60="","",Underwriting!DV153)</f>
      </c>
      <c r="DR77" s="170" t="str">
        <f>IF(DR$60="","",Underwriting!DW153)</f>
      </c>
      <c r="DS77" s="170" t="str">
        <f>IF(DS$60="","",Underwriting!DX153)</f>
      </c>
      <c r="DT77" s="170" t="str">
        <f>IF(DT$60="","",Underwriting!DY153)</f>
      </c>
      <c r="DU77" s="170" t="str">
        <f>IF(DU$60="","",Underwriting!DZ153)</f>
      </c>
      <c r="DV77" s="170" t="str">
        <f>IF(DV$60="","",Underwriting!EA153)</f>
      </c>
      <c r="DW77" s="170" t="str">
        <f>IF(DW$60="","",Underwriting!EB153)</f>
      </c>
      <c r="DX77" s="170" t="str">
        <f>IF(DX$60="","",Underwriting!EC153)</f>
      </c>
      <c r="DY77" s="170" t="str">
        <f>IF(DY$60="","",Underwriting!ED153)</f>
      </c>
      <c r="DZ77" s="170" t="str">
        <f>IF(DZ$60="","",Underwriting!EE153)</f>
      </c>
      <c r="EA77" s="170" t="str">
        <f>IF(EA$60="","",Underwriting!EF153)</f>
      </c>
      <c r="EB77" s="170" t="str">
        <f>IF(EB$60="","",Underwriting!EG153)</f>
      </c>
      <c r="EC77" s="170" t="str">
        <f>IF(EC$60="","",Underwriting!EH153)</f>
      </c>
      <c r="ED77" s="170" t="str">
        <f>IF(ED$60="","",Underwriting!EI153)</f>
      </c>
      <c r="EE77" s="170" t="str">
        <f>IF(EE$60="","",Underwriting!EJ153)</f>
      </c>
      <c r="EF77" s="170" t="str">
        <f>IF(EF$60="","",Underwriting!EK153)</f>
      </c>
      <c r="EG77" s="170" t="str">
        <f>IF(EG$60="","",Underwriting!EL153)</f>
      </c>
      <c r="EH77" s="170" t="str">
        <f>IF(EH$60="","",Underwriting!EM153)</f>
      </c>
      <c r="EI77" s="170" t="str">
        <f>IF(EI$60="","",Underwriting!EN153)</f>
      </c>
    </row>
    <row r="78">
      <c r="B78" s="4"/>
      <c r="C78" s="4"/>
      <c r="D78" s="4"/>
      <c r="E78" s="4"/>
      <c r="F78" s="4"/>
      <c r="G78" s="172"/>
      <c r="H78" s="172"/>
      <c r="I78" s="172"/>
      <c r="J78" s="172"/>
      <c r="K78" s="172"/>
      <c r="L78" s="172"/>
      <c r="M78" s="172"/>
      <c r="N78" s="172"/>
      <c r="O78" s="172"/>
      <c r="P78" s="172"/>
      <c r="Q78" s="172"/>
      <c r="R78" s="172"/>
      <c r="S78" s="170"/>
      <c r="T78" s="170"/>
      <c r="U78" s="170"/>
      <c r="V78" s="170"/>
      <c r="W78" s="170"/>
      <c r="X78" s="170"/>
      <c r="Y78" s="170"/>
      <c r="Z78" s="170"/>
      <c r="AA78" s="170"/>
      <c r="AB78" s="170"/>
      <c r="AC78" s="170"/>
      <c r="AD78" s="170"/>
      <c r="AE78" s="170"/>
      <c r="AF78" s="170"/>
      <c r="AG78" s="170"/>
      <c r="AH78" s="170"/>
      <c r="AI78" s="170"/>
      <c r="AJ78" s="170"/>
      <c r="AK78" s="170"/>
      <c r="AL78" s="170"/>
      <c r="AM78" s="170"/>
      <c r="AN78" s="170"/>
      <c r="AO78" s="170"/>
      <c r="AP78" s="170"/>
      <c r="AQ78" s="170"/>
      <c r="AR78" s="170"/>
      <c r="AS78" s="170"/>
      <c r="AT78" s="170"/>
      <c r="AU78" s="170"/>
      <c r="AV78" s="170"/>
      <c r="AW78" s="170"/>
      <c r="AX78" s="170"/>
      <c r="AY78" s="170"/>
      <c r="AZ78" s="170"/>
      <c r="BA78" s="170"/>
      <c r="BB78" s="170"/>
      <c r="BC78" s="170"/>
      <c r="BD78" s="170"/>
      <c r="BE78" s="170"/>
      <c r="BF78" s="170"/>
      <c r="BG78" s="170"/>
      <c r="BH78" s="170"/>
      <c r="BI78" s="170"/>
      <c r="BJ78" s="170"/>
      <c r="BK78" s="170"/>
      <c r="BL78" s="170"/>
      <c r="BM78" s="170"/>
      <c r="BN78" s="170"/>
      <c r="BO78" s="170"/>
      <c r="BP78" s="170"/>
      <c r="BQ78" s="170"/>
      <c r="BR78" s="170"/>
      <c r="BS78" s="170"/>
      <c r="BT78" s="170"/>
      <c r="BU78" s="170"/>
      <c r="BV78" s="170"/>
      <c r="BW78" s="170"/>
      <c r="BX78" s="170"/>
      <c r="BY78" s="170"/>
      <c r="BZ78" s="170"/>
      <c r="CA78" s="170"/>
      <c r="CB78" s="170"/>
      <c r="CC78" s="170"/>
      <c r="CD78" s="170"/>
      <c r="CE78" s="170"/>
      <c r="CF78" s="170"/>
      <c r="CG78" s="170"/>
      <c r="CH78" s="170"/>
      <c r="CI78" s="170"/>
      <c r="CJ78" s="170"/>
      <c r="CK78" s="170"/>
      <c r="CL78" s="170"/>
      <c r="CM78" s="170"/>
      <c r="CN78" s="170"/>
      <c r="CO78" s="170"/>
      <c r="CP78" s="170"/>
      <c r="CQ78" s="170"/>
      <c r="CR78" s="170"/>
      <c r="CS78" s="170"/>
      <c r="CT78" s="170"/>
      <c r="CU78" s="170"/>
      <c r="CV78" s="170"/>
      <c r="CW78" s="170"/>
      <c r="CX78" s="170"/>
      <c r="CY78" s="170"/>
      <c r="CZ78" s="170"/>
      <c r="DA78" s="170"/>
      <c r="DB78" s="170"/>
      <c r="DC78" s="170"/>
      <c r="DD78" s="170"/>
      <c r="DE78" s="170"/>
      <c r="DF78" s="170"/>
      <c r="DG78" s="170"/>
      <c r="DH78" s="170"/>
      <c r="DI78" s="170"/>
      <c r="DJ78" s="170"/>
      <c r="DK78" s="170"/>
      <c r="DL78" s="170"/>
      <c r="DM78" s="170"/>
      <c r="DN78" s="170"/>
      <c r="DO78" s="170"/>
      <c r="DP78" s="170"/>
      <c r="DQ78" s="170"/>
      <c r="DR78" s="170"/>
      <c r="DS78" s="170"/>
      <c r="DT78" s="170"/>
      <c r="DU78" s="170"/>
      <c r="DV78" s="170"/>
      <c r="DW78" s="170"/>
      <c r="DX78" s="170"/>
      <c r="DY78" s="170"/>
      <c r="DZ78" s="170"/>
      <c r="EA78" s="170"/>
      <c r="EB78" s="170"/>
      <c r="EC78" s="170"/>
      <c r="ED78" s="170"/>
      <c r="EE78" s="170"/>
      <c r="EF78" s="170"/>
      <c r="EG78" s="170"/>
      <c r="EH78" s="170"/>
      <c r="EI78" s="170"/>
    </row>
    <row r="79">
      <c r="B79" s="4" t="s">
        <v>311</v>
      </c>
      <c r="C79" s="4"/>
      <c r="D79" s="4"/>
      <c r="E79" s="4"/>
      <c r="F79" s="4"/>
      <c r="G79" s="172" t="str">
        <f>IF(G$60="","",G75-G77)</f>
      </c>
      <c r="H79" s="172" t="n">
        <f t="shared" ref="H79:BS79" si="62">IF(H$60="","",H75-H77)</f>
        <v>0</v>
      </c>
      <c r="I79" s="172">
        <f t="shared" si="62"/>
        <v>0</v>
      </c>
      <c r="J79" s="172">
        <f t="shared" si="62"/>
        <v>0</v>
      </c>
      <c r="K79" s="172">
        <f t="shared" si="62"/>
        <v>0</v>
      </c>
      <c r="L79" s="172">
        <f t="shared" si="62"/>
        <v>0</v>
      </c>
      <c r="M79" s="172">
        <f t="shared" si="62"/>
        <v>0</v>
      </c>
      <c r="N79" s="172">
        <f t="shared" si="62"/>
        <v>585807.05234234873</v>
      </c>
      <c r="O79" s="172">
        <f t="shared" si="62"/>
        <v>585807.05234234873</v>
      </c>
      <c r="P79" s="172">
        <f t="shared" si="62"/>
        <v>585807.05234234873</v>
      </c>
      <c r="Q79" s="172">
        <f t="shared" si="62"/>
        <v>585807.05234234873</v>
      </c>
      <c r="R79" s="172">
        <f t="shared" si="62"/>
        <v>585807.05234234873</v>
      </c>
      <c r="S79" s="170">
        <f t="shared" si="62"/>
        <v>585807.05234234873</v>
      </c>
      <c r="T79" s="170">
        <f t="shared" si="62"/>
        <v>585807.05234234873</v>
      </c>
      <c r="U79" s="170">
        <f t="shared" si="62"/>
        <v>585807.05234234873</v>
      </c>
      <c r="V79" s="170">
        <f t="shared" si="62"/>
        <v>585807.05234234873</v>
      </c>
      <c r="W79" s="170">
        <f t="shared" si="62"/>
        <v>585807.05234234873</v>
      </c>
      <c r="X79" s="170">
        <f t="shared" si="62"/>
        <v>585807.05234234873</v>
      </c>
      <c r="Y79" s="170">
        <f t="shared" si="62"/>
        <v>585807.05234234873</v>
      </c>
      <c r="Z79" s="170">
        <f t="shared" si="62"/>
        <v>3493551.9779534517</v>
      </c>
      <c r="AA79" s="170">
        <f t="shared" si="62"/>
        <v>3493551.9779534517</v>
      </c>
      <c r="AB79" s="170">
        <f t="shared" si="62"/>
        <v>3493551.9779534517</v>
      </c>
      <c r="AC79" s="170">
        <f t="shared" si="62"/>
        <v>4282314.2781650471</v>
      </c>
      <c r="AD79" s="170">
        <f t="shared" si="62"/>
        <v>4282314.2781650471</v>
      </c>
      <c r="AE79" s="170">
        <f t="shared" si="62"/>
        <v>4282314.2781650471</v>
      </c>
      <c r="AF79" s="170">
        <f t="shared" si="62"/>
        <v>4587843.0047824392</v>
      </c>
      <c r="AG79" s="170">
        <f t="shared" si="62"/>
        <v>4587843.0047824392</v>
      </c>
      <c r="AH79" s="170">
        <f t="shared" si="62"/>
        <v>4587843.0047824392</v>
      </c>
      <c r="AI79" s="170">
        <f t="shared" si="62"/>
        <v>4775925.8053659182</v>
      </c>
      <c r="AJ79" s="170">
        <f t="shared" si="62"/>
        <v>4775925.8053659182</v>
      </c>
      <c r="AK79" s="170">
        <f t="shared" si="62"/>
        <v>4783530.2890448924</v>
      </c>
      <c r="AL79" s="170">
        <f t="shared" si="62"/>
        <v>5325002.2596516162</v>
      </c>
      <c r="AM79" s="170">
        <f t="shared" si="62"/>
        <v>5325002.2596516162</v>
      </c>
      <c r="AN79" s="170">
        <f t="shared" si="62"/>
        <v>5325002.2596516162</v>
      </c>
      <c r="AO79" s="170">
        <f t="shared" si="62"/>
        <v>5450541.4642952997</v>
      </c>
      <c r="AP79" s="170">
        <f t="shared" si="62"/>
        <v>5450541.4642952997</v>
      </c>
      <c r="AQ79" s="170">
        <f t="shared" si="62"/>
        <v>5450541.4642952997</v>
      </c>
      <c r="AR79" s="170">
        <f t="shared" si="62"/>
        <v>5369511.662836967</v>
      </c>
      <c r="AS79" s="170">
        <f t="shared" si="62"/>
        <v>5369511.662836967</v>
      </c>
      <c r="AT79" s="170">
        <f t="shared" si="62"/>
        <v>5369511.662836967</v>
      </c>
      <c r="AU79" s="170">
        <f t="shared" si="62"/>
        <v>5375831.4388723103</v>
      </c>
      <c r="AV79" s="170">
        <f t="shared" si="62"/>
        <v>5375831.4388723103</v>
      </c>
      <c r="AW79" s="170">
        <f t="shared" si="62"/>
        <v>5375831.4388723103</v>
      </c>
      <c r="AX79" s="170">
        <f t="shared" si="62"/>
        <v>5539953.4469547784</v>
      </c>
      <c r="AY79" s="170">
        <f t="shared" si="62"/>
        <v>5539953.4469547784</v>
      </c>
      <c r="AZ79" s="170">
        <f t="shared" si="62"/>
        <v>5539953.4469547784</v>
      </c>
      <c r="BA79" s="170">
        <f t="shared" si="62"/>
        <v>5569093.8636214454</v>
      </c>
      <c r="BB79" s="170">
        <f t="shared" si="62"/>
        <v>5569093.8636214454</v>
      </c>
      <c r="BC79" s="170">
        <f t="shared" si="62"/>
        <v>5569093.8636214454</v>
      </c>
      <c r="BD79" s="170">
        <f t="shared" si="62"/>
        <v>5575170.3509256123</v>
      </c>
      <c r="BE79" s="170">
        <f t="shared" si="62"/>
        <v>5575170.3509256123</v>
      </c>
      <c r="BF79" s="170">
        <f t="shared" si="62"/>
        <v>5575170.3509256123</v>
      </c>
      <c r="BG79" s="170">
        <f t="shared" si="62"/>
        <v>5581479.5384256123</v>
      </c>
      <c r="BH79" s="170">
        <f t="shared" si="62"/>
        <v>5581479.5384256123</v>
      </c>
      <c r="BI79" s="170">
        <f t="shared" si="62"/>
        <v>5581479.5384256123</v>
      </c>
      <c r="BJ79" s="170">
        <f t="shared" si="62"/>
        <v>5730024.794297874</v>
      </c>
      <c r="BK79" s="170">
        <f t="shared" si="62"/>
        <v>5730024.794297874</v>
      </c>
      <c r="BL79" s="170">
        <f t="shared" si="62"/>
        <v>5730024.794297874</v>
      </c>
      <c r="BM79" s="170">
        <f t="shared" si="62"/>
        <v>5760185.1255478738</v>
      </c>
      <c r="BN79" s="170">
        <f t="shared" si="62"/>
        <v>5760185.1255478738</v>
      </c>
      <c r="BO79" s="170">
        <f t="shared" si="62"/>
        <v>5760185.1255478738</v>
      </c>
      <c r="BP79" s="170">
        <f t="shared" si="62"/>
        <v>5766500.8738481235</v>
      </c>
      <c r="BQ79" s="170" t="str">
        <f t="shared" si="62"/>
      </c>
      <c r="BR79" s="170" t="str">
        <f t="shared" si="62"/>
      </c>
      <c r="BS79" s="170" t="str">
        <f t="shared" si="62"/>
      </c>
      <c r="BT79" s="170" t="str">
        <f t="shared" ref="BT79:EE79" si="63">IF(BT$60="","",BT75-BT77)</f>
      </c>
      <c r="BU79" s="170" t="str">
        <f t="shared" si="63"/>
      </c>
      <c r="BV79" s="170" t="str">
        <f t="shared" si="63"/>
      </c>
      <c r="BW79" s="170" t="str">
        <f t="shared" si="63"/>
      </c>
      <c r="BX79" s="170" t="str">
        <f t="shared" si="63"/>
      </c>
      <c r="BY79" s="170" t="str">
        <f t="shared" si="63"/>
      </c>
      <c r="BZ79" s="170" t="str">
        <f t="shared" si="63"/>
      </c>
      <c r="CA79" s="170" t="str">
        <f t="shared" si="63"/>
      </c>
      <c r="CB79" s="170" t="str">
        <f t="shared" si="63"/>
      </c>
      <c r="CC79" s="170" t="str">
        <f t="shared" si="63"/>
      </c>
      <c r="CD79" s="170" t="str">
        <f t="shared" si="63"/>
      </c>
      <c r="CE79" s="170" t="str">
        <f t="shared" si="63"/>
      </c>
      <c r="CF79" s="170" t="str">
        <f t="shared" si="63"/>
      </c>
      <c r="CG79" s="170" t="str">
        <f t="shared" si="63"/>
      </c>
      <c r="CH79" s="170" t="str">
        <f t="shared" si="63"/>
      </c>
      <c r="CI79" s="170" t="str">
        <f t="shared" si="63"/>
      </c>
      <c r="CJ79" s="170" t="str">
        <f t="shared" si="63"/>
      </c>
      <c r="CK79" s="170" t="str">
        <f t="shared" si="63"/>
      </c>
      <c r="CL79" s="170" t="str">
        <f t="shared" si="63"/>
      </c>
      <c r="CM79" s="170" t="str">
        <f t="shared" si="63"/>
      </c>
      <c r="CN79" s="170" t="str">
        <f t="shared" si="63"/>
      </c>
      <c r="CO79" s="170" t="str">
        <f t="shared" si="63"/>
      </c>
      <c r="CP79" s="170" t="str">
        <f t="shared" si="63"/>
      </c>
      <c r="CQ79" s="170" t="str">
        <f t="shared" si="63"/>
      </c>
      <c r="CR79" s="170" t="str">
        <f t="shared" si="63"/>
      </c>
      <c r="CS79" s="170" t="str">
        <f t="shared" si="63"/>
      </c>
      <c r="CT79" s="170" t="str">
        <f t="shared" si="63"/>
      </c>
      <c r="CU79" s="170" t="str">
        <f t="shared" si="63"/>
      </c>
      <c r="CV79" s="170" t="str">
        <f t="shared" si="63"/>
      </c>
      <c r="CW79" s="170" t="str">
        <f t="shared" si="63"/>
      </c>
      <c r="CX79" s="170" t="str">
        <f t="shared" si="63"/>
      </c>
      <c r="CY79" s="170" t="str">
        <f t="shared" si="63"/>
      </c>
      <c r="CZ79" s="170" t="str">
        <f t="shared" si="63"/>
      </c>
      <c r="DA79" s="170" t="str">
        <f t="shared" si="63"/>
      </c>
      <c r="DB79" s="170" t="str">
        <f t="shared" si="63"/>
      </c>
      <c r="DC79" s="170" t="str">
        <f t="shared" si="63"/>
      </c>
      <c r="DD79" s="170" t="str">
        <f t="shared" si="63"/>
      </c>
      <c r="DE79" s="170" t="str">
        <f t="shared" si="63"/>
      </c>
      <c r="DF79" s="170" t="str">
        <f t="shared" si="63"/>
      </c>
      <c r="DG79" s="170" t="str">
        <f t="shared" si="63"/>
      </c>
      <c r="DH79" s="170" t="str">
        <f t="shared" si="63"/>
      </c>
      <c r="DI79" s="170" t="str">
        <f t="shared" si="63"/>
      </c>
      <c r="DJ79" s="170" t="str">
        <f t="shared" si="63"/>
      </c>
      <c r="DK79" s="170" t="str">
        <f t="shared" si="63"/>
      </c>
      <c r="DL79" s="170" t="str">
        <f t="shared" si="63"/>
      </c>
      <c r="DM79" s="170" t="str">
        <f t="shared" si="63"/>
      </c>
      <c r="DN79" s="170" t="str">
        <f t="shared" si="63"/>
      </c>
      <c r="DO79" s="170" t="str">
        <f t="shared" si="63"/>
      </c>
      <c r="DP79" s="170" t="str">
        <f t="shared" si="63"/>
      </c>
      <c r="DQ79" s="170" t="str">
        <f t="shared" si="63"/>
      </c>
      <c r="DR79" s="170" t="str">
        <f t="shared" si="63"/>
      </c>
      <c r="DS79" s="170" t="str">
        <f t="shared" si="63"/>
      </c>
      <c r="DT79" s="170" t="str">
        <f t="shared" si="63"/>
      </c>
      <c r="DU79" s="170" t="str">
        <f t="shared" si="63"/>
      </c>
      <c r="DV79" s="170" t="str">
        <f t="shared" si="63"/>
      </c>
      <c r="DW79" s="170" t="str">
        <f t="shared" si="63"/>
      </c>
      <c r="DX79" s="170" t="str">
        <f t="shared" si="63"/>
      </c>
      <c r="DY79" s="170" t="str">
        <f t="shared" si="63"/>
      </c>
      <c r="DZ79" s="170" t="str">
        <f t="shared" si="63"/>
      </c>
      <c r="EA79" s="170" t="str">
        <f t="shared" si="63"/>
      </c>
      <c r="EB79" s="170" t="str">
        <f t="shared" si="63"/>
      </c>
      <c r="EC79" s="170" t="str">
        <f t="shared" si="63"/>
      </c>
      <c r="ED79" s="170" t="str">
        <f t="shared" si="63"/>
      </c>
      <c r="EE79" s="170" t="str">
        <f t="shared" si="63"/>
      </c>
      <c r="EF79" s="170" t="str">
        <f t="shared" ref="EF79:EI79" si="64">IF(EF$60="","",EF75-EF77)</f>
      </c>
      <c r="EG79" s="170" t="str">
        <f t="shared" si="64"/>
      </c>
      <c r="EH79" s="170" t="str">
        <f t="shared" si="64"/>
      </c>
      <c r="EI79" s="170" t="str">
        <f t="shared" si="64"/>
      </c>
    </row>
    <row r="80">
      <c r="B80" s="4"/>
      <c r="C80" s="4"/>
      <c r="D80" s="4"/>
      <c r="E80" s="4"/>
      <c r="F80" s="4"/>
      <c r="G80" s="172"/>
      <c r="H80" s="172"/>
      <c r="I80" s="172"/>
      <c r="J80" s="172"/>
      <c r="K80" s="172"/>
      <c r="L80" s="172"/>
      <c r="M80" s="172"/>
      <c r="N80" s="172"/>
      <c r="O80" s="172"/>
      <c r="P80" s="172"/>
      <c r="Q80" s="172"/>
      <c r="R80" s="172"/>
      <c r="S80" s="170"/>
      <c r="T80" s="170"/>
      <c r="U80" s="170"/>
      <c r="V80" s="170"/>
      <c r="W80" s="170"/>
      <c r="X80" s="170"/>
      <c r="Y80" s="170"/>
      <c r="Z80" s="170"/>
      <c r="AA80" s="170"/>
      <c r="AB80" s="170"/>
      <c r="AC80" s="170"/>
      <c r="AD80" s="170"/>
      <c r="AE80" s="170"/>
      <c r="AF80" s="170"/>
      <c r="AG80" s="170"/>
      <c r="AH80" s="170"/>
      <c r="AI80" s="170"/>
      <c r="AJ80" s="170"/>
      <c r="AK80" s="170"/>
      <c r="AL80" s="170"/>
      <c r="AM80" s="170"/>
      <c r="AN80" s="170"/>
      <c r="AO80" s="170"/>
      <c r="AP80" s="170"/>
      <c r="AQ80" s="170"/>
      <c r="AR80" s="170"/>
      <c r="AS80" s="170"/>
      <c r="AT80" s="170"/>
      <c r="AU80" s="170"/>
      <c r="AV80" s="170"/>
      <c r="AW80" s="170"/>
      <c r="AX80" s="170"/>
      <c r="AY80" s="170"/>
      <c r="AZ80" s="170"/>
      <c r="BA80" s="170"/>
      <c r="BB80" s="170"/>
      <c r="BC80" s="170"/>
      <c r="BD80" s="170"/>
      <c r="BE80" s="170"/>
      <c r="BF80" s="170"/>
      <c r="BG80" s="170"/>
      <c r="BH80" s="170"/>
      <c r="BI80" s="170"/>
      <c r="BJ80" s="170"/>
      <c r="BK80" s="170"/>
      <c r="BL80" s="170"/>
      <c r="BM80" s="170"/>
      <c r="BN80" s="170"/>
      <c r="BO80" s="170"/>
      <c r="BP80" s="170"/>
      <c r="BQ80" s="170"/>
      <c r="BR80" s="170"/>
      <c r="BS80" s="170"/>
      <c r="BT80" s="170"/>
      <c r="BU80" s="170"/>
      <c r="BV80" s="170"/>
      <c r="BW80" s="170"/>
      <c r="BX80" s="170"/>
      <c r="BY80" s="170"/>
      <c r="BZ80" s="170"/>
      <c r="CA80" s="170"/>
      <c r="CB80" s="170"/>
      <c r="CC80" s="170"/>
      <c r="CD80" s="170"/>
      <c r="CE80" s="170"/>
      <c r="CF80" s="170"/>
      <c r="CG80" s="170"/>
      <c r="CH80" s="170"/>
      <c r="CI80" s="170"/>
      <c r="CJ80" s="170"/>
      <c r="CK80" s="170"/>
      <c r="CL80" s="170"/>
      <c r="CM80" s="170"/>
      <c r="CN80" s="170"/>
      <c r="CO80" s="170"/>
      <c r="CP80" s="170"/>
      <c r="CQ80" s="170"/>
      <c r="CR80" s="170"/>
      <c r="CS80" s="170"/>
      <c r="CT80" s="170"/>
      <c r="CU80" s="170"/>
      <c r="CV80" s="170"/>
      <c r="CW80" s="170"/>
      <c r="CX80" s="170"/>
      <c r="CY80" s="170"/>
      <c r="CZ80" s="170"/>
      <c r="DA80" s="170"/>
      <c r="DB80" s="170"/>
      <c r="DC80" s="170"/>
      <c r="DD80" s="170"/>
      <c r="DE80" s="170"/>
      <c r="DF80" s="170"/>
      <c r="DG80" s="170"/>
      <c r="DH80" s="170"/>
      <c r="DI80" s="170"/>
      <c r="DJ80" s="170"/>
      <c r="DK80" s="170"/>
      <c r="DL80" s="170"/>
      <c r="DM80" s="170"/>
      <c r="DN80" s="170"/>
      <c r="DO80" s="170"/>
      <c r="DP80" s="170"/>
      <c r="DQ80" s="170"/>
      <c r="DR80" s="170"/>
      <c r="DS80" s="170"/>
      <c r="DT80" s="170"/>
      <c r="DU80" s="170"/>
      <c r="DV80" s="170"/>
      <c r="DW80" s="170"/>
      <c r="DX80" s="170"/>
      <c r="DY80" s="170"/>
      <c r="DZ80" s="170"/>
      <c r="EA80" s="170"/>
      <c r="EB80" s="170"/>
      <c r="EC80" s="170"/>
      <c r="ED80" s="170"/>
      <c r="EE80" s="170"/>
      <c r="EF80" s="170"/>
      <c r="EG80" s="170"/>
      <c r="EH80" s="170"/>
      <c r="EI80" s="170"/>
    </row>
    <row r="81">
      <c r="B81" s="4" t="s">
        <v>499</v>
      </c>
      <c r="C81" s="4"/>
      <c r="D81" s="4"/>
      <c r="E81" s="4"/>
      <c r="F81" s="4"/>
      <c r="G81" s="248" t="n">
        <f t="shared" ref="G81:AL81" si="65">+G60</f>
        <v>0</v>
      </c>
      <c r="H81" s="248">
        <f t="shared" si="65"/>
        <v>46234</v>
      </c>
      <c r="I81" s="248">
        <f t="shared" si="65"/>
        <v>46265</v>
      </c>
      <c r="J81" s="248">
        <f t="shared" si="65"/>
        <v>46295</v>
      </c>
      <c r="K81" s="248">
        <f t="shared" si="65"/>
        <v>46326</v>
      </c>
      <c r="L81" s="248">
        <f t="shared" si="65"/>
        <v>46356</v>
      </c>
      <c r="M81" s="248">
        <f t="shared" si="65"/>
        <v>46387</v>
      </c>
      <c r="N81" s="248">
        <f t="shared" si="65"/>
        <v>46418</v>
      </c>
      <c r="O81" s="248">
        <f t="shared" si="65"/>
        <v>46446</v>
      </c>
      <c r="P81" s="248">
        <f t="shared" si="65"/>
        <v>46477</v>
      </c>
      <c r="Q81" s="248">
        <f t="shared" si="65"/>
        <v>46507</v>
      </c>
      <c r="R81" s="248">
        <f t="shared" si="65"/>
        <v>46538</v>
      </c>
      <c r="S81" s="174">
        <f t="shared" si="65"/>
        <v>46568</v>
      </c>
      <c r="T81" s="174">
        <f t="shared" si="65"/>
        <v>46599</v>
      </c>
      <c r="U81" s="174">
        <f t="shared" si="65"/>
        <v>46630</v>
      </c>
      <c r="V81" s="174">
        <f t="shared" si="65"/>
        <v>46660</v>
      </c>
      <c r="W81" s="174">
        <f t="shared" si="65"/>
        <v>46691</v>
      </c>
      <c r="X81" s="174">
        <f t="shared" si="65"/>
        <v>46721</v>
      </c>
      <c r="Y81" s="174">
        <f t="shared" si="65"/>
        <v>46752</v>
      </c>
      <c r="Z81" s="174">
        <f t="shared" si="65"/>
        <v>46783</v>
      </c>
      <c r="AA81" s="174">
        <f t="shared" si="65"/>
        <v>46812</v>
      </c>
      <c r="AB81" s="174">
        <f t="shared" si="65"/>
        <v>46843</v>
      </c>
      <c r="AC81" s="174">
        <f t="shared" si="65"/>
        <v>46873</v>
      </c>
      <c r="AD81" s="174">
        <f t="shared" si="65"/>
        <v>46904</v>
      </c>
      <c r="AE81" s="174">
        <f t="shared" si="65"/>
        <v>46934</v>
      </c>
      <c r="AF81" s="174">
        <f t="shared" si="65"/>
        <v>46965</v>
      </c>
      <c r="AG81" s="174">
        <f t="shared" si="65"/>
        <v>46996</v>
      </c>
      <c r="AH81" s="174">
        <f t="shared" si="65"/>
        <v>47026</v>
      </c>
      <c r="AI81" s="174">
        <f t="shared" si="65"/>
        <v>47057</v>
      </c>
      <c r="AJ81" s="174">
        <f t="shared" si="65"/>
        <v>47087</v>
      </c>
      <c r="AK81" s="174">
        <f t="shared" si="65"/>
        <v>47118</v>
      </c>
      <c r="AL81" s="174">
        <f t="shared" si="65"/>
        <v>47149</v>
      </c>
      <c r="AM81" s="174" t="n">
        <f t="shared" ref="AM81:BR81" si="66">+AM60</f>
        <v>47177</v>
      </c>
      <c r="AN81" s="174">
        <f t="shared" si="66"/>
        <v>47208</v>
      </c>
      <c r="AO81" s="174">
        <f t="shared" si="66"/>
        <v>47238</v>
      </c>
      <c r="AP81" s="174">
        <f t="shared" si="66"/>
        <v>47269</v>
      </c>
      <c r="AQ81" s="174">
        <f t="shared" si="66"/>
        <v>47299</v>
      </c>
      <c r="AR81" s="174">
        <f t="shared" si="66"/>
        <v>47330</v>
      </c>
      <c r="AS81" s="174">
        <f t="shared" si="66"/>
        <v>47361</v>
      </c>
      <c r="AT81" s="174">
        <f t="shared" si="66"/>
        <v>47391</v>
      </c>
      <c r="AU81" s="174">
        <f t="shared" si="66"/>
        <v>47422</v>
      </c>
      <c r="AV81" s="174">
        <f t="shared" si="66"/>
        <v>47452</v>
      </c>
      <c r="AW81" s="174">
        <f t="shared" si="66"/>
        <v>47483</v>
      </c>
      <c r="AX81" s="174">
        <f t="shared" si="66"/>
        <v>47514</v>
      </c>
      <c r="AY81" s="174">
        <f t="shared" si="66"/>
        <v>47542</v>
      </c>
      <c r="AZ81" s="174">
        <f t="shared" si="66"/>
        <v>47573</v>
      </c>
      <c r="BA81" s="174">
        <f t="shared" si="66"/>
        <v>47603</v>
      </c>
      <c r="BB81" s="174">
        <f t="shared" si="66"/>
        <v>47634</v>
      </c>
      <c r="BC81" s="174">
        <f t="shared" si="66"/>
        <v>47664</v>
      </c>
      <c r="BD81" s="174">
        <f t="shared" si="66"/>
        <v>47695</v>
      </c>
      <c r="BE81" s="174">
        <f t="shared" si="66"/>
        <v>47726</v>
      </c>
      <c r="BF81" s="174">
        <f t="shared" si="66"/>
        <v>47756</v>
      </c>
      <c r="BG81" s="174">
        <f t="shared" si="66"/>
        <v>47787</v>
      </c>
      <c r="BH81" s="174">
        <f t="shared" si="66"/>
        <v>47817</v>
      </c>
      <c r="BI81" s="174">
        <f t="shared" si="66"/>
        <v>47848</v>
      </c>
      <c r="BJ81" s="174">
        <f t="shared" si="66"/>
        <v>47879</v>
      </c>
      <c r="BK81" s="174">
        <f t="shared" si="66"/>
        <v>47907</v>
      </c>
      <c r="BL81" s="174">
        <f t="shared" si="66"/>
        <v>47938</v>
      </c>
      <c r="BM81" s="174">
        <f t="shared" si="66"/>
        <v>47968</v>
      </c>
      <c r="BN81" s="174">
        <f t="shared" si="66"/>
        <v>47999</v>
      </c>
      <c r="BO81" s="174">
        <f t="shared" si="66"/>
        <v>48029</v>
      </c>
      <c r="BP81" s="174">
        <f t="shared" si="66"/>
        <v>48060</v>
      </c>
      <c r="BQ81" s="174" t="str">
        <f t="shared" si="66"/>
      </c>
      <c r="BR81" s="174" t="str">
        <f t="shared" si="66"/>
      </c>
      <c r="BS81" s="174" t="n">
        <f t="shared" ref="BS81:CX81" si="67">+BS60</f>
        <v>0</v>
      </c>
      <c r="BT81" s="174" t="str">
        <f t="shared" si="67"/>
      </c>
      <c r="BU81" s="174" t="str">
        <f t="shared" si="67"/>
      </c>
      <c r="BV81" s="174" t="str">
        <f t="shared" si="67"/>
      </c>
      <c r="BW81" s="174" t="str">
        <f t="shared" si="67"/>
      </c>
      <c r="BX81" s="174" t="str">
        <f t="shared" si="67"/>
      </c>
      <c r="BY81" s="174" t="str">
        <f t="shared" si="67"/>
      </c>
      <c r="BZ81" s="174" t="str">
        <f t="shared" si="67"/>
      </c>
      <c r="CA81" s="174" t="str">
        <f t="shared" si="67"/>
      </c>
      <c r="CB81" s="174" t="str">
        <f t="shared" si="67"/>
      </c>
      <c r="CC81" s="174" t="str">
        <f t="shared" si="67"/>
      </c>
      <c r="CD81" s="174" t="str">
        <f t="shared" si="67"/>
      </c>
      <c r="CE81" s="174" t="str">
        <f t="shared" si="67"/>
      </c>
      <c r="CF81" s="174" t="str">
        <f t="shared" si="67"/>
      </c>
      <c r="CG81" s="174" t="str">
        <f t="shared" si="67"/>
      </c>
      <c r="CH81" s="174" t="str">
        <f t="shared" si="67"/>
      </c>
      <c r="CI81" s="174" t="str">
        <f t="shared" si="67"/>
      </c>
      <c r="CJ81" s="174" t="str">
        <f t="shared" si="67"/>
      </c>
      <c r="CK81" s="174" t="str">
        <f t="shared" si="67"/>
      </c>
      <c r="CL81" s="174" t="str">
        <f t="shared" si="67"/>
      </c>
      <c r="CM81" s="174" t="str">
        <f t="shared" si="67"/>
      </c>
      <c r="CN81" s="174" t="str">
        <f t="shared" si="67"/>
      </c>
      <c r="CO81" s="174" t="str">
        <f t="shared" si="67"/>
      </c>
      <c r="CP81" s="174" t="str">
        <f t="shared" si="67"/>
      </c>
      <c r="CQ81" s="174" t="str">
        <f t="shared" si="67"/>
      </c>
      <c r="CR81" s="174" t="str">
        <f t="shared" si="67"/>
      </c>
      <c r="CS81" s="174" t="str">
        <f t="shared" si="67"/>
      </c>
      <c r="CT81" s="174" t="str">
        <f t="shared" si="67"/>
      </c>
      <c r="CU81" s="174" t="str">
        <f t="shared" si="67"/>
      </c>
      <c r="CV81" s="174" t="str">
        <f t="shared" si="67"/>
      </c>
      <c r="CW81" s="174" t="str">
        <f t="shared" si="67"/>
      </c>
      <c r="CX81" s="174" t="str">
        <f t="shared" si="67"/>
      </c>
      <c r="CY81" s="174" t="n">
        <f t="shared" ref="CY81:EI81" si="68">+CY60</f>
        <v>0</v>
      </c>
      <c r="CZ81" s="174" t="str">
        <f t="shared" si="68"/>
      </c>
      <c r="DA81" s="174" t="str">
        <f t="shared" si="68"/>
      </c>
      <c r="DB81" s="174" t="str">
        <f t="shared" si="68"/>
      </c>
      <c r="DC81" s="174" t="str">
        <f t="shared" si="68"/>
      </c>
      <c r="DD81" s="174" t="str">
        <f t="shared" si="68"/>
      </c>
      <c r="DE81" s="174" t="str">
        <f t="shared" si="68"/>
      </c>
      <c r="DF81" s="174" t="str">
        <f t="shared" si="68"/>
      </c>
      <c r="DG81" s="174" t="str">
        <f t="shared" si="68"/>
      </c>
      <c r="DH81" s="174" t="str">
        <f t="shared" si="68"/>
      </c>
      <c r="DI81" s="174" t="str">
        <f t="shared" si="68"/>
      </c>
      <c r="DJ81" s="174" t="str">
        <f t="shared" si="68"/>
      </c>
      <c r="DK81" s="174" t="str">
        <f t="shared" si="68"/>
      </c>
      <c r="DL81" s="174" t="str">
        <f t="shared" si="68"/>
      </c>
      <c r="DM81" s="174" t="str">
        <f t="shared" si="68"/>
      </c>
      <c r="DN81" s="174" t="str">
        <f t="shared" si="68"/>
      </c>
      <c r="DO81" s="174" t="str">
        <f t="shared" si="68"/>
      </c>
      <c r="DP81" s="174" t="str">
        <f t="shared" si="68"/>
      </c>
      <c r="DQ81" s="174" t="str">
        <f t="shared" si="68"/>
      </c>
      <c r="DR81" s="174" t="str">
        <f t="shared" si="68"/>
      </c>
      <c r="DS81" s="174" t="str">
        <f t="shared" si="68"/>
      </c>
      <c r="DT81" s="174" t="str">
        <f t="shared" si="68"/>
      </c>
      <c r="DU81" s="174" t="str">
        <f t="shared" si="68"/>
      </c>
      <c r="DV81" s="174" t="str">
        <f t="shared" si="68"/>
      </c>
      <c r="DW81" s="174" t="str">
        <f t="shared" si="68"/>
      </c>
      <c r="DX81" s="174" t="str">
        <f t="shared" si="68"/>
      </c>
      <c r="DY81" s="174" t="str">
        <f t="shared" si="68"/>
      </c>
      <c r="DZ81" s="174" t="str">
        <f t="shared" si="68"/>
      </c>
      <c r="EA81" s="174" t="str">
        <f t="shared" si="68"/>
      </c>
      <c r="EB81" s="174" t="str">
        <f t="shared" si="68"/>
      </c>
      <c r="EC81" s="174" t="str">
        <f t="shared" si="68"/>
      </c>
      <c r="ED81" s="174" t="str">
        <f t="shared" si="68"/>
      </c>
      <c r="EE81" s="174" t="str">
        <f t="shared" si="68"/>
      </c>
      <c r="EF81" s="174" t="str">
        <f t="shared" si="68"/>
      </c>
      <c r="EG81" s="174" t="str">
        <f t="shared" si="68"/>
      </c>
      <c r="EH81" s="174" t="str">
        <f t="shared" si="68"/>
      </c>
      <c r="EI81" s="174" t="str">
        <f t="shared" si="68"/>
      </c>
    </row>
    <row r="82">
      <c r="B82" s="34" t="s">
        <v>361</v>
      </c>
      <c r="C82" s="4"/>
      <c r="D82" s="4"/>
      <c r="E82" s="4"/>
      <c r="F82" s="4"/>
      <c r="G82" s="172" t="str">
        <f>IF(G$81="","",Underwriting!L196)</f>
      </c>
      <c r="H82" s="172" t="n">
        <f>IF(H$81="","",Underwriting!M196)</f>
        <v>-100892.8237358164</v>
      </c>
      <c r="I82" s="172" t="n">
        <f>IF(I$81="","",Underwriting!N196)</f>
        <v>170317.57335215877</v>
      </c>
      <c r="J82" s="172" t="n">
        <f>IF(J$81="","",Underwriting!O196)</f>
        <v>557650.6541499208</v>
      </c>
      <c r="K82" s="172" t="n">
        <f>IF(K$81="","",Underwriting!P196)</f>
        <v>1094287.4844426755</v>
      </c>
      <c r="L82" s="172" t="n">
        <f>IF(L$81="","",Underwriting!Q196)</f>
        <v>1815120.9716493976</v>
      </c>
      <c r="M82" s="172" t="n">
        <f>IF(M$81="","",Underwriting!R196)</f>
        <v>2753177.670029392</v>
      </c>
      <c r="N82" s="172" t="n">
        <f>IF(N$81="","",Underwriting!S196)</f>
        <v>3934760.112479771</v>
      </c>
      <c r="O82" s="172" t="n">
        <f>IF(O$81="","",Underwriting!T196)</f>
        <v>5373664.257545585</v>
      </c>
      <c r="P82" s="172" t="n">
        <f>IF(P$81="","",Underwriting!U196)</f>
        <v>7065163.651583814</v>
      </c>
      <c r="Q82" s="172" t="n">
        <f>IF(Q$81="","",Underwriting!V196)</f>
        <v>8980751.963331705</v>
      </c>
      <c r="R82" s="172" t="n">
        <f>IF(R$81="","",Underwriting!W196)</f>
        <v>11064805.605489833</v>
      </c>
      <c r="S82" s="170" t="n">
        <f>IF(S$81="","",Underwriting!X196)</f>
        <v>13234281.1379953</v>
      </c>
      <c r="T82" s="170" t="n">
        <f>IF(T$81="","",Underwriting!Y196)</f>
        <v>15382246.512724983</v>
      </c>
      <c r="U82" s="170" t="n">
        <f>IF(U$81="","",Underwriting!Z196)</f>
        <v>17385471.482058503</v>
      </c>
      <c r="V82" s="170" t="n">
        <f>IF(V$81="","",Underwriting!AA196)</f>
        <v>19115556.058013067</v>
      </c>
      <c r="W82" s="170" t="n">
        <f>IF(W$81="","",Underwriting!AB196)</f>
        <v>20452308.06807132</v>
      </c>
      <c r="X82" s="170" t="n">
        <f>IF(X$81="","",Underwriting!AC196)</f>
        <v>21297476.217184056</v>
      </c>
      <c r="Y82" s="170" t="n">
        <f>IF(Y$81="","",Underwriting!AD196)</f>
        <v>21586672.281520337</v>
      </c>
      <c r="Z82" s="170" t="n">
        <f>IF(Z$81="","",Underwriting!AE196)</f>
        <v>21297476.217184074</v>
      </c>
      <c r="AA82" s="170" t="n">
        <f>IF(AA$81="","",Underwriting!AF196)</f>
        <v>20452308.068071283</v>
      </c>
      <c r="AB82" s="170" t="n">
        <f>IF(AB$81="","",Underwriting!AG196)</f>
        <v>19115556.058013104</v>
      </c>
      <c r="AC82" s="170" t="n">
        <f>IF(AC$81="","",Underwriting!AH196)</f>
        <v>17385471.482058477</v>
      </c>
      <c r="AD82" s="170" t="n">
        <f>IF(AD$81="","",Underwriting!AI196)</f>
        <v>15382246.512724983</v>
      </c>
      <c r="AE82" s="170" t="n">
        <f>IF(AE$81="","",Underwriting!AJ196)</f>
        <v>13234281.137995327</v>
      </c>
      <c r="AF82" s="170" t="n">
        <f>IF(AF$81="","",Underwriting!AK196)</f>
        <v>11064805.605489803</v>
      </c>
      <c r="AG82" s="170" t="n">
        <f>IF(AG$81="","",Underwriting!AL196)</f>
        <v>8980751.963331705</v>
      </c>
      <c r="AH82" s="170" t="n">
        <f>IF(AH$81="","",Underwriting!AM196)</f>
        <v>7065163.651583838</v>
      </c>
      <c r="AI82" s="170" t="n">
        <f>IF(AI$81="","",Underwriting!AN196)</f>
        <v>5373664.257545568</v>
      </c>
      <c r="AJ82" s="170" t="n">
        <f>IF(AJ$81="","",Underwriting!AO196)</f>
        <v>3934760.112479772</v>
      </c>
      <c r="AK82" s="170" t="n">
        <f>IF(AK$81="","",Underwriting!AP196)</f>
        <v>2753177.670029406</v>
      </c>
      <c r="AL82" s="170" t="n">
        <f>IF(AL$81="","",Underwriting!AQ196)</f>
        <v>1815120.9716493823</v>
      </c>
      <c r="AM82" s="170" t="n">
        <f>IF(AM$81="","",Underwriting!AR196)</f>
        <v>1094287.4844426815</v>
      </c>
      <c r="AN82" s="170" t="n">
        <f>IF(AN$81="","",Underwriting!AS196)</f>
        <v>557650.6541499017</v>
      </c>
      <c r="AO82" s="170" t="n">
        <f>IF(AO$81="","",Underwriting!AT196)</f>
        <v>170317.57335218112</v>
      </c>
      <c r="AP82" s="170" t="n">
        <f>IF(AP$81="","",Underwriting!AU196)</f>
        <v>-100892.82373583224</v>
      </c>
      <c r="AQ82" s="170" t="n">
        <f>IF(AQ$81="","",Underwriting!AV196)</f>
        <v>-285207.09482578107</v>
      </c>
      <c r="AR82" s="170" t="n">
        <f>IF(AR$81="","",Underwriting!AW196)</f>
        <v>0</v>
      </c>
      <c r="AS82" s="170" t="n">
        <f>IF(AS$81="","",Underwriting!AX196)</f>
        <v>0</v>
      </c>
      <c r="AT82" s="170" t="n">
        <f>IF(AT$81="","",Underwriting!AY196)</f>
        <v>0</v>
      </c>
      <c r="AU82" s="170" t="n">
        <f>IF(AU$81="","",Underwriting!AZ196)</f>
        <v>0</v>
      </c>
      <c r="AV82" s="170" t="n">
        <f>IF(AV$81="","",Underwriting!BA196)</f>
        <v>0</v>
      </c>
      <c r="AW82" s="170" t="n">
        <f>IF(AW$81="","",Underwriting!BB196)</f>
        <v>0</v>
      </c>
      <c r="AX82" s="170" t="n">
        <f>IF(AX$81="","",Underwriting!BC196)</f>
        <v>0</v>
      </c>
      <c r="AY82" s="170" t="n">
        <f>IF(AY$81="","",Underwriting!BD196)</f>
        <v>0</v>
      </c>
      <c r="AZ82" s="170" t="n">
        <f>IF(AZ$81="","",Underwriting!BE196)</f>
        <v>0</v>
      </c>
      <c r="BA82" s="170" t="n">
        <f>IF(BA$81="","",Underwriting!BF196)</f>
        <v>0</v>
      </c>
      <c r="BB82" s="170" t="n">
        <f>IF(BB$81="","",Underwriting!BG196)</f>
        <v>0</v>
      </c>
      <c r="BC82" s="170" t="n">
        <f>IF(BC$81="","",Underwriting!BH196)</f>
        <v>0</v>
      </c>
      <c r="BD82" s="170" t="n">
        <f>IF(BD$81="","",Underwriting!BI196)</f>
        <v>0</v>
      </c>
      <c r="BE82" s="170" t="n">
        <f>IF(BE$81="","",Underwriting!BJ196)</f>
        <v>0</v>
      </c>
      <c r="BF82" s="170" t="n">
        <f>IF(BF$81="","",Underwriting!BK196)</f>
        <v>0</v>
      </c>
      <c r="BG82" s="170" t="n">
        <f>IF(BG$81="","",Underwriting!BL196)</f>
        <v>0</v>
      </c>
      <c r="BH82" s="170" t="n">
        <f>IF(BH$81="","",Underwriting!BM196)</f>
        <v>0</v>
      </c>
      <c r="BI82" s="170" t="n">
        <f>IF(BI$81="","",Underwriting!BN196)</f>
        <v>0</v>
      </c>
      <c r="BJ82" s="170" t="n">
        <f>IF(BJ$81="","",Underwriting!BO196)</f>
        <v>0</v>
      </c>
      <c r="BK82" s="170" t="n">
        <f>IF(BK$81="","",Underwriting!BP196)</f>
        <v>0</v>
      </c>
      <c r="BL82" s="170" t="n">
        <f>IF(BL$81="","",Underwriting!BQ196)</f>
        <v>0</v>
      </c>
      <c r="BM82" s="170" t="n">
        <f>IF(BM$81="","",Underwriting!BR196)</f>
        <v>0</v>
      </c>
      <c r="BN82" s="170" t="n">
        <f>IF(BN$81="","",Underwriting!BS196)</f>
        <v>0</v>
      </c>
      <c r="BO82" s="170" t="n">
        <f>IF(BO$81="","",Underwriting!BT196)</f>
        <v>0</v>
      </c>
      <c r="BP82" s="170" t="n">
        <f>IF(BP$81="","",Underwriting!BU196)</f>
        <v>0</v>
      </c>
      <c r="BQ82" s="170" t="str">
        <f>IF(BQ$81="","",Underwriting!BV196)</f>
      </c>
      <c r="BR82" s="170" t="str">
        <f>IF(BR$81="","",Underwriting!BW196)</f>
      </c>
      <c r="BS82" s="170" t="str">
        <f>IF(BS$81="","",Underwriting!BX196)</f>
      </c>
      <c r="BT82" s="170" t="str">
        <f>IF(BT$81="","",Underwriting!BY196)</f>
      </c>
      <c r="BU82" s="170" t="str">
        <f>IF(BU$81="","",Underwriting!BZ196)</f>
      </c>
      <c r="BV82" s="170" t="str">
        <f>IF(BV$81="","",Underwriting!CA196)</f>
      </c>
      <c r="BW82" s="170" t="str">
        <f>IF(BW$81="","",Underwriting!CB196)</f>
      </c>
      <c r="BX82" s="170" t="str">
        <f>IF(BX$81="","",Underwriting!CC196)</f>
      </c>
      <c r="BY82" s="170" t="str">
        <f>IF(BY$81="","",Underwriting!CD196)</f>
      </c>
      <c r="BZ82" s="170" t="str">
        <f>IF(BZ$81="","",Underwriting!CE196)</f>
      </c>
      <c r="CA82" s="170" t="str">
        <f>IF(CA$81="","",Underwriting!CF196)</f>
      </c>
      <c r="CB82" s="170" t="str">
        <f>IF(CB$81="","",Underwriting!CG196)</f>
      </c>
      <c r="CC82" s="170" t="str">
        <f>IF(CC$81="","",Underwriting!CH196)</f>
      </c>
      <c r="CD82" s="170" t="str">
        <f>IF(CD$81="","",Underwriting!CI196)</f>
      </c>
      <c r="CE82" s="170" t="str">
        <f>IF(CE$81="","",Underwriting!CJ196)</f>
      </c>
      <c r="CF82" s="170" t="str">
        <f>IF(CF$81="","",Underwriting!CK196)</f>
      </c>
      <c r="CG82" s="170" t="str">
        <f>IF(CG$81="","",Underwriting!CL196)</f>
      </c>
      <c r="CH82" s="170" t="str">
        <f>IF(CH$81="","",Underwriting!CM196)</f>
      </c>
      <c r="CI82" s="170" t="str">
        <f>IF(CI$81="","",Underwriting!CN196)</f>
      </c>
      <c r="CJ82" s="170" t="str">
        <f>IF(CJ$81="","",Underwriting!CO196)</f>
      </c>
      <c r="CK82" s="170" t="str">
        <f>IF(CK$81="","",Underwriting!CP196)</f>
      </c>
      <c r="CL82" s="170" t="str">
        <f>IF(CL$81="","",Underwriting!CQ196)</f>
      </c>
      <c r="CM82" s="170" t="str">
        <f>IF(CM$81="","",Underwriting!CR196)</f>
      </c>
      <c r="CN82" s="170" t="str">
        <f>IF(CN$81="","",Underwriting!CS196)</f>
      </c>
      <c r="CO82" s="170" t="str">
        <f>IF(CO$81="","",Underwriting!CT196)</f>
      </c>
      <c r="CP82" s="170" t="str">
        <f>IF(CP$81="","",Underwriting!CU196)</f>
      </c>
      <c r="CQ82" s="170" t="str">
        <f>IF(CQ$81="","",Underwriting!CV196)</f>
      </c>
      <c r="CR82" s="170" t="str">
        <f>IF(CR$81="","",Underwriting!CW196)</f>
      </c>
      <c r="CS82" s="170" t="str">
        <f>IF(CS$81="","",Underwriting!CX196)</f>
      </c>
      <c r="CT82" s="170" t="str">
        <f>IF(CT$81="","",Underwriting!CY196)</f>
      </c>
      <c r="CU82" s="170" t="str">
        <f>IF(CU$81="","",Underwriting!CZ196)</f>
      </c>
      <c r="CV82" s="170" t="str">
        <f>IF(CV$81="","",Underwriting!DA196)</f>
      </c>
      <c r="CW82" s="170" t="str">
        <f>IF(CW$81="","",Underwriting!DB196)</f>
      </c>
      <c r="CX82" s="170" t="str">
        <f>IF(CX$81="","",Underwriting!DC196)</f>
      </c>
      <c r="CY82" s="170" t="str">
        <f>IF(CY$81="","",Underwriting!DD196)</f>
      </c>
      <c r="CZ82" s="170" t="str">
        <f>IF(CZ$81="","",Underwriting!DE196)</f>
      </c>
      <c r="DA82" s="170" t="str">
        <f>IF(DA$81="","",Underwriting!DF196)</f>
      </c>
      <c r="DB82" s="170" t="str">
        <f>IF(DB$81="","",Underwriting!DG196)</f>
      </c>
      <c r="DC82" s="170" t="str">
        <f>IF(DC$81="","",Underwriting!DH196)</f>
      </c>
      <c r="DD82" s="170" t="str">
        <f>IF(DD$81="","",Underwriting!DI196)</f>
      </c>
      <c r="DE82" s="170" t="str">
        <f>IF(DE$81="","",Underwriting!DJ196)</f>
      </c>
      <c r="DF82" s="170" t="str">
        <f>IF(DF$81="","",Underwriting!DK196)</f>
      </c>
      <c r="DG82" s="170" t="str">
        <f>IF(DG$81="","",Underwriting!DL196)</f>
      </c>
      <c r="DH82" s="170" t="str">
        <f>IF(DH$81="","",Underwriting!DM196)</f>
      </c>
      <c r="DI82" s="170" t="str">
        <f>IF(DI$81="","",Underwriting!DN196)</f>
      </c>
      <c r="DJ82" s="170" t="str">
        <f>IF(DJ$81="","",Underwriting!DO196)</f>
      </c>
      <c r="DK82" s="170" t="str">
        <f>IF(DK$81="","",Underwriting!DP196)</f>
      </c>
      <c r="DL82" s="170" t="str">
        <f>IF(DL$81="","",Underwriting!DQ196)</f>
      </c>
      <c r="DM82" s="170" t="str">
        <f>IF(DM$81="","",Underwriting!DR196)</f>
      </c>
      <c r="DN82" s="170" t="str">
        <f>IF(DN$81="","",Underwriting!DS196)</f>
      </c>
      <c r="DO82" s="170" t="str">
        <f>IF(DO$81="","",Underwriting!DT196)</f>
      </c>
      <c r="DP82" s="170" t="str">
        <f>IF(DP$81="","",Underwriting!DU196)</f>
      </c>
      <c r="DQ82" s="170" t="str">
        <f>IF(DQ$81="","",Underwriting!DV196)</f>
      </c>
      <c r="DR82" s="170" t="str">
        <f>IF(DR$81="","",Underwriting!DW196)</f>
      </c>
      <c r="DS82" s="170" t="str">
        <f>IF(DS$81="","",Underwriting!DX196)</f>
      </c>
      <c r="DT82" s="170" t="str">
        <f>IF(DT$81="","",Underwriting!DY196)</f>
      </c>
      <c r="DU82" s="170" t="str">
        <f>IF(DU$81="","",Underwriting!DZ196)</f>
      </c>
      <c r="DV82" s="170" t="str">
        <f>IF(DV$81="","",Underwriting!EA196)</f>
      </c>
      <c r="DW82" s="170" t="str">
        <f>IF(DW$81="","",Underwriting!EB196)</f>
      </c>
      <c r="DX82" s="170" t="str">
        <f>IF(DX$81="","",Underwriting!EC196)</f>
      </c>
      <c r="DY82" s="170" t="str">
        <f>IF(DY$81="","",Underwriting!ED196)</f>
      </c>
      <c r="DZ82" s="170" t="str">
        <f>IF(DZ$81="","",Underwriting!EE196)</f>
      </c>
      <c r="EA82" s="170" t="str">
        <f>IF(EA$81="","",Underwriting!EF196)</f>
      </c>
      <c r="EB82" s="170" t="str">
        <f>IF(EB$81="","",Underwriting!EG196)</f>
      </c>
      <c r="EC82" s="170" t="str">
        <f>IF(EC$81="","",Underwriting!EH196)</f>
      </c>
      <c r="ED82" s="170" t="str">
        <f>IF(ED$81="","",Underwriting!EI196)</f>
      </c>
      <c r="EE82" s="170" t="str">
        <f>IF(EE$81="","",Underwriting!EJ196)</f>
      </c>
      <c r="EF82" s="170" t="str">
        <f>IF(EF$81="","",Underwriting!EK196)</f>
      </c>
      <c r="EG82" s="170" t="str">
        <f>IF(EG$81="","",Underwriting!EL196)</f>
      </c>
      <c r="EH82" s="170" t="str">
        <f>IF(EH$81="","",Underwriting!EM196)</f>
      </c>
      <c r="EI82" s="170" t="str">
        <f>IF(EI$81="","",Underwriting!EN196)</f>
      </c>
    </row>
    <row r="83">
      <c r="B83" s="34" t="s">
        <v>364</v>
      </c>
      <c r="C83" s="4"/>
      <c r="D83" s="4"/>
      <c r="E83" s="4"/>
      <c r="F83" s="4"/>
      <c r="G83" s="172" t="str">
        <f>IF(G$81="","",Underwriting!L197)</f>
      </c>
      <c r="H83" s="172" t="n">
        <f>IF(H$81="","",Underwriting!M197)</f>
        <v>0</v>
      </c>
      <c r="I83" s="172" t="n">
        <f>IF(I$81="","",Underwriting!N197)</f>
        <v>0</v>
      </c>
      <c r="J83" s="172" t="n">
        <f>IF(J$81="","",Underwriting!O197)</f>
        <v>0</v>
      </c>
      <c r="K83" s="172" t="n">
        <f>IF(K$81="","",Underwriting!P197)</f>
        <v>0</v>
      </c>
      <c r="L83" s="172" t="n">
        <f>IF(L$81="","",Underwriting!Q197)</f>
        <v>0</v>
      </c>
      <c r="M83" s="172" t="n">
        <f>IF(M$81="","",Underwriting!R197)</f>
        <v>857.5416722692917</v>
      </c>
      <c r="N83" s="172" t="n">
        <f>IF(N$81="","",Underwriting!S197)</f>
        <v>863.9732348113113</v>
      </c>
      <c r="O83" s="172" t="n">
        <f>IF(O$81="","",Underwriting!T197)</f>
        <v>870.4530340723962</v>
      </c>
      <c r="P83" s="172" t="n">
        <f>IF(P$81="","",Underwriting!U197)</f>
        <v>876.9814318279391</v>
      </c>
      <c r="Q83" s="172" t="n">
        <f>IF(Q$81="","",Underwriting!V197)</f>
        <v>883.5587925666487</v>
      </c>
      <c r="R83" s="172" t="n">
        <f>IF(R$81="","",Underwriting!W197)</f>
        <v>890.1854835108985</v>
      </c>
      <c r="S83" s="170" t="n">
        <f>IF(S$81="","",Underwriting!X197)</f>
        <v>896.8618746372304</v>
      </c>
      <c r="T83" s="170" t="n">
        <f>IF(T$81="","",Underwriting!Y197)</f>
        <v>903.5883386970096</v>
      </c>
      <c r="U83" s="170" t="n">
        <f>IF(U$81="","",Underwriting!Z197)</f>
        <v>910.3652512372372</v>
      </c>
      <c r="V83" s="170" t="n">
        <f>IF(V$81="","",Underwriting!AA197)</f>
        <v>917.1929906215164</v>
      </c>
      <c r="W83" s="170" t="n">
        <f>IF(W$81="","",Underwriting!AB197)</f>
        <v>924.0719380511778</v>
      </c>
      <c r="X83" s="170" t="n">
        <f>IF(X$81="","",Underwriting!AC197)</f>
        <v>72031.80627067357</v>
      </c>
      <c r="Y83" s="170" t="n">
        <f>IF(Y$81="","",Underwriting!AD197)</f>
        <v>232303.11644658397</v>
      </c>
      <c r="Z83" s="170" t="n">
        <f>IF(Z$81="","",Underwriting!AE197)</f>
        <v>395945.43193133594</v>
      </c>
      <c r="AA83" s="170" t="n">
        <f>IF(AA$81="","",Underwriting!AF197)</f>
        <v>558646.0942997016</v>
      </c>
      <c r="AB83" s="170" t="n">
        <f>IF(AB$81="","",Underwriting!AG197)</f>
        <v>716228.2505174839</v>
      </c>
      <c r="AC83" s="170" t="n">
        <f>IF(AC$81="","",Underwriting!AH197)</f>
        <v>864966.6328314635</v>
      </c>
      <c r="AD83" s="170" t="n">
        <f>IF(AD$81="","",Underwriting!AI197)</f>
        <v>1001844.9186931379</v>
      </c>
      <c r="AE83" s="170" t="n">
        <f>IF(AE$81="","",Underwriting!AJ197)</f>
        <v>1124725.6044287735</v>
      </c>
      <c r="AF83" s="170" t="n">
        <f>IF(AF$81="","",Underwriting!AK197)</f>
        <v>1232418.1549969541</v>
      </c>
      <c r="AG83" s="170" t="n">
        <f>IF(AG$81="","",Underwriting!AL197)</f>
        <v>1324647.333200605</v>
      </c>
      <c r="AH83" s="170" t="n">
        <f>IF(AH$81="","",Underwriting!AM197)</f>
        <v>1401937.827924597</v>
      </c>
      <c r="AI83" s="170" t="n">
        <f>IF(AI$81="","",Underwriting!AN197)</f>
        <v>1465441.0890209107</v>
      </c>
      <c r="AJ83" s="170" t="n">
        <f>IF(AJ$81="","",Underwriting!AO197)</f>
        <v>1516734.379120159</v>
      </c>
      <c r="AK83" s="170" t="n">
        <f>IF(AK$81="","",Underwriting!AP197)</f>
        <v>1557620.5878071587</v>
      </c>
      <c r="AL83" s="170" t="n">
        <f>IF(AL$81="","",Underwriting!AQ197)</f>
        <v>1589951.574740933</v>
      </c>
      <c r="AM83" s="170" t="n">
        <f>IF(AM$81="","",Underwriting!AR197)</f>
        <v>1615489.6188388604</v>
      </c>
      <c r="AN83" s="170" t="n">
        <f>IF(AN$81="","",Underwriting!AS197)</f>
        <v>1635812.9471134718</v>
      </c>
      <c r="AO83" s="170" t="n">
        <f>IF(AO$81="","",Underwriting!AT197)</f>
        <v>1652263.924122947</v>
      </c>
      <c r="AP83" s="170" t="n">
        <f>IF(AP$81="","",Underwriting!AU197)</f>
        <v>1665933.2853540105</v>
      </c>
      <c r="AQ83" s="170" t="n">
        <f>IF(AQ$81="","",Underwriting!AV197)</f>
        <v>1678427.7849941654</v>
      </c>
      <c r="AR83" s="170" t="n">
        <f>IF(AR$81="","",Underwriting!AW197)</f>
        <v>1691015.9933816215</v>
      </c>
      <c r="AS83" s="170" t="n">
        <f>IF(AS$81="","",Underwriting!AX197)</f>
        <v>1703698.6133319838</v>
      </c>
      <c r="AT83" s="170" t="n">
        <f>IF(AT$81="","",Underwriting!AY197)</f>
        <v>1716476.3529319735</v>
      </c>
      <c r="AU83" s="170" t="n">
        <f>IF(AU$81="","",Underwriting!AZ197)</f>
        <v>1729349.9255789632</v>
      </c>
      <c r="AV83" s="170" t="n">
        <f>IF(AV$81="","",Underwriting!BA197)</f>
        <v>1742320.0500208056</v>
      </c>
      <c r="AW83" s="170" t="n">
        <f>IF(AW$81="","",Underwriting!BB197)</f>
        <v>1755387.4503959615</v>
      </c>
      <c r="AX83" s="170" t="n">
        <f>IF(AX$81="","",Underwriting!BC197)</f>
        <v>1768552.8562739315</v>
      </c>
      <c r="AY83" s="170" t="n">
        <f>IF(AY$81="","",Underwriting!BD197)</f>
        <v>1781817.0026959858</v>
      </c>
      <c r="AZ83" s="170" t="n">
        <f>IF(AZ$81="","",Underwriting!BE197)</f>
        <v>1795180.6302162057</v>
      </c>
      <c r="BA83" s="170" t="n">
        <f>IF(BA$81="","",Underwriting!BF197)</f>
        <v>1808644.4849428274</v>
      </c>
      <c r="BB83" s="170" t="n">
        <f>IF(BB$81="","",Underwriting!BG197)</f>
        <v>1822209.3185798984</v>
      </c>
      <c r="BC83" s="170" t="n">
        <f>IF(BC$81="","",Underwriting!BH197)</f>
        <v>1835875.8884692478</v>
      </c>
      <c r="BD83" s="170" t="n">
        <f>IF(BD$81="","",Underwriting!BI197)</f>
        <v>1849644.957632767</v>
      </c>
      <c r="BE83" s="170" t="n">
        <f>IF(BE$81="","",Underwriting!BJ197)</f>
        <v>1863517.2948150132</v>
      </c>
      <c r="BF83" s="170" t="n">
        <f>IF(BF$81="","",Underwriting!BK197)</f>
        <v>1877493.6745261254</v>
      </c>
      <c r="BG83" s="170" t="n">
        <f>IF(BG$81="","",Underwriting!BL197)</f>
        <v>1891574.8770850713</v>
      </c>
      <c r="BH83" s="170" t="n">
        <f>IF(BH$81="","",Underwriting!BM197)</f>
        <v>1905761.6886632096</v>
      </c>
      <c r="BI83" s="170" t="n">
        <f>IF(BI$81="","",Underwriting!BN197)</f>
        <v>1920054.9013281837</v>
      </c>
      <c r="BJ83" s="170" t="n">
        <f>IF(BJ$81="","",Underwriting!BO197)</f>
        <v>1934455.3130881449</v>
      </c>
      <c r="BK83" s="170" t="n">
        <f>IF(BK$81="","",Underwriting!BP197)</f>
        <v>1948963.727936306</v>
      </c>
      <c r="BL83" s="170" t="n">
        <f>IF(BL$81="","",Underwriting!BQ197)</f>
        <v>1963580.955895828</v>
      </c>
      <c r="BM83" s="170" t="n">
        <f>IF(BM$81="","",Underwriting!BR197)</f>
        <v>1978307.8130650471</v>
      </c>
      <c r="BN83" s="170" t="n">
        <f>IF(BN$81="","",Underwriting!BS197)</f>
        <v>1993145.121663035</v>
      </c>
      <c r="BO83" s="170" t="n">
        <f>IF(BO$81="","",Underwriting!BT197)</f>
        <v>2008093.7100755076</v>
      </c>
      <c r="BP83" s="170" t="n">
        <f>IF(BP$81="","",Underwriting!BU197)</f>
        <v>2023154.4129010744</v>
      </c>
      <c r="BQ83" s="170" t="str">
        <f>IF(BQ$81="","",Underwriting!BV197)</f>
      </c>
      <c r="BR83" s="170" t="str">
        <f>IF(BR$81="","",Underwriting!BW197)</f>
      </c>
      <c r="BS83" s="170" t="str">
        <f>IF(BS$81="","",Underwriting!BX197)</f>
      </c>
      <c r="BT83" s="170" t="str">
        <f>IF(BT$81="","",Underwriting!BY197)</f>
      </c>
      <c r="BU83" s="170" t="str">
        <f>IF(BU$81="","",Underwriting!BZ197)</f>
      </c>
      <c r="BV83" s="170" t="str">
        <f>IF(BV$81="","",Underwriting!CA197)</f>
      </c>
      <c r="BW83" s="170" t="str">
        <f>IF(BW$81="","",Underwriting!CB197)</f>
      </c>
      <c r="BX83" s="170" t="str">
        <f>IF(BX$81="","",Underwriting!CC197)</f>
      </c>
      <c r="BY83" s="170" t="str">
        <f>IF(BY$81="","",Underwriting!CD197)</f>
      </c>
      <c r="BZ83" s="170" t="str">
        <f>IF(BZ$81="","",Underwriting!CE197)</f>
      </c>
      <c r="CA83" s="170" t="str">
        <f>IF(CA$81="","",Underwriting!CF197)</f>
      </c>
      <c r="CB83" s="170" t="str">
        <f>IF(CB$81="","",Underwriting!CG197)</f>
      </c>
      <c r="CC83" s="170" t="str">
        <f>IF(CC$81="","",Underwriting!CH197)</f>
      </c>
      <c r="CD83" s="170" t="str">
        <f>IF(CD$81="","",Underwriting!CI197)</f>
      </c>
      <c r="CE83" s="170" t="str">
        <f>IF(CE$81="","",Underwriting!CJ197)</f>
      </c>
      <c r="CF83" s="170" t="str">
        <f>IF(CF$81="","",Underwriting!CK197)</f>
      </c>
      <c r="CG83" s="170" t="str">
        <f>IF(CG$81="","",Underwriting!CL197)</f>
      </c>
      <c r="CH83" s="170" t="str">
        <f>IF(CH$81="","",Underwriting!CM197)</f>
      </c>
      <c r="CI83" s="170" t="str">
        <f>IF(CI$81="","",Underwriting!CN197)</f>
      </c>
      <c r="CJ83" s="170" t="str">
        <f>IF(CJ$81="","",Underwriting!CO197)</f>
      </c>
      <c r="CK83" s="170" t="str">
        <f>IF(CK$81="","",Underwriting!CP197)</f>
      </c>
      <c r="CL83" s="170" t="str">
        <f>IF(CL$81="","",Underwriting!CQ197)</f>
      </c>
      <c r="CM83" s="170" t="str">
        <f>IF(CM$81="","",Underwriting!CR197)</f>
      </c>
      <c r="CN83" s="170" t="str">
        <f>IF(CN$81="","",Underwriting!CS197)</f>
      </c>
      <c r="CO83" s="170" t="str">
        <f>IF(CO$81="","",Underwriting!CT197)</f>
      </c>
      <c r="CP83" s="170" t="str">
        <f>IF(CP$81="","",Underwriting!CU197)</f>
      </c>
      <c r="CQ83" s="170" t="str">
        <f>IF(CQ$81="","",Underwriting!CV197)</f>
      </c>
      <c r="CR83" s="170" t="str">
        <f>IF(CR$81="","",Underwriting!CW197)</f>
      </c>
      <c r="CS83" s="170" t="str">
        <f>IF(CS$81="","",Underwriting!CX197)</f>
      </c>
      <c r="CT83" s="170" t="str">
        <f>IF(CT$81="","",Underwriting!CY197)</f>
      </c>
      <c r="CU83" s="170" t="str">
        <f>IF(CU$81="","",Underwriting!CZ197)</f>
      </c>
      <c r="CV83" s="170" t="str">
        <f>IF(CV$81="","",Underwriting!DA197)</f>
      </c>
      <c r="CW83" s="170" t="str">
        <f>IF(CW$81="","",Underwriting!DB197)</f>
      </c>
      <c r="CX83" s="170" t="str">
        <f>IF(CX$81="","",Underwriting!DC197)</f>
      </c>
      <c r="CY83" s="170" t="str">
        <f>IF(CY$81="","",Underwriting!DD197)</f>
      </c>
      <c r="CZ83" s="170" t="str">
        <f>IF(CZ$81="","",Underwriting!DE197)</f>
      </c>
      <c r="DA83" s="170" t="str">
        <f>IF(DA$81="","",Underwriting!DF197)</f>
      </c>
      <c r="DB83" s="170" t="str">
        <f>IF(DB$81="","",Underwriting!DG197)</f>
      </c>
      <c r="DC83" s="170" t="str">
        <f>IF(DC$81="","",Underwriting!DH197)</f>
      </c>
      <c r="DD83" s="170" t="str">
        <f>IF(DD$81="","",Underwriting!DI197)</f>
      </c>
      <c r="DE83" s="170" t="str">
        <f>IF(DE$81="","",Underwriting!DJ197)</f>
      </c>
      <c r="DF83" s="170" t="str">
        <f>IF(DF$81="","",Underwriting!DK197)</f>
      </c>
      <c r="DG83" s="170" t="str">
        <f>IF(DG$81="","",Underwriting!DL197)</f>
      </c>
      <c r="DH83" s="170" t="str">
        <f>IF(DH$81="","",Underwriting!DM197)</f>
      </c>
      <c r="DI83" s="170" t="str">
        <f>IF(DI$81="","",Underwriting!DN197)</f>
      </c>
      <c r="DJ83" s="170" t="str">
        <f>IF(DJ$81="","",Underwriting!DO197)</f>
      </c>
      <c r="DK83" s="170" t="str">
        <f>IF(DK$81="","",Underwriting!DP197)</f>
      </c>
      <c r="DL83" s="170" t="str">
        <f>IF(DL$81="","",Underwriting!DQ197)</f>
      </c>
      <c r="DM83" s="170" t="str">
        <f>IF(DM$81="","",Underwriting!DR197)</f>
      </c>
      <c r="DN83" s="170" t="str">
        <f>IF(DN$81="","",Underwriting!DS197)</f>
      </c>
      <c r="DO83" s="170" t="str">
        <f>IF(DO$81="","",Underwriting!DT197)</f>
      </c>
      <c r="DP83" s="170" t="str">
        <f>IF(DP$81="","",Underwriting!DU197)</f>
      </c>
      <c r="DQ83" s="170" t="str">
        <f>IF(DQ$81="","",Underwriting!DV197)</f>
      </c>
      <c r="DR83" s="170" t="str">
        <f>IF(DR$81="","",Underwriting!DW197)</f>
      </c>
      <c r="DS83" s="170" t="str">
        <f>IF(DS$81="","",Underwriting!DX197)</f>
      </c>
      <c r="DT83" s="170" t="str">
        <f>IF(DT$81="","",Underwriting!DY197)</f>
      </c>
      <c r="DU83" s="170" t="str">
        <f>IF(DU$81="","",Underwriting!DZ197)</f>
      </c>
      <c r="DV83" s="170" t="str">
        <f>IF(DV$81="","",Underwriting!EA197)</f>
      </c>
      <c r="DW83" s="170" t="str">
        <f>IF(DW$81="","",Underwriting!EB197)</f>
      </c>
      <c r="DX83" s="170" t="str">
        <f>IF(DX$81="","",Underwriting!EC197)</f>
      </c>
      <c r="DY83" s="170" t="str">
        <f>IF(DY$81="","",Underwriting!ED197)</f>
      </c>
      <c r="DZ83" s="170" t="str">
        <f>IF(DZ$81="","",Underwriting!EE197)</f>
      </c>
      <c r="EA83" s="170" t="str">
        <f>IF(EA$81="","",Underwriting!EF197)</f>
      </c>
      <c r="EB83" s="170" t="str">
        <f>IF(EB$81="","",Underwriting!EG197)</f>
      </c>
      <c r="EC83" s="170" t="str">
        <f>IF(EC$81="","",Underwriting!EH197)</f>
      </c>
      <c r="ED83" s="170" t="str">
        <f>IF(ED$81="","",Underwriting!EI197)</f>
      </c>
      <c r="EE83" s="170" t="str">
        <f>IF(EE$81="","",Underwriting!EJ197)</f>
      </c>
      <c r="EF83" s="170" t="str">
        <f>IF(EF$81="","",Underwriting!EK197)</f>
      </c>
      <c r="EG83" s="170" t="str">
        <f>IF(EG$81="","",Underwriting!EL197)</f>
      </c>
      <c r="EH83" s="170" t="str">
        <f>IF(EH$81="","",Underwriting!EM197)</f>
      </c>
      <c r="EI83" s="170" t="str">
        <f>IF(EI$81="","",Underwriting!EN197)</f>
      </c>
    </row>
    <row r="84">
      <c r="B84" s="34"/>
      <c r="C84" s="4"/>
      <c r="D84" s="4"/>
      <c r="E84" s="4"/>
      <c r="F84" s="4"/>
      <c r="G84" s="172"/>
      <c r="H84" s="172"/>
      <c r="I84" s="172"/>
      <c r="J84" s="172"/>
      <c r="K84" s="172"/>
      <c r="L84" s="172"/>
      <c r="M84" s="172"/>
      <c r="N84" s="172"/>
      <c r="O84" s="172"/>
      <c r="P84" s="172"/>
      <c r="Q84" s="172"/>
      <c r="R84" s="172"/>
      <c r="S84" s="170"/>
      <c r="T84" s="170"/>
      <c r="U84" s="170"/>
      <c r="V84" s="170"/>
      <c r="W84" s="170"/>
      <c r="X84" s="170"/>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c r="AY84" s="170"/>
      <c r="AZ84" s="170"/>
      <c r="BA84" s="170"/>
      <c r="BB84" s="170"/>
      <c r="BC84" s="170"/>
      <c r="BD84" s="170"/>
      <c r="BE84" s="170"/>
      <c r="BF84" s="170"/>
      <c r="BG84" s="170"/>
      <c r="BH84" s="170"/>
      <c r="BI84" s="170"/>
      <c r="BJ84" s="170"/>
      <c r="BK84" s="170"/>
      <c r="BL84" s="170"/>
      <c r="BM84" s="170"/>
      <c r="BN84" s="170"/>
      <c r="BO84" s="170"/>
      <c r="BP84" s="170"/>
      <c r="BQ84" s="170"/>
      <c r="BR84" s="170"/>
      <c r="BS84" s="170"/>
      <c r="BT84" s="170"/>
      <c r="BU84" s="170"/>
      <c r="BV84" s="170"/>
      <c r="BW84" s="170"/>
      <c r="BX84" s="170"/>
      <c r="BY84" s="170"/>
      <c r="BZ84" s="170"/>
      <c r="CA84" s="170"/>
      <c r="CB84" s="170"/>
      <c r="CC84" s="170"/>
      <c r="CD84" s="170"/>
      <c r="CE84" s="170"/>
      <c r="CF84" s="170"/>
      <c r="CG84" s="170"/>
      <c r="CH84" s="170"/>
      <c r="CI84" s="170"/>
      <c r="CJ84" s="170"/>
      <c r="CK84" s="170"/>
      <c r="CL84" s="170"/>
      <c r="CM84" s="170"/>
      <c r="CN84" s="170"/>
      <c r="CO84" s="170"/>
      <c r="CP84" s="170"/>
      <c r="CQ84" s="170"/>
      <c r="CR84" s="170"/>
      <c r="CS84" s="170"/>
      <c r="CT84" s="170"/>
      <c r="CU84" s="170"/>
      <c r="CV84" s="170"/>
      <c r="CW84" s="170"/>
      <c r="CX84" s="170"/>
      <c r="CY84" s="170"/>
      <c r="CZ84" s="170"/>
      <c r="DA84" s="170"/>
      <c r="DB84" s="170"/>
      <c r="DC84" s="170"/>
      <c r="DD84" s="170"/>
      <c r="DE84" s="170"/>
      <c r="DF84" s="170"/>
      <c r="DG84" s="170"/>
      <c r="DH84" s="170"/>
      <c r="DI84" s="170"/>
      <c r="DJ84" s="170"/>
      <c r="DK84" s="170"/>
      <c r="DL84" s="170"/>
      <c r="DM84" s="170"/>
      <c r="DN84" s="170"/>
      <c r="DO84" s="170"/>
      <c r="DP84" s="170"/>
      <c r="DQ84" s="170"/>
      <c r="DR84" s="170"/>
      <c r="DS84" s="170"/>
      <c r="DT84" s="170"/>
      <c r="DU84" s="170"/>
      <c r="DV84" s="170"/>
      <c r="DW84" s="170"/>
      <c r="DX84" s="170"/>
      <c r="DY84" s="170"/>
      <c r="DZ84" s="170"/>
      <c r="EA84" s="170"/>
      <c r="EB84" s="170"/>
      <c r="EC84" s="170"/>
      <c r="ED84" s="170"/>
      <c r="EE84" s="170"/>
      <c r="EF84" s="170"/>
      <c r="EG84" s="170"/>
      <c r="EH84" s="170"/>
      <c r="EI84" s="170"/>
    </row>
    <row r="85">
      <c r="B85" s="34" t="s">
        <v>500</v>
      </c>
      <c r="C85" s="4"/>
      <c r="D85" s="4"/>
      <c r="E85" s="4"/>
      <c r="F85" s="4"/>
      <c r="G85" s="172" t="str">
        <f>IF(G$81="","",Underwriting!L199)</f>
      </c>
      <c r="H85" s="172" t="n">
        <f>IF(H$81="","",Underwriting!M199)</f>
        <v>313055.55555555556</v>
      </c>
      <c r="I85" s="172" t="n">
        <f>IF(I$81="","",Underwriting!N199)</f>
        <v>313055.55555555556</v>
      </c>
      <c r="J85" s="172" t="n">
        <f>IF(J$81="","",Underwriting!O199)</f>
        <v>313055.55555555556</v>
      </c>
      <c r="K85" s="172" t="n">
        <f>IF(K$81="","",Underwriting!P199)</f>
        <v>313055.55555555556</v>
      </c>
      <c r="L85" s="172" t="n">
        <f>IF(L$81="","",Underwriting!Q199)</f>
        <v>313055.55555555556</v>
      </c>
      <c r="M85" s="172" t="n">
        <f>IF(M$81="","",Underwriting!R199)</f>
        <v>313055.55555555556</v>
      </c>
      <c r="N85" s="172" t="n">
        <f>IF(N$81="","",Underwriting!S199)</f>
        <v>313055.55555555556</v>
      </c>
      <c r="O85" s="172" t="n">
        <f>IF(O$81="","",Underwriting!T199)</f>
        <v>313055.55555555556</v>
      </c>
      <c r="P85" s="172" t="n">
        <f>IF(P$81="","",Underwriting!U199)</f>
        <v>313055.55555555556</v>
      </c>
      <c r="Q85" s="172" t="n">
        <f>IF(Q$81="","",Underwriting!V199)</f>
        <v>313055.55555555556</v>
      </c>
      <c r="R85" s="172" t="n">
        <f>IF(R$81="","",Underwriting!W199)</f>
        <v>313055.55555555556</v>
      </c>
      <c r="S85" s="170" t="n">
        <f>IF(S$81="","",Underwriting!X199)</f>
        <v>313055.55555555556</v>
      </c>
      <c r="T85" s="170" t="n">
        <f>IF(T$81="","",Underwriting!Y199)</f>
        <v>313055.55555555556</v>
      </c>
      <c r="U85" s="170" t="n">
        <f>IF(U$81="","",Underwriting!Z199)</f>
        <v>313055.55555555556</v>
      </c>
      <c r="V85" s="170" t="n">
        <f>IF(V$81="","",Underwriting!AA199)</f>
        <v>313055.55555555556</v>
      </c>
      <c r="W85" s="170" t="n">
        <f>IF(W$81="","",Underwriting!AB199)</f>
        <v>16462723.177979652</v>
      </c>
      <c r="X85" s="170" t="n">
        <f>IF(X$81="","",Underwriting!AC199)</f>
        <v>21785085.385473285</v>
      </c>
      <c r="Y85" s="170" t="n">
        <f>IF(Y$81="","",Underwriting!AD199)</f>
        <v>21990476.974151812</v>
      </c>
      <c r="Z85" s="170" t="n">
        <f>IF(Z$81="","",Underwriting!AE199)</f>
        <v>21610531.77273963</v>
      </c>
      <c r="AA85" s="170" t="n">
        <f>IF(AA$81="","",Underwriting!AF199)</f>
        <v>20765363.62362684</v>
      </c>
      <c r="AB85" s="170" t="n">
        <f>IF(AB$81="","",Underwriting!AG199)</f>
        <v>19428611.61356866</v>
      </c>
      <c r="AC85" s="170" t="n">
        <f>IF(AC$81="","",Underwriting!AH199)</f>
        <v>17698527.03761402</v>
      </c>
      <c r="AD85" s="170" t="n">
        <f>IF(AD$81="","",Underwriting!AI199)</f>
        <v>15695302.068280539</v>
      </c>
      <c r="AE85" s="170" t="n">
        <f>IF(AE$81="","",Underwriting!AJ199)</f>
        <v>13547336.693550859</v>
      </c>
      <c r="AF85" s="170" t="n">
        <f>IF(AF$81="","",Underwriting!AK199)</f>
        <v>11377861.161045346</v>
      </c>
      <c r="AG85" s="170" t="n">
        <f>IF(AG$81="","",Underwriting!AL199)</f>
        <v>9293807.518887255</v>
      </c>
      <c r="AH85" s="170" t="n">
        <f>IF(AH$81="","",Underwriting!AM199)</f>
        <v>7378219.207139394</v>
      </c>
      <c r="AI85" s="170" t="n">
        <f>IF(AI$81="","",Underwriting!AN199)</f>
        <v>5058549.908041745</v>
      </c>
      <c r="AJ85" s="170" t="n">
        <f>IF(AJ$81="","",Underwriting!AO199)</f>
        <v>2255947.0727027655</v>
      </c>
      <c r="AK85" s="170" t="n">
        <f>IF(AK$81="","",Underwriting!AP199)</f>
        <v>1627021.118143022</v>
      </c>
      <c r="AL85" s="170" t="n">
        <f>IF(AL$81="","",Underwriting!AQ199)</f>
        <v>1117199.4128260016</v>
      </c>
      <c r="AM85" s="170" t="n">
        <f>IF(AM$81="","",Underwriting!AR199)</f>
        <v>313055.55555555556</v>
      </c>
      <c r="AN85" s="170" t="n">
        <f>IF(AN$81="","",Underwriting!AS199)</f>
        <v>411536.5419218838</v>
      </c>
      <c r="AO85" s="170" t="n">
        <f>IF(AO$81="","",Underwriting!AT199)</f>
        <v>313055.55555555556</v>
      </c>
      <c r="AP85" s="170" t="n">
        <f>IF(AP$81="","",Underwriting!AU199)</f>
        <v>148177.12503796816</v>
      </c>
      <c r="AQ85" s="170" t="n">
        <f>IF(AQ$81="","",Underwriting!AV199)</f>
        <v>44612.05233198404</v>
      </c>
      <c r="AR85" s="170" t="n">
        <f>IF(AR$81="","",Underwriting!AW199)</f>
        <v>0</v>
      </c>
      <c r="AS85" s="170" t="n">
        <f>IF(AS$81="","",Underwriting!AX199)</f>
        <v>0</v>
      </c>
      <c r="AT85" s="170" t="n">
        <f>IF(AT$81="","",Underwriting!AY199)</f>
        <v>0</v>
      </c>
      <c r="AU85" s="170" t="n">
        <f>IF(AU$81="","",Underwriting!AZ199)</f>
        <v>0</v>
      </c>
      <c r="AV85" s="170" t="n">
        <f>IF(AV$81="","",Underwriting!BA199)</f>
        <v>0</v>
      </c>
      <c r="AW85" s="170" t="n">
        <f>IF(AW$81="","",Underwriting!BB199)</f>
        <v>0</v>
      </c>
      <c r="AX85" s="170" t="n">
        <f>IF(AX$81="","",Underwriting!BC199)</f>
        <v>0</v>
      </c>
      <c r="AY85" s="170" t="n">
        <f>IF(AY$81="","",Underwriting!BD199)</f>
        <v>0</v>
      </c>
      <c r="AZ85" s="170" t="n">
        <f>IF(AZ$81="","",Underwriting!BE199)</f>
        <v>0</v>
      </c>
      <c r="BA85" s="170" t="n">
        <f>IF(BA$81="","",Underwriting!BF199)</f>
        <v>0</v>
      </c>
      <c r="BB85" s="170" t="n">
        <f>IF(BB$81="","",Underwriting!BG199)</f>
        <v>0</v>
      </c>
      <c r="BC85" s="170" t="n">
        <f>IF(BC$81="","",Underwriting!BH199)</f>
        <v>0</v>
      </c>
      <c r="BD85" s="170" t="n">
        <f>IF(BD$81="","",Underwriting!BI199)</f>
        <v>0</v>
      </c>
      <c r="BE85" s="170" t="n">
        <f>IF(BE$81="","",Underwriting!BJ199)</f>
        <v>0</v>
      </c>
      <c r="BF85" s="170" t="n">
        <f>IF(BF$81="","",Underwriting!BK199)</f>
        <v>0</v>
      </c>
      <c r="BG85" s="170" t="n">
        <f>IF(BG$81="","",Underwriting!BL199)</f>
        <v>0</v>
      </c>
      <c r="BH85" s="170" t="n">
        <f>IF(BH$81="","",Underwriting!BM199)</f>
        <v>0</v>
      </c>
      <c r="BI85" s="170" t="n">
        <f>IF(BI$81="","",Underwriting!BN199)</f>
        <v>0</v>
      </c>
      <c r="BJ85" s="170" t="n">
        <f>IF(BJ$81="","",Underwriting!BO199)</f>
        <v>0</v>
      </c>
      <c r="BK85" s="170" t="n">
        <f>IF(BK$81="","",Underwriting!BP199)</f>
        <v>0</v>
      </c>
      <c r="BL85" s="170" t="n">
        <f>IF(BL$81="","",Underwriting!BQ199)</f>
        <v>0</v>
      </c>
      <c r="BM85" s="170" t="n">
        <f>IF(BM$81="","",Underwriting!BR199)</f>
        <v>0</v>
      </c>
      <c r="BN85" s="170" t="n">
        <f>IF(BN$81="","",Underwriting!BS199)</f>
        <v>0</v>
      </c>
      <c r="BO85" s="170" t="n">
        <f>IF(BO$81="","",Underwriting!BT199)</f>
        <v>0</v>
      </c>
      <c r="BP85" s="170" t="n">
        <f>IF(BP$81="","",Underwriting!BU199)</f>
        <v>0</v>
      </c>
      <c r="BQ85" s="170" t="str">
        <f>IF(BQ$81="","",Underwriting!BV199)</f>
      </c>
      <c r="BR85" s="170" t="str">
        <f>IF(BR$81="","",Underwriting!BW199)</f>
      </c>
      <c r="BS85" s="170" t="str">
        <f>IF(BS$81="","",Underwriting!BX199)</f>
      </c>
      <c r="BT85" s="170" t="str">
        <f>IF(BT$81="","",Underwriting!BY199)</f>
      </c>
      <c r="BU85" s="170" t="str">
        <f>IF(BU$81="","",Underwriting!BZ199)</f>
      </c>
      <c r="BV85" s="170" t="str">
        <f>IF(BV$81="","",Underwriting!CA199)</f>
      </c>
      <c r="BW85" s="170" t="str">
        <f>IF(BW$81="","",Underwriting!CB199)</f>
      </c>
      <c r="BX85" s="170" t="str">
        <f>IF(BX$81="","",Underwriting!CC199)</f>
      </c>
      <c r="BY85" s="170" t="str">
        <f>IF(BY$81="","",Underwriting!CD199)</f>
      </c>
      <c r="BZ85" s="170" t="str">
        <f>IF(BZ$81="","",Underwriting!CE199)</f>
      </c>
      <c r="CA85" s="170" t="str">
        <f>IF(CA$81="","",Underwriting!CF199)</f>
      </c>
      <c r="CB85" s="170" t="str">
        <f>IF(CB$81="","",Underwriting!CG199)</f>
      </c>
      <c r="CC85" s="170" t="str">
        <f>IF(CC$81="","",Underwriting!CH199)</f>
      </c>
      <c r="CD85" s="170" t="str">
        <f>IF(CD$81="","",Underwriting!CI199)</f>
      </c>
      <c r="CE85" s="170" t="str">
        <f>IF(CE$81="","",Underwriting!CJ199)</f>
      </c>
      <c r="CF85" s="170" t="str">
        <f>IF(CF$81="","",Underwriting!CK199)</f>
      </c>
      <c r="CG85" s="170" t="str">
        <f>IF(CG$81="","",Underwriting!CL199)</f>
      </c>
      <c r="CH85" s="170" t="str">
        <f>IF(CH$81="","",Underwriting!CM199)</f>
      </c>
      <c r="CI85" s="170" t="str">
        <f>IF(CI$81="","",Underwriting!CN199)</f>
      </c>
      <c r="CJ85" s="170" t="str">
        <f>IF(CJ$81="","",Underwriting!CO199)</f>
      </c>
      <c r="CK85" s="170" t="str">
        <f>IF(CK$81="","",Underwriting!CP199)</f>
      </c>
      <c r="CL85" s="170" t="str">
        <f>IF(CL$81="","",Underwriting!CQ199)</f>
      </c>
      <c r="CM85" s="170" t="str">
        <f>IF(CM$81="","",Underwriting!CR199)</f>
      </c>
      <c r="CN85" s="170" t="str">
        <f>IF(CN$81="","",Underwriting!CS199)</f>
      </c>
      <c r="CO85" s="170" t="str">
        <f>IF(CO$81="","",Underwriting!CT199)</f>
      </c>
      <c r="CP85" s="170" t="str">
        <f>IF(CP$81="","",Underwriting!CU199)</f>
      </c>
      <c r="CQ85" s="170" t="str">
        <f>IF(CQ$81="","",Underwriting!CV199)</f>
      </c>
      <c r="CR85" s="170" t="str">
        <f>IF(CR$81="","",Underwriting!CW199)</f>
      </c>
      <c r="CS85" s="170" t="str">
        <f>IF(CS$81="","",Underwriting!CX199)</f>
      </c>
      <c r="CT85" s="170" t="str">
        <f>IF(CT$81="","",Underwriting!CY199)</f>
      </c>
      <c r="CU85" s="170" t="str">
        <f>IF(CU$81="","",Underwriting!CZ199)</f>
      </c>
      <c r="CV85" s="170" t="str">
        <f>IF(CV$81="","",Underwriting!DA199)</f>
      </c>
      <c r="CW85" s="170" t="str">
        <f>IF(CW$81="","",Underwriting!DB199)</f>
      </c>
      <c r="CX85" s="170" t="str">
        <f>IF(CX$81="","",Underwriting!DC199)</f>
      </c>
      <c r="CY85" s="170" t="str">
        <f>IF(CY$81="","",Underwriting!DD199)</f>
      </c>
      <c r="CZ85" s="170" t="str">
        <f>IF(CZ$81="","",Underwriting!DE199)</f>
      </c>
      <c r="DA85" s="170" t="str">
        <f>IF(DA$81="","",Underwriting!DF199)</f>
      </c>
      <c r="DB85" s="170" t="str">
        <f>IF(DB$81="","",Underwriting!DG199)</f>
      </c>
      <c r="DC85" s="170" t="str">
        <f>IF(DC$81="","",Underwriting!DH199)</f>
      </c>
      <c r="DD85" s="170" t="str">
        <f>IF(DD$81="","",Underwriting!DI199)</f>
      </c>
      <c r="DE85" s="170" t="str">
        <f>IF(DE$81="","",Underwriting!DJ199)</f>
      </c>
      <c r="DF85" s="170" t="str">
        <f>IF(DF$81="","",Underwriting!DK199)</f>
      </c>
      <c r="DG85" s="170" t="str">
        <f>IF(DG$81="","",Underwriting!DL199)</f>
      </c>
      <c r="DH85" s="170" t="str">
        <f>IF(DH$81="","",Underwriting!DM199)</f>
      </c>
      <c r="DI85" s="170" t="str">
        <f>IF(DI$81="","",Underwriting!DN199)</f>
      </c>
      <c r="DJ85" s="170" t="str">
        <f>IF(DJ$81="","",Underwriting!DO199)</f>
      </c>
      <c r="DK85" s="170" t="str">
        <f>IF(DK$81="","",Underwriting!DP199)</f>
      </c>
      <c r="DL85" s="170" t="str">
        <f>IF(DL$81="","",Underwriting!DQ199)</f>
      </c>
      <c r="DM85" s="170" t="str">
        <f>IF(DM$81="","",Underwriting!DR199)</f>
      </c>
      <c r="DN85" s="170" t="str">
        <f>IF(DN$81="","",Underwriting!DS199)</f>
      </c>
      <c r="DO85" s="170" t="str">
        <f>IF(DO$81="","",Underwriting!DT199)</f>
      </c>
      <c r="DP85" s="170" t="str">
        <f>IF(DP$81="","",Underwriting!DU199)</f>
      </c>
      <c r="DQ85" s="170" t="str">
        <f>IF(DQ$81="","",Underwriting!DV199)</f>
      </c>
      <c r="DR85" s="170" t="str">
        <f>IF(DR$81="","",Underwriting!DW199)</f>
      </c>
      <c r="DS85" s="170" t="str">
        <f>IF(DS$81="","",Underwriting!DX199)</f>
      </c>
      <c r="DT85" s="170" t="str">
        <f>IF(DT$81="","",Underwriting!DY199)</f>
      </c>
      <c r="DU85" s="170" t="str">
        <f>IF(DU$81="","",Underwriting!DZ199)</f>
      </c>
      <c r="DV85" s="170" t="str">
        <f>IF(DV$81="","",Underwriting!EA199)</f>
      </c>
      <c r="DW85" s="170" t="str">
        <f>IF(DW$81="","",Underwriting!EB199)</f>
      </c>
      <c r="DX85" s="170" t="str">
        <f>IF(DX$81="","",Underwriting!EC199)</f>
      </c>
      <c r="DY85" s="170" t="str">
        <f>IF(DY$81="","",Underwriting!ED199)</f>
      </c>
      <c r="DZ85" s="170" t="str">
        <f>IF(DZ$81="","",Underwriting!EE199)</f>
      </c>
      <c r="EA85" s="170" t="str">
        <f>IF(EA$81="","",Underwriting!EF199)</f>
      </c>
      <c r="EB85" s="170" t="str">
        <f>IF(EB$81="","",Underwriting!EG199)</f>
      </c>
      <c r="EC85" s="170" t="str">
        <f>IF(EC$81="","",Underwriting!EH199)</f>
      </c>
      <c r="ED85" s="170" t="str">
        <f>IF(ED$81="","",Underwriting!EI199)</f>
      </c>
      <c r="EE85" s="170" t="str">
        <f>IF(EE$81="","",Underwriting!EJ199)</f>
      </c>
      <c r="EF85" s="170" t="str">
        <f>IF(EF$81="","",Underwriting!EK199)</f>
      </c>
      <c r="EG85" s="170" t="str">
        <f>IF(EG$81="","",Underwriting!EL199)</f>
      </c>
      <c r="EH85" s="170" t="str">
        <f>IF(EH$81="","",Underwriting!EM199)</f>
      </c>
      <c r="EI85" s="170" t="str">
        <f>IF(EI$81="","",Underwriting!EN199)</f>
      </c>
    </row>
    <row r="86">
      <c r="B86" s="34" t="s">
        <v>501</v>
      </c>
      <c r="C86" s="4"/>
      <c r="D86" s="4"/>
      <c r="E86" s="4"/>
      <c r="F86" s="4"/>
      <c r="G86" s="172" t="str">
        <f>IF(G$81="","",Underwriting!L53)</f>
      </c>
      <c r="H86" s="172" t="n">
        <f>IF(H$81="","",Underwriting!M53)</f>
        <v>0</v>
      </c>
      <c r="I86" s="172" t="n">
        <f>IF(I$81="","",Underwriting!N53)</f>
        <v>0</v>
      </c>
      <c r="J86" s="172" t="n">
        <f>IF(J$81="","",Underwriting!O53)</f>
        <v>0</v>
      </c>
      <c r="K86" s="172" t="n">
        <f>IF(K$81="","",Underwriting!P53)</f>
        <v>0</v>
      </c>
      <c r="L86" s="172" t="n">
        <f>IF(L$81="","",Underwriting!Q53)</f>
        <v>0</v>
      </c>
      <c r="M86" s="172" t="n">
        <f>IF(M$81="","",Underwriting!R53)</f>
        <v>0</v>
      </c>
      <c r="N86" s="172" t="n">
        <f>IF(N$81="","",Underwriting!S53)</f>
        <v>0</v>
      </c>
      <c r="O86" s="172" t="n">
        <f>IF(O$81="","",Underwriting!T53)</f>
        <v>0</v>
      </c>
      <c r="P86" s="172" t="n">
        <f>IF(P$81="","",Underwriting!U53)</f>
        <v>0</v>
      </c>
      <c r="Q86" s="172" t="n">
        <f>IF(Q$81="","",Underwriting!V53)</f>
        <v>0</v>
      </c>
      <c r="R86" s="172" t="n">
        <f>IF(R$81="","",Underwriting!W53)</f>
        <v>0</v>
      </c>
      <c r="S86" s="170" t="n">
        <f>IF(S$81="","",Underwriting!X53)</f>
        <v>0</v>
      </c>
      <c r="T86" s="170" t="n">
        <f>IF(T$81="","",Underwriting!Y53)</f>
        <v>0</v>
      </c>
      <c r="U86" s="170" t="n">
        <f>IF(U$81="","",Underwriting!Z53)</f>
        <v>0</v>
      </c>
      <c r="V86" s="170" t="n">
        <f>IF(V$81="","",Underwriting!AA53)</f>
        <v>0</v>
      </c>
      <c r="W86" s="170" t="n">
        <f>IF(W$81="","",Underwriting!AB53)</f>
        <v>0</v>
      </c>
      <c r="X86" s="170" t="n">
        <f>IF(X$81="","",Underwriting!AC53)</f>
        <v>0</v>
      </c>
      <c r="Y86" s="170" t="n">
        <f>IF(Y$81="","",Underwriting!AD53)</f>
        <v>0</v>
      </c>
      <c r="Z86" s="170" t="n">
        <f>IF(Z$81="","",Underwriting!AE53)</f>
        <v>0</v>
      </c>
      <c r="AA86" s="170" t="n">
        <f>IF(AA$81="","",Underwriting!AF53)</f>
        <v>0</v>
      </c>
      <c r="AB86" s="170" t="n">
        <f>IF(AB$81="","",Underwriting!AG53)</f>
        <v>0</v>
      </c>
      <c r="AC86" s="170" t="n">
        <f>IF(AC$81="","",Underwriting!AH53)</f>
        <v>0</v>
      </c>
      <c r="AD86" s="170" t="n">
        <f>IF(AD$81="","",Underwriting!AI53)</f>
        <v>0</v>
      </c>
      <c r="AE86" s="170" t="n">
        <f>IF(AE$81="","",Underwriting!AJ53)</f>
        <v>0</v>
      </c>
      <c r="AF86" s="170" t="n">
        <f>IF(AF$81="","",Underwriting!AK53)</f>
        <v>0</v>
      </c>
      <c r="AG86" s="170" t="n">
        <f>IF(AG$81="","",Underwriting!AL53)</f>
        <v>0</v>
      </c>
      <c r="AH86" s="170" t="n">
        <f>IF(AH$81="","",Underwriting!AM53)</f>
        <v>0</v>
      </c>
      <c r="AI86" s="170" t="n">
        <f>IF(AI$81="","",Underwriting!AN53)</f>
        <v>0</v>
      </c>
      <c r="AJ86" s="170" t="n">
        <f>IF(AJ$81="","",Underwriting!AO53)</f>
        <v>0</v>
      </c>
      <c r="AK86" s="170" t="n">
        <f>IF(AK$81="","",Underwriting!AP53)</f>
        <v>0</v>
      </c>
      <c r="AL86" s="170" t="n">
        <f>IF(AL$81="","",Underwriting!AQ53)</f>
        <v>0</v>
      </c>
      <c r="AM86" s="170" t="n">
        <f>IF(AM$81="","",Underwriting!AR53)</f>
        <v>0</v>
      </c>
      <c r="AN86" s="170" t="n">
        <f>IF(AN$81="","",Underwriting!AS53)</f>
        <v>0</v>
      </c>
      <c r="AO86" s="170" t="n">
        <f>IF(AO$81="","",Underwriting!AT53)</f>
        <v>0</v>
      </c>
      <c r="AP86" s="170" t="n">
        <f>IF(AP$81="","",Underwriting!AU53)</f>
        <v>0</v>
      </c>
      <c r="AQ86" s="170" t="n">
        <f>IF(AQ$81="","",Underwriting!AV53)</f>
        <v>0</v>
      </c>
      <c r="AR86" s="170" t="n">
        <f>IF(AR$81="","",Underwriting!AW53)</f>
        <v>0</v>
      </c>
      <c r="AS86" s="170" t="n">
        <f>IF(AS$81="","",Underwriting!AX53)</f>
        <v>0</v>
      </c>
      <c r="AT86" s="170" t="n">
        <f>IF(AT$81="","",Underwriting!AY53)</f>
        <v>0</v>
      </c>
      <c r="AU86" s="170" t="n">
        <f>IF(AU$81="","",Underwriting!AZ53)</f>
        <v>0</v>
      </c>
      <c r="AV86" s="170" t="n">
        <f>IF(AV$81="","",Underwriting!BA53)</f>
        <v>0</v>
      </c>
      <c r="AW86" s="170" t="n">
        <f>IF(AW$81="","",Underwriting!BB53)</f>
        <v>0</v>
      </c>
      <c r="AX86" s="170" t="n">
        <f>IF(AX$81="","",Underwriting!BC53)</f>
        <v>0</v>
      </c>
      <c r="AY86" s="170" t="n">
        <f>IF(AY$81="","",Underwriting!BD53)</f>
        <v>0</v>
      </c>
      <c r="AZ86" s="170" t="n">
        <f>IF(AZ$81="","",Underwriting!BE53)</f>
        <v>0</v>
      </c>
      <c r="BA86" s="170" t="n">
        <f>IF(BA$81="","",Underwriting!BF53)</f>
        <v>0</v>
      </c>
      <c r="BB86" s="170" t="n">
        <f>IF(BB$81="","",Underwriting!BG53)</f>
        <v>0</v>
      </c>
      <c r="BC86" s="170" t="n">
        <f>IF(BC$81="","",Underwriting!BH53)</f>
        <v>0</v>
      </c>
      <c r="BD86" s="170" t="n">
        <f>IF(BD$81="","",Underwriting!BI53)</f>
        <v>0</v>
      </c>
      <c r="BE86" s="170" t="n">
        <f>IF(BE$81="","",Underwriting!BJ53)</f>
        <v>0</v>
      </c>
      <c r="BF86" s="170" t="n">
        <f>IF(BF$81="","",Underwriting!BK53)</f>
        <v>0</v>
      </c>
      <c r="BG86" s="170" t="n">
        <f>IF(BG$81="","",Underwriting!BL53)</f>
        <v>0</v>
      </c>
      <c r="BH86" s="170" t="n">
        <f>IF(BH$81="","",Underwriting!BM53)</f>
        <v>0</v>
      </c>
      <c r="BI86" s="170" t="n">
        <f>IF(BI$81="","",Underwriting!BN53)</f>
        <v>0</v>
      </c>
      <c r="BJ86" s="170" t="n">
        <f>IF(BJ$81="","",Underwriting!BO53)</f>
        <v>0</v>
      </c>
      <c r="BK86" s="170" t="n">
        <f>IF(BK$81="","",Underwriting!BP53)</f>
        <v>0</v>
      </c>
      <c r="BL86" s="170" t="n">
        <f>IF(BL$81="","",Underwriting!BQ53)</f>
        <v>0</v>
      </c>
      <c r="BM86" s="170" t="n">
        <f>IF(BM$81="","",Underwriting!BR53)</f>
        <v>0</v>
      </c>
      <c r="BN86" s="170" t="n">
        <f>IF(BN$81="","",Underwriting!BS53)</f>
        <v>0</v>
      </c>
      <c r="BO86" s="170" t="n">
        <f>IF(BO$81="","",Underwriting!BT53)</f>
        <v>0</v>
      </c>
      <c r="BP86" s="170" t="n">
        <f>IF(BP$81="","",Underwriting!BU53)</f>
        <v>0</v>
      </c>
      <c r="BQ86" s="170" t="str">
        <f>IF(BQ$81="","",Underwriting!BV53)</f>
      </c>
      <c r="BR86" s="170" t="str">
        <f>IF(BR$81="","",Underwriting!BW53)</f>
      </c>
      <c r="BS86" s="170" t="str">
        <f>IF(BS$81="","",Underwriting!BX53)</f>
      </c>
      <c r="BT86" s="170" t="str">
        <f>IF(BT$81="","",Underwriting!BY53)</f>
      </c>
      <c r="BU86" s="170" t="str">
        <f>IF(BU$81="","",Underwriting!BZ53)</f>
      </c>
      <c r="BV86" s="170" t="str">
        <f>IF(BV$81="","",Underwriting!CA53)</f>
      </c>
      <c r="BW86" s="170" t="str">
        <f>IF(BW$81="","",Underwriting!CB53)</f>
      </c>
      <c r="BX86" s="170" t="str">
        <f>IF(BX$81="","",Underwriting!CC53)</f>
      </c>
      <c r="BY86" s="170" t="str">
        <f>IF(BY$81="","",Underwriting!CD53)</f>
      </c>
      <c r="BZ86" s="170" t="str">
        <f>IF(BZ$81="","",Underwriting!CE53)</f>
      </c>
      <c r="CA86" s="170" t="str">
        <f>IF(CA$81="","",Underwriting!CF53)</f>
      </c>
      <c r="CB86" s="170" t="str">
        <f>IF(CB$81="","",Underwriting!CG53)</f>
      </c>
      <c r="CC86" s="170" t="str">
        <f>IF(CC$81="","",Underwriting!CH53)</f>
      </c>
      <c r="CD86" s="170" t="str">
        <f>IF(CD$81="","",Underwriting!CI53)</f>
      </c>
      <c r="CE86" s="170" t="str">
        <f>IF(CE$81="","",Underwriting!CJ53)</f>
      </c>
      <c r="CF86" s="170" t="str">
        <f>IF(CF$81="","",Underwriting!CK53)</f>
      </c>
      <c r="CG86" s="170" t="str">
        <f>IF(CG$81="","",Underwriting!CL53)</f>
      </c>
      <c r="CH86" s="170" t="str">
        <f>IF(CH$81="","",Underwriting!CM53)</f>
      </c>
      <c r="CI86" s="170" t="str">
        <f>IF(CI$81="","",Underwriting!CN53)</f>
      </c>
      <c r="CJ86" s="170" t="str">
        <f>IF(CJ$81="","",Underwriting!CO53)</f>
      </c>
      <c r="CK86" s="170" t="str">
        <f>IF(CK$81="","",Underwriting!CP53)</f>
      </c>
      <c r="CL86" s="170" t="str">
        <f>IF(CL$81="","",Underwriting!CQ53)</f>
      </c>
      <c r="CM86" s="170" t="str">
        <f>IF(CM$81="","",Underwriting!CR53)</f>
      </c>
      <c r="CN86" s="170" t="str">
        <f>IF(CN$81="","",Underwriting!CS53)</f>
      </c>
      <c r="CO86" s="170" t="str">
        <f>IF(CO$81="","",Underwriting!CT53)</f>
      </c>
      <c r="CP86" s="170" t="str">
        <f>IF(CP$81="","",Underwriting!CU53)</f>
      </c>
      <c r="CQ86" s="170" t="str">
        <f>IF(CQ$81="","",Underwriting!CV53)</f>
      </c>
      <c r="CR86" s="170" t="str">
        <f>IF(CR$81="","",Underwriting!CW53)</f>
      </c>
      <c r="CS86" s="170" t="str">
        <f>IF(CS$81="","",Underwriting!CX53)</f>
      </c>
      <c r="CT86" s="170" t="str">
        <f>IF(CT$81="","",Underwriting!CY53)</f>
      </c>
      <c r="CU86" s="170" t="str">
        <f>IF(CU$81="","",Underwriting!CZ53)</f>
      </c>
      <c r="CV86" s="170" t="str">
        <f>IF(CV$81="","",Underwriting!DA53)</f>
      </c>
      <c r="CW86" s="170" t="str">
        <f>IF(CW$81="","",Underwriting!DB53)</f>
      </c>
      <c r="CX86" s="170" t="str">
        <f>IF(CX$81="","",Underwriting!DC53)</f>
      </c>
      <c r="CY86" s="170" t="str">
        <f>IF(CY$81="","",Underwriting!DD53)</f>
      </c>
      <c r="CZ86" s="170" t="str">
        <f>IF(CZ$81="","",Underwriting!DE53)</f>
      </c>
      <c r="DA86" s="170" t="str">
        <f>IF(DA$81="","",Underwriting!DF53)</f>
      </c>
      <c r="DB86" s="170" t="str">
        <f>IF(DB$81="","",Underwriting!DG53)</f>
      </c>
      <c r="DC86" s="170" t="str">
        <f>IF(DC$81="","",Underwriting!DH53)</f>
      </c>
      <c r="DD86" s="170" t="str">
        <f>IF(DD$81="","",Underwriting!DI53)</f>
      </c>
      <c r="DE86" s="170" t="str">
        <f>IF(DE$81="","",Underwriting!DJ53)</f>
      </c>
      <c r="DF86" s="170" t="str">
        <f>IF(DF$81="","",Underwriting!DK53)</f>
      </c>
      <c r="DG86" s="170" t="str">
        <f>IF(DG$81="","",Underwriting!DL53)</f>
      </c>
      <c r="DH86" s="170" t="str">
        <f>IF(DH$81="","",Underwriting!DM53)</f>
      </c>
      <c r="DI86" s="170" t="str">
        <f>IF(DI$81="","",Underwriting!DN53)</f>
      </c>
      <c r="DJ86" s="170" t="str">
        <f>IF(DJ$81="","",Underwriting!DO53)</f>
      </c>
      <c r="DK86" s="170" t="str">
        <f>IF(DK$81="","",Underwriting!DP53)</f>
      </c>
      <c r="DL86" s="170" t="str">
        <f>IF(DL$81="","",Underwriting!DQ53)</f>
      </c>
      <c r="DM86" s="170" t="str">
        <f>IF(DM$81="","",Underwriting!DR53)</f>
      </c>
      <c r="DN86" s="170" t="str">
        <f>IF(DN$81="","",Underwriting!DS53)</f>
      </c>
      <c r="DO86" s="170" t="str">
        <f>IF(DO$81="","",Underwriting!DT53)</f>
      </c>
      <c r="DP86" s="170" t="str">
        <f>IF(DP$81="","",Underwriting!DU53)</f>
      </c>
      <c r="DQ86" s="170" t="str">
        <f>IF(DQ$81="","",Underwriting!DV53)</f>
      </c>
      <c r="DR86" s="170" t="str">
        <f>IF(DR$81="","",Underwriting!DW53)</f>
      </c>
      <c r="DS86" s="170" t="str">
        <f>IF(DS$81="","",Underwriting!DX53)</f>
      </c>
      <c r="DT86" s="170" t="str">
        <f>IF(DT$81="","",Underwriting!DY53)</f>
      </c>
      <c r="DU86" s="170" t="str">
        <f>IF(DU$81="","",Underwriting!DZ53)</f>
      </c>
      <c r="DV86" s="170" t="str">
        <f>IF(DV$81="","",Underwriting!EA53)</f>
      </c>
      <c r="DW86" s="170" t="str">
        <f>IF(DW$81="","",Underwriting!EB53)</f>
      </c>
      <c r="DX86" s="170" t="str">
        <f>IF(DX$81="","",Underwriting!EC53)</f>
      </c>
      <c r="DY86" s="170" t="str">
        <f>IF(DY$81="","",Underwriting!ED53)</f>
      </c>
      <c r="DZ86" s="170" t="str">
        <f>IF(DZ$81="","",Underwriting!EE53)</f>
      </c>
      <c r="EA86" s="170" t="str">
        <f>IF(EA$81="","",Underwriting!EF53)</f>
      </c>
      <c r="EB86" s="170" t="str">
        <f>IF(EB$81="","",Underwriting!EG53)</f>
      </c>
      <c r="EC86" s="170" t="str">
        <f>IF(EC$81="","",Underwriting!EH53)</f>
      </c>
      <c r="ED86" s="170" t="str">
        <f>IF(ED$81="","",Underwriting!EI53)</f>
      </c>
      <c r="EE86" s="170" t="str">
        <f>IF(EE$81="","",Underwriting!EJ53)</f>
      </c>
      <c r="EF86" s="170" t="str">
        <f>IF(EF$81="","",Underwriting!EK53)</f>
      </c>
      <c r="EG86" s="170" t="str">
        <f>IF(EG$81="","",Underwriting!EL53)</f>
      </c>
      <c r="EH86" s="170" t="str">
        <f>IF(EH$81="","",Underwriting!EM53)</f>
      </c>
      <c r="EI86" s="170" t="str">
        <f>IF(EI$81="","",Underwriting!EN53)</f>
      </c>
    </row>
    <row r="87">
      <c r="B87" s="34" t="s">
        <v>68</v>
      </c>
      <c r="C87" s="4"/>
      <c r="D87" s="4"/>
      <c r="E87" s="4"/>
      <c r="F87" s="4"/>
      <c r="G87" s="172" t="str">
        <f>IF(G$81="","",G79)</f>
      </c>
      <c r="H87" s="172" t="n">
        <f t="shared" ref="H87:BS87" si="69">IF(H$81="","",H79)</f>
        <v>0</v>
      </c>
      <c r="I87" s="172">
        <f t="shared" si="69"/>
        <v>0</v>
      </c>
      <c r="J87" s="172">
        <f t="shared" si="69"/>
        <v>0</v>
      </c>
      <c r="K87" s="172">
        <f t="shared" si="69"/>
        <v>0</v>
      </c>
      <c r="L87" s="172">
        <f t="shared" si="69"/>
        <v>0</v>
      </c>
      <c r="M87" s="172">
        <f t="shared" si="69"/>
        <v>0</v>
      </c>
      <c r="N87" s="172">
        <f t="shared" si="69"/>
        <v>585807.05234234873</v>
      </c>
      <c r="O87" s="172">
        <f t="shared" si="69"/>
        <v>585807.05234234873</v>
      </c>
      <c r="P87" s="172">
        <f t="shared" si="69"/>
        <v>585807.05234234873</v>
      </c>
      <c r="Q87" s="172">
        <f t="shared" si="69"/>
        <v>585807.05234234873</v>
      </c>
      <c r="R87" s="172">
        <f t="shared" si="69"/>
        <v>585807.05234234873</v>
      </c>
      <c r="S87" s="170">
        <f t="shared" si="69"/>
        <v>585807.05234234873</v>
      </c>
      <c r="T87" s="170">
        <f t="shared" si="69"/>
        <v>585807.05234234873</v>
      </c>
      <c r="U87" s="170">
        <f t="shared" si="69"/>
        <v>585807.05234234873</v>
      </c>
      <c r="V87" s="170">
        <f t="shared" si="69"/>
        <v>585807.05234234873</v>
      </c>
      <c r="W87" s="170">
        <f t="shared" si="69"/>
        <v>585807.05234234873</v>
      </c>
      <c r="X87" s="170">
        <f t="shared" si="69"/>
        <v>585807.05234234873</v>
      </c>
      <c r="Y87" s="170">
        <f t="shared" si="69"/>
        <v>585807.05234234873</v>
      </c>
      <c r="Z87" s="170">
        <f t="shared" si="69"/>
        <v>3493551.9779534517</v>
      </c>
      <c r="AA87" s="170">
        <f t="shared" si="69"/>
        <v>3493551.9779534517</v>
      </c>
      <c r="AB87" s="170">
        <f t="shared" si="69"/>
        <v>3493551.9779534517</v>
      </c>
      <c r="AC87" s="170">
        <f t="shared" si="69"/>
        <v>4282314.2781650471</v>
      </c>
      <c r="AD87" s="170">
        <f t="shared" si="69"/>
        <v>4282314.2781650471</v>
      </c>
      <c r="AE87" s="170">
        <f t="shared" si="69"/>
        <v>4282314.2781650471</v>
      </c>
      <c r="AF87" s="170">
        <f t="shared" si="69"/>
        <v>4587843.0047824392</v>
      </c>
      <c r="AG87" s="170">
        <f t="shared" si="69"/>
        <v>4587843.0047824392</v>
      </c>
      <c r="AH87" s="170">
        <f t="shared" si="69"/>
        <v>4587843.0047824392</v>
      </c>
      <c r="AI87" s="170">
        <f t="shared" si="69"/>
        <v>4775925.8053659182</v>
      </c>
      <c r="AJ87" s="170">
        <f t="shared" si="69"/>
        <v>4775925.8053659182</v>
      </c>
      <c r="AK87" s="170">
        <f t="shared" si="69"/>
        <v>4783530.2890448924</v>
      </c>
      <c r="AL87" s="170">
        <f t="shared" si="69"/>
        <v>5325002.2596516162</v>
      </c>
      <c r="AM87" s="170">
        <f t="shared" si="69"/>
        <v>5325002.2596516162</v>
      </c>
      <c r="AN87" s="170">
        <f t="shared" si="69"/>
        <v>5325002.2596516162</v>
      </c>
      <c r="AO87" s="170">
        <f t="shared" si="69"/>
        <v>5450541.4642952997</v>
      </c>
      <c r="AP87" s="170">
        <f t="shared" si="69"/>
        <v>5450541.4642952997</v>
      </c>
      <c r="AQ87" s="170">
        <f t="shared" si="69"/>
        <v>5450541.4642952997</v>
      </c>
      <c r="AR87" s="170">
        <f t="shared" si="69"/>
        <v>5369511.662836967</v>
      </c>
      <c r="AS87" s="170">
        <f t="shared" si="69"/>
        <v>5369511.662836967</v>
      </c>
      <c r="AT87" s="170">
        <f t="shared" si="69"/>
        <v>5369511.662836967</v>
      </c>
      <c r="AU87" s="170">
        <f t="shared" si="69"/>
        <v>5375831.4388723103</v>
      </c>
      <c r="AV87" s="170">
        <f t="shared" si="69"/>
        <v>5375831.4388723103</v>
      </c>
      <c r="AW87" s="170">
        <f t="shared" si="69"/>
        <v>5375831.4388723103</v>
      </c>
      <c r="AX87" s="170">
        <f t="shared" si="69"/>
        <v>5539953.4469547784</v>
      </c>
      <c r="AY87" s="170">
        <f t="shared" si="69"/>
        <v>5539953.4469547784</v>
      </c>
      <c r="AZ87" s="170">
        <f t="shared" si="69"/>
        <v>5539953.4469547784</v>
      </c>
      <c r="BA87" s="170">
        <f t="shared" si="69"/>
        <v>5569093.8636214454</v>
      </c>
      <c r="BB87" s="170">
        <f t="shared" si="69"/>
        <v>5569093.8636214454</v>
      </c>
      <c r="BC87" s="170">
        <f t="shared" si="69"/>
        <v>5569093.8636214454</v>
      </c>
      <c r="BD87" s="170">
        <f t="shared" si="69"/>
        <v>5575170.3509256123</v>
      </c>
      <c r="BE87" s="170">
        <f t="shared" si="69"/>
        <v>5575170.3509256123</v>
      </c>
      <c r="BF87" s="170">
        <f t="shared" si="69"/>
        <v>5575170.3509256123</v>
      </c>
      <c r="BG87" s="170">
        <f t="shared" si="69"/>
        <v>5581479.5384256123</v>
      </c>
      <c r="BH87" s="170">
        <f t="shared" si="69"/>
        <v>5581479.5384256123</v>
      </c>
      <c r="BI87" s="170">
        <f t="shared" si="69"/>
        <v>5581479.5384256123</v>
      </c>
      <c r="BJ87" s="170">
        <f t="shared" si="69"/>
        <v>5730024.794297874</v>
      </c>
      <c r="BK87" s="170">
        <f t="shared" si="69"/>
        <v>5730024.794297874</v>
      </c>
      <c r="BL87" s="170">
        <f t="shared" si="69"/>
        <v>5730024.794297874</v>
      </c>
      <c r="BM87" s="170">
        <f t="shared" si="69"/>
        <v>5760185.1255478738</v>
      </c>
      <c r="BN87" s="170">
        <f t="shared" si="69"/>
        <v>5760185.1255478738</v>
      </c>
      <c r="BO87" s="170">
        <f t="shared" si="69"/>
        <v>5760185.1255478738</v>
      </c>
      <c r="BP87" s="170">
        <f t="shared" si="69"/>
        <v>5766500.8738481235</v>
      </c>
      <c r="BQ87" s="170" t="str">
        <f t="shared" si="69"/>
      </c>
      <c r="BR87" s="170" t="str">
        <f t="shared" si="69"/>
      </c>
      <c r="BS87" s="170" t="str">
        <f t="shared" si="69"/>
      </c>
      <c r="BT87" s="170" t="str">
        <f t="shared" ref="BT87:EE87" si="70">IF(BT$81="","",BT79)</f>
      </c>
      <c r="BU87" s="170" t="str">
        <f t="shared" si="70"/>
      </c>
      <c r="BV87" s="170" t="str">
        <f t="shared" si="70"/>
      </c>
      <c r="BW87" s="170" t="str">
        <f t="shared" si="70"/>
      </c>
      <c r="BX87" s="170" t="str">
        <f t="shared" si="70"/>
      </c>
      <c r="BY87" s="170" t="str">
        <f t="shared" si="70"/>
      </c>
      <c r="BZ87" s="170" t="str">
        <f t="shared" si="70"/>
      </c>
      <c r="CA87" s="170" t="str">
        <f t="shared" si="70"/>
      </c>
      <c r="CB87" s="170" t="str">
        <f t="shared" si="70"/>
      </c>
      <c r="CC87" s="170" t="str">
        <f t="shared" si="70"/>
      </c>
      <c r="CD87" s="170" t="str">
        <f t="shared" si="70"/>
      </c>
      <c r="CE87" s="170" t="str">
        <f t="shared" si="70"/>
      </c>
      <c r="CF87" s="170" t="str">
        <f t="shared" si="70"/>
      </c>
      <c r="CG87" s="170" t="str">
        <f t="shared" si="70"/>
      </c>
      <c r="CH87" s="170" t="str">
        <f t="shared" si="70"/>
      </c>
      <c r="CI87" s="170" t="str">
        <f t="shared" si="70"/>
      </c>
      <c r="CJ87" s="170" t="str">
        <f t="shared" si="70"/>
      </c>
      <c r="CK87" s="170" t="str">
        <f t="shared" si="70"/>
      </c>
      <c r="CL87" s="170" t="str">
        <f t="shared" si="70"/>
      </c>
      <c r="CM87" s="170" t="str">
        <f t="shared" si="70"/>
      </c>
      <c r="CN87" s="170" t="str">
        <f t="shared" si="70"/>
      </c>
      <c r="CO87" s="170" t="str">
        <f t="shared" si="70"/>
      </c>
      <c r="CP87" s="170" t="str">
        <f t="shared" si="70"/>
      </c>
      <c r="CQ87" s="170" t="str">
        <f t="shared" si="70"/>
      </c>
      <c r="CR87" s="170" t="str">
        <f t="shared" si="70"/>
      </c>
      <c r="CS87" s="170" t="str">
        <f t="shared" si="70"/>
      </c>
      <c r="CT87" s="170" t="str">
        <f t="shared" si="70"/>
      </c>
      <c r="CU87" s="170" t="str">
        <f t="shared" si="70"/>
      </c>
      <c r="CV87" s="170" t="str">
        <f t="shared" si="70"/>
      </c>
      <c r="CW87" s="170" t="str">
        <f t="shared" si="70"/>
      </c>
      <c r="CX87" s="170" t="str">
        <f t="shared" si="70"/>
      </c>
      <c r="CY87" s="170" t="str">
        <f t="shared" si="70"/>
      </c>
      <c r="CZ87" s="170" t="str">
        <f t="shared" si="70"/>
      </c>
      <c r="DA87" s="170" t="str">
        <f t="shared" si="70"/>
      </c>
      <c r="DB87" s="170" t="str">
        <f t="shared" si="70"/>
      </c>
      <c r="DC87" s="170" t="str">
        <f t="shared" si="70"/>
      </c>
      <c r="DD87" s="170" t="str">
        <f t="shared" si="70"/>
      </c>
      <c r="DE87" s="170" t="str">
        <f t="shared" si="70"/>
      </c>
      <c r="DF87" s="170" t="str">
        <f t="shared" si="70"/>
      </c>
      <c r="DG87" s="170" t="str">
        <f t="shared" si="70"/>
      </c>
      <c r="DH87" s="170" t="str">
        <f t="shared" si="70"/>
      </c>
      <c r="DI87" s="170" t="str">
        <f t="shared" si="70"/>
      </c>
      <c r="DJ87" s="170" t="str">
        <f t="shared" si="70"/>
      </c>
      <c r="DK87" s="170" t="str">
        <f t="shared" si="70"/>
      </c>
      <c r="DL87" s="170" t="str">
        <f t="shared" si="70"/>
      </c>
      <c r="DM87" s="170" t="str">
        <f t="shared" si="70"/>
      </c>
      <c r="DN87" s="170" t="str">
        <f t="shared" si="70"/>
      </c>
      <c r="DO87" s="170" t="str">
        <f t="shared" si="70"/>
      </c>
      <c r="DP87" s="170" t="str">
        <f t="shared" si="70"/>
      </c>
      <c r="DQ87" s="170" t="str">
        <f t="shared" si="70"/>
      </c>
      <c r="DR87" s="170" t="str">
        <f t="shared" si="70"/>
      </c>
      <c r="DS87" s="170" t="str">
        <f t="shared" si="70"/>
      </c>
      <c r="DT87" s="170" t="str">
        <f t="shared" si="70"/>
      </c>
      <c r="DU87" s="170" t="str">
        <f t="shared" si="70"/>
      </c>
      <c r="DV87" s="170" t="str">
        <f t="shared" si="70"/>
      </c>
      <c r="DW87" s="170" t="str">
        <f t="shared" si="70"/>
      </c>
      <c r="DX87" s="170" t="str">
        <f t="shared" si="70"/>
      </c>
      <c r="DY87" s="170" t="str">
        <f t="shared" si="70"/>
      </c>
      <c r="DZ87" s="170" t="str">
        <f t="shared" si="70"/>
      </c>
      <c r="EA87" s="170" t="str">
        <f t="shared" si="70"/>
      </c>
      <c r="EB87" s="170" t="str">
        <f t="shared" si="70"/>
      </c>
      <c r="EC87" s="170" t="str">
        <f t="shared" si="70"/>
      </c>
      <c r="ED87" s="170" t="str">
        <f t="shared" si="70"/>
      </c>
      <c r="EE87" s="170" t="str">
        <f t="shared" si="70"/>
      </c>
      <c r="EF87" s="170" t="str">
        <f t="shared" ref="EF87:EI87" si="71">IF(EF$81="","",EF79)</f>
      </c>
      <c r="EG87" s="170" t="str">
        <f t="shared" si="71"/>
      </c>
      <c r="EH87" s="170" t="str">
        <f t="shared" si="71"/>
      </c>
      <c r="EI87" s="170" t="str">
        <f t="shared" si="71"/>
      </c>
    </row>
    <row r="88">
      <c r="B88" s="34"/>
      <c r="C88" s="4"/>
      <c r="D88" s="4"/>
      <c r="E88" s="4"/>
      <c r="F88" s="4"/>
      <c r="G88" s="172"/>
      <c r="H88" s="172"/>
      <c r="I88" s="172"/>
      <c r="J88" s="172"/>
      <c r="K88" s="172"/>
      <c r="L88" s="172"/>
      <c r="M88" s="172"/>
      <c r="N88" s="172"/>
      <c r="O88" s="172"/>
      <c r="P88" s="172"/>
      <c r="Q88" s="172"/>
      <c r="R88" s="172"/>
      <c r="S88" s="170"/>
      <c r="T88" s="170"/>
      <c r="U88" s="170"/>
      <c r="V88" s="170"/>
      <c r="W88" s="170"/>
      <c r="X88" s="170"/>
      <c r="Y88" s="170"/>
      <c r="Z88" s="170"/>
      <c r="AA88" s="170"/>
      <c r="AB88" s="170"/>
      <c r="AC88" s="170"/>
      <c r="AD88" s="170"/>
      <c r="AE88" s="170"/>
      <c r="AF88" s="170"/>
      <c r="AG88" s="170"/>
      <c r="AH88" s="170"/>
      <c r="AI88" s="170"/>
      <c r="AJ88" s="170"/>
      <c r="AK88" s="170"/>
      <c r="AL88" s="170"/>
      <c r="AM88" s="170"/>
      <c r="AN88" s="170"/>
      <c r="AO88" s="170"/>
      <c r="AP88" s="170"/>
      <c r="AQ88" s="170"/>
      <c r="AR88" s="170"/>
      <c r="AS88" s="170"/>
      <c r="AT88" s="170"/>
      <c r="AU88" s="170"/>
      <c r="AV88" s="170"/>
      <c r="AW88" s="170"/>
      <c r="AX88" s="170"/>
      <c r="AY88" s="170"/>
      <c r="AZ88" s="170"/>
      <c r="BA88" s="170"/>
      <c r="BB88" s="170"/>
      <c r="BC88" s="170"/>
      <c r="BD88" s="170"/>
      <c r="BE88" s="170"/>
      <c r="BF88" s="170"/>
      <c r="BG88" s="170"/>
      <c r="BH88" s="170"/>
      <c r="BI88" s="170"/>
      <c r="BJ88" s="170"/>
      <c r="BK88" s="170"/>
      <c r="BL88" s="170"/>
      <c r="BM88" s="170"/>
      <c r="BN88" s="170"/>
      <c r="BO88" s="170"/>
      <c r="BP88" s="170"/>
      <c r="BQ88" s="170"/>
      <c r="BR88" s="170"/>
      <c r="BS88" s="170"/>
      <c r="BT88" s="170"/>
      <c r="BU88" s="170"/>
      <c r="BV88" s="170"/>
      <c r="BW88" s="170"/>
      <c r="BX88" s="170"/>
      <c r="BY88" s="170"/>
      <c r="BZ88" s="170"/>
      <c r="CA88" s="170"/>
      <c r="CB88" s="170"/>
      <c r="CC88" s="170"/>
      <c r="CD88" s="170"/>
      <c r="CE88" s="170"/>
      <c r="CF88" s="170"/>
      <c r="CG88" s="170"/>
      <c r="CH88" s="170"/>
      <c r="CI88" s="170"/>
      <c r="CJ88" s="170"/>
      <c r="CK88" s="170"/>
      <c r="CL88" s="170"/>
      <c r="CM88" s="170"/>
      <c r="CN88" s="170"/>
      <c r="CO88" s="170"/>
      <c r="CP88" s="170"/>
      <c r="CQ88" s="170"/>
      <c r="CR88" s="170"/>
      <c r="CS88" s="170"/>
      <c r="CT88" s="170"/>
      <c r="CU88" s="170"/>
      <c r="CV88" s="170"/>
      <c r="CW88" s="170"/>
      <c r="CX88" s="170"/>
      <c r="CY88" s="170"/>
      <c r="CZ88" s="170"/>
      <c r="DA88" s="170"/>
      <c r="DB88" s="170"/>
      <c r="DC88" s="170"/>
      <c r="DD88" s="170"/>
      <c r="DE88" s="170"/>
      <c r="DF88" s="170"/>
      <c r="DG88" s="170"/>
      <c r="DH88" s="170"/>
      <c r="DI88" s="170"/>
      <c r="DJ88" s="170"/>
      <c r="DK88" s="170"/>
      <c r="DL88" s="170"/>
      <c r="DM88" s="170"/>
      <c r="DN88" s="170"/>
      <c r="DO88" s="170"/>
      <c r="DP88" s="170"/>
      <c r="DQ88" s="170"/>
      <c r="DR88" s="170"/>
      <c r="DS88" s="170"/>
      <c r="DT88" s="170"/>
      <c r="DU88" s="170"/>
      <c r="DV88" s="170"/>
      <c r="DW88" s="170"/>
      <c r="DX88" s="170"/>
      <c r="DY88" s="170"/>
      <c r="DZ88" s="170"/>
      <c r="EA88" s="170"/>
      <c r="EB88" s="170"/>
      <c r="EC88" s="170"/>
      <c r="ED88" s="170"/>
      <c r="EE88" s="170"/>
      <c r="EF88" s="170"/>
      <c r="EG88" s="170"/>
      <c r="EH88" s="170"/>
      <c r="EI88" s="170"/>
    </row>
    <row r="89">
      <c r="B89" s="34" t="s">
        <v>353</v>
      </c>
      <c r="C89" s="4"/>
      <c r="D89" s="4"/>
      <c r="E89" s="4"/>
      <c r="F89" s="4"/>
      <c r="G89" s="172" t="str">
        <f>IF(G$81="","",Underwriting!L205)</f>
      </c>
      <c r="H89" s="172" t="n">
        <f>IF(H$81="","",Underwriting!M205)</f>
        <v>0</v>
      </c>
      <c r="I89" s="172" t="n">
        <f>IF(I$81="","",Underwriting!N205)</f>
        <v>0</v>
      </c>
      <c r="J89" s="172" t="n">
        <f>IF(J$81="","",Underwriting!O205)</f>
        <v>0</v>
      </c>
      <c r="K89" s="172" t="n">
        <f>IF(K$81="","",Underwriting!P205)</f>
        <v>0</v>
      </c>
      <c r="L89" s="172" t="n">
        <f>IF(L$81="","",Underwriting!Q205)</f>
        <v>0</v>
      </c>
      <c r="M89" s="172" t="n">
        <f>IF(M$81="","",Underwriting!R205)</f>
        <v>0</v>
      </c>
      <c r="N89" s="172" t="n">
        <f>IF(N$81="","",Underwriting!S205)</f>
        <v>0</v>
      </c>
      <c r="O89" s="172" t="n">
        <f>IF(O$81="","",Underwriting!T205)</f>
        <v>0</v>
      </c>
      <c r="P89" s="172" t="n">
        <f>IF(P$81="","",Underwriting!U205)</f>
        <v>0</v>
      </c>
      <c r="Q89" s="172" t="n">
        <f>IF(Q$81="","",Underwriting!V205)</f>
        <v>0</v>
      </c>
      <c r="R89" s="172" t="n">
        <f>IF(R$81="","",Underwriting!W205)</f>
        <v>0</v>
      </c>
      <c r="S89" s="170" t="n">
        <f>IF(S$81="","",Underwriting!X205)</f>
        <v>0</v>
      </c>
      <c r="T89" s="170" t="n">
        <f>IF(T$81="","",Underwriting!Y205)</f>
        <v>0</v>
      </c>
      <c r="U89" s="170" t="n">
        <f>IF(U$81="","",Underwriting!Z205)</f>
        <v>0</v>
      </c>
      <c r="V89" s="170" t="n">
        <f>IF(V$81="","",Underwriting!AA205)</f>
        <v>0</v>
      </c>
      <c r="W89" s="170" t="n">
        <f>IF(W$81="","",Underwriting!AB205)</f>
        <v>0</v>
      </c>
      <c r="X89" s="170" t="n">
        <f>IF(X$81="","",Underwriting!AC205)</f>
        <v>0</v>
      </c>
      <c r="Y89" s="170" t="n">
        <f>IF(Y$81="","",Underwriting!AD205)</f>
        <v>0</v>
      </c>
      <c r="Z89" s="170" t="n">
        <f>IF(Z$81="","",Underwriting!AE205)</f>
        <v>0</v>
      </c>
      <c r="AA89" s="170" t="n">
        <f>IF(AA$81="","",Underwriting!AF205)</f>
        <v>0</v>
      </c>
      <c r="AB89" s="170" t="n">
        <f>IF(AB$81="","",Underwriting!AG205)</f>
        <v>0</v>
      </c>
      <c r="AC89" s="170" t="n">
        <f>IF(AC$81="","",Underwriting!AH205)</f>
        <v>0</v>
      </c>
      <c r="AD89" s="170" t="n">
        <f>IF(AD$81="","",Underwriting!AI205)</f>
        <v>0</v>
      </c>
      <c r="AE89" s="170" t="n">
        <f>IF(AE$81="","",Underwriting!AJ205)</f>
        <v>0</v>
      </c>
      <c r="AF89" s="170" t="n">
        <f>IF(AF$81="","",Underwriting!AK205)</f>
        <v>0</v>
      </c>
      <c r="AG89" s="170" t="n">
        <f>IF(AG$81="","",Underwriting!AL205)</f>
        <v>0</v>
      </c>
      <c r="AH89" s="170" t="n">
        <f>IF(AH$81="","",Underwriting!AM205)</f>
        <v>0</v>
      </c>
      <c r="AI89" s="170" t="n">
        <f>IF(AI$81="","",Underwriting!AN205)</f>
        <v>0</v>
      </c>
      <c r="AJ89" s="170" t="n">
        <f>IF(AJ$81="","",Underwriting!AO205)</f>
        <v>0</v>
      </c>
      <c r="AK89" s="170" t="n">
        <f>IF(AK$81="","",Underwriting!AP205)</f>
        <v>0</v>
      </c>
      <c r="AL89" s="170" t="n">
        <f>IF(AL$81="","",Underwriting!AQ205)</f>
        <v>0</v>
      </c>
      <c r="AM89" s="170" t="n">
        <f>IF(AM$81="","",Underwriting!AR205)</f>
        <v>0</v>
      </c>
      <c r="AN89" s="170" t="n">
        <f>IF(AN$81="","",Underwriting!AS205)</f>
        <v>0</v>
      </c>
      <c r="AO89" s="170" t="n">
        <f>IF(AO$81="","",Underwriting!AT205)</f>
        <v>0</v>
      </c>
      <c r="AP89" s="170" t="n">
        <f>IF(AP$81="","",Underwriting!AU205)</f>
        <v>0</v>
      </c>
      <c r="AQ89" s="170" t="n">
        <f>IF(AQ$81="","",Underwriting!AV205)</f>
        <v>0</v>
      </c>
      <c r="AR89" s="170" t="n">
        <f>IF(AR$81="","",Underwriting!AW205)</f>
        <v>0</v>
      </c>
      <c r="AS89" s="170" t="n">
        <f>IF(AS$81="","",Underwriting!AX205)</f>
        <v>0</v>
      </c>
      <c r="AT89" s="170" t="n">
        <f>IF(AT$81="","",Underwriting!AY205)</f>
        <v>0</v>
      </c>
      <c r="AU89" s="170" t="n">
        <f>IF(AU$81="","",Underwriting!AZ205)</f>
        <v>0</v>
      </c>
      <c r="AV89" s="170" t="n">
        <f>IF(AV$81="","",Underwriting!BA205)</f>
        <v>0</v>
      </c>
      <c r="AW89" s="170" t="n">
        <f>IF(AW$81="","",Underwriting!BB205)</f>
        <v>0</v>
      </c>
      <c r="AX89" s="170" t="n">
        <f>IF(AX$81="","",Underwriting!BC205)</f>
        <v>0</v>
      </c>
      <c r="AY89" s="170" t="n">
        <f>IF(AY$81="","",Underwriting!BD205)</f>
        <v>0</v>
      </c>
      <c r="AZ89" s="170" t="n">
        <f>IF(AZ$81="","",Underwriting!BE205)</f>
        <v>0</v>
      </c>
      <c r="BA89" s="170" t="n">
        <f>IF(BA$81="","",Underwriting!BF205)</f>
        <v>0</v>
      </c>
      <c r="BB89" s="170" t="n">
        <f>IF(BB$81="","",Underwriting!BG205)</f>
        <v>0</v>
      </c>
      <c r="BC89" s="170" t="n">
        <f>IF(BC$81="","",Underwriting!BH205)</f>
        <v>0</v>
      </c>
      <c r="BD89" s="170" t="n">
        <f>IF(BD$81="","",Underwriting!BI205)</f>
        <v>0</v>
      </c>
      <c r="BE89" s="170" t="n">
        <f>IF(BE$81="","",Underwriting!BJ205)</f>
        <v>0</v>
      </c>
      <c r="BF89" s="170" t="n">
        <f>IF(BF$81="","",Underwriting!BK205)</f>
        <v>0</v>
      </c>
      <c r="BG89" s="170" t="n">
        <f>IF(BG$81="","",Underwriting!BL205)</f>
        <v>0</v>
      </c>
      <c r="BH89" s="170" t="n">
        <f>IF(BH$81="","",Underwriting!BM205)</f>
        <v>0</v>
      </c>
      <c r="BI89" s="170" t="n">
        <f>IF(BI$81="","",Underwriting!BN205)</f>
        <v>0</v>
      </c>
      <c r="BJ89" s="170" t="n">
        <f>IF(BJ$81="","",Underwriting!BO205)</f>
        <v>0</v>
      </c>
      <c r="BK89" s="170" t="n">
        <f>IF(BK$81="","",Underwriting!BP205)</f>
        <v>0</v>
      </c>
      <c r="BL89" s="170" t="n">
        <f>IF(BL$81="","",Underwriting!BQ205)</f>
        <v>0</v>
      </c>
      <c r="BM89" s="170" t="n">
        <f>IF(BM$81="","",Underwriting!BR205)</f>
        <v>0</v>
      </c>
      <c r="BN89" s="170" t="n">
        <f>IF(BN$81="","",Underwriting!BS205)</f>
        <v>0</v>
      </c>
      <c r="BO89" s="170" t="n">
        <f>IF(BO$81="","",Underwriting!BT205)</f>
        <v>0</v>
      </c>
      <c r="BP89" s="170" t="n">
        <f>IF(BP$81="","",Underwriting!BU205)</f>
        <v>1036044973.4281422</v>
      </c>
      <c r="BQ89" s="170" t="str">
        <f>IF(BQ$81="","",Underwriting!BV205)</f>
      </c>
      <c r="BR89" s="170" t="str">
        <f>IF(BR$81="","",Underwriting!BW205)</f>
      </c>
      <c r="BS89" s="170" t="str">
        <f>IF(BS$81="","",Underwriting!BX205)</f>
      </c>
      <c r="BT89" s="170" t="str">
        <f>IF(BT$81="","",Underwriting!BY205)</f>
      </c>
      <c r="BU89" s="170" t="str">
        <f>IF(BU$81="","",Underwriting!BZ205)</f>
      </c>
      <c r="BV89" s="170" t="str">
        <f>IF(BV$81="","",Underwriting!CA205)</f>
      </c>
      <c r="BW89" s="170" t="str">
        <f>IF(BW$81="","",Underwriting!CB205)</f>
      </c>
      <c r="BX89" s="170" t="str">
        <f>IF(BX$81="","",Underwriting!CC205)</f>
      </c>
      <c r="BY89" s="170" t="str">
        <f>IF(BY$81="","",Underwriting!CD205)</f>
      </c>
      <c r="BZ89" s="170" t="str">
        <f>IF(BZ$81="","",Underwriting!CE205)</f>
      </c>
      <c r="CA89" s="170" t="str">
        <f>IF(CA$81="","",Underwriting!CF205)</f>
      </c>
      <c r="CB89" s="170" t="str">
        <f>IF(CB$81="","",Underwriting!CG205)</f>
      </c>
      <c r="CC89" s="170" t="str">
        <f>IF(CC$81="","",Underwriting!CH205)</f>
      </c>
      <c r="CD89" s="170" t="str">
        <f>IF(CD$81="","",Underwriting!CI205)</f>
      </c>
      <c r="CE89" s="170" t="str">
        <f>IF(CE$81="","",Underwriting!CJ205)</f>
      </c>
      <c r="CF89" s="170" t="str">
        <f>IF(CF$81="","",Underwriting!CK205)</f>
      </c>
      <c r="CG89" s="170" t="str">
        <f>IF(CG$81="","",Underwriting!CL205)</f>
      </c>
      <c r="CH89" s="170" t="str">
        <f>IF(CH$81="","",Underwriting!CM205)</f>
      </c>
      <c r="CI89" s="170" t="str">
        <f>IF(CI$81="","",Underwriting!CN205)</f>
      </c>
      <c r="CJ89" s="170" t="str">
        <f>IF(CJ$81="","",Underwriting!CO205)</f>
      </c>
      <c r="CK89" s="170" t="str">
        <f>IF(CK$81="","",Underwriting!CP205)</f>
      </c>
      <c r="CL89" s="170" t="str">
        <f>IF(CL$81="","",Underwriting!CQ205)</f>
      </c>
      <c r="CM89" s="170" t="str">
        <f>IF(CM$81="","",Underwriting!CR205)</f>
      </c>
      <c r="CN89" s="170" t="str">
        <f>IF(CN$81="","",Underwriting!CS205)</f>
      </c>
      <c r="CO89" s="170" t="str">
        <f>IF(CO$81="","",Underwriting!CT205)</f>
      </c>
      <c r="CP89" s="170" t="str">
        <f>IF(CP$81="","",Underwriting!CU205)</f>
      </c>
      <c r="CQ89" s="170" t="str">
        <f>IF(CQ$81="","",Underwriting!CV205)</f>
      </c>
      <c r="CR89" s="170" t="str">
        <f>IF(CR$81="","",Underwriting!CW205)</f>
      </c>
      <c r="CS89" s="170" t="str">
        <f>IF(CS$81="","",Underwriting!CX205)</f>
      </c>
      <c r="CT89" s="170" t="str">
        <f>IF(CT$81="","",Underwriting!CY205)</f>
      </c>
      <c r="CU89" s="170" t="str">
        <f>IF(CU$81="","",Underwriting!CZ205)</f>
      </c>
      <c r="CV89" s="170" t="str">
        <f>IF(CV$81="","",Underwriting!DA205)</f>
      </c>
      <c r="CW89" s="170" t="str">
        <f>IF(CW$81="","",Underwriting!DB205)</f>
      </c>
      <c r="CX89" s="170" t="str">
        <f>IF(CX$81="","",Underwriting!DC205)</f>
      </c>
      <c r="CY89" s="170" t="str">
        <f>IF(CY$81="","",Underwriting!DD205)</f>
      </c>
      <c r="CZ89" s="170" t="str">
        <f>IF(CZ$81="","",Underwriting!DE205)</f>
      </c>
      <c r="DA89" s="170" t="str">
        <f>IF(DA$81="","",Underwriting!DF205)</f>
      </c>
      <c r="DB89" s="170" t="str">
        <f>IF(DB$81="","",Underwriting!DG205)</f>
      </c>
      <c r="DC89" s="170" t="str">
        <f>IF(DC$81="","",Underwriting!DH205)</f>
      </c>
      <c r="DD89" s="170" t="str">
        <f>IF(DD$81="","",Underwriting!DI205)</f>
      </c>
      <c r="DE89" s="170" t="str">
        <f>IF(DE$81="","",Underwriting!DJ205)</f>
      </c>
      <c r="DF89" s="170" t="str">
        <f>IF(DF$81="","",Underwriting!DK205)</f>
      </c>
      <c r="DG89" s="170" t="str">
        <f>IF(DG$81="","",Underwriting!DL205)</f>
      </c>
      <c r="DH89" s="170" t="str">
        <f>IF(DH$81="","",Underwriting!DM205)</f>
      </c>
      <c r="DI89" s="170" t="str">
        <f>IF(DI$81="","",Underwriting!DN205)</f>
      </c>
      <c r="DJ89" s="170" t="str">
        <f>IF(DJ$81="","",Underwriting!DO205)</f>
      </c>
      <c r="DK89" s="170" t="str">
        <f>IF(DK$81="","",Underwriting!DP205)</f>
      </c>
      <c r="DL89" s="170" t="str">
        <f>IF(DL$81="","",Underwriting!DQ205)</f>
      </c>
      <c r="DM89" s="170" t="str">
        <f>IF(DM$81="","",Underwriting!DR205)</f>
      </c>
      <c r="DN89" s="170" t="str">
        <f>IF(DN$81="","",Underwriting!DS205)</f>
      </c>
      <c r="DO89" s="170" t="str">
        <f>IF(DO$81="","",Underwriting!DT205)</f>
      </c>
      <c r="DP89" s="170" t="str">
        <f>IF(DP$81="","",Underwriting!DU205)</f>
      </c>
      <c r="DQ89" s="170" t="str">
        <f>IF(DQ$81="","",Underwriting!DV205)</f>
      </c>
      <c r="DR89" s="170" t="str">
        <f>IF(DR$81="","",Underwriting!DW205)</f>
      </c>
      <c r="DS89" s="170" t="str">
        <f>IF(DS$81="","",Underwriting!DX205)</f>
      </c>
      <c r="DT89" s="170" t="str">
        <f>IF(DT$81="","",Underwriting!DY205)</f>
      </c>
      <c r="DU89" s="170" t="str">
        <f>IF(DU$81="","",Underwriting!DZ205)</f>
      </c>
      <c r="DV89" s="170" t="str">
        <f>IF(DV$81="","",Underwriting!EA205)</f>
      </c>
      <c r="DW89" s="170" t="str">
        <f>IF(DW$81="","",Underwriting!EB205)</f>
      </c>
      <c r="DX89" s="170" t="str">
        <f>IF(DX$81="","",Underwriting!EC205)</f>
      </c>
      <c r="DY89" s="170" t="str">
        <f>IF(DY$81="","",Underwriting!ED205)</f>
      </c>
      <c r="DZ89" s="170" t="str">
        <f>IF(DZ$81="","",Underwriting!EE205)</f>
      </c>
      <c r="EA89" s="170" t="str">
        <f>IF(EA$81="","",Underwriting!EF205)</f>
      </c>
      <c r="EB89" s="170" t="str">
        <f>IF(EB$81="","",Underwriting!EG205)</f>
      </c>
      <c r="EC89" s="170" t="str">
        <f>IF(EC$81="","",Underwriting!EH205)</f>
      </c>
      <c r="ED89" s="170" t="str">
        <f>IF(ED$81="","",Underwriting!EI205)</f>
      </c>
      <c r="EE89" s="170" t="str">
        <f>IF(EE$81="","",Underwriting!EJ205)</f>
      </c>
      <c r="EF89" s="170" t="str">
        <f>IF(EF$81="","",Underwriting!EK205)</f>
      </c>
      <c r="EG89" s="170" t="str">
        <f>IF(EG$81="","",Underwriting!EL205)</f>
      </c>
      <c r="EH89" s="170" t="str">
        <f>IF(EH$81="","",Underwriting!EM205)</f>
      </c>
      <c r="EI89" s="170" t="str">
        <f>IF(EI$81="","",Underwriting!EN205)</f>
      </c>
    </row>
    <row r="90">
      <c r="B90" s="34" t="s">
        <v>502</v>
      </c>
      <c r="C90" s="4"/>
      <c r="D90" s="4"/>
      <c r="E90" s="4"/>
      <c r="F90" s="4"/>
      <c r="G90" s="249" t="str">
        <f>IF(G$81="","",Underwriting!L206)</f>
      </c>
      <c r="H90" s="249" t="n">
        <f>IF(H$81="","",Underwriting!M206)</f>
        <v>0</v>
      </c>
      <c r="I90" s="249" t="n">
        <f>IF(I$81="","",Underwriting!N206)</f>
        <v>0</v>
      </c>
      <c r="J90" s="249" t="n">
        <f>IF(J$81="","",Underwriting!O206)</f>
        <v>0</v>
      </c>
      <c r="K90" s="249" t="n">
        <f>IF(K$81="","",Underwriting!P206)</f>
        <v>0</v>
      </c>
      <c r="L90" s="249" t="n">
        <f>IF(L$81="","",Underwriting!Q206)</f>
        <v>0</v>
      </c>
      <c r="M90" s="249" t="n">
        <f>IF(M$81="","",Underwriting!R206)</f>
        <v>0</v>
      </c>
      <c r="N90" s="249" t="n">
        <f>IF(N$81="","",Underwriting!S206)</f>
        <v>0</v>
      </c>
      <c r="O90" s="249" t="n">
        <f>IF(O$81="","",Underwriting!T206)</f>
        <v>0</v>
      </c>
      <c r="P90" s="249" t="n">
        <f>IF(P$81="","",Underwriting!U206)</f>
        <v>0</v>
      </c>
      <c r="Q90" s="249" t="n">
        <f>IF(Q$81="","",Underwriting!V206)</f>
        <v>0</v>
      </c>
      <c r="R90" s="249" t="n">
        <f>IF(R$81="","",Underwriting!W206)</f>
        <v>0</v>
      </c>
      <c r="S90" s="175" t="n">
        <f>IF(S$81="","",Underwriting!X206)</f>
        <v>0</v>
      </c>
      <c r="T90" s="175" t="n">
        <f>IF(T$81="","",Underwriting!Y206)</f>
        <v>0</v>
      </c>
      <c r="U90" s="175" t="n">
        <f>IF(U$81="","",Underwriting!Z206)</f>
        <v>0</v>
      </c>
      <c r="V90" s="175" t="n">
        <f>IF(V$81="","",Underwriting!AA206)</f>
        <v>0</v>
      </c>
      <c r="W90" s="175" t="n">
        <f>IF(W$81="","",Underwriting!AB206)</f>
        <v>0</v>
      </c>
      <c r="X90" s="175" t="n">
        <f>IF(X$81="","",Underwriting!AC206)</f>
        <v>0</v>
      </c>
      <c r="Y90" s="175" t="n">
        <f>IF(Y$81="","",Underwriting!AD206)</f>
        <v>0</v>
      </c>
      <c r="Z90" s="175" t="n">
        <f>IF(Z$81="","",Underwriting!AE206)</f>
        <v>0</v>
      </c>
      <c r="AA90" s="175" t="n">
        <f>IF(AA$81="","",Underwriting!AF206)</f>
        <v>0</v>
      </c>
      <c r="AB90" s="175" t="n">
        <f>IF(AB$81="","",Underwriting!AG206)</f>
        <v>0</v>
      </c>
      <c r="AC90" s="175" t="n">
        <f>IF(AC$81="","",Underwriting!AH206)</f>
        <v>0</v>
      </c>
      <c r="AD90" s="175" t="n">
        <f>IF(AD$81="","",Underwriting!AI206)</f>
        <v>0</v>
      </c>
      <c r="AE90" s="175" t="n">
        <f>IF(AE$81="","",Underwriting!AJ206)</f>
        <v>0</v>
      </c>
      <c r="AF90" s="175" t="n">
        <f>IF(AF$81="","",Underwriting!AK206)</f>
        <v>0</v>
      </c>
      <c r="AG90" s="175" t="n">
        <f>IF(AG$81="","",Underwriting!AL206)</f>
        <v>0</v>
      </c>
      <c r="AH90" s="175" t="n">
        <f>IF(AH$81="","",Underwriting!AM206)</f>
        <v>0</v>
      </c>
      <c r="AI90" s="175" t="n">
        <f>IF(AI$81="","",Underwriting!AN206)</f>
        <v>0</v>
      </c>
      <c r="AJ90" s="175" t="n">
        <f>IF(AJ$81="","",Underwriting!AO206)</f>
        <v>0</v>
      </c>
      <c r="AK90" s="175" t="n">
        <f>IF(AK$81="","",Underwriting!AP206)</f>
        <v>0</v>
      </c>
      <c r="AL90" s="175" t="n">
        <f>IF(AL$81="","",Underwriting!AQ206)</f>
        <v>0</v>
      </c>
      <c r="AM90" s="175" t="n">
        <f>IF(AM$81="","",Underwriting!AR206)</f>
        <v>0</v>
      </c>
      <c r="AN90" s="175" t="n">
        <f>IF(AN$81="","",Underwriting!AS206)</f>
        <v>0</v>
      </c>
      <c r="AO90" s="175" t="n">
        <f>IF(AO$81="","",Underwriting!AT206)</f>
        <v>0</v>
      </c>
      <c r="AP90" s="175" t="n">
        <f>IF(AP$81="","",Underwriting!AU206)</f>
        <v>0</v>
      </c>
      <c r="AQ90" s="175" t="n">
        <f>IF(AQ$81="","",Underwriting!AV206)</f>
        <v>0</v>
      </c>
      <c r="AR90" s="175" t="n">
        <f>IF(AR$81="","",Underwriting!AW206)</f>
        <v>0</v>
      </c>
      <c r="AS90" s="175" t="n">
        <f>IF(AS$81="","",Underwriting!AX206)</f>
        <v>0</v>
      </c>
      <c r="AT90" s="175" t="n">
        <f>IF(AT$81="","",Underwriting!AY206)</f>
        <v>0</v>
      </c>
      <c r="AU90" s="175" t="n">
        <f>IF(AU$81="","",Underwriting!AZ206)</f>
        <v>0</v>
      </c>
      <c r="AV90" s="175" t="n">
        <f>IF(AV$81="","",Underwriting!BA206)</f>
        <v>0</v>
      </c>
      <c r="AW90" s="175" t="n">
        <f>IF(AW$81="","",Underwriting!BB206)</f>
        <v>0</v>
      </c>
      <c r="AX90" s="175" t="n">
        <f>IF(AX$81="","",Underwriting!BC206)</f>
        <v>0</v>
      </c>
      <c r="AY90" s="175" t="n">
        <f>IF(AY$81="","",Underwriting!BD206)</f>
        <v>0</v>
      </c>
      <c r="AZ90" s="175" t="n">
        <f>IF(AZ$81="","",Underwriting!BE206)</f>
        <v>0</v>
      </c>
      <c r="BA90" s="175" t="n">
        <f>IF(BA$81="","",Underwriting!BF206)</f>
        <v>0</v>
      </c>
      <c r="BB90" s="175" t="n">
        <f>IF(BB$81="","",Underwriting!BG206)</f>
        <v>0</v>
      </c>
      <c r="BC90" s="175" t="n">
        <f>IF(BC$81="","",Underwriting!BH206)</f>
        <v>0</v>
      </c>
      <c r="BD90" s="175" t="n">
        <f>IF(BD$81="","",Underwriting!BI206)</f>
        <v>0</v>
      </c>
      <c r="BE90" s="175" t="n">
        <f>IF(BE$81="","",Underwriting!BJ206)</f>
        <v>0</v>
      </c>
      <c r="BF90" s="175" t="n">
        <f>IF(BF$81="","",Underwriting!BK206)</f>
        <v>0</v>
      </c>
      <c r="BG90" s="175" t="n">
        <f>IF(BG$81="","",Underwriting!BL206)</f>
        <v>0</v>
      </c>
      <c r="BH90" s="175" t="n">
        <f>IF(BH$81="","",Underwriting!BM206)</f>
        <v>0</v>
      </c>
      <c r="BI90" s="175" t="n">
        <f>IF(BI$81="","",Underwriting!BN206)</f>
        <v>0</v>
      </c>
      <c r="BJ90" s="175" t="n">
        <f>IF(BJ$81="","",Underwriting!BO206)</f>
        <v>0</v>
      </c>
      <c r="BK90" s="175" t="n">
        <f>IF(BK$81="","",Underwriting!BP206)</f>
        <v>0</v>
      </c>
      <c r="BL90" s="175" t="n">
        <f>IF(BL$81="","",Underwriting!BQ206)</f>
        <v>0</v>
      </c>
      <c r="BM90" s="175" t="n">
        <f>IF(BM$81="","",Underwriting!BR206)</f>
        <v>0</v>
      </c>
      <c r="BN90" s="175" t="n">
        <f>IF(BN$81="","",Underwriting!BS206)</f>
        <v>0</v>
      </c>
      <c r="BO90" s="175" t="n">
        <f>IF(BO$81="","",Underwriting!BT206)</f>
        <v>0</v>
      </c>
      <c r="BP90" s="175" t="n">
        <f>IF(BP$81="","",Underwriting!BU206)</f>
        <v>-213422493.2274394</v>
      </c>
      <c r="BQ90" s="175" t="str">
        <f>IF(BQ$81="","",Underwriting!BV206)</f>
      </c>
      <c r="BR90" s="175" t="str">
        <f>IF(BR$81="","",Underwriting!BW206)</f>
      </c>
      <c r="BS90" s="175" t="str">
        <f>IF(BS$81="","",Underwriting!BX206)</f>
      </c>
      <c r="BT90" s="175" t="str">
        <f>IF(BT$81="","",Underwriting!BY206)</f>
      </c>
      <c r="BU90" s="175" t="str">
        <f>IF(BU$81="","",Underwriting!BZ206)</f>
      </c>
      <c r="BV90" s="175" t="str">
        <f>IF(BV$81="","",Underwriting!CA206)</f>
      </c>
      <c r="BW90" s="175" t="str">
        <f>IF(BW$81="","",Underwriting!CB206)</f>
      </c>
      <c r="BX90" s="175" t="str">
        <f>IF(BX$81="","",Underwriting!CC206)</f>
      </c>
      <c r="BY90" s="175" t="str">
        <f>IF(BY$81="","",Underwriting!CD206)</f>
      </c>
      <c r="BZ90" s="175" t="str">
        <f>IF(BZ$81="","",Underwriting!CE206)</f>
      </c>
      <c r="CA90" s="175" t="str">
        <f>IF(CA$81="","",Underwriting!CF206)</f>
      </c>
      <c r="CB90" s="175" t="str">
        <f>IF(CB$81="","",Underwriting!CG206)</f>
      </c>
      <c r="CC90" s="175" t="str">
        <f>IF(CC$81="","",Underwriting!CH206)</f>
      </c>
      <c r="CD90" s="175" t="str">
        <f>IF(CD$81="","",Underwriting!CI206)</f>
      </c>
      <c r="CE90" s="175" t="str">
        <f>IF(CE$81="","",Underwriting!CJ206)</f>
      </c>
      <c r="CF90" s="175" t="str">
        <f>IF(CF$81="","",Underwriting!CK206)</f>
      </c>
      <c r="CG90" s="175" t="str">
        <f>IF(CG$81="","",Underwriting!CL206)</f>
      </c>
      <c r="CH90" s="175" t="str">
        <f>IF(CH$81="","",Underwriting!CM206)</f>
      </c>
      <c r="CI90" s="175" t="str">
        <f>IF(CI$81="","",Underwriting!CN206)</f>
      </c>
      <c r="CJ90" s="175" t="str">
        <f>IF(CJ$81="","",Underwriting!CO206)</f>
      </c>
      <c r="CK90" s="175" t="str">
        <f>IF(CK$81="","",Underwriting!CP206)</f>
      </c>
      <c r="CL90" s="175" t="str">
        <f>IF(CL$81="","",Underwriting!CQ206)</f>
      </c>
      <c r="CM90" s="175" t="str">
        <f>IF(CM$81="","",Underwriting!CR206)</f>
      </c>
      <c r="CN90" s="175" t="str">
        <f>IF(CN$81="","",Underwriting!CS206)</f>
      </c>
      <c r="CO90" s="175" t="str">
        <f>IF(CO$81="","",Underwriting!CT206)</f>
      </c>
      <c r="CP90" s="175" t="str">
        <f>IF(CP$81="","",Underwriting!CU206)</f>
      </c>
      <c r="CQ90" s="175" t="str">
        <f>IF(CQ$81="","",Underwriting!CV206)</f>
      </c>
      <c r="CR90" s="175" t="str">
        <f>IF(CR$81="","",Underwriting!CW206)</f>
      </c>
      <c r="CS90" s="175" t="str">
        <f>IF(CS$81="","",Underwriting!CX206)</f>
      </c>
      <c r="CT90" s="175" t="str">
        <f>IF(CT$81="","",Underwriting!CY206)</f>
      </c>
      <c r="CU90" s="175" t="str">
        <f>IF(CU$81="","",Underwriting!CZ206)</f>
      </c>
      <c r="CV90" s="175" t="str">
        <f>IF(CV$81="","",Underwriting!DA206)</f>
      </c>
      <c r="CW90" s="175" t="str">
        <f>IF(CW$81="","",Underwriting!DB206)</f>
      </c>
      <c r="CX90" s="175" t="str">
        <f>IF(CX$81="","",Underwriting!DC206)</f>
      </c>
      <c r="CY90" s="175" t="str">
        <f>IF(CY$81="","",Underwriting!DD206)</f>
      </c>
      <c r="CZ90" s="175" t="str">
        <f>IF(CZ$81="","",Underwriting!DE206)</f>
      </c>
      <c r="DA90" s="175" t="str">
        <f>IF(DA$81="","",Underwriting!DF206)</f>
      </c>
      <c r="DB90" s="175" t="str">
        <f>IF(DB$81="","",Underwriting!DG206)</f>
      </c>
      <c r="DC90" s="175" t="str">
        <f>IF(DC$81="","",Underwriting!DH206)</f>
      </c>
      <c r="DD90" s="175" t="str">
        <f>IF(DD$81="","",Underwriting!DI206)</f>
      </c>
      <c r="DE90" s="175" t="str">
        <f>IF(DE$81="","",Underwriting!DJ206)</f>
      </c>
      <c r="DF90" s="175" t="str">
        <f>IF(DF$81="","",Underwriting!DK206)</f>
      </c>
      <c r="DG90" s="175" t="str">
        <f>IF(DG$81="","",Underwriting!DL206)</f>
      </c>
      <c r="DH90" s="175" t="str">
        <f>IF(DH$81="","",Underwriting!DM206)</f>
      </c>
      <c r="DI90" s="175" t="str">
        <f>IF(DI$81="","",Underwriting!DN206)</f>
      </c>
      <c r="DJ90" s="175" t="str">
        <f>IF(DJ$81="","",Underwriting!DO206)</f>
      </c>
      <c r="DK90" s="175" t="str">
        <f>IF(DK$81="","",Underwriting!DP206)</f>
      </c>
      <c r="DL90" s="175" t="str">
        <f>IF(DL$81="","",Underwriting!DQ206)</f>
      </c>
      <c r="DM90" s="175" t="str">
        <f>IF(DM$81="","",Underwriting!DR206)</f>
      </c>
      <c r="DN90" s="175" t="str">
        <f>IF(DN$81="","",Underwriting!DS206)</f>
      </c>
      <c r="DO90" s="175" t="str">
        <f>IF(DO$81="","",Underwriting!DT206)</f>
      </c>
      <c r="DP90" s="175" t="str">
        <f>IF(DP$81="","",Underwriting!DU206)</f>
      </c>
      <c r="DQ90" s="175" t="str">
        <f>IF(DQ$81="","",Underwriting!DV206)</f>
      </c>
      <c r="DR90" s="175" t="str">
        <f>IF(DR$81="","",Underwriting!DW206)</f>
      </c>
      <c r="DS90" s="175" t="str">
        <f>IF(DS$81="","",Underwriting!DX206)</f>
      </c>
      <c r="DT90" s="175" t="str">
        <f>IF(DT$81="","",Underwriting!DY206)</f>
      </c>
      <c r="DU90" s="175" t="str">
        <f>IF(DU$81="","",Underwriting!DZ206)</f>
      </c>
      <c r="DV90" s="175" t="str">
        <f>IF(DV$81="","",Underwriting!EA206)</f>
      </c>
      <c r="DW90" s="175" t="str">
        <f>IF(DW$81="","",Underwriting!EB206)</f>
      </c>
      <c r="DX90" s="175" t="str">
        <f>IF(DX$81="","",Underwriting!EC206)</f>
      </c>
      <c r="DY90" s="175" t="str">
        <f>IF(DY$81="","",Underwriting!ED206)</f>
      </c>
      <c r="DZ90" s="175" t="str">
        <f>IF(DZ$81="","",Underwriting!EE206)</f>
      </c>
      <c r="EA90" s="175" t="str">
        <f>IF(EA$81="","",Underwriting!EF206)</f>
      </c>
      <c r="EB90" s="175" t="str">
        <f>IF(EB$81="","",Underwriting!EG206)</f>
      </c>
      <c r="EC90" s="175" t="str">
        <f>IF(EC$81="","",Underwriting!EH206)</f>
      </c>
      <c r="ED90" s="175" t="str">
        <f>IF(ED$81="","",Underwriting!EI206)</f>
      </c>
      <c r="EE90" s="175" t="str">
        <f>IF(EE$81="","",Underwriting!EJ206)</f>
      </c>
      <c r="EF90" s="175" t="str">
        <f>IF(EF$81="","",Underwriting!EK206)</f>
      </c>
      <c r="EG90" s="175" t="str">
        <f>IF(EG$81="","",Underwriting!EL206)</f>
      </c>
      <c r="EH90" s="175" t="str">
        <f>IF(EH$81="","",Underwriting!EM206)</f>
      </c>
      <c r="EI90" s="175" t="str">
        <f>IF(EI$81="","",Underwriting!EN206)</f>
      </c>
    </row>
    <row r="91">
      <c r="B91" s="34" t="s">
        <v>76</v>
      </c>
      <c r="C91" s="4"/>
      <c r="D91" s="4"/>
      <c r="E91" s="4"/>
      <c r="F91" s="4"/>
      <c r="G91" s="172" t="n">
        <f>SUM(G89:G90)</f>
        <v>0</v>
      </c>
      <c r="H91" s="172" t="n">
        <f t="shared" ref="H91:BS91" si="72">SUM(H89:H90)</f>
        <v>0</v>
      </c>
      <c r="I91" s="172">
        <f t="shared" si="72"/>
        <v>0</v>
      </c>
      <c r="J91" s="172">
        <f t="shared" si="72"/>
        <v>0</v>
      </c>
      <c r="K91" s="172">
        <f t="shared" si="72"/>
        <v>0</v>
      </c>
      <c r="L91" s="172">
        <f t="shared" si="72"/>
        <v>0</v>
      </c>
      <c r="M91" s="172">
        <f t="shared" si="72"/>
        <v>0</v>
      </c>
      <c r="N91" s="172">
        <f t="shared" si="72"/>
        <v>0</v>
      </c>
      <c r="O91" s="172">
        <f t="shared" si="72"/>
        <v>0</v>
      </c>
      <c r="P91" s="172">
        <f t="shared" si="72"/>
        <v>0</v>
      </c>
      <c r="Q91" s="172">
        <f t="shared" si="72"/>
        <v>0</v>
      </c>
      <c r="R91" s="172">
        <f t="shared" si="72"/>
        <v>0</v>
      </c>
      <c r="S91" s="170">
        <f t="shared" si="72"/>
        <v>0</v>
      </c>
      <c r="T91" s="170">
        <f t="shared" si="72"/>
        <v>0</v>
      </c>
      <c r="U91" s="170">
        <f t="shared" si="72"/>
        <v>0</v>
      </c>
      <c r="V91" s="170">
        <f t="shared" si="72"/>
        <v>0</v>
      </c>
      <c r="W91" s="170">
        <f t="shared" si="72"/>
        <v>0</v>
      </c>
      <c r="X91" s="170">
        <f t="shared" si="72"/>
        <v>0</v>
      </c>
      <c r="Y91" s="170">
        <f t="shared" si="72"/>
        <v>0</v>
      </c>
      <c r="Z91" s="170">
        <f t="shared" si="72"/>
        <v>0</v>
      </c>
      <c r="AA91" s="170">
        <f t="shared" si="72"/>
        <v>0</v>
      </c>
      <c r="AB91" s="170">
        <f t="shared" si="72"/>
        <v>0</v>
      </c>
      <c r="AC91" s="170">
        <f t="shared" si="72"/>
        <v>0</v>
      </c>
      <c r="AD91" s="170">
        <f t="shared" si="72"/>
        <v>0</v>
      </c>
      <c r="AE91" s="170">
        <f t="shared" si="72"/>
        <v>0</v>
      </c>
      <c r="AF91" s="170">
        <f t="shared" si="72"/>
        <v>0</v>
      </c>
      <c r="AG91" s="170">
        <f t="shared" si="72"/>
        <v>0</v>
      </c>
      <c r="AH91" s="170">
        <f t="shared" si="72"/>
        <v>0</v>
      </c>
      <c r="AI91" s="170">
        <f t="shared" si="72"/>
        <v>0</v>
      </c>
      <c r="AJ91" s="170">
        <f t="shared" si="72"/>
        <v>0</v>
      </c>
      <c r="AK91" s="170">
        <f t="shared" si="72"/>
        <v>0</v>
      </c>
      <c r="AL91" s="170">
        <f t="shared" si="72"/>
        <v>0</v>
      </c>
      <c r="AM91" s="170">
        <f t="shared" si="72"/>
        <v>0</v>
      </c>
      <c r="AN91" s="170">
        <f t="shared" si="72"/>
        <v>0</v>
      </c>
      <c r="AO91" s="170">
        <f t="shared" si="72"/>
        <v>0</v>
      </c>
      <c r="AP91" s="170">
        <f t="shared" si="72"/>
        <v>0</v>
      </c>
      <c r="AQ91" s="170">
        <f t="shared" si="72"/>
        <v>0</v>
      </c>
      <c r="AR91" s="170">
        <f t="shared" si="72"/>
        <v>0</v>
      </c>
      <c r="AS91" s="170">
        <f t="shared" si="72"/>
        <v>0</v>
      </c>
      <c r="AT91" s="170">
        <f t="shared" si="72"/>
        <v>0</v>
      </c>
      <c r="AU91" s="170">
        <f t="shared" si="72"/>
        <v>0</v>
      </c>
      <c r="AV91" s="170">
        <f t="shared" si="72"/>
        <v>0</v>
      </c>
      <c r="AW91" s="170">
        <f t="shared" si="72"/>
        <v>0</v>
      </c>
      <c r="AX91" s="170">
        <f t="shared" si="72"/>
        <v>0</v>
      </c>
      <c r="AY91" s="170">
        <f t="shared" si="72"/>
        <v>0</v>
      </c>
      <c r="AZ91" s="170">
        <f t="shared" si="72"/>
        <v>0</v>
      </c>
      <c r="BA91" s="170">
        <f t="shared" si="72"/>
        <v>0</v>
      </c>
      <c r="BB91" s="170">
        <f t="shared" si="72"/>
        <v>0</v>
      </c>
      <c r="BC91" s="170">
        <f t="shared" si="72"/>
        <v>0</v>
      </c>
      <c r="BD91" s="170">
        <f t="shared" si="72"/>
        <v>0</v>
      </c>
      <c r="BE91" s="170">
        <f t="shared" si="72"/>
        <v>0</v>
      </c>
      <c r="BF91" s="170">
        <f t="shared" si="72"/>
        <v>0</v>
      </c>
      <c r="BG91" s="170">
        <f t="shared" si="72"/>
        <v>0</v>
      </c>
      <c r="BH91" s="170">
        <f t="shared" si="72"/>
        <v>0</v>
      </c>
      <c r="BI91" s="170">
        <f t="shared" si="72"/>
        <v>0</v>
      </c>
      <c r="BJ91" s="170">
        <f t="shared" si="72"/>
        <v>0</v>
      </c>
      <c r="BK91" s="170">
        <f t="shared" si="72"/>
        <v>0</v>
      </c>
      <c r="BL91" s="170">
        <f t="shared" si="72"/>
        <v>0</v>
      </c>
      <c r="BM91" s="170">
        <f t="shared" si="72"/>
        <v>0</v>
      </c>
      <c r="BN91" s="170">
        <f t="shared" si="72"/>
        <v>0</v>
      </c>
      <c r="BO91" s="170">
        <f t="shared" si="72"/>
        <v>0</v>
      </c>
      <c r="BP91" s="170">
        <f t="shared" si="72"/>
        <v>822622480.20070279</v>
      </c>
      <c r="BQ91" s="170">
        <f t="shared" si="72"/>
        <v>0</v>
      </c>
      <c r="BR91" s="170">
        <f t="shared" si="72"/>
        <v>0</v>
      </c>
      <c r="BS91" s="170">
        <f t="shared" si="72"/>
        <v>0</v>
      </c>
      <c r="BT91" s="170" t="n">
        <f t="shared" ref="BT91:EE91" si="73">SUM(BT89:BT90)</f>
        <v>0</v>
      </c>
      <c r="BU91" s="170">
        <f t="shared" si="73"/>
        <v>0</v>
      </c>
      <c r="BV91" s="170">
        <f t="shared" si="73"/>
        <v>0</v>
      </c>
      <c r="BW91" s="170">
        <f t="shared" si="73"/>
        <v>0</v>
      </c>
      <c r="BX91" s="170">
        <f t="shared" si="73"/>
        <v>0</v>
      </c>
      <c r="BY91" s="170">
        <f t="shared" si="73"/>
        <v>0</v>
      </c>
      <c r="BZ91" s="170">
        <f t="shared" si="73"/>
        <v>0</v>
      </c>
      <c r="CA91" s="170">
        <f t="shared" si="73"/>
        <v>0</v>
      </c>
      <c r="CB91" s="170">
        <f t="shared" si="73"/>
        <v>0</v>
      </c>
      <c r="CC91" s="170">
        <f t="shared" si="73"/>
        <v>0</v>
      </c>
      <c r="CD91" s="170">
        <f t="shared" si="73"/>
        <v>0</v>
      </c>
      <c r="CE91" s="170">
        <f t="shared" si="73"/>
        <v>0</v>
      </c>
      <c r="CF91" s="170">
        <f t="shared" si="73"/>
        <v>0</v>
      </c>
      <c r="CG91" s="170">
        <f t="shared" si="73"/>
        <v>0</v>
      </c>
      <c r="CH91" s="170">
        <f t="shared" si="73"/>
        <v>0</v>
      </c>
      <c r="CI91" s="170">
        <f t="shared" si="73"/>
        <v>0</v>
      </c>
      <c r="CJ91" s="170">
        <f t="shared" si="73"/>
        <v>0</v>
      </c>
      <c r="CK91" s="170">
        <f t="shared" si="73"/>
        <v>0</v>
      </c>
      <c r="CL91" s="170">
        <f t="shared" si="73"/>
        <v>0</v>
      </c>
      <c r="CM91" s="170">
        <f t="shared" si="73"/>
        <v>0</v>
      </c>
      <c r="CN91" s="170">
        <f t="shared" si="73"/>
        <v>0</v>
      </c>
      <c r="CO91" s="170">
        <f t="shared" si="73"/>
        <v>0</v>
      </c>
      <c r="CP91" s="170">
        <f t="shared" si="73"/>
        <v>0</v>
      </c>
      <c r="CQ91" s="170">
        <f t="shared" si="73"/>
        <v>0</v>
      </c>
      <c r="CR91" s="170">
        <f t="shared" si="73"/>
        <v>0</v>
      </c>
      <c r="CS91" s="170">
        <f t="shared" si="73"/>
        <v>0</v>
      </c>
      <c r="CT91" s="170">
        <f t="shared" si="73"/>
        <v>0</v>
      </c>
      <c r="CU91" s="170">
        <f t="shared" si="73"/>
        <v>0</v>
      </c>
      <c r="CV91" s="170">
        <f t="shared" si="73"/>
        <v>0</v>
      </c>
      <c r="CW91" s="170">
        <f t="shared" si="73"/>
        <v>0</v>
      </c>
      <c r="CX91" s="170">
        <f t="shared" si="73"/>
        <v>0</v>
      </c>
      <c r="CY91" s="170">
        <f t="shared" si="73"/>
        <v>0</v>
      </c>
      <c r="CZ91" s="170">
        <f t="shared" si="73"/>
        <v>0</v>
      </c>
      <c r="DA91" s="170">
        <f t="shared" si="73"/>
        <v>0</v>
      </c>
      <c r="DB91" s="170">
        <f t="shared" si="73"/>
        <v>0</v>
      </c>
      <c r="DC91" s="170">
        <f t="shared" si="73"/>
        <v>0</v>
      </c>
      <c r="DD91" s="170">
        <f t="shared" si="73"/>
        <v>0</v>
      </c>
      <c r="DE91" s="170">
        <f t="shared" si="73"/>
        <v>0</v>
      </c>
      <c r="DF91" s="170">
        <f t="shared" si="73"/>
        <v>0</v>
      </c>
      <c r="DG91" s="170">
        <f t="shared" si="73"/>
        <v>0</v>
      </c>
      <c r="DH91" s="170">
        <f t="shared" si="73"/>
        <v>0</v>
      </c>
      <c r="DI91" s="170">
        <f t="shared" si="73"/>
        <v>0</v>
      </c>
      <c r="DJ91" s="170">
        <f t="shared" si="73"/>
        <v>0</v>
      </c>
      <c r="DK91" s="170">
        <f t="shared" si="73"/>
        <v>0</v>
      </c>
      <c r="DL91" s="170">
        <f t="shared" si="73"/>
        <v>0</v>
      </c>
      <c r="DM91" s="170">
        <f t="shared" si="73"/>
        <v>0</v>
      </c>
      <c r="DN91" s="170">
        <f t="shared" si="73"/>
        <v>0</v>
      </c>
      <c r="DO91" s="170">
        <f t="shared" si="73"/>
        <v>0</v>
      </c>
      <c r="DP91" s="170">
        <f t="shared" si="73"/>
        <v>0</v>
      </c>
      <c r="DQ91" s="170">
        <f t="shared" si="73"/>
        <v>0</v>
      </c>
      <c r="DR91" s="170">
        <f t="shared" si="73"/>
        <v>0</v>
      </c>
      <c r="DS91" s="170">
        <f t="shared" si="73"/>
        <v>0</v>
      </c>
      <c r="DT91" s="170">
        <f t="shared" si="73"/>
        <v>0</v>
      </c>
      <c r="DU91" s="170">
        <f t="shared" si="73"/>
        <v>0</v>
      </c>
      <c r="DV91" s="170">
        <f t="shared" si="73"/>
        <v>0</v>
      </c>
      <c r="DW91" s="170">
        <f t="shared" si="73"/>
        <v>0</v>
      </c>
      <c r="DX91" s="170">
        <f t="shared" si="73"/>
        <v>0</v>
      </c>
      <c r="DY91" s="170">
        <f t="shared" si="73"/>
        <v>0</v>
      </c>
      <c r="DZ91" s="170">
        <f t="shared" si="73"/>
        <v>0</v>
      </c>
      <c r="EA91" s="170">
        <f t="shared" si="73"/>
        <v>0</v>
      </c>
      <c r="EB91" s="170">
        <f t="shared" si="73"/>
        <v>0</v>
      </c>
      <c r="EC91" s="170">
        <f t="shared" si="73"/>
        <v>0</v>
      </c>
      <c r="ED91" s="170">
        <f t="shared" si="73"/>
        <v>0</v>
      </c>
      <c r="EE91" s="170">
        <f t="shared" si="73"/>
        <v>0</v>
      </c>
      <c r="EF91" s="170" t="n">
        <f t="shared" ref="EF91:EI91" si="74">SUM(EF89:EF90)</f>
        <v>0</v>
      </c>
      <c r="EG91" s="170">
        <f t="shared" si="74"/>
        <v>0</v>
      </c>
      <c r="EH91" s="170">
        <f t="shared" si="74"/>
        <v>0</v>
      </c>
      <c r="EI91" s="170">
        <f t="shared" si="74"/>
        <v>0</v>
      </c>
    </row>
    <row r="92">
      <c r="B92" s="34"/>
      <c r="C92" s="4"/>
      <c r="D92" s="4"/>
      <c r="E92" s="4"/>
      <c r="F92" s="4"/>
      <c r="G92" s="172"/>
      <c r="H92" s="172"/>
      <c r="I92" s="172"/>
      <c r="J92" s="172"/>
      <c r="K92" s="172"/>
      <c r="L92" s="172"/>
      <c r="M92" s="172"/>
      <c r="N92" s="172"/>
      <c r="O92" s="172"/>
      <c r="P92" s="172"/>
      <c r="Q92" s="172"/>
      <c r="R92" s="172"/>
      <c r="S92" s="170"/>
      <c r="T92" s="170"/>
      <c r="U92" s="170"/>
      <c r="V92" s="170"/>
      <c r="W92" s="170"/>
      <c r="X92" s="170"/>
      <c r="Y92" s="170"/>
      <c r="Z92" s="170"/>
      <c r="AA92" s="170"/>
      <c r="AB92" s="170"/>
      <c r="AC92" s="170"/>
      <c r="AD92" s="170"/>
      <c r="AE92" s="170"/>
      <c r="AF92" s="170"/>
      <c r="AG92" s="170"/>
      <c r="AH92" s="170"/>
      <c r="AI92" s="170"/>
      <c r="AJ92" s="170"/>
      <c r="AK92" s="170"/>
      <c r="AL92" s="170"/>
      <c r="AM92" s="170"/>
      <c r="AN92" s="170"/>
      <c r="AO92" s="170"/>
      <c r="AP92" s="170"/>
      <c r="AQ92" s="170"/>
      <c r="AR92" s="170"/>
      <c r="AS92" s="170"/>
      <c r="AT92" s="170"/>
      <c r="AU92" s="170"/>
      <c r="AV92" s="170"/>
      <c r="AW92" s="170"/>
      <c r="AX92" s="170"/>
      <c r="AY92" s="170"/>
      <c r="AZ92" s="170"/>
      <c r="BA92" s="170"/>
      <c r="BB92" s="170"/>
      <c r="BC92" s="170"/>
      <c r="BD92" s="170"/>
      <c r="BE92" s="170"/>
      <c r="BF92" s="170"/>
      <c r="BG92" s="170"/>
      <c r="BH92" s="170"/>
      <c r="BI92" s="170"/>
      <c r="BJ92" s="170"/>
      <c r="BK92" s="170"/>
      <c r="BL92" s="170"/>
      <c r="BM92" s="170"/>
      <c r="BN92" s="170"/>
      <c r="BO92" s="170"/>
      <c r="BP92" s="170"/>
      <c r="BQ92" s="170"/>
      <c r="BR92" s="170"/>
      <c r="BS92" s="170"/>
      <c r="BT92" s="170"/>
      <c r="BU92" s="170"/>
      <c r="BV92" s="170"/>
      <c r="BW92" s="170"/>
      <c r="BX92" s="170"/>
      <c r="BY92" s="170"/>
      <c r="BZ92" s="170"/>
      <c r="CA92" s="170"/>
      <c r="CB92" s="170"/>
      <c r="CC92" s="170"/>
      <c r="CD92" s="170"/>
      <c r="CE92" s="170"/>
      <c r="CF92" s="170"/>
      <c r="CG92" s="170"/>
      <c r="CH92" s="170"/>
      <c r="CI92" s="170"/>
      <c r="CJ92" s="170"/>
      <c r="CK92" s="170"/>
      <c r="CL92" s="170"/>
      <c r="CM92" s="170"/>
      <c r="CN92" s="170"/>
      <c r="CO92" s="170"/>
      <c r="CP92" s="170"/>
      <c r="CQ92" s="170"/>
      <c r="CR92" s="170"/>
      <c r="CS92" s="170"/>
      <c r="CT92" s="170"/>
      <c r="CU92" s="170"/>
      <c r="CV92" s="170"/>
      <c r="CW92" s="170"/>
      <c r="CX92" s="170"/>
      <c r="CY92" s="170"/>
      <c r="CZ92" s="170"/>
      <c r="DA92" s="170"/>
      <c r="DB92" s="170"/>
      <c r="DC92" s="170"/>
      <c r="DD92" s="170"/>
      <c r="DE92" s="170"/>
      <c r="DF92" s="170"/>
      <c r="DG92" s="170"/>
      <c r="DH92" s="170"/>
      <c r="DI92" s="170"/>
      <c r="DJ92" s="170"/>
      <c r="DK92" s="170"/>
      <c r="DL92" s="170"/>
      <c r="DM92" s="170"/>
      <c r="DN92" s="170"/>
      <c r="DO92" s="170"/>
      <c r="DP92" s="170"/>
      <c r="DQ92" s="170"/>
      <c r="DR92" s="170"/>
      <c r="DS92" s="170"/>
      <c r="DT92" s="170"/>
      <c r="DU92" s="170"/>
      <c r="DV92" s="170"/>
      <c r="DW92" s="170"/>
      <c r="DX92" s="170"/>
      <c r="DY92" s="170"/>
      <c r="DZ92" s="170"/>
      <c r="EA92" s="170"/>
      <c r="EB92" s="170"/>
      <c r="EC92" s="170"/>
      <c r="ED92" s="170"/>
      <c r="EE92" s="170"/>
      <c r="EF92" s="170"/>
      <c r="EG92" s="170"/>
      <c r="EH92" s="170"/>
      <c r="EI92" s="170"/>
    </row>
    <row r="93">
      <c r="B93" s="62" t="s">
        <v>389</v>
      </c>
      <c r="C93" s="4"/>
      <c r="D93" s="4"/>
      <c r="E93" s="4"/>
      <c r="F93" s="4"/>
      <c r="G93" s="172" t="str">
        <f>IF(G$81="","",Underwriting!L211)</f>
      </c>
      <c r="H93" s="172" t="n">
        <f>IF(H$81="","",Underwriting!M211)</f>
        <v>100892.8237358164</v>
      </c>
      <c r="I93" s="172" t="n">
        <f>IF(I$81="","",Underwriting!N211)</f>
        <v>-170317.57335215877</v>
      </c>
      <c r="J93" s="172" t="n">
        <f>IF(J$81="","",Underwriting!O211)</f>
        <v>-557650.6541499208</v>
      </c>
      <c r="K93" s="172" t="n">
        <f>IF(K$81="","",Underwriting!P211)</f>
        <v>-1094287.4844426755</v>
      </c>
      <c r="L93" s="172" t="n">
        <f>IF(L$81="","",Underwriting!Q211)</f>
        <v>-1929459.8612853033</v>
      </c>
      <c r="M93" s="172" t="n">
        <f>IF(M$81="","",Underwriting!R211)</f>
        <v>-2167370.6176870433</v>
      </c>
      <c r="N93" s="172" t="n">
        <f>IF(N$81="","",Underwriting!S211)</f>
        <v>-3348953.0601374223</v>
      </c>
      <c r="O93" s="172" t="n">
        <f>IF(O$81="","",Underwriting!T211)</f>
        <v>-4787857.205203236</v>
      </c>
      <c r="P93" s="172" t="n">
        <f>IF(P$81="","",Underwriting!U211)</f>
        <v>-6479356.599241465</v>
      </c>
      <c r="Q93" s="172" t="n">
        <f>IF(Q$81="","",Underwriting!V211)</f>
        <v>-8394944.910989355</v>
      </c>
      <c r="R93" s="172" t="n">
        <f>IF(R$81="","",Underwriting!W211)</f>
        <v>-10478998.553147484</v>
      </c>
      <c r="S93" s="170" t="n">
        <f>IF(S$81="","",Underwriting!X211)</f>
        <v>-12648474.085652951</v>
      </c>
      <c r="T93" s="170" t="n">
        <f>IF(T$81="","",Underwriting!Y211)</f>
        <v>-14796439.460382633</v>
      </c>
      <c r="U93" s="170" t="n">
        <f>IF(U$81="","",Underwriting!Z211)</f>
        <v>-16799664.429716155</v>
      </c>
      <c r="V93" s="170" t="n">
        <f>IF(V$81="","",Underwriting!AA211)</f>
        <v>-18529749.00567072</v>
      </c>
      <c r="W93" s="170" t="n">
        <f>IF(W$81="","",Underwriting!AB211)</f>
        <v>-19866501.015728973</v>
      </c>
      <c r="X93" s="170" t="n">
        <f>IF(X$81="","",Underwriting!AC211)</f>
        <v>-20859934.02639237</v>
      </c>
      <c r="Y93" s="170" t="n">
        <f>IF(Y$81="","",Underwriting!AD211)</f>
        <v>-18093120.303566884</v>
      </c>
      <c r="Z93" s="170" t="n">
        <f>IF(Z$81="","",Underwriting!AE211)</f>
        <v>-17803924.23923062</v>
      </c>
      <c r="AA93" s="170" t="n">
        <f>IF(AA$81="","",Underwriting!AF211)</f>
        <v>-16958756.09011783</v>
      </c>
      <c r="AB93" s="170" t="n">
        <f>IF(AB$81="","",Underwriting!AG211)</f>
        <v>-14833241.779848058</v>
      </c>
      <c r="AC93" s="170" t="n">
        <f>IF(AC$81="","",Underwriting!AH211)</f>
        <v>-13103157.20389343</v>
      </c>
      <c r="AD93" s="170" t="n">
        <f>IF(AD$81="","",Underwriting!AI211)</f>
        <v>-11099932.234559935</v>
      </c>
      <c r="AE93" s="170" t="n">
        <f>IF(AE$81="","",Underwriting!AJ211)</f>
        <v>-8646438.133212887</v>
      </c>
      <c r="AF93" s="170" t="n">
        <f>IF(AF$81="","",Underwriting!AK211)</f>
        <v>-6476962.600707364</v>
      </c>
      <c r="AG93" s="170" t="n">
        <f>IF(AG$81="","",Underwriting!AL211)</f>
        <v>-4392908.958549266</v>
      </c>
      <c r="AH93" s="170" t="n">
        <f>IF(AH$81="","",Underwriting!AM211)</f>
        <v>-2289237.84621792</v>
      </c>
      <c r="AI93" s="170" t="n">
        <f>IF(AI$81="","",Underwriting!AN211)</f>
        <v>-597738.4521796498</v>
      </c>
      <c r="AJ93" s="170" t="n">
        <f>IF(AJ$81="","",Underwriting!AO211)</f>
        <v>837350.7093441873</v>
      </c>
      <c r="AK93" s="170" t="n">
        <f>IF(AK$81="","",Underwriting!AP211)</f>
        <v>2571824.5896222102</v>
      </c>
      <c r="AL93" s="170" t="n">
        <f>IF(AL$81="","",Underwriting!AQ211)</f>
        <v>3509881.288002234</v>
      </c>
      <c r="AM93" s="170" t="n">
        <f>IF(AM$81="","",Underwriting!AR211)</f>
        <v>4230714.775208935</v>
      </c>
      <c r="AN93" s="170" t="n">
        <f>IF(AN$81="","",Underwriting!AS211)</f>
        <v>4767351.605501714</v>
      </c>
      <c r="AO93" s="170" t="n">
        <f>IF(AO$81="","",Underwriting!AT211)</f>
        <v>5280223.890943118</v>
      </c>
      <c r="AP93" s="170" t="n">
        <f>IF(AP$81="","",Underwriting!AU211)</f>
        <v>5551434.288031132</v>
      </c>
      <c r="AQ93" s="170" t="n">
        <f>IF(AQ$81="","",Underwriting!AV211)</f>
        <v>5735748.559121081</v>
      </c>
      <c r="AR93" s="170" t="n">
        <f>IF(AR$81="","",Underwriting!AW211)</f>
        <v>5369511.662836967</v>
      </c>
      <c r="AS93" s="170" t="n">
        <f>IF(AS$81="","",Underwriting!AX211)</f>
        <v>5369511.662836967</v>
      </c>
      <c r="AT93" s="170" t="n">
        <f>IF(AT$81="","",Underwriting!AY211)</f>
        <v>5369511.662836967</v>
      </c>
      <c r="AU93" s="170" t="n">
        <f>IF(AU$81="","",Underwriting!AZ211)</f>
        <v>5375831.43887231</v>
      </c>
      <c r="AV93" s="170" t="n">
        <f>IF(AV$81="","",Underwriting!BA211)</f>
        <v>5375831.43887231</v>
      </c>
      <c r="AW93" s="170" t="n">
        <f>IF(AW$81="","",Underwriting!BB211)</f>
        <v>5375831.43887231</v>
      </c>
      <c r="AX93" s="170" t="n">
        <f>IF(AX$81="","",Underwriting!BC211)</f>
        <v>5539953.446954778</v>
      </c>
      <c r="AY93" s="170" t="n">
        <f>IF(AY$81="","",Underwriting!BD211)</f>
        <v>5539953.446954778</v>
      </c>
      <c r="AZ93" s="170" t="n">
        <f>IF(AZ$81="","",Underwriting!BE211)</f>
        <v>5539953.446954778</v>
      </c>
      <c r="BA93" s="170" t="n">
        <f>IF(BA$81="","",Underwriting!BF211)</f>
        <v>5569093.863621445</v>
      </c>
      <c r="BB93" s="170" t="n">
        <f>IF(BB$81="","",Underwriting!BG211)</f>
        <v>5569093.863621445</v>
      </c>
      <c r="BC93" s="170" t="n">
        <f>IF(BC$81="","",Underwriting!BH211)</f>
        <v>5569093.863621445</v>
      </c>
      <c r="BD93" s="170" t="n">
        <f>IF(BD$81="","",Underwriting!BI211)</f>
        <v>5575170.350925612</v>
      </c>
      <c r="BE93" s="170" t="n">
        <f>IF(BE$81="","",Underwriting!BJ211)</f>
        <v>5575170.350925612</v>
      </c>
      <c r="BF93" s="170" t="n">
        <f>IF(BF$81="","",Underwriting!BK211)</f>
        <v>5575170.350925612</v>
      </c>
      <c r="BG93" s="170" t="n">
        <f>IF(BG$81="","",Underwriting!BL211)</f>
        <v>5581479.538425612</v>
      </c>
      <c r="BH93" s="170" t="n">
        <f>IF(BH$81="","",Underwriting!BM211)</f>
        <v>5581479.538425612</v>
      </c>
      <c r="BI93" s="170" t="n">
        <f>IF(BI$81="","",Underwriting!BN211)</f>
        <v>5581479.538425612</v>
      </c>
      <c r="BJ93" s="170" t="n">
        <f>IF(BJ$81="","",Underwriting!BO211)</f>
        <v>5730024.794297874</v>
      </c>
      <c r="BK93" s="170" t="n">
        <f>IF(BK$81="","",Underwriting!BP211)</f>
        <v>5730024.794297874</v>
      </c>
      <c r="BL93" s="170" t="n">
        <f>IF(BL$81="","",Underwriting!BQ211)</f>
        <v>5730024.794297874</v>
      </c>
      <c r="BM93" s="170" t="n">
        <f>IF(BM$81="","",Underwriting!BR211)</f>
        <v>5760185.125547874</v>
      </c>
      <c r="BN93" s="170" t="n">
        <f>IF(BN$81="","",Underwriting!BS211)</f>
        <v>5760185.125547874</v>
      </c>
      <c r="BO93" s="170" t="n">
        <f>IF(BO$81="","",Underwriting!BT211)</f>
        <v>5760185.125547874</v>
      </c>
      <c r="BP93" s="170" t="n">
        <f>IF(BP$81="","",Underwriting!BU211)</f>
        <v>1041811474.3019903</v>
      </c>
      <c r="BQ93" s="170" t="str">
        <f>IF(BQ$81="","",Underwriting!BV211)</f>
      </c>
      <c r="BR93" s="170" t="str">
        <f>IF(BR$81="","",Underwriting!BW211)</f>
      </c>
      <c r="BS93" s="170" t="str">
        <f>IF(BS$81="","",Underwriting!BX211)</f>
      </c>
      <c r="BT93" s="170" t="str">
        <f>IF(BT$81="","",Underwriting!BY211)</f>
      </c>
      <c r="BU93" s="170" t="str">
        <f>IF(BU$81="","",Underwriting!BZ211)</f>
      </c>
      <c r="BV93" s="170" t="str">
        <f>IF(BV$81="","",Underwriting!CA211)</f>
      </c>
      <c r="BW93" s="170" t="str">
        <f>IF(BW$81="","",Underwriting!CB211)</f>
      </c>
      <c r="BX93" s="170" t="str">
        <f>IF(BX$81="","",Underwriting!CC211)</f>
      </c>
      <c r="BY93" s="170" t="str">
        <f>IF(BY$81="","",Underwriting!CD211)</f>
      </c>
      <c r="BZ93" s="170" t="str">
        <f>IF(BZ$81="","",Underwriting!CE211)</f>
      </c>
      <c r="CA93" s="170" t="str">
        <f>IF(CA$81="","",Underwriting!CF211)</f>
      </c>
      <c r="CB93" s="170" t="str">
        <f>IF(CB$81="","",Underwriting!CG211)</f>
      </c>
      <c r="CC93" s="170" t="str">
        <f>IF(CC$81="","",Underwriting!CH211)</f>
      </c>
      <c r="CD93" s="170" t="str">
        <f>IF(CD$81="","",Underwriting!CI211)</f>
      </c>
      <c r="CE93" s="170" t="str">
        <f>IF(CE$81="","",Underwriting!CJ211)</f>
      </c>
      <c r="CF93" s="170" t="str">
        <f>IF(CF$81="","",Underwriting!CK211)</f>
      </c>
      <c r="CG93" s="170" t="str">
        <f>IF(CG$81="","",Underwriting!CL211)</f>
      </c>
      <c r="CH93" s="170" t="str">
        <f>IF(CH$81="","",Underwriting!CM211)</f>
      </c>
      <c r="CI93" s="170" t="str">
        <f>IF(CI$81="","",Underwriting!CN211)</f>
      </c>
      <c r="CJ93" s="170" t="str">
        <f>IF(CJ$81="","",Underwriting!CO211)</f>
      </c>
      <c r="CK93" s="170" t="str">
        <f>IF(CK$81="","",Underwriting!CP211)</f>
      </c>
      <c r="CL93" s="170" t="str">
        <f>IF(CL$81="","",Underwriting!CQ211)</f>
      </c>
      <c r="CM93" s="170" t="str">
        <f>IF(CM$81="","",Underwriting!CR211)</f>
      </c>
      <c r="CN93" s="170" t="str">
        <f>IF(CN$81="","",Underwriting!CS211)</f>
      </c>
      <c r="CO93" s="170" t="str">
        <f>IF(CO$81="","",Underwriting!CT211)</f>
      </c>
      <c r="CP93" s="170" t="str">
        <f>IF(CP$81="","",Underwriting!CU211)</f>
      </c>
      <c r="CQ93" s="170" t="str">
        <f>IF(CQ$81="","",Underwriting!CV211)</f>
      </c>
      <c r="CR93" s="170" t="str">
        <f>IF(CR$81="","",Underwriting!CW211)</f>
      </c>
      <c r="CS93" s="170" t="str">
        <f>IF(CS$81="","",Underwriting!CX211)</f>
      </c>
      <c r="CT93" s="170" t="str">
        <f>IF(CT$81="","",Underwriting!CY211)</f>
      </c>
      <c r="CU93" s="170" t="str">
        <f>IF(CU$81="","",Underwriting!CZ211)</f>
      </c>
      <c r="CV93" s="170" t="str">
        <f>IF(CV$81="","",Underwriting!DA211)</f>
      </c>
      <c r="CW93" s="170" t="str">
        <f>IF(CW$81="","",Underwriting!DB211)</f>
      </c>
      <c r="CX93" s="170" t="str">
        <f>IF(CX$81="","",Underwriting!DC211)</f>
      </c>
      <c r="CY93" s="170" t="str">
        <f>IF(CY$81="","",Underwriting!DD211)</f>
      </c>
      <c r="CZ93" s="170" t="str">
        <f>IF(CZ$81="","",Underwriting!DE211)</f>
      </c>
      <c r="DA93" s="170" t="str">
        <f>IF(DA$81="","",Underwriting!DF211)</f>
      </c>
      <c r="DB93" s="170" t="str">
        <f>IF(DB$81="","",Underwriting!DG211)</f>
      </c>
      <c r="DC93" s="170" t="str">
        <f>IF(DC$81="","",Underwriting!DH211)</f>
      </c>
      <c r="DD93" s="170" t="str">
        <f>IF(DD$81="","",Underwriting!DI211)</f>
      </c>
      <c r="DE93" s="170" t="str">
        <f>IF(DE$81="","",Underwriting!DJ211)</f>
      </c>
      <c r="DF93" s="170" t="str">
        <f>IF(DF$81="","",Underwriting!DK211)</f>
      </c>
      <c r="DG93" s="170" t="str">
        <f>IF(DG$81="","",Underwriting!DL211)</f>
      </c>
      <c r="DH93" s="170" t="str">
        <f>IF(DH$81="","",Underwriting!DM211)</f>
      </c>
      <c r="DI93" s="170" t="str">
        <f>IF(DI$81="","",Underwriting!DN211)</f>
      </c>
      <c r="DJ93" s="170" t="str">
        <f>IF(DJ$81="","",Underwriting!DO211)</f>
      </c>
      <c r="DK93" s="170" t="str">
        <f>IF(DK$81="","",Underwriting!DP211)</f>
      </c>
      <c r="DL93" s="170" t="str">
        <f>IF(DL$81="","",Underwriting!DQ211)</f>
      </c>
      <c r="DM93" s="170" t="str">
        <f>IF(DM$81="","",Underwriting!DR211)</f>
      </c>
      <c r="DN93" s="170" t="str">
        <f>IF(DN$81="","",Underwriting!DS211)</f>
      </c>
      <c r="DO93" s="170" t="str">
        <f>IF(DO$81="","",Underwriting!DT211)</f>
      </c>
      <c r="DP93" s="170" t="str">
        <f>IF(DP$81="","",Underwriting!DU211)</f>
      </c>
      <c r="DQ93" s="170" t="str">
        <f>IF(DQ$81="","",Underwriting!DV211)</f>
      </c>
      <c r="DR93" s="170" t="str">
        <f>IF(DR$81="","",Underwriting!DW211)</f>
      </c>
      <c r="DS93" s="170" t="str">
        <f>IF(DS$81="","",Underwriting!DX211)</f>
      </c>
      <c r="DT93" s="170" t="str">
        <f>IF(DT$81="","",Underwriting!DY211)</f>
      </c>
      <c r="DU93" s="170" t="str">
        <f>IF(DU$81="","",Underwriting!DZ211)</f>
      </c>
      <c r="DV93" s="170" t="str">
        <f>IF(DV$81="","",Underwriting!EA211)</f>
      </c>
      <c r="DW93" s="170" t="str">
        <f>IF(DW$81="","",Underwriting!EB211)</f>
      </c>
      <c r="DX93" s="170" t="str">
        <f>IF(DX$81="","",Underwriting!EC211)</f>
      </c>
      <c r="DY93" s="170" t="str">
        <f>IF(DY$81="","",Underwriting!ED211)</f>
      </c>
      <c r="DZ93" s="170" t="str">
        <f>IF(DZ$81="","",Underwriting!EE211)</f>
      </c>
      <c r="EA93" s="170" t="str">
        <f>IF(EA$81="","",Underwriting!EF211)</f>
      </c>
      <c r="EB93" s="170" t="str">
        <f>IF(EB$81="","",Underwriting!EG211)</f>
      </c>
      <c r="EC93" s="170" t="str">
        <f>IF(EC$81="","",Underwriting!EH211)</f>
      </c>
      <c r="ED93" s="170" t="str">
        <f>IF(ED$81="","",Underwriting!EI211)</f>
      </c>
      <c r="EE93" s="170" t="str">
        <f>IF(EE$81="","",Underwriting!EJ211)</f>
      </c>
      <c r="EF93" s="170" t="str">
        <f>IF(EF$81="","",Underwriting!EK211)</f>
      </c>
      <c r="EG93" s="170" t="str">
        <f>IF(EG$81="","",Underwriting!EL211)</f>
      </c>
      <c r="EH93" s="170" t="str">
        <f>IF(EH$81="","",Underwriting!EM211)</f>
      </c>
      <c r="EI93" s="170" t="str">
        <f>IF(EI$81="","",Underwriting!EN211)</f>
      </c>
    </row>
    <row r="94">
      <c r="B94" s="62" t="s">
        <v>391</v>
      </c>
      <c r="C94" s="4"/>
      <c r="D94" s="4"/>
      <c r="E94" s="4"/>
      <c r="F94" s="4"/>
      <c r="G94" s="172" t="str">
        <f>IF(G$81="","",Underwriting!L212)</f>
      </c>
      <c r="H94" s="172" t="n">
        <f>IF(H$81="","",Underwriting!M212)</f>
        <v>413948.37929137197</v>
      </c>
      <c r="I94" s="172" t="n">
        <f>IF(I$81="","",Underwriting!N212)</f>
        <v>142737.9822033968</v>
      </c>
      <c r="J94" s="172" t="n">
        <f>IF(J$81="","",Underwriting!O212)</f>
        <v>-244595.09859436523</v>
      </c>
      <c r="K94" s="172" t="n">
        <f>IF(K$81="","",Underwriting!P212)</f>
        <v>-781231.92888712</v>
      </c>
      <c r="L94" s="172" t="n">
        <f>IF(L$81="","",Underwriting!Q212)</f>
        <v>-1616404.3057297477</v>
      </c>
      <c r="M94" s="172" t="n">
        <f>IF(M$81="","",Underwriting!R212)</f>
        <v>-1855172.603803757</v>
      </c>
      <c r="N94" s="172" t="n">
        <f>IF(N$81="","",Underwriting!S212)</f>
        <v>-3036761.477816678</v>
      </c>
      <c r="O94" s="172" t="n">
        <f>IF(O$81="","",Underwriting!T212)</f>
        <v>-4475672.102681752</v>
      </c>
      <c r="P94" s="172" t="n">
        <f>IF(P$81="","",Underwriting!U212)</f>
        <v>-6167178.025117737</v>
      </c>
      <c r="Q94" s="172" t="n">
        <f>IF(Q$81="","",Underwriting!V212)</f>
        <v>-8082772.914226367</v>
      </c>
      <c r="R94" s="172" t="n">
        <f>IF(R$81="","",Underwriting!W212)</f>
        <v>-10166833.18307544</v>
      </c>
      <c r="S94" s="170" t="n">
        <f>IF(S$81="","",Underwriting!X212)</f>
        <v>-12336315.391972035</v>
      </c>
      <c r="T94" s="170" t="n">
        <f>IF(T$81="","",Underwriting!Y212)</f>
        <v>-14484287.493165776</v>
      </c>
      <c r="U94" s="170" t="n">
        <f>IF(U$81="","",Underwriting!Z212)</f>
        <v>-16487519.239411835</v>
      </c>
      <c r="V94" s="170" t="n">
        <f>IF(V$81="","",Underwriting!AA212)</f>
        <v>-18217610.643105783</v>
      </c>
      <c r="W94" s="170" t="n">
        <f>IF(W$81="","",Underwriting!AB212)</f>
        <v>-3404701.909687373</v>
      </c>
      <c r="X94" s="170" t="n">
        <f>IF(X$81="","",Underwriting!AC212)</f>
        <v>853119.5528102423</v>
      </c>
      <c r="Y94" s="170" t="n">
        <f>IF(Y$81="","",Underwriting!AD212)</f>
        <v>3665053.554138343</v>
      </c>
      <c r="Z94" s="170" t="n">
        <f>IF(Z$81="","",Underwriting!AE212)</f>
        <v>3410662.101577672</v>
      </c>
      <c r="AA94" s="170" t="n">
        <f>IF(AA$81="","",Underwriting!AF212)</f>
        <v>3247961.4392093075</v>
      </c>
      <c r="AB94" s="170" t="n">
        <f>IF(AB$81="","",Underwriting!AG212)</f>
        <v>3879141.583203119</v>
      </c>
      <c r="AC94" s="170" t="n">
        <f>IF(AC$81="","",Underwriting!AH212)</f>
        <v>3730403.20088913</v>
      </c>
      <c r="AD94" s="170" t="n">
        <f>IF(AD$81="","",Underwriting!AI212)</f>
        <v>3593524.9150274647</v>
      </c>
      <c r="AE94" s="170" t="n">
        <f>IF(AE$81="","",Underwriting!AJ212)</f>
        <v>3776172.955909197</v>
      </c>
      <c r="AF94" s="170" t="n">
        <f>IF(AF$81="","",Underwriting!AK212)</f>
        <v>3668480.4053410282</v>
      </c>
      <c r="AG94" s="170" t="n">
        <f>IF(AG$81="","",Underwriting!AL212)</f>
        <v>3576251.227137384</v>
      </c>
      <c r="AH94" s="170" t="n">
        <f>IF(AH$81="","",Underwriting!AM212)</f>
        <v>3687043.532996877</v>
      </c>
      <c r="AI94" s="170" t="n">
        <f>IF(AI$81="","",Underwriting!AN212)</f>
        <v>2995370.366841185</v>
      </c>
      <c r="AJ94" s="170" t="n">
        <f>IF(AJ$81="","",Underwriting!AO212)</f>
        <v>1576563.4029267943</v>
      </c>
      <c r="AK94" s="170" t="n">
        <f>IF(AK$81="","",Underwriting!AP212)</f>
        <v>2641225.119958074</v>
      </c>
      <c r="AL94" s="170" t="n">
        <f>IF(AL$81="","",Underwriting!AQ212)</f>
        <v>3037129.1260873023</v>
      </c>
      <c r="AM94" s="170" t="n">
        <f>IF(AM$81="","",Underwriting!AR212)</f>
        <v>2928280.71192563</v>
      </c>
      <c r="AN94" s="170" t="n">
        <f>IF(AN$81="","",Underwriting!AS212)</f>
        <v>3543075.2003101264</v>
      </c>
      <c r="AO94" s="170" t="n">
        <f>IF(AO$81="","",Underwriting!AT212)</f>
        <v>3941015.522375727</v>
      </c>
      <c r="AP94" s="170" t="n">
        <f>IF(AP$81="","",Underwriting!AU212)</f>
        <v>4033678.1277150894</v>
      </c>
      <c r="AQ94" s="170" t="n">
        <f>IF(AQ$81="","",Underwriting!AV212)</f>
        <v>4101932.8264588993</v>
      </c>
      <c r="AR94" s="170" t="n">
        <f>IF(AR$81="","",Underwriting!AW212)</f>
        <v>3678495.6694553457</v>
      </c>
      <c r="AS94" s="170" t="n">
        <f>IF(AS$81="","",Underwriting!AX212)</f>
        <v>3665813.0495049832</v>
      </c>
      <c r="AT94" s="170" t="n">
        <f>IF(AT$81="","",Underwriting!AY212)</f>
        <v>3653035.3099049935</v>
      </c>
      <c r="AU94" s="170" t="n">
        <f>IF(AU$81="","",Underwriting!AZ212)</f>
        <v>3646481.5132933473</v>
      </c>
      <c r="AV94" s="170" t="n">
        <f>IF(AV$81="","",Underwriting!BA212)</f>
        <v>3633511.388851505</v>
      </c>
      <c r="AW94" s="170" t="n">
        <f>IF(AW$81="","",Underwriting!BB212)</f>
        <v>3620443.988476349</v>
      </c>
      <c r="AX94" s="170" t="n">
        <f>IF(AX$81="","",Underwriting!BC212)</f>
        <v>3771400.590680847</v>
      </c>
      <c r="AY94" s="170" t="n">
        <f>IF(AY$81="","",Underwriting!BD212)</f>
        <v>3758136.4442587923</v>
      </c>
      <c r="AZ94" s="170" t="n">
        <f>IF(AZ$81="","",Underwriting!BE212)</f>
        <v>3744772.816738573</v>
      </c>
      <c r="BA94" s="170" t="n">
        <f>IF(BA$81="","",Underwriting!BF212)</f>
        <v>3760449.378678618</v>
      </c>
      <c r="BB94" s="170" t="n">
        <f>IF(BB$81="","",Underwriting!BG212)</f>
        <v>3746884.545041547</v>
      </c>
      <c r="BC94" s="170" t="n">
        <f>IF(BC$81="","",Underwriting!BH212)</f>
        <v>3733217.9751521973</v>
      </c>
      <c r="BD94" s="170" t="n">
        <f>IF(BD$81="","",Underwriting!BI212)</f>
        <v>3725525.393292845</v>
      </c>
      <c r="BE94" s="170" t="n">
        <f>IF(BE$81="","",Underwriting!BJ212)</f>
        <v>3711653.056110599</v>
      </c>
      <c r="BF94" s="170" t="n">
        <f>IF(BF$81="","",Underwriting!BK212)</f>
        <v>3697676.676399487</v>
      </c>
      <c r="BG94" s="170" t="n">
        <f>IF(BG$81="","",Underwriting!BL212)</f>
        <v>3689904.661340541</v>
      </c>
      <c r="BH94" s="170" t="n">
        <f>IF(BH$81="","",Underwriting!BM212)</f>
        <v>3675717.8497624025</v>
      </c>
      <c r="BI94" s="170" t="n">
        <f>IF(BI$81="","",Underwriting!BN212)</f>
        <v>3661424.6370974286</v>
      </c>
      <c r="BJ94" s="170" t="n">
        <f>IF(BJ$81="","",Underwriting!BO212)</f>
        <v>3795569.481209729</v>
      </c>
      <c r="BK94" s="170" t="n">
        <f>IF(BK$81="","",Underwriting!BP212)</f>
        <v>3781061.066361568</v>
      </c>
      <c r="BL94" s="170" t="n">
        <f>IF(BL$81="","",Underwriting!BQ212)</f>
        <v>3766443.838402046</v>
      </c>
      <c r="BM94" s="170" t="n">
        <f>IF(BM$81="","",Underwriting!BR212)</f>
        <v>3781877.3124828264</v>
      </c>
      <c r="BN94" s="170" t="n">
        <f>IF(BN$81="","",Underwriting!BS212)</f>
        <v>3767040.003884839</v>
      </c>
      <c r="BO94" s="170" t="n">
        <f>IF(BO$81="","",Underwriting!BT212)</f>
        <v>3752091.415472366</v>
      </c>
      <c r="BP94" s="170" t="n">
        <f>IF(BP$81="","",Underwriting!BU212)</f>
        <v>826365826.6616498</v>
      </c>
      <c r="BQ94" s="170" t="str">
        <f>IF(BQ$81="","",Underwriting!BV212)</f>
      </c>
      <c r="BR94" s="170" t="str">
        <f>IF(BR$81="","",Underwriting!BW212)</f>
      </c>
      <c r="BS94" s="170" t="str">
        <f>IF(BS$81="","",Underwriting!BX212)</f>
      </c>
      <c r="BT94" s="170" t="str">
        <f>IF(BT$81="","",Underwriting!BY212)</f>
      </c>
      <c r="BU94" s="170" t="str">
        <f>IF(BU$81="","",Underwriting!BZ212)</f>
      </c>
      <c r="BV94" s="170" t="str">
        <f>IF(BV$81="","",Underwriting!CA212)</f>
      </c>
      <c r="BW94" s="170" t="str">
        <f>IF(BW$81="","",Underwriting!CB212)</f>
      </c>
      <c r="BX94" s="170" t="str">
        <f>IF(BX$81="","",Underwriting!CC212)</f>
      </c>
      <c r="BY94" s="170" t="str">
        <f>IF(BY$81="","",Underwriting!CD212)</f>
      </c>
      <c r="BZ94" s="170" t="str">
        <f>IF(BZ$81="","",Underwriting!CE212)</f>
      </c>
      <c r="CA94" s="170" t="str">
        <f>IF(CA$81="","",Underwriting!CF212)</f>
      </c>
      <c r="CB94" s="170" t="str">
        <f>IF(CB$81="","",Underwriting!CG212)</f>
      </c>
      <c r="CC94" s="170" t="str">
        <f>IF(CC$81="","",Underwriting!CH212)</f>
      </c>
      <c r="CD94" s="170" t="str">
        <f>IF(CD$81="","",Underwriting!CI212)</f>
      </c>
      <c r="CE94" s="170" t="str">
        <f>IF(CE$81="","",Underwriting!CJ212)</f>
      </c>
      <c r="CF94" s="170" t="str">
        <f>IF(CF$81="","",Underwriting!CK212)</f>
      </c>
      <c r="CG94" s="170" t="str">
        <f>IF(CG$81="","",Underwriting!CL212)</f>
      </c>
      <c r="CH94" s="170" t="str">
        <f>IF(CH$81="","",Underwriting!CM212)</f>
      </c>
      <c r="CI94" s="170" t="str">
        <f>IF(CI$81="","",Underwriting!CN212)</f>
      </c>
      <c r="CJ94" s="170" t="str">
        <f>IF(CJ$81="","",Underwriting!CO212)</f>
      </c>
      <c r="CK94" s="170" t="str">
        <f>IF(CK$81="","",Underwriting!CP212)</f>
      </c>
      <c r="CL94" s="170" t="str">
        <f>IF(CL$81="","",Underwriting!CQ212)</f>
      </c>
      <c r="CM94" s="170" t="str">
        <f>IF(CM$81="","",Underwriting!CR212)</f>
      </c>
      <c r="CN94" s="170" t="str">
        <f>IF(CN$81="","",Underwriting!CS212)</f>
      </c>
      <c r="CO94" s="170" t="str">
        <f>IF(CO$81="","",Underwriting!CT212)</f>
      </c>
      <c r="CP94" s="170" t="str">
        <f>IF(CP$81="","",Underwriting!CU212)</f>
      </c>
      <c r="CQ94" s="170" t="str">
        <f>IF(CQ$81="","",Underwriting!CV212)</f>
      </c>
      <c r="CR94" s="170" t="str">
        <f>IF(CR$81="","",Underwriting!CW212)</f>
      </c>
      <c r="CS94" s="170" t="str">
        <f>IF(CS$81="","",Underwriting!CX212)</f>
      </c>
      <c r="CT94" s="170" t="str">
        <f>IF(CT$81="","",Underwriting!CY212)</f>
      </c>
      <c r="CU94" s="170" t="str">
        <f>IF(CU$81="","",Underwriting!CZ212)</f>
      </c>
      <c r="CV94" s="170" t="str">
        <f>IF(CV$81="","",Underwriting!DA212)</f>
      </c>
      <c r="CW94" s="170" t="str">
        <f>IF(CW$81="","",Underwriting!DB212)</f>
      </c>
      <c r="CX94" s="170" t="str">
        <f>IF(CX$81="","",Underwriting!DC212)</f>
      </c>
      <c r="CY94" s="170" t="str">
        <f>IF(CY$81="","",Underwriting!DD212)</f>
      </c>
      <c r="CZ94" s="170" t="str">
        <f>IF(CZ$81="","",Underwriting!DE212)</f>
      </c>
      <c r="DA94" s="170" t="str">
        <f>IF(DA$81="","",Underwriting!DF212)</f>
      </c>
      <c r="DB94" s="170" t="str">
        <f>IF(DB$81="","",Underwriting!DG212)</f>
      </c>
      <c r="DC94" s="170" t="str">
        <f>IF(DC$81="","",Underwriting!DH212)</f>
      </c>
      <c r="DD94" s="170" t="str">
        <f>IF(DD$81="","",Underwriting!DI212)</f>
      </c>
      <c r="DE94" s="170" t="str">
        <f>IF(DE$81="","",Underwriting!DJ212)</f>
      </c>
      <c r="DF94" s="170" t="str">
        <f>IF(DF$81="","",Underwriting!DK212)</f>
      </c>
      <c r="DG94" s="170" t="str">
        <f>IF(DG$81="","",Underwriting!DL212)</f>
      </c>
      <c r="DH94" s="170" t="str">
        <f>IF(DH$81="","",Underwriting!DM212)</f>
      </c>
      <c r="DI94" s="170" t="str">
        <f>IF(DI$81="","",Underwriting!DN212)</f>
      </c>
      <c r="DJ94" s="170" t="str">
        <f>IF(DJ$81="","",Underwriting!DO212)</f>
      </c>
      <c r="DK94" s="170" t="str">
        <f>IF(DK$81="","",Underwriting!DP212)</f>
      </c>
      <c r="DL94" s="170" t="str">
        <f>IF(DL$81="","",Underwriting!DQ212)</f>
      </c>
      <c r="DM94" s="170" t="str">
        <f>IF(DM$81="","",Underwriting!DR212)</f>
      </c>
      <c r="DN94" s="170" t="str">
        <f>IF(DN$81="","",Underwriting!DS212)</f>
      </c>
      <c r="DO94" s="170" t="str">
        <f>IF(DO$81="","",Underwriting!DT212)</f>
      </c>
      <c r="DP94" s="170" t="str">
        <f>IF(DP$81="","",Underwriting!DU212)</f>
      </c>
      <c r="DQ94" s="170" t="str">
        <f>IF(DQ$81="","",Underwriting!DV212)</f>
      </c>
      <c r="DR94" s="170" t="str">
        <f>IF(DR$81="","",Underwriting!DW212)</f>
      </c>
      <c r="DS94" s="170" t="str">
        <f>IF(DS$81="","",Underwriting!DX212)</f>
      </c>
      <c r="DT94" s="170" t="str">
        <f>IF(DT$81="","",Underwriting!DY212)</f>
      </c>
      <c r="DU94" s="170" t="str">
        <f>IF(DU$81="","",Underwriting!DZ212)</f>
      </c>
      <c r="DV94" s="170" t="str">
        <f>IF(DV$81="","",Underwriting!EA212)</f>
      </c>
      <c r="DW94" s="170" t="str">
        <f>IF(DW$81="","",Underwriting!EB212)</f>
      </c>
      <c r="DX94" s="170" t="str">
        <f>IF(DX$81="","",Underwriting!EC212)</f>
      </c>
      <c r="DY94" s="170" t="str">
        <f>IF(DY$81="","",Underwriting!ED212)</f>
      </c>
      <c r="DZ94" s="170" t="str">
        <f>IF(DZ$81="","",Underwriting!EE212)</f>
      </c>
      <c r="EA94" s="170" t="str">
        <f>IF(EA$81="","",Underwriting!EF212)</f>
      </c>
      <c r="EB94" s="170" t="str">
        <f>IF(EB$81="","",Underwriting!EG212)</f>
      </c>
      <c r="EC94" s="170" t="str">
        <f>IF(EC$81="","",Underwriting!EH212)</f>
      </c>
      <c r="ED94" s="170" t="str">
        <f>IF(ED$81="","",Underwriting!EI212)</f>
      </c>
      <c r="EE94" s="170" t="str">
        <f>IF(EE$81="","",Underwriting!EJ212)</f>
      </c>
      <c r="EF94" s="170" t="str">
        <f>IF(EF$81="","",Underwriting!EK212)</f>
      </c>
      <c r="EG94" s="170" t="str">
        <f>IF(EG$81="","",Underwriting!EL212)</f>
      </c>
      <c r="EH94" s="170" t="str">
        <f>IF(EH$81="","",Underwriting!EM212)</f>
      </c>
      <c r="EI94" s="170" t="str">
        <f>IF(EI$81="","",Underwriting!EN212)</f>
      </c>
    </row>
  </sheetData>
  <conditionalFormatting sqref="B5:B6">
    <cfRule type="expression" dxfId="2" priority="2">
      <formula>B5="Incomplete"</formula>
    </cfRule>
  </conditionalFormatting>
  <conditionalFormatting sqref="G5:R45">
    <cfRule type="expression" dxfId="1" priority="1">
      <formula>G$4="EXIT"</formula>
    </cfRule>
  </conditionalFormatting>
  <pageMargins left="0.7" right="0.7" top="0.75" bottom="0.75" header="0.3" footer="0.3"/>
</worksheet>
</file>

<file path=xl/worksheets/sheet4.xml><?xml version="1.0" encoding="utf-8"?>
<worksheet xmlns="http://schemas.openxmlformats.org/spreadsheetml/2006/main">
  <sheetPr>
    <tabColor rgb="FFE6E0C4"/>
  </sheetPr>
  <sheetViews>
    <sheetView showGridLines="0" workbookViewId="0"/>
  </sheetViews>
  <sheetFormatPr defaultColWidth="9" defaultRowHeight="14.5"/>
  <cols>
    <col min="1" max="1" width="0.9140625" customWidth="1"/>
    <col min="2" max="2" width="25.83203125" customWidth="1"/>
    <col min="3" max="3" width="31.6640625" customWidth="1"/>
    <col min="4" max="4" width="20" customWidth="1"/>
    <col min="5" max="5" width="19.58203125" customWidth="1"/>
    <col min="6" max="6" width="22.83203125" customWidth="1"/>
    <col min="7" max="7" width="19.08203125" customWidth="1"/>
    <col min="8" max="8" width="18.25" customWidth="1"/>
    <col min="9" max="9" width="23.58203125" customWidth="1"/>
    <col min="10" max="10" width="26.25" customWidth="1"/>
    <col min="11" max="11" width="13.75" customWidth="1"/>
    <col min="12" max="12" width="16.1640625" customWidth="1"/>
    <col min="13" max="13" width="20" customWidth="1"/>
    <col min="14" max="14" width="41.25" customWidth="1"/>
    <col min="15" max="15" width="20" customWidth="1"/>
    <col min="16" max="16" width="30" customWidth="1"/>
    <col min="17" max="17" width="33.33203125" customWidth="1"/>
    <col min="18" max="20" width="2.83203125" customWidth="1"/>
    <col min="21" max="122" width="6" customWidth="1"/>
  </cols>
  <sheetData>
    <row r="1" ht="5.150000095367432" customHeight="1">
      <c r="G1" s="209"/>
      <c r="H1" s="209"/>
      <c r="I1" s="209"/>
      <c r="J1" s="209"/>
      <c r="K1" s="209"/>
      <c r="L1" s="209"/>
      <c r="M1" s="209"/>
      <c r="N1" s="209"/>
      <c r="O1" s="209"/>
      <c r="P1" s="209"/>
      <c r="Q1" s="209"/>
      <c r="R1" s="209"/>
    </row>
    <row r="2" ht="15.5">
      <c r="B2" s="116" t="str">
        <f>Underwriting!B2</f>
        <v>THE BEND PRECINCT</v>
      </c>
      <c r="C2" s="117"/>
      <c r="D2" s="117"/>
      <c r="E2" s="117"/>
      <c r="F2" s="117"/>
      <c r="G2" s="226"/>
      <c r="H2" s="226"/>
      <c r="I2" s="226"/>
      <c r="J2" s="226"/>
      <c r="K2" s="226"/>
      <c r="L2" s="226"/>
      <c r="M2" s="226"/>
      <c r="N2" s="118" t="str">
        <f>UPPER(Underwriting!I2)</f>
        <v>MAYABAY ACTIVE (MELBOURNE) PTY LTD</v>
      </c>
    </row>
    <row r="3" s="4" customFormat="1">
      <c r="B3" s="283" t="s">
        <v>503</v>
      </c>
      <c r="C3" s="6"/>
      <c r="D3" s="6"/>
      <c r="E3" s="6"/>
      <c r="F3" s="6"/>
      <c r="G3" s="227"/>
      <c r="H3" s="227"/>
      <c r="I3" s="227"/>
      <c r="J3" s="228"/>
      <c r="K3" s="228"/>
      <c r="L3" s="228"/>
      <c r="M3" s="228"/>
      <c r="N3" s="120" t="str">
        <f>Summary!S3</f>
        <v>ANALYSIS START - JUL 2026</v>
      </c>
    </row>
    <row r="4" s="4" customFormat="1" ht="13.5">
      <c r="B4" s="121" t="s">
        <v>504</v>
      </c>
      <c r="C4" s="122"/>
      <c r="D4" s="122"/>
      <c r="E4" s="122"/>
      <c r="F4" s="122"/>
      <c r="G4" s="123"/>
      <c r="H4" s="123"/>
      <c r="I4" s="123"/>
      <c r="J4" s="124"/>
      <c r="K4" s="124"/>
      <c r="L4" s="124"/>
      <c r="M4" s="124"/>
      <c r="N4" s="125"/>
    </row>
    <row r="5">
      <c r="B5" s="286"/>
      <c r="C5" s="286"/>
      <c r="D5" s="286"/>
      <c r="E5" s="287" t="n">
        <f>B87</f>
        <v>1</v>
      </c>
      <c r="F5" s="287" t="n">
        <f t="shared" ref="F5:N5" si="0">C87</f>
        <v>2</v>
      </c>
      <c r="G5" s="287">
        <f t="shared" si="0"/>
        <v>3</v>
      </c>
      <c r="H5" s="287">
        <f t="shared" si="0"/>
        <v>4</v>
      </c>
      <c r="I5" s="287">
        <f t="shared" si="0"/>
        <v>5</v>
      </c>
      <c r="J5" s="287">
        <f t="shared" si="0"/>
        <v>6</v>
      </c>
      <c r="K5" s="287" t="str">
        <f t="shared" si="0"/>
      </c>
      <c r="L5" s="287" t="str">
        <f t="shared" si="0"/>
      </c>
      <c r="M5" s="287" t="str">
        <f t="shared" si="0"/>
      </c>
      <c r="N5" s="287" t="str">
        <f t="shared" si="0"/>
      </c>
    </row>
    <row r="6">
      <c r="B6" s="286" t="s">
        <v>505</v>
      </c>
      <c r="C6" s="286"/>
      <c r="D6" s="286"/>
      <c r="E6" s="288" t="n">
        <f>B90</f>
        <v>0</v>
      </c>
      <c r="F6" s="288" t="n">
        <f t="shared" ref="F6:N6" si="1">C90</f>
        <v>48000</v>
      </c>
      <c r="G6" s="288">
        <f t="shared" si="1"/>
        <v>30200.380000000005</v>
      </c>
      <c r="H6" s="288">
        <f t="shared" si="1"/>
        <v>112</v>
      </c>
      <c r="I6" s="288">
        <f t="shared" si="1"/>
        <v>0</v>
      </c>
      <c r="J6" s="288">
        <f t="shared" si="1"/>
        <v>0</v>
      </c>
      <c r="K6" s="288" t="str">
        <f t="shared" si="1"/>
      </c>
      <c r="L6" s="288" t="str">
        <f t="shared" si="1"/>
      </c>
      <c r="M6" s="288" t="str">
        <f t="shared" si="1"/>
      </c>
      <c r="N6" s="288" t="str">
        <f t="shared" si="1"/>
      </c>
    </row>
    <row r="7">
      <c r="B7" s="286" t="s">
        <v>506</v>
      </c>
      <c r="C7" s="286"/>
      <c r="D7" s="286"/>
      <c r="E7" s="289" t="n">
        <f t="shared" ref="E7:N7" si="2">IF(E5="","",E6/Units_SF_M2)</f>
        <v>0</v>
      </c>
      <c r="F7" s="289">
        <f t="shared" si="2"/>
        <v>0.61292990967711614</v>
      </c>
      <c r="G7" s="289">
        <f t="shared" si="2"/>
        <v>0.38563992053363727</v>
      </c>
      <c r="H7" s="289">
        <f t="shared" si="2"/>
        <v>1.4301697892466043E-3</v>
      </c>
      <c r="I7" s="289">
        <f t="shared" si="2"/>
        <v>0</v>
      </c>
      <c r="J7" s="289">
        <f t="shared" si="2"/>
        <v>0</v>
      </c>
      <c r="K7" s="289" t="str">
        <f t="shared" si="2"/>
      </c>
      <c r="L7" s="289" t="str">
        <f t="shared" si="2"/>
      </c>
      <c r="M7" s="289" t="str">
        <f t="shared" si="2"/>
      </c>
      <c r="N7" s="289" t="str">
        <f t="shared" si="2"/>
      </c>
    </row>
    <row r="8">
      <c r="B8" s="286" t="s">
        <v>507</v>
      </c>
      <c r="C8" s="286"/>
      <c r="D8" s="286"/>
      <c r="E8" s="289" t="n">
        <f>B88</f>
        <v>0</v>
      </c>
      <c r="F8" s="289" t="n">
        <f t="shared" ref="F8:N8" si="3">C88</f>
        <v>0.6129299096771161</v>
      </c>
      <c r="G8" s="289">
        <f t="shared" si="3"/>
        <v>0.99856983021075341</v>
      </c>
      <c r="H8" s="289">
        <f t="shared" si="3"/>
        <v>1</v>
      </c>
      <c r="I8" s="289">
        <f t="shared" si="3"/>
        <v>1</v>
      </c>
      <c r="J8" s="289">
        <f t="shared" si="3"/>
        <v>1</v>
      </c>
      <c r="K8" s="289" t="str">
        <f t="shared" si="3"/>
      </c>
      <c r="L8" s="289" t="str">
        <f t="shared" si="3"/>
      </c>
      <c r="M8" s="289" t="str">
        <f t="shared" si="3"/>
      </c>
      <c r="N8" s="289" t="str">
        <f t="shared" si="3"/>
      </c>
    </row>
    <row r="9">
      <c r="B9" s="286"/>
      <c r="C9" s="286"/>
      <c r="D9" s="286"/>
      <c r="E9" s="286"/>
      <c r="F9" s="286"/>
      <c r="G9" s="286"/>
      <c r="H9" s="286"/>
      <c r="I9" s="286"/>
      <c r="J9" s="286"/>
      <c r="K9" s="286"/>
      <c r="L9" s="286"/>
      <c r="M9" s="286"/>
      <c r="N9" s="286"/>
    </row>
    <row r="10">
      <c r="B10" s="286"/>
      <c r="C10" s="286"/>
      <c r="D10" s="286"/>
      <c r="E10" s="286"/>
      <c r="F10" s="286"/>
      <c r="G10" s="286"/>
      <c r="H10" s="286"/>
      <c r="I10" s="286"/>
      <c r="J10" s="286"/>
      <c r="K10" s="286"/>
      <c r="L10" s="286"/>
      <c r="M10" s="286"/>
      <c r="N10" s="286"/>
    </row>
    <row r="11">
      <c r="B11" s="286"/>
      <c r="C11" s="286"/>
      <c r="D11" s="286"/>
      <c r="E11" s="286"/>
      <c r="F11" s="286"/>
      <c r="G11" s="286"/>
      <c r="H11" s="286"/>
      <c r="I11" s="286"/>
      <c r="J11" s="286"/>
      <c r="K11" s="286"/>
      <c r="L11" s="286"/>
      <c r="M11" s="286"/>
      <c r="N11" s="286"/>
    </row>
    <row r="12">
      <c r="B12" s="286"/>
      <c r="C12" s="286"/>
      <c r="D12" s="286"/>
      <c r="E12" s="286"/>
      <c r="F12" s="286"/>
      <c r="G12" s="286"/>
      <c r="H12" s="286"/>
      <c r="I12" s="286"/>
      <c r="J12" s="286"/>
      <c r="K12" s="286"/>
      <c r="L12" s="286"/>
      <c r="M12" s="286"/>
      <c r="N12" s="286"/>
    </row>
    <row r="13">
      <c r="B13" s="286"/>
      <c r="C13" s="286"/>
      <c r="D13" s="286"/>
      <c r="E13" s="286"/>
      <c r="F13" s="286"/>
      <c r="G13" s="286"/>
      <c r="H13" s="286"/>
      <c r="I13" s="286"/>
      <c r="J13" s="286"/>
      <c r="K13" s="286"/>
      <c r="L13" s="286"/>
      <c r="M13" s="286"/>
      <c r="N13" s="286"/>
    </row>
    <row r="14">
      <c r="B14" s="286"/>
      <c r="C14" s="286"/>
      <c r="D14" s="286"/>
      <c r="E14" s="286"/>
      <c r="F14" s="286"/>
      <c r="G14" s="286"/>
      <c r="H14" s="286"/>
      <c r="I14" s="286"/>
      <c r="J14" s="286"/>
      <c r="K14" s="286"/>
      <c r="L14" s="286"/>
      <c r="M14" s="286"/>
      <c r="N14" s="286"/>
    </row>
    <row r="15">
      <c r="B15" s="286"/>
      <c r="C15" s="286"/>
      <c r="D15" s="286"/>
      <c r="E15" s="286"/>
      <c r="F15" s="286"/>
      <c r="G15" s="286"/>
      <c r="H15" s="286"/>
      <c r="I15" s="286"/>
      <c r="J15" s="286"/>
      <c r="K15" s="286"/>
      <c r="L15" s="286"/>
      <c r="M15" s="286"/>
      <c r="N15" s="286"/>
    </row>
    <row r="16">
      <c r="B16" s="286"/>
      <c r="C16" s="286"/>
      <c r="D16" s="286"/>
      <c r="E16" s="286"/>
      <c r="F16" s="286"/>
      <c r="G16" s="286"/>
      <c r="H16" s="286"/>
      <c r="I16" s="286"/>
      <c r="J16" s="286"/>
      <c r="K16" s="286"/>
      <c r="L16" s="286"/>
      <c r="M16" s="286"/>
      <c r="N16" s="286"/>
    </row>
    <row r="17">
      <c r="B17" s="286"/>
      <c r="C17" s="286"/>
      <c r="D17" s="286"/>
      <c r="E17" s="286"/>
      <c r="F17" s="286"/>
      <c r="G17" s="286"/>
      <c r="H17" s="286"/>
      <c r="I17" s="286"/>
      <c r="J17" s="286"/>
      <c r="K17" s="286"/>
      <c r="L17" s="286"/>
      <c r="M17" s="286"/>
      <c r="N17" s="286"/>
    </row>
    <row r="18">
      <c r="B18" s="286"/>
      <c r="C18" s="286"/>
      <c r="D18" s="286"/>
      <c r="E18" s="286"/>
      <c r="F18" s="286"/>
      <c r="G18" s="286"/>
      <c r="H18" s="286"/>
      <c r="I18" s="286"/>
      <c r="J18" s="286"/>
      <c r="K18" s="286"/>
      <c r="L18" s="286"/>
      <c r="M18" s="286"/>
      <c r="N18" s="286"/>
    </row>
    <row r="19">
      <c r="B19" s="286"/>
      <c r="C19" s="286"/>
      <c r="D19" s="286"/>
      <c r="E19" s="286"/>
      <c r="F19" s="286"/>
      <c r="G19" s="286"/>
      <c r="H19" s="286"/>
      <c r="I19" s="286"/>
      <c r="J19" s="286"/>
      <c r="K19" s="286"/>
      <c r="L19" s="286"/>
      <c r="M19" s="286"/>
      <c r="N19" s="286"/>
    </row>
    <row r="20">
      <c r="B20" s="286"/>
      <c r="C20" s="286"/>
      <c r="D20" s="286"/>
      <c r="E20" s="286"/>
      <c r="F20" s="286"/>
      <c r="G20" s="286"/>
      <c r="H20" s="286"/>
      <c r="I20" s="286"/>
      <c r="J20" s="286"/>
      <c r="K20" s="286"/>
      <c r="L20" s="286"/>
      <c r="M20" s="286"/>
      <c r="N20" s="286"/>
    </row>
    <row r="21">
      <c r="B21" s="286"/>
      <c r="C21" s="286"/>
      <c r="D21" s="286"/>
      <c r="E21" s="286"/>
      <c r="F21" s="286"/>
      <c r="G21" s="286"/>
      <c r="H21" s="286"/>
      <c r="I21" s="286"/>
      <c r="J21" s="286"/>
      <c r="K21" s="286"/>
      <c r="L21" s="286"/>
      <c r="M21" s="286"/>
      <c r="N21" s="286"/>
    </row>
    <row r="22">
      <c r="B22" s="286"/>
      <c r="C22" s="286"/>
      <c r="D22" s="286"/>
      <c r="E22" s="286"/>
      <c r="F22" s="286"/>
      <c r="G22" s="286"/>
      <c r="H22" s="286"/>
      <c r="I22" s="286"/>
      <c r="J22" s="286"/>
      <c r="K22" s="286"/>
      <c r="L22" s="286"/>
      <c r="M22" s="286"/>
      <c r="N22" s="286"/>
    </row>
    <row r="23">
      <c r="B23" s="286"/>
      <c r="C23" s="286"/>
      <c r="D23" s="286"/>
      <c r="E23" s="286"/>
      <c r="F23" s="286"/>
      <c r="G23" s="286"/>
      <c r="H23" s="286"/>
      <c r="I23" s="286"/>
      <c r="J23" s="286"/>
      <c r="K23" s="286"/>
      <c r="L23" s="286"/>
      <c r="M23" s="286"/>
      <c r="N23" s="286"/>
    </row>
    <row r="24">
      <c r="B24" s="286"/>
      <c r="C24" s="286"/>
      <c r="D24" s="286"/>
      <c r="E24" s="286"/>
      <c r="F24" s="286"/>
      <c r="G24" s="286"/>
      <c r="H24" s="286"/>
      <c r="I24" s="286"/>
      <c r="J24" s="286"/>
      <c r="K24" s="286"/>
      <c r="L24" s="286"/>
      <c r="M24" s="286"/>
      <c r="N24" s="286"/>
    </row>
    <row r="25">
      <c r="B25" s="286"/>
      <c r="C25" s="286"/>
      <c r="D25" s="286"/>
      <c r="E25" s="286"/>
      <c r="F25" s="286"/>
      <c r="G25" s="286"/>
      <c r="H25" s="286"/>
      <c r="I25" s="286"/>
      <c r="J25" s="286"/>
      <c r="K25" s="286"/>
      <c r="L25" s="286"/>
      <c r="M25" s="286"/>
      <c r="N25" s="286"/>
    </row>
    <row r="26">
      <c r="B26" s="286"/>
      <c r="C26" s="286"/>
      <c r="D26" s="286"/>
      <c r="E26" s="286"/>
      <c r="F26" s="286"/>
      <c r="G26" s="286"/>
      <c r="H26" s="286"/>
      <c r="I26" s="286"/>
      <c r="J26" s="286"/>
      <c r="K26" s="286"/>
      <c r="L26" s="286"/>
      <c r="M26" s="286"/>
      <c r="N26" s="286"/>
    </row>
    <row r="27">
      <c r="B27" s="692" t="s">
        <v>508</v>
      </c>
      <c r="C27" s="692"/>
      <c r="D27" s="692"/>
      <c r="E27" s="692"/>
      <c r="F27" s="692"/>
      <c r="G27" s="692"/>
      <c r="H27" s="692"/>
      <c r="I27" s="692"/>
      <c r="J27" s="692"/>
      <c r="K27" s="692"/>
      <c r="L27" s="692"/>
      <c r="M27" s="692"/>
      <c r="N27" s="692"/>
      <c r="O27" s="692"/>
      <c r="P27" s="692"/>
      <c r="Q27" s="692"/>
    </row>
    <row r="28">
      <c r="B28" s="311" t="s">
        <v>509</v>
      </c>
      <c r="D28" s="312" t="s">
        <v>510</v>
      </c>
      <c r="F28" s="311" t="s">
        <v>511</v>
      </c>
      <c r="H28" s="312" t="s">
        <v>510</v>
      </c>
      <c r="J28" s="311" t="s">
        <v>512</v>
      </c>
      <c r="L28" s="312" t="s">
        <v>510</v>
      </c>
      <c r="N28" s="311" t="s">
        <v>513</v>
      </c>
      <c r="O28" s="693" t="str">
        <f>IF(ABS(K28)&lt;0.01,"OK","RECONCILIATION REQUIRED")</f>
        <v>OK</v>
      </c>
      <c r="P28" s="693"/>
      <c r="Q28" s="693"/>
    </row>
    <row r="29">
      <c r="B29" s="311" t="s">
        <v>514</v>
      </c>
      <c r="D29" s="312" t="s">
        <v>515</v>
      </c>
      <c r="F29" s="311" t="s">
        <v>516</v>
      </c>
      <c r="H29" s="312" t="s">
        <v>517</v>
      </c>
      <c r="J29" s="311" t="s">
        <v>518</v>
      </c>
      <c r="L29" s="312" t="s">
        <v>78</v>
      </c>
      <c r="N29" s="311" t="s">
        <v>519</v>
      </c>
      <c r="P29" s="312" t="s">
        <v>78</v>
      </c>
    </row>
    <row r="30">
      <c r="B30" s="311" t="s">
        <v>520</v>
      </c>
      <c r="D30" s="312" t="s">
        <v>521</v>
      </c>
      <c r="F30" s="311" t="s">
        <v>522</v>
      </c>
      <c r="H30" s="312" t="s">
        <v>521</v>
      </c>
      <c r="J30" s="311" t="s">
        <v>523</v>
      </c>
      <c r="L30" s="312" t="s">
        <v>524</v>
      </c>
      <c r="N30" s="311" t="s">
        <v>525</v>
      </c>
      <c r="P30" s="312" t="s">
        <v>524</v>
      </c>
    </row>
    <row r="32">
      <c r="B32" s="692" t="s">
        <v>526</v>
      </c>
      <c r="C32" s="692"/>
      <c r="D32" s="692"/>
      <c r="E32" s="692"/>
      <c r="F32" s="692"/>
      <c r="G32" s="692"/>
      <c r="H32" s="692"/>
      <c r="I32" s="692"/>
      <c r="J32" s="692"/>
      <c r="K32" s="692"/>
      <c r="L32" s="692"/>
      <c r="M32" s="692"/>
      <c r="N32" s="692"/>
      <c r="O32" s="692"/>
      <c r="P32" s="692"/>
      <c r="Q32" s="692"/>
    </row>
    <row r="33" ht="27">
      <c r="B33" s="310" t="s">
        <v>527</v>
      </c>
      <c r="C33" s="310" t="s">
        <v>528</v>
      </c>
      <c r="D33" s="310" t="s">
        <v>529</v>
      </c>
      <c r="E33" s="310" t="s">
        <v>530</v>
      </c>
      <c r="F33" s="310" t="s">
        <v>531</v>
      </c>
      <c r="G33" s="310" t="s">
        <v>532</v>
      </c>
      <c r="H33" s="310" t="s">
        <v>533</v>
      </c>
      <c r="I33" s="310" t="s">
        <v>534</v>
      </c>
      <c r="J33" s="310" t="s">
        <v>535</v>
      </c>
      <c r="K33" s="310" t="s">
        <v>536</v>
      </c>
      <c r="L33" s="310" t="s">
        <v>537</v>
      </c>
      <c r="M33" s="310" t="s">
        <v>538</v>
      </c>
      <c r="N33" s="310" t="s">
        <v>539</v>
      </c>
      <c r="O33" s="310" t="s">
        <v>540</v>
      </c>
      <c r="P33" s="310" t="s">
        <v>541</v>
      </c>
      <c r="Q33" s="310" t="s">
        <v>542</v>
      </c>
    </row>
    <row r="34" ht="24">
      <c r="B34" s="311" t="str">
        <f>Underwriting!$B$93</f>
        <v>URWLD</v>
      </c>
      <c r="C34" s="312" t="str">
        <f>Underwriting!$C$93</f>
        <v>URWLD</v>
      </c>
      <c r="D34" s="311" t="s">
        <v>543</v>
      </c>
      <c r="E34" s="315" t="n">
        <f>Underwriting!$E$93</f>
        <v>21500</v>
      </c>
      <c r="F34" s="316" t="n">
        <f t="shared" ref="F34:F45" si="4">IFERROR(E34/$C$28,0)</f>
        <v>0</v>
      </c>
      <c r="G34" s="315" t="n">
        <f>Underwriting!$D$93</f>
        <v>19</v>
      </c>
      <c r="H34" s="315" t="n">
        <f>Underwriting!$F$93</f>
        <v>22</v>
      </c>
      <c r="I34" s="315" t="n">
        <f>Underwriting!$H$93</f>
        <v>400</v>
      </c>
      <c r="J34" s="315" t="n">
        <f>Underwriting!$I$93/1000000</f>
        <v>8.6</v>
      </c>
      <c r="K34" s="317" t="n">
        <f>Underwriting!$G$93</f>
        <v>0.035</v>
      </c>
      <c r="L34" s="311" t="str">
        <f>Underwriting!$K$93</f>
        <v>Annual</v>
      </c>
      <c r="M34" s="314">
        <v>21500</v>
      </c>
      <c r="N34" s="313" t="n">
        <f t="shared" ref="N34:N45" si="5">M34-E34</f>
        <v>0</v>
      </c>
      <c r="O34" s="314">
        <v>7.6196171969476696</v>
      </c>
      <c r="P34" s="327" t="s">
        <v>544</v>
      </c>
      <c r="Q34" s="312" t="s">
        <v>545</v>
      </c>
    </row>
    <row r="35" ht="36">
      <c r="B35" s="311" t="str">
        <f>Underwriting!$B$94</f>
        <v>Student Accommodation</v>
      </c>
      <c r="C35" s="312" t="str">
        <f>Underwriting!$C$94</f>
        <v>Macquarie/IGLU; Brookfield/Journal</v>
      </c>
      <c r="D35" s="311" t="s">
        <v>546</v>
      </c>
      <c r="E35" s="315" t="n">
        <f>Underwriting!$E$94</f>
        <v>20000</v>
      </c>
      <c r="F35" s="316">
        <f t="shared" si="4"/>
        <v>0</v>
      </c>
      <c r="G35" s="315" t="n">
        <f>Underwriting!$D$94</f>
        <v>22</v>
      </c>
      <c r="H35" s="315" t="n">
        <f>Underwriting!$F$94</f>
        <v>25</v>
      </c>
      <c r="I35" s="315" t="str">
        <f>Underwriting!$H$94</f>
      </c>
      <c r="J35" s="315" t="n">
        <f>Underwriting!$I$94/1000000</f>
        <v>0</v>
      </c>
      <c r="K35" s="317" t="n">
        <f>Underwriting!$G$94</f>
        <v>0.035</v>
      </c>
      <c r="L35" s="311" t="str">
        <f>Underwriting!$K$94</f>
        <v>Annual</v>
      </c>
      <c r="M35" s="314">
        <v>20000</v>
      </c>
      <c r="N35" s="313">
        <f t="shared" si="5"/>
        <v>0</v>
      </c>
      <c r="O35" s="314">
        <v>7.2625349999999997</v>
      </c>
      <c r="P35" s="327" t="s">
        <v>544</v>
      </c>
      <c r="Q35" s="312" t="s">
        <v>547</v>
      </c>
    </row>
    <row r="36" ht="24">
      <c r="B36" s="311" t="str">
        <f>Underwriting!$B$95</f>
        <v>LiveHouse</v>
      </c>
      <c r="C36" s="312" t="str">
        <f>Underwriting!$C$95</f>
        <v>LiveHouse</v>
      </c>
      <c r="D36" s="311" t="s">
        <v>543</v>
      </c>
      <c r="E36" s="315" t="n">
        <f>Underwriting!$E$95</f>
        <v>6500</v>
      </c>
      <c r="F36" s="316">
        <f t="shared" si="4"/>
        <v>0</v>
      </c>
      <c r="G36" s="315" t="n">
        <f>Underwriting!$D$95</f>
        <v>22</v>
      </c>
      <c r="H36" s="315" t="n">
        <f>Underwriting!$F$95</f>
        <v>25</v>
      </c>
      <c r="I36" s="315" t="n">
        <f>Underwriting!$H$95</f>
        <v>400</v>
      </c>
      <c r="J36" s="315" t="n">
        <f>Underwriting!$I$95/1000000</f>
        <v>2.6</v>
      </c>
      <c r="K36" s="317" t="n">
        <f>Underwriting!$G$95</f>
        <v>0.035</v>
      </c>
      <c r="L36" s="311" t="str">
        <f>Underwriting!$K$95</f>
        <v>Annual</v>
      </c>
      <c r="M36" s="314">
        <v>6500</v>
      </c>
      <c r="N36" s="313">
        <f t="shared" si="5"/>
        <v>0</v>
      </c>
      <c r="O36" s="314">
        <v>2.9884063473837199</v>
      </c>
      <c r="P36" s="327" t="s">
        <v>544</v>
      </c>
      <c r="Q36" s="312" t="s">
        <v>548</v>
      </c>
    </row>
    <row r="37" ht="24">
      <c r="B37" s="311" t="str">
        <f>Underwriting!$B$96</f>
        <v>Flexible Retail/F&amp;B</v>
      </c>
      <c r="C37" s="312" t="str">
        <f>Underwriting!$C$96</f>
        <v>Food Truck Park</v>
      </c>
      <c r="D37" s="311" t="s">
        <v>543</v>
      </c>
      <c r="E37" s="315" t="n">
        <f>Underwriting!$E$96</f>
        <v>150</v>
      </c>
      <c r="F37" s="316">
        <f t="shared" si="4"/>
        <v>0</v>
      </c>
      <c r="G37" s="315" t="n">
        <f>Underwriting!$D$96</f>
        <v>25</v>
      </c>
      <c r="H37" s="315" t="n">
        <f>Underwriting!$F$96</f>
        <v>28</v>
      </c>
      <c r="I37" s="315" t="n">
        <f>Underwriting!$H$96</f>
        <v>600</v>
      </c>
      <c r="J37" s="315" t="n">
        <f>Underwriting!$I$96/1000000</f>
        <v>0.09</v>
      </c>
      <c r="K37" s="317" t="n">
        <f>Underwriting!$G$96</f>
        <v>0.035</v>
      </c>
      <c r="L37" s="311" t="str">
        <f>Underwriting!$K$96</f>
        <v>Annual</v>
      </c>
      <c r="M37" s="314">
        <v>150</v>
      </c>
      <c r="N37" s="313">
        <f t="shared" si="5"/>
        <v>0</v>
      </c>
      <c r="O37" s="314">
        <v>0.14156985741279099</v>
      </c>
      <c r="P37" s="327" t="s">
        <v>544</v>
      </c>
      <c r="Q37" s="312" t="s">
        <v>549</v>
      </c>
    </row>
    <row r="38" ht="24">
      <c r="B38" s="311" t="str">
        <f>Underwriting!$B$97</f>
        <v>Genesis Health &amp; Fitness</v>
      </c>
      <c r="C38" s="312" t="str">
        <f>Underwriting!$C$97</f>
        <v>Genesis Health &amp; Fitness</v>
      </c>
      <c r="D38" s="311" t="s">
        <v>543</v>
      </c>
      <c r="E38" s="315" t="n">
        <f>Underwriting!$E$97</f>
        <v>4000</v>
      </c>
      <c r="F38" s="316">
        <f t="shared" si="4"/>
        <v>0</v>
      </c>
      <c r="G38" s="315" t="n">
        <f>Underwriting!$D$97</f>
        <v>25</v>
      </c>
      <c r="H38" s="315" t="n">
        <f>Underwriting!$F$97</f>
        <v>28</v>
      </c>
      <c r="I38" s="315" t="n">
        <f>Underwriting!$H$97</f>
        <v>500</v>
      </c>
      <c r="J38" s="315" t="n">
        <f>Underwriting!$I$97/1000000</f>
        <v>2</v>
      </c>
      <c r="K38" s="317" t="n">
        <f>Underwriting!$G$97</f>
        <v>0.035</v>
      </c>
      <c r="L38" s="311" t="str">
        <f>Underwriting!$K$97</f>
        <v>Annual</v>
      </c>
      <c r="M38" s="314">
        <v>4000</v>
      </c>
      <c r="N38" s="313">
        <f t="shared" si="5"/>
        <v>0</v>
      </c>
      <c r="O38" s="314">
        <v>1.53517752994186</v>
      </c>
      <c r="P38" s="327" t="s">
        <v>544</v>
      </c>
      <c r="Q38" s="312" t="s">
        <v>550</v>
      </c>
    </row>
    <row r="39" ht="24">
      <c r="B39" s="311" t="str">
        <f>Underwriting!$B$98</f>
        <v>Car Park</v>
      </c>
      <c r="C39" s="312" t="str">
        <f>Underwriting!$C$98</f>
        <v>Secure (Preferred)</v>
      </c>
      <c r="D39" s="311" t="s">
        <v>546</v>
      </c>
      <c r="E39" s="315" t="n">
        <f>Underwriting!$E$98</f>
        <v>19500.38</v>
      </c>
      <c r="F39" s="316">
        <f t="shared" si="4"/>
        <v>0</v>
      </c>
      <c r="G39" s="315" t="n">
        <f>Underwriting!$D$98</f>
        <v>28</v>
      </c>
      <c r="H39" s="315" t="n">
        <f>Underwriting!$F$98</f>
        <v>31</v>
      </c>
      <c r="I39" s="315" t="str">
        <f>Underwriting!$H$98</f>
      </c>
      <c r="J39" s="315" t="n">
        <f>Underwriting!$I$98/1000000</f>
        <v>0</v>
      </c>
      <c r="K39" s="317" t="n">
        <f>Underwriting!$G$98</f>
        <v>0.035</v>
      </c>
      <c r="L39" s="311" t="str">
        <f>Underwriting!$K$98</f>
        <v>Annual</v>
      </c>
      <c r="M39" s="314">
        <v>19500.38</v>
      </c>
      <c r="N39" s="313">
        <f t="shared" si="5"/>
        <v>0</v>
      </c>
      <c r="O39" s="314">
        <v>5.9670367701540696</v>
      </c>
      <c r="P39" s="327" t="s">
        <v>544</v>
      </c>
      <c r="Q39" s="312" t="s">
        <v>551</v>
      </c>
    </row>
    <row r="40" ht="24">
      <c r="B40" s="311" t="str">
        <f>Underwriting!$B$99</f>
        <v>Snowtunnel</v>
      </c>
      <c r="C40" s="312" t="str">
        <f>Underwriting!$C$99</f>
        <v>Snowtunnel</v>
      </c>
      <c r="D40" s="311" t="s">
        <v>543</v>
      </c>
      <c r="E40" s="315" t="n">
        <f>Underwriting!$E$99</f>
        <v>3800</v>
      </c>
      <c r="F40" s="316">
        <f t="shared" si="4"/>
        <v>0</v>
      </c>
      <c r="G40" s="315" t="n">
        <f>Underwriting!$D$99</f>
        <v>28</v>
      </c>
      <c r="H40" s="315" t="n">
        <f>Underwriting!$F$99</f>
        <v>31</v>
      </c>
      <c r="I40" s="315" t="n">
        <f>Underwriting!$H$99</f>
        <v>500</v>
      </c>
      <c r="J40" s="315" t="n">
        <f>Underwriting!$I$99/1000000</f>
        <v>1.9</v>
      </c>
      <c r="K40" s="317" t="n">
        <f>Underwriting!$G$99</f>
        <v>0.035</v>
      </c>
      <c r="L40" s="311" t="str">
        <f>Underwriting!$K$99</f>
        <v>Annual</v>
      </c>
      <c r="M40" s="314">
        <v>3800</v>
      </c>
      <c r="N40" s="313">
        <f t="shared" si="5"/>
        <v>0</v>
      </c>
      <c r="O40" s="314">
        <v>1.47792304491279</v>
      </c>
      <c r="P40" s="327" t="s">
        <v>544</v>
      </c>
      <c r="Q40" s="312" t="s">
        <v>552</v>
      </c>
    </row>
    <row r="41" ht="24">
      <c r="B41" s="311" t="str">
        <f>Underwriting!$B$100</f>
        <v>Go Kart</v>
      </c>
      <c r="C41" s="312" t="str">
        <f>Underwriting!$C$100</f>
        <v>Funtime Group</v>
      </c>
      <c r="D41" s="311" t="s">
        <v>543</v>
      </c>
      <c r="E41" s="315" t="n">
        <f>Underwriting!$E$100</f>
        <v>2000</v>
      </c>
      <c r="F41" s="316">
        <f t="shared" si="4"/>
        <v>0</v>
      </c>
      <c r="G41" s="315" t="n">
        <f>Underwriting!$D$100</f>
        <v>31</v>
      </c>
      <c r="H41" s="315" t="n">
        <f>Underwriting!$F$100</f>
        <v>34</v>
      </c>
      <c r="I41" s="315" t="n">
        <f>Underwriting!$H$100</f>
        <v>500</v>
      </c>
      <c r="J41" s="315" t="n">
        <f>Underwriting!$I$100/1000000</f>
        <v>1</v>
      </c>
      <c r="K41" s="317" t="n">
        <f>Underwriting!$G$100</f>
        <v>0.035</v>
      </c>
      <c r="L41" s="311" t="str">
        <f>Underwriting!$K$100</f>
        <v>Annual</v>
      </c>
      <c r="M41" s="314">
        <v>2000</v>
      </c>
      <c r="N41" s="313">
        <f t="shared" si="5"/>
        <v>0</v>
      </c>
      <c r="O41" s="314">
        <v>0.99956502994186003</v>
      </c>
      <c r="P41" s="327" t="s">
        <v>544</v>
      </c>
      <c r="Q41" s="312" t="s">
        <v>553</v>
      </c>
    </row>
    <row r="42" ht="24">
      <c r="B42" s="311" t="str">
        <f>Underwriting!$B$101</f>
        <v>Landscape-Based Attraction</v>
      </c>
      <c r="C42" s="312" t="str">
        <f>Underwriting!$C$101</f>
        <v>Operating Group</v>
      </c>
      <c r="D42" s="311" t="s">
        <v>543</v>
      </c>
      <c r="E42" s="315" t="n">
        <f>Underwriting!$E$101</f>
        <v>150</v>
      </c>
      <c r="F42" s="316">
        <f t="shared" si="4"/>
        <v>0</v>
      </c>
      <c r="G42" s="315" t="n">
        <f>Underwriting!$D$101</f>
        <v>31</v>
      </c>
      <c r="H42" s="315" t="n">
        <f>Underwriting!$F$101</f>
        <v>34</v>
      </c>
      <c r="I42" s="315" t="n">
        <f>Underwriting!$H$101</f>
        <v>600</v>
      </c>
      <c r="J42" s="315" t="n">
        <f>Underwriting!$I$101/1000000</f>
        <v>0.09</v>
      </c>
      <c r="K42" s="317" t="n">
        <f>Underwriting!$G$101</f>
        <v>0.035</v>
      </c>
      <c r="L42" s="311" t="str">
        <f>Underwriting!$K$101</f>
        <v>Annual</v>
      </c>
      <c r="M42" s="314">
        <v>150</v>
      </c>
      <c r="N42" s="313">
        <f t="shared" si="5"/>
        <v>0</v>
      </c>
      <c r="O42" s="314">
        <v>9.3364732412790696E-2</v>
      </c>
      <c r="P42" s="327" t="s">
        <v>544</v>
      </c>
      <c r="Q42" s="312" t="s">
        <v>554</v>
      </c>
    </row>
    <row r="43" ht="24">
      <c r="B43" s="311" t="str">
        <f>Underwriting!$B$102</f>
        <v>Self-Storage Facility</v>
      </c>
      <c r="C43" s="312" t="str">
        <f>Underwriting!$C$102</f>
        <v>Storage King</v>
      </c>
      <c r="D43" s="311" t="s">
        <v>546</v>
      </c>
      <c r="E43" s="315" t="n">
        <f>Underwriting!$E$102</f>
        <v>600</v>
      </c>
      <c r="F43" s="316">
        <f t="shared" si="4"/>
        <v>0</v>
      </c>
      <c r="G43" s="315" t="n">
        <f>Underwriting!$D$102</f>
        <v>31</v>
      </c>
      <c r="H43" s="315" t="n">
        <f>Underwriting!$F$102</f>
        <v>34</v>
      </c>
      <c r="I43" s="315" t="str">
        <f>Underwriting!$H$102</f>
      </c>
      <c r="J43" s="315" t="n">
        <f>Underwriting!$I$102/1000000</f>
        <v>0</v>
      </c>
      <c r="K43" s="317" t="n">
        <f>Underwriting!$G$102</f>
        <v>0.035</v>
      </c>
      <c r="L43" s="311" t="str">
        <f>Underwriting!$K$102</f>
        <v>Annual</v>
      </c>
      <c r="M43" s="314">
        <v>600</v>
      </c>
      <c r="N43" s="313">
        <f t="shared" si="5"/>
        <v>0</v>
      </c>
      <c r="O43" s="314">
        <v>0.5</v>
      </c>
      <c r="P43" s="327" t="s">
        <v>544</v>
      </c>
      <c r="Q43" s="312" t="s">
        <v>555</v>
      </c>
    </row>
    <row r="44" ht="24">
      <c r="B44" s="311" t="str">
        <f>Underwriting!$B$103</f>
        <v>Convenience Store / Laundromat</v>
      </c>
      <c r="C44" s="312" t="str">
        <f>Underwriting!$C$103</f>
        <v>7-Eleven / App Automation</v>
      </c>
      <c r="D44" s="311" t="s">
        <v>546</v>
      </c>
      <c r="E44" s="315" t="n">
        <f>Underwriting!$E$103</f>
        <v>64</v>
      </c>
      <c r="F44" s="316">
        <f t="shared" si="4"/>
        <v>0</v>
      </c>
      <c r="G44" s="315" t="n">
        <f>Underwriting!$D$103</f>
        <v>37</v>
      </c>
      <c r="H44" s="315" t="n">
        <f>Underwriting!$F$103</f>
        <v>40</v>
      </c>
      <c r="I44" s="315" t="str">
        <f>Underwriting!$H$103</f>
      </c>
      <c r="J44" s="315" t="n">
        <f>Underwriting!$I$103/1000000</f>
        <v>0</v>
      </c>
      <c r="K44" s="317" t="n">
        <f>Underwriting!$G$103</f>
        <v>0.035</v>
      </c>
      <c r="L44" s="311" t="str">
        <f>Underwriting!$K$103</f>
        <v>Annual</v>
      </c>
      <c r="M44" s="314">
        <v>2000</v>
      </c>
      <c r="N44" s="313">
        <f t="shared" si="5"/>
        <v>1936</v>
      </c>
      <c r="O44" s="314">
        <v>0.61171929941860503</v>
      </c>
      <c r="P44" s="327" t="s">
        <v>544</v>
      </c>
      <c r="Q44" s="312" t="s">
        <v>556</v>
      </c>
    </row>
    <row r="45" ht="24">
      <c r="B45" s="311" t="str">
        <f>Underwriting!$B$104</f>
        <v>eBike / eScooter Storage</v>
      </c>
      <c r="C45" s="312" t="str">
        <f>Underwriting!$C$104</f>
        <v>App Automation</v>
      </c>
      <c r="D45" s="311" t="s">
        <v>546</v>
      </c>
      <c r="E45" s="315" t="n">
        <f>Underwriting!$E$104</f>
        <v>48</v>
      </c>
      <c r="F45" s="316">
        <f t="shared" si="4"/>
        <v>0</v>
      </c>
      <c r="G45" s="315" t="n">
        <f>Underwriting!$D$104</f>
        <v>37</v>
      </c>
      <c r="H45" s="315" t="n">
        <f>Underwriting!$F$104</f>
        <v>40</v>
      </c>
      <c r="I45" s="315" t="str">
        <f>Underwriting!$H$104</f>
      </c>
      <c r="J45" s="315" t="n">
        <f>Underwriting!$I$104/1000000</f>
        <v>0</v>
      </c>
      <c r="K45" s="317" t="n">
        <f>Underwriting!$G$104</f>
        <v>0.035</v>
      </c>
      <c r="L45" s="311" t="str">
        <f>Underwriting!$K$104</f>
        <v>Annual</v>
      </c>
      <c r="M45" s="314">
        <v>120</v>
      </c>
      <c r="N45" s="313">
        <f t="shared" si="5"/>
        <v>72</v>
      </c>
      <c r="O45" s="314">
        <v>0.15</v>
      </c>
      <c r="P45" s="327" t="s">
        <v>544</v>
      </c>
      <c r="Q45" s="312" t="s">
        <v>557</v>
      </c>
    </row>
    <row r="46" ht="27">
      <c r="B46" s="309" t="s">
        <v>558</v>
      </c>
      <c r="C46" s="309"/>
      <c r="D46" s="309"/>
      <c r="G46" s="309"/>
      <c r="H46" s="309"/>
      <c r="L46" s="309"/>
      <c r="M46" s="323" t="n">
        <f>SUM(M34:M45)</f>
        <v>80320.38</v>
      </c>
      <c r="N46" s="323" t="n">
        <f>SUM(N34:N45)</f>
        <v>2008</v>
      </c>
      <c r="O46" s="323" t="n">
        <f>SUM(O34:O45)</f>
        <v>29.34691480852615</v>
      </c>
      <c r="P46" s="328" t="s">
        <v>559</v>
      </c>
      <c r="Q46" s="328" t="s">
        <v>560</v>
      </c>
    </row>
    <row r="47">
      <c r="P47" s="329"/>
      <c r="Q47" s="329"/>
    </row>
    <row r="48">
      <c r="B48" s="692" t="s">
        <v>561</v>
      </c>
      <c r="C48" s="692"/>
      <c r="D48" s="692"/>
      <c r="E48" s="692"/>
      <c r="F48" s="692"/>
      <c r="G48" s="692"/>
      <c r="H48" s="692"/>
      <c r="I48" s="692"/>
      <c r="J48" s="692"/>
      <c r="K48" s="692"/>
      <c r="L48" s="692"/>
      <c r="M48" s="692"/>
      <c r="N48" s="692"/>
      <c r="O48" s="692"/>
      <c r="P48" s="694"/>
      <c r="Q48" s="694"/>
    </row>
    <row r="49" ht="27">
      <c r="B49" s="310" t="s">
        <v>527</v>
      </c>
      <c r="C49" s="310" t="s">
        <v>562</v>
      </c>
      <c r="D49" s="310" t="s">
        <v>563</v>
      </c>
      <c r="E49" s="310" t="s">
        <v>564</v>
      </c>
      <c r="F49" s="310" t="s">
        <v>565</v>
      </c>
      <c r="G49" s="310" t="s">
        <v>566</v>
      </c>
      <c r="H49" s="310" t="s">
        <v>567</v>
      </c>
      <c r="I49" s="310" t="s">
        <v>568</v>
      </c>
      <c r="J49" s="310" t="s">
        <v>569</v>
      </c>
      <c r="K49" s="310" t="s">
        <v>570</v>
      </c>
      <c r="L49" s="310" t="s">
        <v>571</v>
      </c>
      <c r="M49" s="310" t="s">
        <v>572</v>
      </c>
      <c r="N49" s="310" t="s">
        <v>573</v>
      </c>
      <c r="O49" s="310" t="s">
        <v>574</v>
      </c>
      <c r="P49" s="310" t="s">
        <v>575</v>
      </c>
      <c r="Q49" s="310" t="s">
        <v>576</v>
      </c>
    </row>
    <row r="50" ht="24">
      <c r="B50" s="311" t="str">
        <f>Underwriting!$B$93</f>
        <v>URWLD</v>
      </c>
      <c r="C50" s="311" t="s">
        <v>577</v>
      </c>
      <c r="D50" s="311" t="s">
        <v>578</v>
      </c>
      <c r="E50" s="314">
        <v>10</v>
      </c>
      <c r="F50" s="314">
        <v>30</v>
      </c>
      <c r="G50" s="314">
        <v>20</v>
      </c>
      <c r="H50" s="314">
        <v>20</v>
      </c>
      <c r="I50" s="311" t="s">
        <v>579</v>
      </c>
      <c r="J50" s="311" t="s">
        <v>580</v>
      </c>
      <c r="K50" s="314">
        <v>18</v>
      </c>
      <c r="L50" s="314">
        <v>4</v>
      </c>
      <c r="M50" s="316">
        <v>0.5</v>
      </c>
      <c r="N50" s="312" t="s">
        <v>581</v>
      </c>
      <c r="O50" s="312" t="s">
        <v>582</v>
      </c>
      <c r="P50" s="312" t="s">
        <v>583</v>
      </c>
      <c r="Q50" s="327" t="str">
        <f>Underwriting!$B$93</f>
        <v>URWLD</v>
      </c>
    </row>
    <row r="51" ht="24">
      <c r="B51" s="311" t="str">
        <f>Underwriting!$B$94</f>
        <v>Student Accommodation</v>
      </c>
      <c r="K51" s="314">
        <v>0</v>
      </c>
      <c r="M51" s="316">
        <v>0</v>
      </c>
      <c r="N51" s="312" t="s">
        <v>584</v>
      </c>
      <c r="O51" s="312" t="s">
        <v>585</v>
      </c>
      <c r="P51" s="312" t="s">
        <v>586</v>
      </c>
      <c r="Q51" s="327" t="str">
        <f>Underwriting!$B$94</f>
        <v>Student Accommodation</v>
      </c>
    </row>
    <row r="52" ht="36">
      <c r="B52" s="311" t="str">
        <f>Underwriting!$B$95</f>
        <v>LiveHouse</v>
      </c>
      <c r="C52" s="311" t="s">
        <v>577</v>
      </c>
      <c r="D52" s="311" t="s">
        <v>578</v>
      </c>
      <c r="E52" s="314">
        <v>10</v>
      </c>
      <c r="F52" s="314">
        <v>20</v>
      </c>
      <c r="G52" s="314">
        <v>20</v>
      </c>
      <c r="H52" s="314">
        <v>20</v>
      </c>
      <c r="I52" s="311" t="s">
        <v>579</v>
      </c>
      <c r="J52" s="311" t="s">
        <v>587</v>
      </c>
      <c r="K52" s="314">
        <v>18</v>
      </c>
      <c r="L52" s="314">
        <v>4</v>
      </c>
      <c r="M52" s="316">
        <v>0.5</v>
      </c>
      <c r="N52" s="312" t="s">
        <v>581</v>
      </c>
      <c r="O52" s="312" t="s">
        <v>588</v>
      </c>
      <c r="P52" s="312" t="s">
        <v>589</v>
      </c>
      <c r="Q52" s="327" t="str">
        <f>Underwriting!$B$95</f>
        <v>LiveHouse</v>
      </c>
    </row>
    <row r="53" ht="24">
      <c r="B53" s="311" t="str">
        <f>Underwriting!$B$96</f>
        <v>Flexible Retail/F&amp;B</v>
      </c>
      <c r="C53" s="311" t="s">
        <v>577</v>
      </c>
      <c r="D53" s="311" t="s">
        <v>578</v>
      </c>
      <c r="E53" s="314">
        <v>3</v>
      </c>
      <c r="F53" s="314">
        <v>3</v>
      </c>
      <c r="G53" s="314">
        <v>3</v>
      </c>
      <c r="H53" s="314">
        <v>3</v>
      </c>
      <c r="K53" s="314">
        <v>0</v>
      </c>
      <c r="M53" s="316">
        <v>0</v>
      </c>
      <c r="N53" s="312" t="s">
        <v>590</v>
      </c>
      <c r="O53" s="312" t="s">
        <v>591</v>
      </c>
      <c r="P53" s="312" t="s">
        <v>592</v>
      </c>
      <c r="Q53" s="327" t="str">
        <f>Underwriting!$B$96</f>
        <v>Flexible Retail/F&amp;B</v>
      </c>
    </row>
    <row r="54" ht="24">
      <c r="B54" s="311" t="str">
        <f>Underwriting!$B$97</f>
        <v>Genesis Health &amp; Fitness</v>
      </c>
      <c r="C54" s="311" t="s">
        <v>577</v>
      </c>
      <c r="D54" s="311" t="s">
        <v>578</v>
      </c>
      <c r="E54" s="314">
        <v>5</v>
      </c>
      <c r="F54" s="314">
        <v>5</v>
      </c>
      <c r="G54" s="314">
        <v>5</v>
      </c>
      <c r="H54" s="314">
        <v>5</v>
      </c>
      <c r="I54" s="311" t="s">
        <v>579</v>
      </c>
      <c r="J54" s="311" t="s">
        <v>580</v>
      </c>
      <c r="K54" s="314">
        <v>6</v>
      </c>
      <c r="L54" s="314">
        <v>4</v>
      </c>
      <c r="M54" s="316">
        <v>0.5</v>
      </c>
      <c r="N54" s="312" t="s">
        <v>581</v>
      </c>
      <c r="O54" s="312" t="s">
        <v>593</v>
      </c>
      <c r="P54" s="312" t="s">
        <v>594</v>
      </c>
      <c r="Q54" s="327" t="str">
        <f>Underwriting!$B$97</f>
        <v>Genesis Health &amp; Fitness</v>
      </c>
    </row>
    <row r="55" ht="24">
      <c r="B55" s="311" t="str">
        <f>Underwriting!$B$98</f>
        <v>Car Park</v>
      </c>
      <c r="K55" s="314">
        <v>0</v>
      </c>
      <c r="M55" s="316">
        <v>0</v>
      </c>
      <c r="N55" s="312" t="s">
        <v>584</v>
      </c>
      <c r="O55" s="312" t="s">
        <v>595</v>
      </c>
      <c r="P55" s="312" t="s">
        <v>586</v>
      </c>
      <c r="Q55" s="327" t="str">
        <f>Underwriting!$B$98</f>
        <v>Car Park</v>
      </c>
    </row>
    <row r="56" ht="24">
      <c r="B56" s="311" t="str">
        <f>Underwriting!$B$99</f>
        <v>Snowtunnel</v>
      </c>
      <c r="C56" s="311" t="s">
        <v>577</v>
      </c>
      <c r="D56" s="311" t="s">
        <v>578</v>
      </c>
      <c r="E56" s="314">
        <v>10</v>
      </c>
      <c r="F56" s="314">
        <v>10</v>
      </c>
      <c r="G56" s="314">
        <v>10</v>
      </c>
      <c r="H56" s="314">
        <v>10</v>
      </c>
      <c r="I56" s="311" t="s">
        <v>579</v>
      </c>
      <c r="J56" s="311" t="s">
        <v>580</v>
      </c>
      <c r="K56" s="314">
        <v>9</v>
      </c>
      <c r="L56" s="314">
        <v>4</v>
      </c>
      <c r="M56" s="316">
        <v>0.5</v>
      </c>
      <c r="N56" s="312" t="s">
        <v>581</v>
      </c>
      <c r="O56" s="312" t="s">
        <v>596</v>
      </c>
      <c r="P56" s="312" t="s">
        <v>594</v>
      </c>
      <c r="Q56" s="327" t="str">
        <f>Underwriting!$B$99</f>
        <v>Snowtunnel</v>
      </c>
    </row>
    <row r="57" ht="24">
      <c r="B57" s="311" t="str">
        <f>Underwriting!$B$100</f>
        <v>Go Kart</v>
      </c>
      <c r="C57" s="311" t="s">
        <v>577</v>
      </c>
      <c r="D57" s="311" t="s">
        <v>578</v>
      </c>
      <c r="E57" s="314">
        <v>5</v>
      </c>
      <c r="F57" s="314">
        <v>5</v>
      </c>
      <c r="G57" s="314">
        <v>5</v>
      </c>
      <c r="H57" s="314">
        <v>5</v>
      </c>
      <c r="I57" s="311" t="s">
        <v>579</v>
      </c>
      <c r="J57" s="311" t="s">
        <v>580</v>
      </c>
      <c r="K57" s="314">
        <v>6</v>
      </c>
      <c r="L57" s="314">
        <v>2</v>
      </c>
      <c r="M57" s="316">
        <v>0.25</v>
      </c>
      <c r="N57" s="312" t="s">
        <v>597</v>
      </c>
      <c r="O57" s="312" t="s">
        <v>598</v>
      </c>
      <c r="P57" s="312" t="s">
        <v>599</v>
      </c>
      <c r="Q57" s="327" t="str">
        <f>Underwriting!$B$100</f>
        <v>Go Kart</v>
      </c>
    </row>
    <row r="58" ht="24">
      <c r="B58" s="311" t="str">
        <f>Underwriting!$B$101</f>
        <v>Landscape-Based Attraction</v>
      </c>
      <c r="C58" s="311" t="s">
        <v>577</v>
      </c>
      <c r="D58" s="311" t="s">
        <v>578</v>
      </c>
      <c r="E58" s="314">
        <v>5</v>
      </c>
      <c r="F58" s="314">
        <v>5</v>
      </c>
      <c r="G58" s="314">
        <v>5</v>
      </c>
      <c r="H58" s="314">
        <v>5</v>
      </c>
      <c r="I58" s="311" t="s">
        <v>579</v>
      </c>
      <c r="J58" s="311" t="s">
        <v>580</v>
      </c>
      <c r="K58" s="314">
        <v>3</v>
      </c>
      <c r="L58" s="314">
        <v>2</v>
      </c>
      <c r="M58" s="316">
        <v>0.25</v>
      </c>
      <c r="N58" s="312" t="s">
        <v>600</v>
      </c>
      <c r="O58" s="312" t="s">
        <v>601</v>
      </c>
      <c r="P58" s="312" t="s">
        <v>602</v>
      </c>
      <c r="Q58" s="327" t="str">
        <f>Underwriting!$B$101</f>
        <v>Landscape-Based Attraction</v>
      </c>
    </row>
    <row r="59" ht="24">
      <c r="B59" s="311" t="str">
        <f>Underwriting!$B$102</f>
        <v>Self-Storage Facility</v>
      </c>
      <c r="K59" s="314">
        <v>0</v>
      </c>
      <c r="M59" s="316">
        <v>0</v>
      </c>
      <c r="N59" s="312" t="s">
        <v>584</v>
      </c>
      <c r="O59" s="312" t="s">
        <v>603</v>
      </c>
      <c r="P59" s="312" t="s">
        <v>586</v>
      </c>
      <c r="Q59" s="327" t="str">
        <f>Underwriting!$B$102</f>
        <v>Self-Storage Facility</v>
      </c>
    </row>
    <row r="60" ht="24">
      <c r="B60" s="311" t="str">
        <f>Underwriting!$B$103</f>
        <v>Convenience Store / Laundromat</v>
      </c>
      <c r="K60" s="314">
        <v>0</v>
      </c>
      <c r="M60" s="316">
        <v>0</v>
      </c>
      <c r="N60" s="312" t="s">
        <v>584</v>
      </c>
      <c r="O60" s="312" t="s">
        <v>604</v>
      </c>
      <c r="P60" s="312" t="s">
        <v>605</v>
      </c>
      <c r="Q60" s="327" t="str">
        <f>Underwriting!$B$103</f>
        <v>Convenience Store / Laundromat</v>
      </c>
    </row>
    <row r="61" ht="24">
      <c r="B61" s="311" t="str">
        <f>Underwriting!$B$104</f>
        <v>eBike / eScooter Storage</v>
      </c>
      <c r="K61" s="314">
        <v>0</v>
      </c>
      <c r="M61" s="316">
        <v>0</v>
      </c>
      <c r="N61" s="312" t="s">
        <v>584</v>
      </c>
      <c r="O61" s="312" t="s">
        <v>606</v>
      </c>
      <c r="P61" s="312" t="s">
        <v>605</v>
      </c>
      <c r="Q61" s="327" t="str">
        <f>Underwriting!$B$104</f>
        <v>eBike / eScooter Storage</v>
      </c>
    </row>
    <row r="62">
      <c r="B62" s="309" t="s">
        <v>607</v>
      </c>
      <c r="C62" s="309" t="s">
        <v>608</v>
      </c>
      <c r="D62" s="323">
        <v>7</v>
      </c>
      <c r="F62" s="309" t="s">
        <v>609</v>
      </c>
      <c r="G62" s="323">
        <v>2</v>
      </c>
      <c r="I62" s="309" t="s">
        <v>610</v>
      </c>
      <c r="J62" s="323">
        <v>2</v>
      </c>
      <c r="L62" s="309" t="s">
        <v>611</v>
      </c>
      <c r="M62" s="323">
        <v>5</v>
      </c>
      <c r="O62" s="309" t="s">
        <v>612</v>
      </c>
      <c r="P62" s="693" t="s">
        <v>613</v>
      </c>
      <c r="Q62" s="693"/>
    </row>
    <row r="64">
      <c r="B64" s="692" t="s">
        <v>614</v>
      </c>
      <c r="C64" s="692"/>
      <c r="D64" s="692"/>
      <c r="E64" s="692"/>
      <c r="F64" s="692"/>
      <c r="G64" s="692"/>
      <c r="H64" s="692"/>
      <c r="I64" s="692"/>
      <c r="J64" s="692"/>
      <c r="K64" s="692"/>
      <c r="L64" s="692"/>
      <c r="M64" s="692"/>
      <c r="N64" s="692"/>
      <c r="O64" s="692"/>
      <c r="P64" s="692"/>
      <c r="Q64" s="692"/>
    </row>
    <row r="65">
      <c r="B65" s="695" t="s">
        <v>615</v>
      </c>
      <c r="C65" s="695"/>
      <c r="D65" s="695"/>
      <c r="E65" s="695"/>
      <c r="F65" s="695"/>
      <c r="G65" s="695"/>
      <c r="H65" s="695"/>
      <c r="I65" s="695"/>
      <c r="J65" s="695"/>
      <c r="K65" s="695"/>
      <c r="L65" s="695"/>
      <c r="M65" s="695"/>
      <c r="N65" s="695"/>
      <c r="O65" s="695"/>
      <c r="P65" s="695"/>
      <c r="Q65" s="695"/>
    </row>
    <row r="66">
      <c r="B66" s="695" t="s">
        <v>616</v>
      </c>
      <c r="C66" s="695"/>
      <c r="D66" s="695"/>
      <c r="E66" s="695"/>
      <c r="F66" s="695"/>
      <c r="G66" s="695"/>
      <c r="H66" s="695"/>
      <c r="I66" s="695"/>
      <c r="J66" s="695"/>
      <c r="K66" s="695"/>
      <c r="L66" s="695"/>
      <c r="M66" s="695"/>
      <c r="N66" s="695"/>
      <c r="O66" s="695"/>
      <c r="P66" s="695"/>
      <c r="Q66" s="695"/>
    </row>
    <row r="67">
      <c r="B67" s="695" t="s">
        <v>617</v>
      </c>
      <c r="C67" s="695"/>
      <c r="D67" s="695"/>
      <c r="E67" s="695"/>
      <c r="F67" s="695"/>
      <c r="G67" s="695"/>
      <c r="H67" s="695"/>
      <c r="I67" s="695"/>
      <c r="J67" s="695"/>
      <c r="K67" s="695"/>
      <c r="L67" s="695"/>
      <c r="M67" s="695"/>
      <c r="N67" s="695"/>
      <c r="O67" s="695"/>
      <c r="P67" s="695"/>
      <c r="Q67" s="695"/>
    </row>
    <row r="68">
      <c r="B68" s="695" t="s">
        <v>618</v>
      </c>
      <c r="C68" s="695"/>
      <c r="D68" s="695"/>
      <c r="E68" s="695"/>
      <c r="F68" s="695"/>
      <c r="G68" s="695"/>
      <c r="H68" s="695"/>
      <c r="I68" s="695"/>
      <c r="J68" s="695"/>
      <c r="K68" s="695"/>
      <c r="L68" s="695"/>
      <c r="M68" s="695"/>
      <c r="N68" s="695"/>
      <c r="O68" s="695"/>
      <c r="P68" s="695"/>
      <c r="Q68" s="695"/>
    </row>
    <row r="69">
      <c r="B69" s="695" t="s">
        <v>619</v>
      </c>
      <c r="C69" s="695"/>
      <c r="D69" s="695"/>
      <c r="E69" s="695"/>
      <c r="F69" s="695"/>
      <c r="G69" s="695"/>
      <c r="H69" s="695"/>
      <c r="I69" s="695"/>
      <c r="J69" s="695"/>
      <c r="K69" s="695"/>
      <c r="L69" s="695"/>
      <c r="M69" s="695"/>
      <c r="N69" s="695"/>
      <c r="O69" s="695"/>
      <c r="P69" s="695"/>
      <c r="Q69" s="695"/>
    </row>
    <row r="70">
      <c r="B70" s="695" t="s">
        <v>620</v>
      </c>
      <c r="C70" s="695"/>
      <c r="D70" s="695"/>
      <c r="E70" s="695"/>
      <c r="F70" s="695"/>
      <c r="G70" s="695"/>
      <c r="H70" s="695"/>
      <c r="I70" s="695"/>
      <c r="J70" s="695"/>
      <c r="K70" s="695"/>
      <c r="L70" s="695"/>
      <c r="M70" s="695"/>
      <c r="N70" s="695"/>
      <c r="O70" s="695"/>
      <c r="P70" s="695"/>
      <c r="Q70" s="695"/>
    </row>
    <row r="71">
      <c r="B71" s="695" t="s">
        <v>621</v>
      </c>
      <c r="C71" s="695"/>
      <c r="D71" s="695"/>
      <c r="E71" s="695"/>
      <c r="F71" s="695"/>
      <c r="G71" s="695"/>
      <c r="H71" s="695"/>
      <c r="I71" s="695"/>
      <c r="J71" s="695"/>
      <c r="K71" s="695"/>
      <c r="L71" s="695"/>
      <c r="M71" s="695"/>
      <c r="N71" s="695"/>
      <c r="O71" s="695"/>
      <c r="P71" s="695"/>
      <c r="Q71" s="695"/>
    </row>
    <row r="72">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row>
    <row r="73">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row>
    <row r="7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row>
    <row r="7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row>
    <row r="76">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row>
    <row r="77">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row>
    <row r="78">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row>
    <row r="79">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row>
    <row r="80">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row>
    <row r="81">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row>
    <row r="82">
      <c r="B82" s="4" t="n">
        <f>Underwriting!L86</f>
        <v>0</v>
      </c>
      <c r="C82" s="4" t="n">
        <f>Underwriting!M86</f>
        <v>1</v>
      </c>
      <c r="D82" s="4" t="n">
        <f>Underwriting!N86</f>
        <v>2</v>
      </c>
      <c r="E82" s="4" t="n">
        <f>Underwriting!O86</f>
        <v>3</v>
      </c>
      <c r="F82" s="4" t="n">
        <f>Underwriting!P86</f>
        <v>4</v>
      </c>
      <c r="G82" s="4" t="n">
        <f>Underwriting!Q86</f>
        <v>5</v>
      </c>
      <c r="H82" s="4" t="n">
        <f>Underwriting!R86</f>
        <v>6</v>
      </c>
      <c r="I82" s="4" t="n">
        <f>Underwriting!S86</f>
        <v>7</v>
      </c>
      <c r="J82" s="4" t="n">
        <f>Underwriting!T86</f>
        <v>8</v>
      </c>
      <c r="K82" s="4" t="n">
        <f>Underwriting!U86</f>
        <v>9</v>
      </c>
      <c r="L82" s="4" t="n">
        <f>Underwriting!V86</f>
        <v>10</v>
      </c>
      <c r="M82" s="4" t="n">
        <f>Underwriting!W86</f>
        <v>11</v>
      </c>
      <c r="N82" s="4" t="n">
        <f>Underwriting!X86</f>
        <v>12</v>
      </c>
      <c r="O82" s="4" t="n">
        <f>Underwriting!Y86</f>
        <v>13</v>
      </c>
      <c r="P82" s="4" t="n">
        <f>Underwriting!Z86</f>
        <v>14</v>
      </c>
      <c r="Q82" s="4" t="n">
        <f>Underwriting!AA86</f>
        <v>15</v>
      </c>
      <c r="R82" s="4" t="n">
        <f>Underwriting!AB86</f>
        <v>16</v>
      </c>
      <c r="S82" s="4" t="n">
        <f>Underwriting!AC86</f>
        <v>17</v>
      </c>
      <c r="T82" s="4" t="n">
        <f>Underwriting!AD86</f>
        <v>18</v>
      </c>
      <c r="U82" s="4" t="n">
        <f>Underwriting!AE86</f>
        <v>19</v>
      </c>
      <c r="V82" s="4" t="n">
        <f>Underwriting!AF86</f>
        <v>20</v>
      </c>
      <c r="W82" s="4" t="n">
        <f>Underwriting!AG86</f>
        <v>21</v>
      </c>
      <c r="X82" s="4" t="n">
        <f>Underwriting!AH86</f>
        <v>22</v>
      </c>
      <c r="Y82" s="4" t="n">
        <f>Underwriting!AI86</f>
        <v>23</v>
      </c>
      <c r="Z82" s="4" t="n">
        <f>Underwriting!AJ86</f>
        <v>24</v>
      </c>
      <c r="AA82" s="4" t="n">
        <f>Underwriting!AK86</f>
        <v>25</v>
      </c>
      <c r="AB82" s="4" t="n">
        <f>Underwriting!AL86</f>
        <v>26</v>
      </c>
      <c r="AC82" s="4" t="n">
        <f>Underwriting!AM86</f>
        <v>27</v>
      </c>
      <c r="AD82" s="4" t="n">
        <f>Underwriting!AN86</f>
        <v>28</v>
      </c>
      <c r="AE82" s="4" t="n">
        <f>Underwriting!AO86</f>
        <v>29</v>
      </c>
      <c r="AF82" s="4" t="n">
        <f>Underwriting!AP86</f>
        <v>30</v>
      </c>
      <c r="AG82" s="4" t="n">
        <f>Underwriting!AQ86</f>
        <v>31</v>
      </c>
      <c r="AH82" s="4" t="n">
        <f>Underwriting!AR86</f>
        <v>32</v>
      </c>
      <c r="AI82" s="4" t="n">
        <f>Underwriting!AS86</f>
        <v>33</v>
      </c>
      <c r="AJ82" s="4" t="n">
        <f>Underwriting!AT86</f>
        <v>34</v>
      </c>
      <c r="AK82" s="4" t="n">
        <f>Underwriting!AU86</f>
        <v>35</v>
      </c>
      <c r="AL82" s="4" t="n">
        <f>Underwriting!AV86</f>
        <v>36</v>
      </c>
      <c r="AM82" s="4" t="n">
        <f>Underwriting!AW86</f>
        <v>37</v>
      </c>
      <c r="AN82" s="4" t="n">
        <f>Underwriting!AX86</f>
        <v>38</v>
      </c>
      <c r="AO82" s="4" t="n">
        <f>Underwriting!AY86</f>
        <v>39</v>
      </c>
      <c r="AP82" s="4" t="n">
        <f>Underwriting!AZ86</f>
        <v>40</v>
      </c>
      <c r="AQ82" s="4" t="n">
        <f>Underwriting!BA86</f>
        <v>41</v>
      </c>
      <c r="AR82" s="4" t="n">
        <f>Underwriting!BB86</f>
        <v>42</v>
      </c>
      <c r="AS82" s="4" t="n">
        <f>Underwriting!BC86</f>
        <v>43</v>
      </c>
      <c r="AT82" s="4" t="n">
        <f>Underwriting!BD86</f>
        <v>44</v>
      </c>
      <c r="AU82" s="4" t="n">
        <f>Underwriting!BE86</f>
        <v>45</v>
      </c>
      <c r="AV82" s="4" t="n">
        <f>Underwriting!BF86</f>
        <v>46</v>
      </c>
      <c r="AW82" s="4" t="n">
        <f>Underwriting!BG86</f>
        <v>47</v>
      </c>
      <c r="AX82" s="4" t="n">
        <f>Underwriting!BH86</f>
        <v>48</v>
      </c>
      <c r="AY82" s="4" t="n">
        <f>Underwriting!BI86</f>
        <v>49</v>
      </c>
      <c r="AZ82" s="4" t="n">
        <f>Underwriting!BJ86</f>
        <v>50</v>
      </c>
      <c r="BA82" s="4" t="n">
        <f>Underwriting!BK86</f>
        <v>51</v>
      </c>
      <c r="BB82" s="4" t="n">
        <f>Underwriting!BL86</f>
        <v>52</v>
      </c>
      <c r="BC82" s="4" t="n">
        <f>Underwriting!BM86</f>
        <v>53</v>
      </c>
      <c r="BD82" s="4" t="n">
        <f>Underwriting!BN86</f>
        <v>54</v>
      </c>
      <c r="BE82" s="4" t="n">
        <f>Underwriting!BO86</f>
        <v>55</v>
      </c>
      <c r="BF82" s="4" t="n">
        <f>Underwriting!BP86</f>
        <v>56</v>
      </c>
      <c r="BG82" s="4" t="n">
        <f>Underwriting!BQ86</f>
        <v>57</v>
      </c>
      <c r="BH82" s="4" t="n">
        <f>Underwriting!BR86</f>
        <v>58</v>
      </c>
      <c r="BI82" s="4" t="n">
        <f>Underwriting!BS86</f>
        <v>59</v>
      </c>
      <c r="BJ82" s="4" t="n">
        <f>Underwriting!BT86</f>
        <v>60</v>
      </c>
      <c r="BK82" s="4" t="n">
        <f>Underwriting!BU86</f>
        <v>61</v>
      </c>
      <c r="BL82" s="4" t="n">
        <f>Underwriting!BV86</f>
        <v>62</v>
      </c>
      <c r="BM82" s="4" t="n">
        <f>Underwriting!BW86</f>
        <v>63</v>
      </c>
      <c r="BN82" s="4" t="n">
        <f>Underwriting!BX86</f>
        <v>64</v>
      </c>
      <c r="BO82" s="4" t="n">
        <f>Underwriting!BY86</f>
        <v>65</v>
      </c>
      <c r="BP82" s="4" t="n">
        <f>Underwriting!BZ86</f>
        <v>66</v>
      </c>
      <c r="BQ82" s="4" t="n">
        <f>Underwriting!CA86</f>
        <v>67</v>
      </c>
      <c r="BR82" s="4" t="n">
        <f>Underwriting!CB86</f>
        <v>68</v>
      </c>
      <c r="BS82" s="4" t="n">
        <f>Underwriting!CC86</f>
        <v>69</v>
      </c>
      <c r="BT82" s="4" t="n">
        <f>Underwriting!CD86</f>
        <v>70</v>
      </c>
      <c r="BU82" s="4" t="n">
        <f>Underwriting!CE86</f>
        <v>71</v>
      </c>
      <c r="BV82" s="4" t="n">
        <f>Underwriting!CF86</f>
        <v>72</v>
      </c>
      <c r="BW82" s="4" t="n">
        <f>Underwriting!CG86</f>
        <v>73</v>
      </c>
      <c r="BX82" s="4" t="n">
        <f>Underwriting!CH86</f>
        <v>74</v>
      </c>
      <c r="BY82" s="4" t="n">
        <f>Underwriting!CI86</f>
        <v>75</v>
      </c>
      <c r="BZ82" s="4" t="n">
        <f>Underwriting!CJ86</f>
        <v>76</v>
      </c>
      <c r="CA82" s="4" t="n">
        <f>Underwriting!CK86</f>
        <v>77</v>
      </c>
      <c r="CB82" s="4" t="n">
        <f>Underwriting!CL86</f>
        <v>78</v>
      </c>
      <c r="CC82" s="4" t="n">
        <f>Underwriting!CM86</f>
        <v>79</v>
      </c>
      <c r="CD82" s="4" t="n">
        <f>Underwriting!CN86</f>
        <v>80</v>
      </c>
      <c r="CE82" s="4" t="n">
        <f>Underwriting!CO86</f>
        <v>81</v>
      </c>
      <c r="CF82" s="4" t="n">
        <f>Underwriting!CP86</f>
        <v>82</v>
      </c>
      <c r="CG82" s="4" t="n">
        <f>Underwriting!CQ86</f>
        <v>83</v>
      </c>
      <c r="CH82" s="4" t="n">
        <f>Underwriting!CR86</f>
        <v>84</v>
      </c>
      <c r="CI82" s="4" t="n">
        <f>Underwriting!CS86</f>
        <v>85</v>
      </c>
      <c r="CJ82" s="4" t="n">
        <f>Underwriting!CT86</f>
        <v>86</v>
      </c>
      <c r="CK82" s="4" t="n">
        <f>Underwriting!CU86</f>
        <v>87</v>
      </c>
      <c r="CL82" s="4" t="n">
        <f>Underwriting!CV86</f>
        <v>88</v>
      </c>
      <c r="CM82" s="4" t="n">
        <f>Underwriting!CW86</f>
        <v>89</v>
      </c>
      <c r="CN82" s="4" t="n">
        <f>Underwriting!CX86</f>
        <v>90</v>
      </c>
      <c r="CO82" s="4" t="n">
        <f>Underwriting!CY86</f>
        <v>91</v>
      </c>
      <c r="CP82" s="4" t="n">
        <f>Underwriting!CZ86</f>
        <v>92</v>
      </c>
      <c r="CQ82" s="4" t="n">
        <f>Underwriting!DA86</f>
        <v>93</v>
      </c>
      <c r="CR82" s="4" t="n">
        <f>Underwriting!DB86</f>
        <v>94</v>
      </c>
      <c r="CS82" s="4" t="n">
        <f>Underwriting!DC86</f>
        <v>95</v>
      </c>
      <c r="CT82" s="4" t="n">
        <f>Underwriting!DD86</f>
        <v>96</v>
      </c>
      <c r="CU82" s="4" t="n">
        <f>Underwriting!DE86</f>
        <v>97</v>
      </c>
      <c r="CV82" s="4" t="n">
        <f>Underwriting!DF86</f>
        <v>98</v>
      </c>
      <c r="CW82" s="4" t="n">
        <f>Underwriting!DG86</f>
        <v>99</v>
      </c>
      <c r="CX82" s="4" t="n">
        <f>Underwriting!DH86</f>
        <v>100</v>
      </c>
      <c r="CY82" s="4" t="n">
        <f>Underwriting!DI86</f>
        <v>101</v>
      </c>
      <c r="CZ82" s="4" t="n">
        <f>Underwriting!DJ86</f>
        <v>102</v>
      </c>
      <c r="DA82" s="4" t="n">
        <f>Underwriting!DK86</f>
        <v>103</v>
      </c>
      <c r="DB82" s="4" t="n">
        <f>Underwriting!DL86</f>
        <v>104</v>
      </c>
      <c r="DC82" s="4" t="n">
        <f>Underwriting!DM86</f>
        <v>105</v>
      </c>
      <c r="DD82" s="4" t="n">
        <f>Underwriting!DN86</f>
        <v>106</v>
      </c>
      <c r="DE82" s="4" t="n">
        <f>Underwriting!DO86</f>
        <v>107</v>
      </c>
      <c r="DF82" s="4" t="n">
        <f>Underwriting!DP86</f>
        <v>108</v>
      </c>
      <c r="DG82" s="4" t="n">
        <f>Underwriting!DQ86</f>
        <v>109</v>
      </c>
      <c r="DH82" s="4" t="n">
        <f>Underwriting!DR86</f>
        <v>110</v>
      </c>
      <c r="DI82" s="4" t="n">
        <f>Underwriting!DS86</f>
        <v>111</v>
      </c>
      <c r="DJ82" s="4" t="n">
        <f>Underwriting!DT86</f>
        <v>112</v>
      </c>
      <c r="DK82" s="4" t="n">
        <f>Underwriting!DU86</f>
        <v>113</v>
      </c>
      <c r="DL82" s="4" t="n">
        <f>Underwriting!DV86</f>
        <v>114</v>
      </c>
      <c r="DM82" s="4" t="n">
        <f>Underwriting!DW86</f>
        <v>115</v>
      </c>
      <c r="DN82" s="4" t="n">
        <f>Underwriting!DX86</f>
        <v>116</v>
      </c>
      <c r="DO82" s="4" t="n">
        <f>Underwriting!DY86</f>
        <v>117</v>
      </c>
      <c r="DP82" s="4" t="n">
        <f>Underwriting!DZ86</f>
        <v>118</v>
      </c>
      <c r="DQ82" s="4" t="n">
        <f>Underwriting!EA86</f>
        <v>119</v>
      </c>
      <c r="DR82" s="4" t="n">
        <f>Underwriting!EB86</f>
        <v>120</v>
      </c>
    </row>
    <row r="83">
      <c r="B83" s="285" t="n">
        <f>Underwriting!L89</f>
        <v>0</v>
      </c>
      <c r="C83" s="285" t="n">
        <f>Underwriting!M89</f>
        <v>0</v>
      </c>
      <c r="D83" s="285" t="n">
        <f>Underwriting!N89</f>
        <v>0</v>
      </c>
      <c r="E83" s="285" t="n">
        <f>Underwriting!O89</f>
        <v>0</v>
      </c>
      <c r="F83" s="285" t="n">
        <f>Underwriting!P89</f>
        <v>0</v>
      </c>
      <c r="G83" s="285" t="n">
        <f>Underwriting!Q89</f>
        <v>0</v>
      </c>
      <c r="H83" s="285" t="n">
        <f>Underwriting!R89</f>
        <v>0</v>
      </c>
      <c r="I83" s="285" t="n">
        <f>Underwriting!S89</f>
        <v>0</v>
      </c>
      <c r="J83" s="285" t="n">
        <f>Underwriting!T89</f>
        <v>0</v>
      </c>
      <c r="K83" s="285" t="n">
        <f>Underwriting!U89</f>
        <v>0</v>
      </c>
      <c r="L83" s="285" t="n">
        <f>Underwriting!V89</f>
        <v>0</v>
      </c>
      <c r="M83" s="285" t="n">
        <f>Underwriting!W89</f>
        <v>0</v>
      </c>
      <c r="N83" s="285" t="n">
        <f>Underwriting!X89</f>
        <v>0</v>
      </c>
      <c r="O83" s="285" t="n">
        <f>Underwriting!Y89</f>
        <v>0</v>
      </c>
      <c r="P83" s="285" t="n">
        <f>Underwriting!Z89</f>
        <v>0</v>
      </c>
      <c r="Q83" s="285" t="n">
        <f>Underwriting!AA89</f>
        <v>0</v>
      </c>
      <c r="R83" s="285" t="n">
        <f>Underwriting!AB89</f>
        <v>0</v>
      </c>
      <c r="S83" s="285" t="n">
        <f>Underwriting!AC89</f>
        <v>0</v>
      </c>
      <c r="T83" s="285" t="n">
        <f>Underwriting!AD89</f>
        <v>0</v>
      </c>
      <c r="U83" s="285" t="n">
        <f>Underwriting!AE89</f>
        <v>0.27454152204287496</v>
      </c>
      <c r="V83" s="285" t="n">
        <f>Underwriting!AF89</f>
        <v>0.27454152204287496</v>
      </c>
      <c r="W83" s="285" t="n">
        <f>Underwriting!AG89</f>
        <v>0.27454152204287496</v>
      </c>
      <c r="X83" s="285" t="n">
        <f>Underwriting!AH89</f>
        <v>0.6129299096771161</v>
      </c>
      <c r="Y83" s="285" t="n">
        <f>Underwriting!AI89</f>
        <v>0.6129299096771161</v>
      </c>
      <c r="Z83" s="285" t="n">
        <f>Underwriting!AJ89</f>
        <v>0.6129299096771161</v>
      </c>
      <c r="AA83" s="285" t="n">
        <f>Underwriting!AK89</f>
        <v>0.6659228081179501</v>
      </c>
      <c r="AB83" s="285" t="n">
        <f>Underwriting!AL89</f>
        <v>0.6659228081179501</v>
      </c>
      <c r="AC83" s="285" t="n">
        <f>Underwriting!AM89</f>
        <v>0.6659228081179501</v>
      </c>
      <c r="AD83" s="285" t="n">
        <f>Underwriting!AN89</f>
        <v>0.963454054135502</v>
      </c>
      <c r="AE83" s="285" t="n">
        <f>Underwriting!AO89</f>
        <v>0.963454054135502</v>
      </c>
      <c r="AF83" s="285" t="n">
        <f>Underwriting!AP89</f>
        <v>0.963454054135502</v>
      </c>
      <c r="AG83" s="285" t="n">
        <f>Underwriting!AQ89</f>
        <v>0.9985698302107534</v>
      </c>
      <c r="AH83" s="285" t="n">
        <f>Underwriting!AR89</f>
        <v>0.9985698302107534</v>
      </c>
      <c r="AI83" s="285" t="n">
        <f>Underwriting!AS89</f>
        <v>0.9985698302107534</v>
      </c>
      <c r="AJ83" s="285" t="n">
        <f>Underwriting!AT89</f>
        <v>0.9985698302107534</v>
      </c>
      <c r="AK83" s="285" t="n">
        <f>Underwriting!AU89</f>
        <v>0.9985698302107534</v>
      </c>
      <c r="AL83" s="285" t="n">
        <f>Underwriting!AV89</f>
        <v>0.9985698302107534</v>
      </c>
      <c r="AM83" s="285" t="n">
        <f>Underwriting!AW89</f>
        <v>1</v>
      </c>
      <c r="AN83" s="285" t="n">
        <f>Underwriting!AX89</f>
        <v>1</v>
      </c>
      <c r="AO83" s="285" t="n">
        <f>Underwriting!AY89</f>
        <v>1</v>
      </c>
      <c r="AP83" s="285" t="n">
        <f>Underwriting!AZ89</f>
        <v>1</v>
      </c>
      <c r="AQ83" s="285" t="n">
        <f>Underwriting!BA89</f>
        <v>1</v>
      </c>
      <c r="AR83" s="285" t="n">
        <f>Underwriting!BB89</f>
        <v>1</v>
      </c>
      <c r="AS83" s="285" t="n">
        <f>Underwriting!BC89</f>
        <v>1</v>
      </c>
      <c r="AT83" s="285" t="n">
        <f>Underwriting!BD89</f>
        <v>1</v>
      </c>
      <c r="AU83" s="285" t="n">
        <f>Underwriting!BE89</f>
        <v>1</v>
      </c>
      <c r="AV83" s="285" t="n">
        <f>Underwriting!BF89</f>
        <v>1</v>
      </c>
      <c r="AW83" s="285" t="n">
        <f>Underwriting!BG89</f>
        <v>1</v>
      </c>
      <c r="AX83" s="285" t="n">
        <f>Underwriting!BH89</f>
        <v>1</v>
      </c>
      <c r="AY83" s="285" t="n">
        <f>Underwriting!BI89</f>
        <v>1</v>
      </c>
      <c r="AZ83" s="285" t="n">
        <f>Underwriting!BJ89</f>
        <v>1</v>
      </c>
      <c r="BA83" s="285" t="n">
        <f>Underwriting!BK89</f>
        <v>1</v>
      </c>
      <c r="BB83" s="285" t="n">
        <f>Underwriting!BL89</f>
        <v>1</v>
      </c>
      <c r="BC83" s="285" t="n">
        <f>Underwriting!BM89</f>
        <v>1</v>
      </c>
      <c r="BD83" s="285" t="n">
        <f>Underwriting!BN89</f>
        <v>1</v>
      </c>
      <c r="BE83" s="285" t="n">
        <f>Underwriting!BO89</f>
        <v>1</v>
      </c>
      <c r="BF83" s="285" t="n">
        <f>Underwriting!BP89</f>
        <v>1</v>
      </c>
      <c r="BG83" s="285" t="n">
        <f>Underwriting!BQ89</f>
        <v>1</v>
      </c>
      <c r="BH83" s="285" t="n">
        <f>Underwriting!BR89</f>
        <v>1</v>
      </c>
      <c r="BI83" s="285" t="n">
        <f>Underwriting!BS89</f>
        <v>1</v>
      </c>
      <c r="BJ83" s="285" t="n">
        <f>Underwriting!BT89</f>
        <v>1</v>
      </c>
      <c r="BK83" s="285" t="n">
        <f>Underwriting!BU89</f>
        <v>1</v>
      </c>
      <c r="BL83" s="285" t="n">
        <f>Underwriting!BV89</f>
        <v>1</v>
      </c>
      <c r="BM83" s="285" t="n">
        <f>Underwriting!BW89</f>
        <v>1</v>
      </c>
      <c r="BN83" s="285" t="n">
        <f>Underwriting!BX89</f>
        <v>1</v>
      </c>
      <c r="BO83" s="285" t="n">
        <f>Underwriting!BY89</f>
        <v>1</v>
      </c>
      <c r="BP83" s="285" t="n">
        <f>Underwriting!BZ89</f>
        <v>1</v>
      </c>
      <c r="BQ83" s="285" t="n">
        <f>Underwriting!CA89</f>
        <v>1</v>
      </c>
      <c r="BR83" s="285" t="n">
        <f>Underwriting!CB89</f>
        <v>1</v>
      </c>
      <c r="BS83" s="285" t="n">
        <f>Underwriting!CC89</f>
        <v>1</v>
      </c>
      <c r="BT83" s="285" t="n">
        <f>Underwriting!CD89</f>
        <v>1</v>
      </c>
      <c r="BU83" s="285" t="n">
        <f>Underwriting!CE89</f>
        <v>1</v>
      </c>
      <c r="BV83" s="285" t="n">
        <f>Underwriting!CF89</f>
        <v>1</v>
      </c>
      <c r="BW83" s="285" t="n">
        <f>Underwriting!CG89</f>
        <v>1</v>
      </c>
      <c r="BX83" s="285" t="n">
        <f>Underwriting!CH89</f>
        <v>1</v>
      </c>
      <c r="BY83" s="285" t="n">
        <f>Underwriting!CI89</f>
        <v>1</v>
      </c>
      <c r="BZ83" s="285" t="n">
        <f>Underwriting!CJ89</f>
        <v>1</v>
      </c>
      <c r="CA83" s="285" t="n">
        <f>Underwriting!CK89</f>
        <v>1</v>
      </c>
      <c r="CB83" s="285" t="n">
        <f>Underwriting!CL89</f>
        <v>1</v>
      </c>
      <c r="CC83" s="285" t="n">
        <f>Underwriting!CM89</f>
        <v>1</v>
      </c>
      <c r="CD83" s="285" t="n">
        <f>Underwriting!CN89</f>
        <v>1</v>
      </c>
      <c r="CE83" s="285" t="n">
        <f>Underwriting!CO89</f>
        <v>1</v>
      </c>
      <c r="CF83" s="285" t="n">
        <f>Underwriting!CP89</f>
        <v>1</v>
      </c>
      <c r="CG83" s="285" t="n">
        <f>Underwriting!CQ89</f>
        <v>1</v>
      </c>
      <c r="CH83" s="285" t="n">
        <f>Underwriting!CR89</f>
        <v>1</v>
      </c>
      <c r="CI83" s="285" t="n">
        <f>Underwriting!CS89</f>
        <v>1</v>
      </c>
      <c r="CJ83" s="285" t="n">
        <f>Underwriting!CT89</f>
        <v>1</v>
      </c>
      <c r="CK83" s="285" t="n">
        <f>Underwriting!CU89</f>
        <v>1</v>
      </c>
      <c r="CL83" s="285" t="n">
        <f>Underwriting!CV89</f>
        <v>1</v>
      </c>
      <c r="CM83" s="285" t="n">
        <f>Underwriting!CW89</f>
        <v>1</v>
      </c>
      <c r="CN83" s="285" t="n">
        <f>Underwriting!CX89</f>
        <v>1</v>
      </c>
      <c r="CO83" s="285" t="n">
        <f>Underwriting!CY89</f>
        <v>1</v>
      </c>
      <c r="CP83" s="285" t="n">
        <f>Underwriting!CZ89</f>
        <v>1</v>
      </c>
      <c r="CQ83" s="285" t="n">
        <f>Underwriting!DA89</f>
        <v>1</v>
      </c>
      <c r="CR83" s="285" t="n">
        <f>Underwriting!DB89</f>
        <v>1</v>
      </c>
      <c r="CS83" s="285" t="n">
        <f>Underwriting!DC89</f>
        <v>1</v>
      </c>
      <c r="CT83" s="285" t="n">
        <f>Underwriting!DD89</f>
        <v>1</v>
      </c>
      <c r="CU83" s="285" t="n">
        <f>Underwriting!DE89</f>
        <v>1</v>
      </c>
      <c r="CV83" s="285" t="n">
        <f>Underwriting!DF89</f>
        <v>1</v>
      </c>
      <c r="CW83" s="285" t="n">
        <f>Underwriting!DG89</f>
        <v>1</v>
      </c>
      <c r="CX83" s="285" t="n">
        <f>Underwriting!DH89</f>
        <v>1</v>
      </c>
      <c r="CY83" s="285" t="n">
        <f>Underwriting!DI89</f>
        <v>1</v>
      </c>
      <c r="CZ83" s="285" t="n">
        <f>Underwriting!DJ89</f>
        <v>1</v>
      </c>
      <c r="DA83" s="285" t="n">
        <f>Underwriting!DK89</f>
        <v>1</v>
      </c>
      <c r="DB83" s="285" t="n">
        <f>Underwriting!DL89</f>
        <v>1</v>
      </c>
      <c r="DC83" s="285" t="n">
        <f>Underwriting!DM89</f>
        <v>1</v>
      </c>
      <c r="DD83" s="285" t="n">
        <f>Underwriting!DN89</f>
        <v>1</v>
      </c>
      <c r="DE83" s="285" t="n">
        <f>Underwriting!DO89</f>
        <v>1</v>
      </c>
      <c r="DF83" s="285" t="n">
        <f>Underwriting!DP89</f>
        <v>1</v>
      </c>
      <c r="DG83" s="285" t="n">
        <f>Underwriting!DQ89</f>
        <v>1</v>
      </c>
      <c r="DH83" s="285" t="n">
        <f>Underwriting!DR89</f>
        <v>1</v>
      </c>
      <c r="DI83" s="285" t="n">
        <f>Underwriting!DS89</f>
        <v>1</v>
      </c>
      <c r="DJ83" s="285" t="n">
        <f>Underwriting!DT89</f>
        <v>1</v>
      </c>
      <c r="DK83" s="285" t="n">
        <f>Underwriting!DU89</f>
        <v>1</v>
      </c>
      <c r="DL83" s="285" t="n">
        <f>Underwriting!DV89</f>
        <v>1</v>
      </c>
      <c r="DM83" s="285" t="n">
        <f>Underwriting!DW89</f>
        <v>1</v>
      </c>
      <c r="DN83" s="285" t="n">
        <f>Underwriting!DX89</f>
        <v>1</v>
      </c>
      <c r="DO83" s="285" t="n">
        <f>Underwriting!DY89</f>
        <v>1</v>
      </c>
      <c r="DP83" s="285" t="n">
        <f>Underwriting!DZ89</f>
        <v>1</v>
      </c>
      <c r="DQ83" s="285" t="n">
        <f>Underwriting!EA89</f>
        <v>1</v>
      </c>
      <c r="DR83" s="285" t="n">
        <f>Underwriting!EB89</f>
        <v>1</v>
      </c>
    </row>
    <row r="84">
      <c r="B84" s="284" t="n">
        <f t="shared" ref="B84:AG84" si="6">B83*Units_SF_M2</f>
        <v>0</v>
      </c>
      <c r="C84" s="284">
        <f t="shared" si="6"/>
        <v>0</v>
      </c>
      <c r="D84" s="284">
        <f t="shared" si="6"/>
        <v>0</v>
      </c>
      <c r="E84" s="284">
        <f t="shared" si="6"/>
        <v>0</v>
      </c>
      <c r="F84" s="284">
        <f t="shared" si="6"/>
        <v>0</v>
      </c>
      <c r="G84" s="284">
        <f t="shared" si="6"/>
        <v>0</v>
      </c>
      <c r="H84" s="284">
        <f t="shared" si="6"/>
        <v>0</v>
      </c>
      <c r="I84" s="284">
        <f t="shared" si="6"/>
        <v>0</v>
      </c>
      <c r="J84" s="284">
        <f t="shared" si="6"/>
        <v>0</v>
      </c>
      <c r="K84" s="284">
        <f t="shared" si="6"/>
        <v>0</v>
      </c>
      <c r="L84" s="284">
        <f t="shared" si="6"/>
        <v>0</v>
      </c>
      <c r="M84" s="284">
        <f t="shared" si="6"/>
        <v>0</v>
      </c>
      <c r="N84" s="284">
        <f t="shared" si="6"/>
        <v>0</v>
      </c>
      <c r="O84" s="284">
        <f t="shared" si="6"/>
        <v>0</v>
      </c>
      <c r="P84" s="284">
        <f t="shared" si="6"/>
        <v>0</v>
      </c>
      <c r="Q84" s="284">
        <f t="shared" si="6"/>
        <v>0</v>
      </c>
      <c r="R84" s="284">
        <f t="shared" si="6"/>
        <v>0</v>
      </c>
      <c r="S84" s="284">
        <f t="shared" si="6"/>
        <v>0</v>
      </c>
      <c r="T84" s="284">
        <f t="shared" si="6"/>
        <v>0</v>
      </c>
      <c r="U84" s="284">
        <f t="shared" si="6"/>
        <v>21500</v>
      </c>
      <c r="V84" s="284">
        <f t="shared" si="6"/>
        <v>21500</v>
      </c>
      <c r="W84" s="284">
        <f t="shared" si="6"/>
        <v>21500</v>
      </c>
      <c r="X84" s="284">
        <f t="shared" si="6"/>
        <v>48000</v>
      </c>
      <c r="Y84" s="284">
        <f t="shared" si="6"/>
        <v>48000</v>
      </c>
      <c r="Z84" s="284">
        <f t="shared" si="6"/>
        <v>48000</v>
      </c>
      <c r="AA84" s="284">
        <f t="shared" si="6"/>
        <v>52150</v>
      </c>
      <c r="AB84" s="284">
        <f t="shared" si="6"/>
        <v>52150</v>
      </c>
      <c r="AC84" s="284">
        <f t="shared" si="6"/>
        <v>52150</v>
      </c>
      <c r="AD84" s="284">
        <f t="shared" si="6"/>
        <v>75450.38</v>
      </c>
      <c r="AE84" s="284">
        <f t="shared" si="6"/>
        <v>75450.38</v>
      </c>
      <c r="AF84" s="284">
        <f t="shared" si="6"/>
        <v>75450.38</v>
      </c>
      <c r="AG84" s="284">
        <f t="shared" si="6"/>
        <v>78200.38</v>
      </c>
      <c r="AH84" s="284" t="n">
        <f t="shared" ref="AH84:BM84" si="7">AH83*Units_SF_M2</f>
        <v>78200.38</v>
      </c>
      <c r="AI84" s="284">
        <f t="shared" si="7"/>
        <v>78200.38</v>
      </c>
      <c r="AJ84" s="284">
        <f t="shared" si="7"/>
        <v>78200.38</v>
      </c>
      <c r="AK84" s="284">
        <f t="shared" si="7"/>
        <v>78200.38</v>
      </c>
      <c r="AL84" s="284">
        <f t="shared" si="7"/>
        <v>78200.38</v>
      </c>
      <c r="AM84" s="284">
        <f t="shared" si="7"/>
        <v>78312.38</v>
      </c>
      <c r="AN84" s="284">
        <f t="shared" si="7"/>
        <v>78312.38</v>
      </c>
      <c r="AO84" s="284">
        <f t="shared" si="7"/>
        <v>78312.38</v>
      </c>
      <c r="AP84" s="284">
        <f t="shared" si="7"/>
        <v>78312.38</v>
      </c>
      <c r="AQ84" s="284">
        <f t="shared" si="7"/>
        <v>78312.38</v>
      </c>
      <c r="AR84" s="284">
        <f t="shared" si="7"/>
        <v>78312.38</v>
      </c>
      <c r="AS84" s="284">
        <f t="shared" si="7"/>
        <v>78312.38</v>
      </c>
      <c r="AT84" s="284">
        <f t="shared" si="7"/>
        <v>78312.38</v>
      </c>
      <c r="AU84" s="284">
        <f t="shared" si="7"/>
        <v>78312.38</v>
      </c>
      <c r="AV84" s="284">
        <f t="shared" si="7"/>
        <v>78312.38</v>
      </c>
      <c r="AW84" s="284">
        <f t="shared" si="7"/>
        <v>78312.38</v>
      </c>
      <c r="AX84" s="284">
        <f t="shared" si="7"/>
        <v>78312.38</v>
      </c>
      <c r="AY84" s="284">
        <f t="shared" si="7"/>
        <v>78312.38</v>
      </c>
      <c r="AZ84" s="284">
        <f t="shared" si="7"/>
        <v>78312.38</v>
      </c>
      <c r="BA84" s="284">
        <f t="shared" si="7"/>
        <v>78312.38</v>
      </c>
      <c r="BB84" s="284">
        <f t="shared" si="7"/>
        <v>78312.38</v>
      </c>
      <c r="BC84" s="284">
        <f t="shared" si="7"/>
        <v>78312.38</v>
      </c>
      <c r="BD84" s="284">
        <f t="shared" si="7"/>
        <v>78312.38</v>
      </c>
      <c r="BE84" s="284">
        <f t="shared" si="7"/>
        <v>78312.38</v>
      </c>
      <c r="BF84" s="284">
        <f t="shared" si="7"/>
        <v>78312.38</v>
      </c>
      <c r="BG84" s="284">
        <f t="shared" si="7"/>
        <v>78312.38</v>
      </c>
      <c r="BH84" s="284">
        <f t="shared" si="7"/>
        <v>78312.38</v>
      </c>
      <c r="BI84" s="284">
        <f t="shared" si="7"/>
        <v>78312.38</v>
      </c>
      <c r="BJ84" s="284">
        <f t="shared" si="7"/>
        <v>78312.38</v>
      </c>
      <c r="BK84" s="284">
        <f t="shared" si="7"/>
        <v>78312.38</v>
      </c>
      <c r="BL84" s="284">
        <f t="shared" si="7"/>
        <v>78312.38</v>
      </c>
      <c r="BM84" s="284">
        <f t="shared" si="7"/>
        <v>78312.38</v>
      </c>
      <c r="BN84" s="284" t="n">
        <f t="shared" ref="BN84:CS84" si="8">BN83*Units_SF_M2</f>
        <v>78312.38</v>
      </c>
      <c r="BO84" s="284">
        <f t="shared" si="8"/>
        <v>78312.38</v>
      </c>
      <c r="BP84" s="284">
        <f t="shared" si="8"/>
        <v>78312.38</v>
      </c>
      <c r="BQ84" s="284">
        <f t="shared" si="8"/>
        <v>78312.38</v>
      </c>
      <c r="BR84" s="284">
        <f t="shared" si="8"/>
        <v>78312.38</v>
      </c>
      <c r="BS84" s="284">
        <f t="shared" si="8"/>
        <v>78312.38</v>
      </c>
      <c r="BT84" s="284">
        <f t="shared" si="8"/>
        <v>78312.38</v>
      </c>
      <c r="BU84" s="284">
        <f t="shared" si="8"/>
        <v>78312.38</v>
      </c>
      <c r="BV84" s="284">
        <f t="shared" si="8"/>
        <v>78312.38</v>
      </c>
      <c r="BW84" s="284">
        <f t="shared" si="8"/>
        <v>78312.38</v>
      </c>
      <c r="BX84" s="284">
        <f t="shared" si="8"/>
        <v>78312.38</v>
      </c>
      <c r="BY84" s="284">
        <f t="shared" si="8"/>
        <v>78312.38</v>
      </c>
      <c r="BZ84" s="284">
        <f t="shared" si="8"/>
        <v>78312.38</v>
      </c>
      <c r="CA84" s="284">
        <f t="shared" si="8"/>
        <v>78312.38</v>
      </c>
      <c r="CB84" s="284">
        <f t="shared" si="8"/>
        <v>78312.38</v>
      </c>
      <c r="CC84" s="284">
        <f t="shared" si="8"/>
        <v>78312.38</v>
      </c>
      <c r="CD84" s="284">
        <f t="shared" si="8"/>
        <v>78312.38</v>
      </c>
      <c r="CE84" s="284">
        <f t="shared" si="8"/>
        <v>78312.38</v>
      </c>
      <c r="CF84" s="284">
        <f t="shared" si="8"/>
        <v>78312.38</v>
      </c>
      <c r="CG84" s="284">
        <f t="shared" si="8"/>
        <v>78312.38</v>
      </c>
      <c r="CH84" s="284">
        <f t="shared" si="8"/>
        <v>78312.38</v>
      </c>
      <c r="CI84" s="284">
        <f t="shared" si="8"/>
        <v>78312.38</v>
      </c>
      <c r="CJ84" s="284">
        <f t="shared" si="8"/>
        <v>78312.38</v>
      </c>
      <c r="CK84" s="284">
        <f t="shared" si="8"/>
        <v>78312.38</v>
      </c>
      <c r="CL84" s="284">
        <f t="shared" si="8"/>
        <v>78312.38</v>
      </c>
      <c r="CM84" s="284">
        <f t="shared" si="8"/>
        <v>78312.38</v>
      </c>
      <c r="CN84" s="284">
        <f t="shared" si="8"/>
        <v>78312.38</v>
      </c>
      <c r="CO84" s="284">
        <f t="shared" si="8"/>
        <v>78312.38</v>
      </c>
      <c r="CP84" s="284">
        <f t="shared" si="8"/>
        <v>78312.38</v>
      </c>
      <c r="CQ84" s="284">
        <f t="shared" si="8"/>
        <v>78312.38</v>
      </c>
      <c r="CR84" s="284">
        <f t="shared" si="8"/>
        <v>78312.38</v>
      </c>
      <c r="CS84" s="284">
        <f t="shared" si="8"/>
        <v>78312.38</v>
      </c>
      <c r="CT84" s="284" t="n">
        <f t="shared" ref="CT84:DR84" si="9">CT83*Units_SF_M2</f>
        <v>78312.38</v>
      </c>
      <c r="CU84" s="284">
        <f t="shared" si="9"/>
        <v>78312.38</v>
      </c>
      <c r="CV84" s="284">
        <f t="shared" si="9"/>
        <v>78312.38</v>
      </c>
      <c r="CW84" s="284">
        <f t="shared" si="9"/>
        <v>78312.38</v>
      </c>
      <c r="CX84" s="284">
        <f t="shared" si="9"/>
        <v>78312.38</v>
      </c>
      <c r="CY84" s="284">
        <f t="shared" si="9"/>
        <v>78312.38</v>
      </c>
      <c r="CZ84" s="284">
        <f t="shared" si="9"/>
        <v>78312.38</v>
      </c>
      <c r="DA84" s="284">
        <f t="shared" si="9"/>
        <v>78312.38</v>
      </c>
      <c r="DB84" s="284">
        <f t="shared" si="9"/>
        <v>78312.38</v>
      </c>
      <c r="DC84" s="284">
        <f t="shared" si="9"/>
        <v>78312.38</v>
      </c>
      <c r="DD84" s="284">
        <f t="shared" si="9"/>
        <v>78312.38</v>
      </c>
      <c r="DE84" s="284">
        <f t="shared" si="9"/>
        <v>78312.38</v>
      </c>
      <c r="DF84" s="284">
        <f t="shared" si="9"/>
        <v>78312.38</v>
      </c>
      <c r="DG84" s="284">
        <f t="shared" si="9"/>
        <v>78312.38</v>
      </c>
      <c r="DH84" s="284">
        <f t="shared" si="9"/>
        <v>78312.38</v>
      </c>
      <c r="DI84" s="284">
        <f t="shared" si="9"/>
        <v>78312.38</v>
      </c>
      <c r="DJ84" s="284">
        <f t="shared" si="9"/>
        <v>78312.38</v>
      </c>
      <c r="DK84" s="284">
        <f t="shared" si="9"/>
        <v>78312.38</v>
      </c>
      <c r="DL84" s="284">
        <f t="shared" si="9"/>
        <v>78312.38</v>
      </c>
      <c r="DM84" s="284">
        <f t="shared" si="9"/>
        <v>78312.38</v>
      </c>
      <c r="DN84" s="284">
        <f t="shared" si="9"/>
        <v>78312.38</v>
      </c>
      <c r="DO84" s="284">
        <f t="shared" si="9"/>
        <v>78312.38</v>
      </c>
      <c r="DP84" s="284">
        <f t="shared" si="9"/>
        <v>78312.38</v>
      </c>
      <c r="DQ84" s="284">
        <f t="shared" si="9"/>
        <v>78312.38</v>
      </c>
      <c r="DR84" s="284">
        <f t="shared" si="9"/>
        <v>78312.38</v>
      </c>
    </row>
    <row r="8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row>
    <row r="86">
      <c r="B86" s="4" t="n">
        <f>ROUNDUP(Timing_Analysis_End_Month/12,0)</f>
        <v>6</v>
      </c>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row>
    <row r="87">
      <c r="B87" s="4">
        <v>1</v>
      </c>
      <c r="C87" s="4" t="n">
        <f>IF(OR(B87="",B87=$B$86),"",B87+1)</f>
        <v>2</v>
      </c>
      <c r="D87" s="4" t="n">
        <f t="shared" ref="D87:K87" si="10">IF(OR(C87="",C87=$B$86),"",C87+1)</f>
        <v>3</v>
      </c>
      <c r="E87" s="4">
        <f t="shared" si="10"/>
        <v>4</v>
      </c>
      <c r="F87" s="4">
        <f t="shared" si="10"/>
        <v>5</v>
      </c>
      <c r="G87" s="4">
        <f t="shared" si="10"/>
        <v>6</v>
      </c>
      <c r="H87" s="4" t="str">
        <f t="shared" si="10"/>
      </c>
      <c r="I87" s="4" t="str">
        <f t="shared" si="10"/>
      </c>
      <c r="J87" s="4" t="str">
        <f t="shared" si="10"/>
      </c>
      <c r="K87" s="4" t="str">
        <f t="shared" si="10"/>
      </c>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row>
    <row r="88">
      <c r="B88" s="285" t="n">
        <f t="shared" ref="B88:K88" si="11">IF(B87="","",B89/Units_SF_M2)</f>
        <v>0</v>
      </c>
      <c r="C88" s="285">
        <f t="shared" si="11"/>
        <v>0.61292990967711614</v>
      </c>
      <c r="D88" s="285">
        <f t="shared" si="11"/>
        <v>0.99856983021075341</v>
      </c>
      <c r="E88" s="285">
        <f t="shared" si="11"/>
        <v>1</v>
      </c>
      <c r="F88" s="285">
        <f t="shared" si="11"/>
        <v>1</v>
      </c>
      <c r="G88" s="285">
        <f t="shared" si="11"/>
        <v>1</v>
      </c>
      <c r="H88" s="285" t="str">
        <f t="shared" si="11"/>
      </c>
      <c r="I88" s="285" t="str">
        <f t="shared" si="11"/>
      </c>
      <c r="J88" s="285" t="str">
        <f t="shared" si="11"/>
      </c>
      <c r="K88" s="285" t="str">
        <f t="shared" si="11"/>
      </c>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row>
    <row r="89">
      <c r="B89" s="284" t="n">
        <f t="array" ref="B89">IF(B87="","",INDEX($B$84:$DR$84,1,B87*12))</f>
        <v>0</v>
      </c>
      <c r="C89" s="284" t="n">
        <f t="array" ref="C89">IF(C87="","",INDEX($B$84:$DR$84,1,C87*12))</f>
        <v>48000</v>
      </c>
      <c r="D89" s="284" t="n">
        <f t="array" ref="D89">IF(D87="","",INDEX($B$84:$DR$84,1,D87*12))</f>
        <v>78200.38</v>
      </c>
      <c r="E89" s="284" t="n">
        <f t="array" ref="E89">IF(E87="","",INDEX($B$84:$DR$84,1,E87*12))</f>
        <v>78312.38</v>
      </c>
      <c r="F89" s="284" t="n">
        <f t="array" ref="F89">IF(F87="","",INDEX($B$84:$DR$84,1,F87*12))</f>
        <v>78312.38</v>
      </c>
      <c r="G89" s="284" t="n">
        <f t="array" ref="G89">IF(G87="","",INDEX($B$84:$DR$84,1,G87*12))</f>
        <v>78312.38</v>
      </c>
      <c r="H89" s="284" t="str">
        <f t="array" ref="H89">IF(H87="","",INDEX($B$84:$DR$84,1,H87*12))</f>
      </c>
      <c r="I89" s="284" t="str">
        <f t="array" ref="I89">IF(I87="","",INDEX($B$84:$DR$84,1,I87*12))</f>
      </c>
      <c r="J89" s="284" t="str">
        <f t="array" ref="J89">IF(J87="","",INDEX($B$84:$DR$84,1,J87*12))</f>
      </c>
      <c r="K89" s="284" t="str">
        <f t="array" ref="K89">IF(K87="","",INDEX($B$84:$DR$84,1,K87*12))</f>
      </c>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row>
    <row r="90">
      <c r="B90" s="284" t="n">
        <f>IF(B87="","",B89-A89)</f>
        <v>0</v>
      </c>
      <c r="C90" s="284" t="n">
        <f t="shared" ref="C90:K90" si="12">IF(C87="","",C89-B89)</f>
        <v>48000</v>
      </c>
      <c r="D90" s="284">
        <f t="shared" si="12"/>
        <v>30200.380000000005</v>
      </c>
      <c r="E90" s="284">
        <f t="shared" si="12"/>
        <v>112</v>
      </c>
      <c r="F90" s="284">
        <f t="shared" si="12"/>
        <v>0</v>
      </c>
      <c r="G90" s="284">
        <f t="shared" si="12"/>
        <v>0</v>
      </c>
      <c r="H90" s="284" t="str">
        <f t="shared" si="12"/>
      </c>
      <c r="I90" s="284" t="str">
        <f t="shared" si="12"/>
      </c>
      <c r="J90" s="284" t="str">
        <f t="shared" si="12"/>
      </c>
      <c r="K90" s="284" t="str">
        <f t="shared" si="12"/>
      </c>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row>
    <row r="91">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row>
    <row r="92">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row>
  </sheetData>
  <mergeCells>
    <mergeCell ref="B69:Q69"/>
    <mergeCell ref="B70:Q70"/>
    <mergeCell ref="B71:Q71"/>
    <mergeCell ref="B64:Q64"/>
    <mergeCell ref="B65:Q65"/>
    <mergeCell ref="B66:Q66"/>
    <mergeCell ref="B67:Q67"/>
    <mergeCell ref="B68:Q68"/>
    <mergeCell ref="B27:Q27"/>
    <mergeCell ref="O28:Q28"/>
    <mergeCell ref="B32:Q32"/>
    <mergeCell ref="B48:Q48"/>
    <mergeCell ref="P62:Q62"/>
  </mergeCells>
  <pageMargins left="0.7" right="0.7" top="0.75" bottom="0.75" header="0.3" footer="0.3"/>
  <drawing xmlns:r="http://schemas.openxmlformats.org/officeDocument/2006/relationships" r:id="R8260c56988c94721"/>
</worksheet>
</file>

<file path=xl/worksheets/sheet5.xml><?xml version="1.0" encoding="utf-8"?>
<worksheet xmlns="http://schemas.openxmlformats.org/spreadsheetml/2006/main">
  <sheetPr>
    <tabColor rgb="FFE6E0C4"/>
  </sheetPr>
  <sheetFormatPr defaultRowHeight="14.5"/>
  <cols>
    <col min="1" max="1" width="2.6640625" customWidth="1"/>
    <col min="2" max="2" width="25.83203125" customWidth="1"/>
    <col min="3" max="3" width="2.83203125" customWidth="1"/>
    <col min="4" max="4" width="11.33203125" customWidth="1"/>
    <col min="5" max="5" width="1.83203125" customWidth="1"/>
    <col min="6" max="6" width="1.4140625" customWidth="1"/>
    <col min="7" max="7" width="22.5" customWidth="1"/>
    <col min="8" max="9" width="9.25" customWidth="1"/>
    <col min="10" max="10" width="3.25" customWidth="1"/>
    <col min="11" max="11" width="7.25" customWidth="1"/>
    <col min="12" max="12" width="11.83203125" customWidth="1"/>
    <col min="13" max="13" width="9.25" customWidth="1"/>
    <col min="14" max="14" width="9.33203125" customWidth="1"/>
    <col min="15" max="15" width="9.5" customWidth="1"/>
    <col min="16" max="16" width="9.25" customWidth="1"/>
    <col min="17" max="17" width="9.58203125" customWidth="1"/>
    <col min="18" max="18" width="9.25" customWidth="1"/>
    <col min="19" max="19" width="8.58203125" customWidth="1"/>
    <col min="20" max="20" width="9.5" customWidth="1"/>
    <col min="21" max="22" width="9.25" customWidth="1"/>
    <col min="23" max="23" width="9.5" customWidth="1"/>
    <col min="24" max="24" width="9.33203125" customWidth="1"/>
    <col min="25" max="25" width="9.25" customWidth="1"/>
    <col min="26" max="26" width="9.33203125" customWidth="1"/>
    <col min="27" max="27" width="9.5" customWidth="1"/>
    <col min="28" max="28" width="9.25" customWidth="1"/>
    <col min="29" max="29" width="9.58203125" customWidth="1"/>
    <col min="30" max="30" width="9.25" customWidth="1"/>
    <col min="31" max="31" width="8.58203125" customWidth="1"/>
    <col min="32" max="32" width="9.5" customWidth="1"/>
    <col min="33" max="34" width="9.25" customWidth="1"/>
    <col min="35" max="35" width="9.5" customWidth="1"/>
    <col min="36" max="36" width="9.33203125" customWidth="1"/>
    <col min="37" max="37" width="9.25" customWidth="1"/>
  </cols>
  <sheetData>
    <row r="2">
      <c r="B2" s="2" t="s">
        <v>622</v>
      </c>
      <c r="C2" s="1"/>
      <c r="D2" s="1"/>
      <c r="E2" s="1"/>
    </row>
    <row r="3">
      <c r="B3" s="7" t="str">
        <f>Underwriting!B23</f>
        <v>INVESTMENT PERIOD CASH FLOWS</v>
      </c>
      <c r="C3" s="7"/>
      <c r="D3" s="7"/>
      <c r="E3" s="7"/>
      <c r="G3" s="15" t="s">
        <v>623</v>
      </c>
    </row>
    <row r="4">
      <c r="B4" t="s">
        <v>624</v>
      </c>
      <c r="E4" s="3">
        <v>6</v>
      </c>
      <c r="F4" s="3"/>
      <c r="M4" s="9" t="n">
        <f>H6</f>
        <v>43131</v>
      </c>
      <c r="N4" s="9" t="n">
        <f t="shared" ref="N4:U4" si="0">EOMONTH(M4,1)</f>
        <v>43159</v>
      </c>
      <c r="O4" s="9">
        <f t="shared" si="0"/>
        <v>43190</v>
      </c>
      <c r="P4" s="9">
        <f t="shared" si="0"/>
        <v>43220</v>
      </c>
      <c r="Q4" s="9">
        <f t="shared" si="0"/>
        <v>43251</v>
      </c>
      <c r="R4" s="9">
        <f t="shared" si="0"/>
        <v>43281</v>
      </c>
      <c r="S4" s="9">
        <f t="shared" si="0"/>
        <v>43312</v>
      </c>
      <c r="T4" s="9">
        <f t="shared" si="0"/>
        <v>43343</v>
      </c>
      <c r="U4" s="9">
        <f t="shared" si="0"/>
        <v>43373</v>
      </c>
      <c r="V4" s="9" t="n">
        <f t="shared" ref="V4:AJ4" si="1">EOMONTH(U4,1)</f>
        <v>43404</v>
      </c>
      <c r="W4" s="9">
        <f t="shared" si="1"/>
        <v>43434</v>
      </c>
      <c r="X4" s="9">
        <f t="shared" si="1"/>
        <v>43465</v>
      </c>
      <c r="Y4" s="9">
        <f t="shared" si="1"/>
        <v>43496</v>
      </c>
      <c r="Z4" s="9">
        <f t="shared" si="1"/>
        <v>43524</v>
      </c>
      <c r="AA4" s="9">
        <f t="shared" si="1"/>
        <v>43555</v>
      </c>
      <c r="AB4" s="9">
        <f t="shared" si="1"/>
        <v>43585</v>
      </c>
      <c r="AC4" s="9">
        <f t="shared" si="1"/>
        <v>43616</v>
      </c>
      <c r="AD4" s="9">
        <f t="shared" si="1"/>
        <v>43646</v>
      </c>
      <c r="AE4" s="9">
        <f t="shared" si="1"/>
        <v>43677</v>
      </c>
      <c r="AF4" s="9">
        <f t="shared" si="1"/>
        <v>43708</v>
      </c>
      <c r="AG4" s="9">
        <f t="shared" si="1"/>
        <v>43738</v>
      </c>
      <c r="AH4" s="9">
        <f t="shared" si="1"/>
        <v>43769</v>
      </c>
      <c r="AI4" s="9">
        <f t="shared" si="1"/>
        <v>43799</v>
      </c>
      <c r="AJ4" s="9">
        <f t="shared" si="1"/>
        <v>43830</v>
      </c>
      <c r="AK4" s="9" t="n">
        <f>EOMONTH(AJ4,1)</f>
        <v>43861</v>
      </c>
    </row>
    <row r="5">
      <c r="B5" s="13">
        <v>10</v>
      </c>
      <c r="C5">
        <v>10</v>
      </c>
      <c r="G5" s="10" t="s">
        <v>80</v>
      </c>
      <c r="H5" s="10" t="s">
        <v>132</v>
      </c>
      <c r="I5" s="10" t="s">
        <v>133</v>
      </c>
      <c r="J5" s="11" t="s">
        <v>625</v>
      </c>
      <c r="K5" s="10" t="s">
        <v>626</v>
      </c>
      <c r="L5" s="10" t="s">
        <v>627</v>
      </c>
      <c r="M5" s="10">
        <v>1</v>
      </c>
      <c r="N5" s="10" t="n">
        <f t="shared" ref="N5:U5" si="2">M5+1</f>
        <v>2</v>
      </c>
      <c r="O5" s="10">
        <f t="shared" si="2"/>
        <v>3</v>
      </c>
      <c r="P5" s="10">
        <f t="shared" si="2"/>
        <v>4</v>
      </c>
      <c r="Q5" s="10">
        <f t="shared" si="2"/>
        <v>5</v>
      </c>
      <c r="R5" s="10">
        <f t="shared" si="2"/>
        <v>6</v>
      </c>
      <c r="S5" s="10">
        <f t="shared" si="2"/>
        <v>7</v>
      </c>
      <c r="T5" s="10">
        <f t="shared" si="2"/>
        <v>8</v>
      </c>
      <c r="U5" s="10">
        <f t="shared" si="2"/>
        <v>9</v>
      </c>
      <c r="V5" s="10" t="n">
        <f t="shared" ref="V5:AJ5" si="3">U5+1</f>
        <v>10</v>
      </c>
      <c r="W5" s="10">
        <f t="shared" si="3"/>
        <v>11</v>
      </c>
      <c r="X5" s="10">
        <f t="shared" si="3"/>
        <v>12</v>
      </c>
      <c r="Y5" s="10">
        <f t="shared" si="3"/>
        <v>13</v>
      </c>
      <c r="Z5" s="10">
        <f t="shared" si="3"/>
        <v>14</v>
      </c>
      <c r="AA5" s="10">
        <f t="shared" si="3"/>
        <v>15</v>
      </c>
      <c r="AB5" s="10">
        <f t="shared" si="3"/>
        <v>16</v>
      </c>
      <c r="AC5" s="10">
        <f t="shared" si="3"/>
        <v>17</v>
      </c>
      <c r="AD5" s="10">
        <f t="shared" si="3"/>
        <v>18</v>
      </c>
      <c r="AE5" s="10">
        <f t="shared" si="3"/>
        <v>19</v>
      </c>
      <c r="AF5" s="10">
        <f t="shared" si="3"/>
        <v>20</v>
      </c>
      <c r="AG5" s="10">
        <f t="shared" si="3"/>
        <v>21</v>
      </c>
      <c r="AH5" s="10">
        <f t="shared" si="3"/>
        <v>22</v>
      </c>
      <c r="AI5" s="10">
        <f t="shared" si="3"/>
        <v>23</v>
      </c>
      <c r="AJ5" s="10">
        <f t="shared" si="3"/>
        <v>24</v>
      </c>
      <c r="AK5" s="10" t="n">
        <f>AJ5+1</f>
        <v>25</v>
      </c>
    </row>
    <row r="6">
      <c r="B6" s="12">
        <v>9</v>
      </c>
      <c r="C6">
        <v>9</v>
      </c>
      <c r="G6" s="8">
        <v>1000000</v>
      </c>
      <c r="H6" s="9">
        <v>43131</v>
      </c>
      <c r="I6" s="9" t="n">
        <f>AK4</f>
        <v>43861</v>
      </c>
      <c r="J6">
        <v>25</v>
      </c>
      <c r="K6" t="s">
        <v>143</v>
      </c>
      <c r="L6" t="n">
        <f>J6/E4</f>
        <v>4.166666666666667</v>
      </c>
      <c r="M6" s="8" t="n">
        <f>+IF(AND($K6="Flat",M$4&gt;=$H6,M$4&lt;=$I6),$G6/$J6,0)+IF(AND($K6="S-Curve",M$4&gt;=$H6,M$4&lt;=$I6),(_xlfn.NORM.DIST((YEAR(M$4)-YEAR($H6))*12+MONTH(M$4)-MONTH($H6)+1,$J6/2,$L6,TRUE)-_xlfn.NORM.DIST((YEAR(M$4)-YEAR($H6))*12+MONTH(M$4)-MONTH($H6),$J6/2,$L6,TRUE))/(1-2*_xlfn.NORM.DIST(0,$J6/2,$L6,TRUE))*$G6,0)</f>
        <v>1544.3394461531182</v>
      </c>
      <c r="N6" s="8" t="n">
        <f>+IF(AND($K6="Flat",N$4&gt;=$H6,N$4&lt;=$I6),$G6/$J6,0)+IF(AND($K6="S-Curve",N$4&gt;=$H6,N$4&lt;=$I6),(_xlfn.NORM.DIST((YEAR(N$4)-YEAR($H6))*12+MONTH(N$4)-MONTH($H6)+1,$J6/2,$L6,TRUE)-_xlfn.NORM.DIST((YEAR(N$4)-YEAR($H6))*12+MONTH(N$4)-MONTH($H6),$J6/2,$L6,TRUE))/(1-2*_xlfn.NORM.DIST(0,$J6/2,$L6,TRUE))*$G6,0)</f>
        <v>2985.734513391588</v>
      </c>
      <c r="O6" s="8" t="n">
        <f>+IF(AND($K6="Flat",O$4&gt;=$H6,O$4&lt;=$I6),$G6/$J6,0)+IF(AND($K6="S-Curve",O$4&gt;=$H6,O$4&lt;=$I6),(_xlfn.NORM.DIST((YEAR(O$4)-YEAR($H6))*12+MONTH(O$4)-MONTH($H6)+1,$J6/2,$L6,TRUE)-_xlfn.NORM.DIST((YEAR(O$4)-YEAR($H6))*12+MONTH(O$4)-MONTH($H6),$J6/2,$L6,TRUE))/(1-2*_xlfn.NORM.DIST(0,$J6/2,$L6,TRUE))*$G6,0)</f>
        <v>5450.8186218771325</v>
      </c>
      <c r="P6" s="8" t="n">
        <f>+IF(AND($K6="Flat",P$4&gt;=$H6,P$4&lt;=$I6),$G6/$J6,0)+IF(AND($K6="S-Curve",P$4&gt;=$H6,P$4&lt;=$I6),(_xlfn.NORM.DIST((YEAR(P$4)-YEAR($H6))*12+MONTH(P$4)-MONTH($H6)+1,$J6/2,$L6,TRUE)-_xlfn.NORM.DIST((YEAR(P$4)-YEAR($H6))*12+MONTH(P$4)-MONTH($H6),$J6/2,$L6,TRUE))/(1-2*_xlfn.NORM.DIST(0,$J6/2,$L6,TRUE))*$G6,0)</f>
        <v>9396.687768161444</v>
      </c>
      <c r="Q6" s="8" t="n">
        <f t="shared" ref="Q6:AK6" si="4">+IF(AND($K6="Flat",Q$4&gt;=$H6,Q$4&lt;=$I6),$G6/$J6,0)+IF(AND($K6="S-Curve",Q$4&gt;=$H6,Q$4&lt;=$I6),(_xlfn.NORM.DIST((YEAR(Q$4)-YEAR($H6))*12+MONTH(Q$4)-MONTH($H6)+1,$J6/2,$L6,TRUE)-_xlfn.NORM.DIST((YEAR(Q$4)-YEAR($H6))*12+MONTH(Q$4)-MONTH($H6),$J6/2,$L6,TRUE))/(1-2*_xlfn.NORM.DIST(0,$J6/2,$L6,TRUE))*$G6,0)</f>
        <v>15296.453551937057</v>
      </c>
      <c r="R6" s="8">
        <f t="shared" si="4"/>
        <v>23513.102062249949</v>
      </c>
      <c r="S6" s="8">
        <f t="shared" si="4"/>
        <v>34129.711659858258</v>
      </c>
      <c r="T6" s="8">
        <f t="shared" si="4"/>
        <v>46779.877223665448</v>
      </c>
      <c r="U6" s="8">
        <f t="shared" si="4"/>
        <v>60546.566553706223</v>
      </c>
      <c r="V6" s="8">
        <f t="shared" si="4"/>
        <v>73998.705904511255</v>
      </c>
      <c r="W6" s="8">
        <f t="shared" si="4"/>
        <v>85401.014354287341</v>
      </c>
      <c r="X6" s="8">
        <f t="shared" si="4"/>
        <v>93069.275260365757</v>
      </c>
      <c r="Y6" s="8">
        <f t="shared" si="4"/>
        <v>95775.426159670722</v>
      </c>
      <c r="Z6" s="8">
        <f t="shared" si="4"/>
        <v>93069.275260365815</v>
      </c>
      <c r="AA6" s="8">
        <f t="shared" si="4"/>
        <v>85401.014354287297</v>
      </c>
      <c r="AB6" s="8">
        <f t="shared" si="4"/>
        <v>73998.705904511226</v>
      </c>
      <c r="AC6" s="8">
        <f t="shared" si="4"/>
        <v>60546.566553706223</v>
      </c>
      <c r="AD6" s="8">
        <f t="shared" si="4"/>
        <v>46779.877223665513</v>
      </c>
      <c r="AE6" s="8">
        <f t="shared" si="4"/>
        <v>34129.711659858265</v>
      </c>
      <c r="AF6" s="8">
        <f t="shared" si="4"/>
        <v>23513.102062249942</v>
      </c>
      <c r="AG6" s="8">
        <f t="shared" si="4"/>
        <v>15296.453551937057</v>
      </c>
      <c r="AH6" s="8">
        <f t="shared" si="4"/>
        <v>9396.6877681614442</v>
      </c>
      <c r="AI6" s="8">
        <f t="shared" si="4"/>
        <v>5450.8186218771325</v>
      </c>
      <c r="AJ6" s="8">
        <f t="shared" si="4"/>
        <v>2985.7345133915878</v>
      </c>
      <c r="AK6" s="8">
        <f t="shared" si="4"/>
        <v>1544.3394461531182</v>
      </c>
    </row>
    <row r="7">
      <c r="B7" s="12">
        <v>8</v>
      </c>
      <c r="C7">
        <v>8</v>
      </c>
    </row>
    <row r="8">
      <c r="B8" s="12">
        <v>7</v>
      </c>
      <c r="C8">
        <v>7</v>
      </c>
    </row>
    <row r="9">
      <c r="B9" s="12">
        <v>6</v>
      </c>
      <c r="C9">
        <v>6</v>
      </c>
    </row>
    <row r="10">
      <c r="B10" s="12">
        <v>5</v>
      </c>
      <c r="C10">
        <v>5</v>
      </c>
    </row>
    <row r="11">
      <c r="B11" s="12">
        <v>4</v>
      </c>
      <c r="C11">
        <v>4</v>
      </c>
    </row>
    <row r="12">
      <c r="B12" s="12">
        <v>3</v>
      </c>
      <c r="C12">
        <v>3</v>
      </c>
    </row>
    <row r="13">
      <c r="B13" s="12">
        <v>2</v>
      </c>
      <c r="C13">
        <v>2</v>
      </c>
    </row>
    <row r="14">
      <c r="B14" s="14" t="s">
        <v>628</v>
      </c>
      <c r="C14">
        <v>1</v>
      </c>
    </row>
    <row r="17">
      <c r="B17" s="10" t="s">
        <v>629</v>
      </c>
    </row>
    <row r="18">
      <c r="B18" t="str">
        <f>+Underwriting!C271</f>
        <v>Vacancy</v>
      </c>
    </row>
    <row r="19">
      <c r="B19" t="str">
        <f>+Underwriting!G271</f>
        <v>Exit Cap Rate</v>
      </c>
    </row>
    <row r="20">
      <c r="B20" t="str">
        <f>+Underwriting!C280</f>
        <v>Inc. Growth</v>
      </c>
    </row>
    <row r="21">
      <c r="B21" t="str">
        <f>+Underwriting!G280</f>
        <v>Exp. Growth</v>
      </c>
    </row>
    <row r="23">
      <c r="B23" s="7" t="s">
        <v>630</v>
      </c>
      <c r="C23" s="7"/>
      <c r="D23" s="7"/>
      <c r="E23" s="7"/>
      <c r="G23" s="7" t="s">
        <v>631</v>
      </c>
      <c r="H23" s="7"/>
    </row>
    <row r="24">
      <c r="B24" t="s">
        <v>632</v>
      </c>
      <c r="D24" t="s">
        <v>633</v>
      </c>
      <c r="G24" t="s">
        <v>239</v>
      </c>
      <c r="H24">
        <v>1</v>
      </c>
    </row>
    <row r="25">
      <c r="B25" s="254" t="s">
        <v>634</v>
      </c>
      <c r="D25" s="254" t="s">
        <v>269</v>
      </c>
      <c r="G25" t="s">
        <v>635</v>
      </c>
      <c r="H25" t="n">
        <f>H24+1</f>
        <v>2</v>
      </c>
    </row>
    <row r="26">
      <c r="B26" s="254" t="s">
        <v>636</v>
      </c>
      <c r="D26" s="254" t="s">
        <v>637</v>
      </c>
      <c r="G26" t="s">
        <v>638</v>
      </c>
      <c r="H26" t="n">
        <f t="shared" ref="H26:H33" si="5">H25+1</f>
        <v>3</v>
      </c>
    </row>
    <row r="27">
      <c r="B27" s="254" t="s">
        <v>639</v>
      </c>
      <c r="D27" s="254" t="s">
        <v>271</v>
      </c>
      <c r="G27" t="s">
        <v>640</v>
      </c>
      <c r="H27">
        <f t="shared" si="5"/>
        <v>4</v>
      </c>
    </row>
    <row r="28">
      <c r="B28" s="254" t="s">
        <v>641</v>
      </c>
      <c r="D28" s="254" t="s">
        <v>273</v>
      </c>
      <c r="G28" t="s">
        <v>642</v>
      </c>
      <c r="H28">
        <f t="shared" si="5"/>
        <v>5</v>
      </c>
    </row>
    <row r="29">
      <c r="B29" s="254" t="s">
        <v>643</v>
      </c>
      <c r="D29" s="254" t="s">
        <v>644</v>
      </c>
      <c r="G29" t="s">
        <v>645</v>
      </c>
      <c r="H29">
        <f t="shared" si="5"/>
        <v>6</v>
      </c>
    </row>
    <row r="30">
      <c r="B30" s="254" t="s">
        <v>646</v>
      </c>
      <c r="D30" s="254"/>
      <c r="G30" t="s">
        <v>647</v>
      </c>
      <c r="H30">
        <f t="shared" si="5"/>
        <v>7</v>
      </c>
    </row>
    <row r="31">
      <c r="B31" s="254" t="s">
        <v>648</v>
      </c>
      <c r="D31" s="254"/>
      <c r="G31" t="s">
        <v>649</v>
      </c>
      <c r="H31">
        <f t="shared" si="5"/>
        <v>8</v>
      </c>
    </row>
    <row r="32">
      <c r="B32" s="254" t="s">
        <v>650</v>
      </c>
      <c r="D32" s="254"/>
      <c r="G32" t="s">
        <v>651</v>
      </c>
      <c r="H32">
        <f t="shared" si="5"/>
        <v>9</v>
      </c>
    </row>
    <row r="33">
      <c r="B33" s="254" t="s">
        <v>643</v>
      </c>
      <c r="D33" s="254"/>
      <c r="G33" t="s">
        <v>652</v>
      </c>
      <c r="H33">
        <f t="shared" si="5"/>
        <v>10</v>
      </c>
    </row>
    <row r="34">
      <c r="B34" s="254" t="s">
        <v>653</v>
      </c>
      <c r="D34" s="254"/>
    </row>
    <row r="35">
      <c r="B35" s="254" t="s">
        <v>107</v>
      </c>
      <c r="D35" s="254"/>
    </row>
    <row r="36">
      <c r="B36" s="254" t="s">
        <v>654</v>
      </c>
      <c r="D36" s="254"/>
    </row>
    <row r="37">
      <c r="B37" s="254" t="s">
        <v>655</v>
      </c>
      <c r="D37" s="254"/>
    </row>
    <row r="38">
      <c r="B38" s="254" t="s">
        <v>656</v>
      </c>
      <c r="D38" s="254"/>
    </row>
    <row r="39">
      <c r="B39" s="254" t="s">
        <v>657</v>
      </c>
      <c r="D39" s="254"/>
    </row>
    <row r="40">
      <c r="B40" s="254" t="s">
        <v>658</v>
      </c>
      <c r="D40" s="254"/>
    </row>
    <row r="41">
      <c r="B41" s="254" t="s">
        <v>659</v>
      </c>
      <c r="D41" s="254"/>
    </row>
    <row r="42">
      <c r="B42" s="254"/>
    </row>
    <row r="43">
      <c r="B43" s="254"/>
    </row>
    <row r="44">
      <c r="B44" s="254"/>
    </row>
    <row r="45">
      <c r="B45" s="254"/>
    </row>
    <row r="46">
      <c r="B46" s="254"/>
    </row>
  </sheetData>
  <dataValidations count="2">
    <dataValidation type="list" allowBlank="1" showInputMessage="1" showErrorMessage="1" sqref="F4">
      <formula1>$B$5:$B$14</formula1>
    </dataValidation>
    <dataValidation type="whole" allowBlank="1" showInputMessage="1" showErrorMessage="1" sqref="E4">
      <formula1>1</formula1>
      <formula2>10</formula2>
    </dataValidation>
  </dataValidations>
  <pageMargins left="0.7" right="0.7" top="0.75" bottom="0.75" header="0.3" footer="0.3"/>
  <drawing xmlns:r="http://schemas.openxmlformats.org/officeDocument/2006/relationships" r:id="R5f6b312bc7da4e04"/>
</worksheet>
</file>

<file path=xl/worksheets/sheet6.xml><?xml version="1.0" encoding="utf-8"?>
<worksheet xmlns="http://schemas.openxmlformats.org/spreadsheetml/2006/main">
  <sheetPr>
    <tabColor rgb="FF9D8F42"/>
  </sheetPr>
  <sheetViews>
    <sheetView showGridLines="0" workbookViewId="0"/>
  </sheetViews>
  <sheetFormatPr defaultColWidth="9" defaultRowHeight="14.5"/>
  <cols>
    <col min="1" max="1" width="0.9140625" customWidth="1"/>
    <col min="2" max="2" width="45.83203125" customWidth="1"/>
    <col min="3" max="5" width="8.6640625" customWidth="1"/>
    <col min="6" max="6" width="17.5" customWidth="1"/>
    <col min="7" max="7" width="10.08203125" style="209" customWidth="1"/>
    <col min="8" max="8" width="11" style="209" customWidth="1"/>
    <col min="9" max="9" width="10.33203125" style="209" customWidth="1"/>
    <col min="10" max="10" width="11" style="209" customWidth="1"/>
    <col min="11" max="11" width="11.83203125" style="209" customWidth="1"/>
    <col min="12" max="12" width="11.83203125" customWidth="1"/>
  </cols>
  <sheetData>
    <row r="1" ht="5.150000095367432" customHeight="1">
      <c r="G1"/>
      <c r="H1"/>
      <c r="I1"/>
      <c r="J1"/>
      <c r="K1"/>
    </row>
    <row r="2" ht="15.5">
      <c r="B2" s="116" t="s">
        <v>660</v>
      </c>
      <c r="C2" s="117"/>
      <c r="D2" s="117"/>
      <c r="E2" s="117"/>
      <c r="F2" s="117"/>
      <c r="G2" s="226"/>
      <c r="H2" s="226"/>
      <c r="I2" s="226"/>
      <c r="J2" s="226"/>
      <c r="K2" s="226"/>
      <c r="L2" s="226"/>
      <c r="M2" s="226"/>
      <c r="N2" s="226"/>
      <c r="O2" s="226"/>
      <c r="P2" s="226"/>
      <c r="Q2" s="226"/>
      <c r="R2" s="226"/>
      <c r="S2" s="226"/>
      <c r="T2" s="226"/>
      <c r="U2" s="226"/>
      <c r="V2" s="226"/>
      <c r="W2" s="226"/>
      <c r="X2" s="226"/>
    </row>
    <row r="3">
      <c r="B3" s="119" t="s">
        <v>661</v>
      </c>
      <c r="C3" s="6"/>
      <c r="D3" s="6"/>
      <c r="E3" s="6"/>
      <c r="F3" s="6"/>
      <c r="G3" s="227"/>
      <c r="H3" s="227"/>
      <c r="I3" s="227"/>
      <c r="J3" s="227"/>
      <c r="K3" s="227"/>
      <c r="L3" s="227"/>
      <c r="M3" s="227"/>
      <c r="N3" s="227"/>
      <c r="O3" s="227"/>
      <c r="P3" s="227"/>
      <c r="Q3" s="227"/>
      <c r="R3" s="227"/>
      <c r="S3" s="227"/>
      <c r="T3" s="227"/>
      <c r="U3" s="227"/>
      <c r="V3" s="227"/>
      <c r="W3" s="227"/>
      <c r="X3" s="227"/>
    </row>
    <row r="4">
      <c r="B4" s="121" t="s">
        <v>662</v>
      </c>
      <c r="C4" s="122"/>
      <c r="D4" s="122"/>
      <c r="E4" s="122"/>
      <c r="F4" s="122"/>
      <c r="G4" s="123"/>
      <c r="H4" s="123"/>
      <c r="I4" s="123"/>
      <c r="J4" s="123"/>
      <c r="K4" s="123"/>
      <c r="L4" s="123"/>
      <c r="M4" s="123"/>
      <c r="N4" s="123"/>
      <c r="O4" s="123"/>
      <c r="P4" s="123"/>
      <c r="Q4" s="123"/>
      <c r="R4" s="123"/>
      <c r="S4" s="123"/>
      <c r="T4" s="123"/>
      <c r="U4" s="123"/>
      <c r="V4" s="123"/>
      <c r="W4" s="123"/>
      <c r="X4" s="123"/>
    </row>
    <row r="5">
      <c r="B5" s="178"/>
      <c r="C5" s="95"/>
      <c r="D5" s="95"/>
      <c r="E5" s="95"/>
      <c r="F5" s="179" t="s">
        <v>88</v>
      </c>
      <c r="G5" s="229">
        <v>0</v>
      </c>
      <c r="H5" s="229">
        <v>1</v>
      </c>
      <c r="I5" s="229">
        <v>2</v>
      </c>
      <c r="J5" s="229">
        <v>3</v>
      </c>
      <c r="K5" s="229">
        <v>4</v>
      </c>
      <c r="L5" s="229">
        <v>5</v>
      </c>
      <c r="M5" s="229">
        <v>6</v>
      </c>
      <c r="N5" s="229" t="s">
        <v>663</v>
      </c>
      <c r="O5" s="229"/>
      <c r="P5" s="229"/>
      <c r="Q5" s="229"/>
      <c r="R5" s="229"/>
      <c r="S5" s="229"/>
      <c r="T5" s="229"/>
      <c r="U5" s="229"/>
      <c r="V5" s="229"/>
      <c r="W5" s="229"/>
      <c r="X5" s="229"/>
    </row>
    <row r="6">
      <c r="B6" s="180"/>
      <c r="C6" s="98"/>
      <c r="D6" s="98"/>
      <c r="E6" s="98"/>
      <c r="F6" s="176" t="s">
        <v>480</v>
      </c>
      <c r="G6" s="233" t="n">
        <f>EOMONTH(Underwriting!$E$13,-1)</f>
        <v>46203</v>
      </c>
      <c r="H6" s="233" t="n">
        <f>IF(H$5="","",MIN(EOMONTH(G6,12),Underwriting!$I$15))</f>
        <v>46568</v>
      </c>
      <c r="I6" s="233" t="n">
        <f>IF(I$5="","",MIN(EOMONTH(H6,12),Underwriting!$I$15))</f>
        <v>46934</v>
      </c>
      <c r="J6" s="233" t="n">
        <f>IF(J$5="","",MIN(EOMONTH(I6,12),Underwriting!$I$15))</f>
        <v>47299</v>
      </c>
      <c r="K6" s="233" t="n">
        <f>IF(K$5="","",MIN(EOMONTH(J6,12),Underwriting!$I$15))</f>
        <v>47664</v>
      </c>
      <c r="L6" s="233" t="n">
        <f>IF(L$5="","",MIN(EOMONTH(K6,12),Underwriting!$I$15))</f>
        <v>48029</v>
      </c>
      <c r="M6" s="233" t="n">
        <f>IF(M$5="","",MIN(EOMONTH(L6,12),Underwriting!$I$15))</f>
        <v>48030</v>
      </c>
      <c r="N6" s="233" t="n">
        <f>EOMONTH(M6,1)</f>
        <v>48091</v>
      </c>
      <c r="O6" s="233" t="str">
        <f>IF(O$5="","",MIN(EOMONTH(N6,12),Underwriting!$I$15))</f>
      </c>
      <c r="P6" s="233" t="str">
        <f>IF(P$5="","",MIN(EOMONTH(O6,12),Underwriting!$I$15))</f>
      </c>
      <c r="Q6" s="233" t="str">
        <f>IF(Q$5="","",MIN(EOMONTH(P6,12),Underwriting!$I$15))</f>
      </c>
      <c r="R6" s="233" t="str">
        <f>IF(R$5="","",MIN(EOMONTH(Q6,12),Underwriting!$I$15))</f>
      </c>
      <c r="S6" s="233" t="str">
        <f>IF(S$5="","",MIN(EOMONTH(R6,12),Underwriting!$I$15))</f>
      </c>
      <c r="T6" s="233" t="str">
        <f>IF(T$5="","",MIN(EOMONTH(S6,12),Underwriting!$I$15))</f>
      </c>
      <c r="U6" s="233" t="str">
        <f>IF(U$5="","",MIN(EOMONTH(T6,12),Underwriting!$I$15))</f>
      </c>
      <c r="V6" s="233" t="str">
        <f>IF(V$5="","",MIN(EOMONTH(U6,12),Underwriting!$I$15))</f>
      </c>
      <c r="W6" s="233" t="str">
        <f>IF(W$5="","",MIN(EOMONTH(V6,12),Underwriting!$I$15))</f>
      </c>
      <c r="X6" s="233" t="str">
        <f>IF(X$5="","",MIN(EOMONTH(W6,12),Underwriting!$I$15))</f>
      </c>
    </row>
    <row r="7">
      <c r="B7" s="115" t="s">
        <v>664</v>
      </c>
      <c r="C7" s="165"/>
      <c r="D7" s="165"/>
      <c r="E7" s="165"/>
      <c r="F7" s="27"/>
      <c r="G7" s="237"/>
      <c r="H7" s="167"/>
      <c r="I7" s="167"/>
      <c r="J7" s="167"/>
      <c r="K7" s="167"/>
      <c r="L7" s="167"/>
      <c r="M7" s="167"/>
      <c r="N7" s="167"/>
      <c r="O7" s="167"/>
      <c r="P7" s="167"/>
      <c r="Q7" s="167"/>
      <c r="R7" s="167"/>
      <c r="S7" s="167"/>
      <c r="T7" s="167"/>
      <c r="U7" s="167"/>
      <c r="V7" s="167"/>
      <c r="W7" s="167"/>
      <c r="X7" s="167"/>
    </row>
    <row r="8">
      <c r="B8" s="181" t="s">
        <v>336</v>
      </c>
      <c r="C8" s="165"/>
      <c r="D8" s="165"/>
      <c r="E8" s="165"/>
      <c r="F8" s="165"/>
      <c r="G8" s="187" t="str">
        <f>IF(G$5="","",'Annual Cash Flow'!G21)</f>
      </c>
      <c r="H8" s="187" t="n">
        <f>IF(H$5="","",'Annual Cash Flow'!H21)</f>
        <v>0</v>
      </c>
      <c r="I8" s="187" t="n">
        <f>IF(I$5="","",'Annual Cash Flow'!I21)</f>
        <v>2150000</v>
      </c>
      <c r="J8" s="187" t="n">
        <f>IF(J$5="","",'Annual Cash Flow'!J21)</f>
        <v>14065250</v>
      </c>
      <c r="K8" s="187" t="n">
        <f>IF(K$5="","",'Annual Cash Flow'!K21)</f>
        <v>16847533.749999996</v>
      </c>
      <c r="L8" s="187" t="n">
        <f>IF(L$5="","",'Annual Cash Flow'!L21)</f>
        <v>17437197.43125</v>
      </c>
      <c r="M8" s="187" t="n">
        <f>IF(M$5="","",'Annual Cash Flow'!M21)</f>
        <v>1488288.5999999996</v>
      </c>
      <c r="N8" s="187" t="n">
        <f>IF(N$5="","",0)</f>
        <v>0</v>
      </c>
      <c r="O8" s="187" t="str">
        <f>IF(O$5="","",'Annual Cash Flow'!O21)</f>
      </c>
      <c r="P8" s="187" t="str">
        <f>IF(P$5="","",'Annual Cash Flow'!P21)</f>
      </c>
      <c r="Q8" s="187" t="str">
        <f>IF(Q$5="","",'Annual Cash Flow'!Q21)</f>
      </c>
      <c r="R8" s="187" t="str">
        <f>IF(R$5="","",'Annual Cash Flow'!R21)</f>
      </c>
      <c r="S8" s="187" t="str">
        <f>IF(S$5="","",'Annual Cash Flow'!S21)</f>
      </c>
      <c r="T8" s="187" t="str">
        <f>IF(T$5="","",'Annual Cash Flow'!T21)</f>
      </c>
      <c r="U8" s="187" t="str">
        <f>IF(U$5="","",'Annual Cash Flow'!U21)</f>
      </c>
      <c r="V8" s="187" t="str">
        <f>IF(V$5="","",'Annual Cash Flow'!V21)</f>
      </c>
      <c r="W8" s="187" t="str">
        <f>IF(W$5="","",'Annual Cash Flow'!W21)</f>
      </c>
      <c r="X8" s="187" t="str">
        <f>IF(X$5="","",'Annual Cash Flow'!X21)</f>
      </c>
    </row>
    <row r="9">
      <c r="B9" s="181" t="s">
        <v>338</v>
      </c>
      <c r="C9" s="165"/>
      <c r="D9" s="165"/>
      <c r="E9" s="165"/>
      <c r="F9" s="165"/>
      <c r="G9" s="187" t="str">
        <f>IF(G$5="","",'Annual Cash Flow'!G22)</f>
      </c>
      <c r="H9" s="187" t="n">
        <f>IF(H$5="","",'Annual Cash Flow'!H22)</f>
        <v>0</v>
      </c>
      <c r="I9" s="187" t="n">
        <f>IF(I$5="","",'Annual Cash Flow'!I22)</f>
        <v>216286.90063478594</v>
      </c>
      <c r="J9" s="187" t="n">
        <f>IF(J$5="","",'Annual Cash Flow'!J22)</f>
        <v>2628019.3445461765</v>
      </c>
      <c r="K9" s="187" t="n">
        <f>IF(K$5="","",'Annual Cash Flow'!K22)</f>
        <v>3323269.999277693</v>
      </c>
      <c r="L9" s="187" t="n">
        <f>IF(L$5="","",'Annual Cash Flow'!L22)</f>
        <v>3393553.8680899865</v>
      </c>
      <c r="M9" s="187" t="n">
        <f>IF(M$5="","",'Annual Cash Flow'!M22)</f>
        <v>285541.2466786235</v>
      </c>
      <c r="N9" s="187" t="n">
        <f>IF(N$5="","",0)</f>
        <v>0</v>
      </c>
      <c r="O9" s="187" t="str">
        <f>IF(O$5="","",'Annual Cash Flow'!O22)</f>
      </c>
      <c r="P9" s="187" t="str">
        <f>IF(P$5="","",'Annual Cash Flow'!P22)</f>
      </c>
      <c r="Q9" s="187" t="str">
        <f>IF(Q$5="","",'Annual Cash Flow'!Q22)</f>
      </c>
      <c r="R9" s="187" t="str">
        <f>IF(R$5="","",'Annual Cash Flow'!R22)</f>
      </c>
      <c r="S9" s="187" t="str">
        <f>IF(S$5="","",'Annual Cash Flow'!S22)</f>
      </c>
      <c r="T9" s="187" t="str">
        <f>IF(T$5="","",'Annual Cash Flow'!T22)</f>
      </c>
      <c r="U9" s="187" t="str">
        <f>IF(U$5="","",'Annual Cash Flow'!U22)</f>
      </c>
      <c r="V9" s="187" t="str">
        <f>IF(V$5="","",'Annual Cash Flow'!V22)</f>
      </c>
      <c r="W9" s="187" t="str">
        <f>IF(W$5="","",'Annual Cash Flow'!W22)</f>
      </c>
      <c r="X9" s="187" t="str">
        <f>IF(X$5="","",'Annual Cash Flow'!X22)</f>
      </c>
    </row>
    <row r="10">
      <c r="B10" s="181" t="s">
        <v>339</v>
      </c>
      <c r="C10" s="165"/>
      <c r="D10" s="165"/>
      <c r="E10" s="165"/>
      <c r="F10" s="165"/>
      <c r="G10" s="187" t="str">
        <f>IF(G$5="","",'Annual Cash Flow'!G23)</f>
      </c>
      <c r="H10" s="187" t="n">
        <f>IF(H$5="","",'Annual Cash Flow'!H23)</f>
        <v>4200875.651869525</v>
      </c>
      <c r="I10" s="187" t="n">
        <f>IF(I$5="","",'Annual Cash Flow'!I23)</f>
        <v>26737810.02670964</v>
      </c>
      <c r="J10" s="187" t="n">
        <f>IF(J$5="","",'Annual Cash Flow'!J23)</f>
        <v>46952034.558983035</v>
      </c>
      <c r="K10" s="187" t="n">
        <f>IF(K$5="","",'Annual Cash Flow'!K23)</f>
        <v>49780170.80354208</v>
      </c>
      <c r="L10" s="187" t="n">
        <f>IF(L$5="","",'Annual Cash Flow'!L23)</f>
        <v>51588006.76619091</v>
      </c>
      <c r="M10" s="187" t="n">
        <f>IF(M$5="","",'Annual Cash Flow'!M23)</f>
        <v>4370405.379285374</v>
      </c>
      <c r="N10" s="187" t="n">
        <f>IF(N$5="","",0)</f>
        <v>0</v>
      </c>
      <c r="O10" s="187" t="str">
        <f>IF(O$5="","",'Annual Cash Flow'!O23)</f>
      </c>
      <c r="P10" s="187" t="str">
        <f>IF(P$5="","",'Annual Cash Flow'!P23)</f>
      </c>
      <c r="Q10" s="187" t="str">
        <f>IF(Q$5="","",'Annual Cash Flow'!Q23)</f>
      </c>
      <c r="R10" s="187" t="str">
        <f>IF(R$5="","",'Annual Cash Flow'!R23)</f>
      </c>
      <c r="S10" s="187" t="str">
        <f>IF(S$5="","",'Annual Cash Flow'!S23)</f>
      </c>
      <c r="T10" s="187" t="str">
        <f>IF(T$5="","",'Annual Cash Flow'!T23)</f>
      </c>
      <c r="U10" s="187" t="str">
        <f>IF(U$5="","",'Annual Cash Flow'!U23)</f>
      </c>
      <c r="V10" s="187" t="str">
        <f>IF(V$5="","",'Annual Cash Flow'!V23)</f>
      </c>
      <c r="W10" s="187" t="str">
        <f>IF(W$5="","",'Annual Cash Flow'!W23)</f>
      </c>
      <c r="X10" s="187" t="str">
        <f>IF(X$5="","",'Annual Cash Flow'!X23)</f>
      </c>
    </row>
    <row r="11">
      <c r="B11" s="96" t="s">
        <v>665</v>
      </c>
      <c r="C11" s="165"/>
      <c r="D11" s="165"/>
      <c r="E11" s="165"/>
      <c r="F11" s="165"/>
      <c r="G11" s="187" t="str">
        <f t="shared" ref="G11:L11" si="0">IF(G$5="","",SUM(G8:G10))</f>
      </c>
      <c r="H11" s="187">
        <f t="shared" si="0"/>
        <v>4200875.6518695252</v>
      </c>
      <c r="I11" s="187">
        <f t="shared" si="0"/>
        <v>29104096.927344427</v>
      </c>
      <c r="J11" s="187">
        <f t="shared" si="0"/>
        <v>63645303.903529212</v>
      </c>
      <c r="K11" s="187">
        <f t="shared" si="0"/>
        <v>69950974.552819759</v>
      </c>
      <c r="L11" s="187">
        <f t="shared" si="0"/>
        <v>72418758.065530896</v>
      </c>
      <c r="M11" s="187" t="n">
        <f t="shared" ref="M11:X11" si="1">IF(M$5="","",SUM(M8:M10))</f>
        <v>6144235.225963997</v>
      </c>
      <c r="N11" s="187">
        <f t="shared" si="1"/>
        <v>0</v>
      </c>
      <c r="O11" s="187" t="str">
        <f t="shared" si="1"/>
      </c>
      <c r="P11" s="187" t="str">
        <f t="shared" si="1"/>
      </c>
      <c r="Q11" s="187" t="str">
        <f t="shared" si="1"/>
      </c>
      <c r="R11" s="187" t="str">
        <f t="shared" si="1"/>
      </c>
      <c r="S11" s="187" t="str">
        <f t="shared" si="1"/>
      </c>
      <c r="T11" s="187" t="str">
        <f t="shared" si="1"/>
      </c>
      <c r="U11" s="187" t="str">
        <f t="shared" si="1"/>
      </c>
      <c r="V11" s="187" t="str">
        <f t="shared" si="1"/>
      </c>
      <c r="W11" s="187" t="str">
        <f t="shared" si="1"/>
      </c>
      <c r="X11" s="187" t="str">
        <f t="shared" si="1"/>
      </c>
    </row>
    <row r="12">
      <c r="B12" s="96"/>
      <c r="C12" s="165"/>
      <c r="D12" s="165"/>
      <c r="E12" s="165"/>
      <c r="F12" s="27"/>
      <c r="G12" s="187"/>
      <c r="H12" s="244"/>
      <c r="I12" s="187"/>
      <c r="J12" s="187"/>
      <c r="K12" s="187"/>
      <c r="L12" s="187"/>
      <c r="M12" s="187"/>
      <c r="N12" s="187"/>
      <c r="O12" s="187"/>
      <c r="P12" s="187"/>
      <c r="Q12" s="187"/>
      <c r="R12" s="187"/>
      <c r="S12" s="187"/>
      <c r="T12" s="187"/>
      <c r="U12" s="187"/>
      <c r="V12" s="187"/>
      <c r="W12" s="187"/>
      <c r="X12" s="187"/>
    </row>
    <row r="13">
      <c r="B13" s="181" t="s">
        <v>666</v>
      </c>
      <c r="C13" s="165"/>
      <c r="D13" s="165"/>
      <c r="E13" s="165"/>
      <c r="F13" s="165"/>
      <c r="G13" s="187" t="str">
        <f>IF(G$5="","",'Annual Cash Flow'!G25)</f>
      </c>
      <c r="H13" s="187" t="n">
        <f>IF(H$5="","",'Annual Cash Flow'!H25)</f>
        <v>0</v>
      </c>
      <c r="I13" s="187" t="n">
        <f>IF(I$5="","",'Annual Cash Flow'!I25)</f>
        <v>0</v>
      </c>
      <c r="J13" s="187" t="n">
        <f>IF(J$5="","",'Annual Cash Flow'!J25)</f>
        <v>0</v>
      </c>
      <c r="K13" s="187" t="n">
        <f>IF(K$5="","",'Annual Cash Flow'!K25)</f>
        <v>0</v>
      </c>
      <c r="L13" s="187" t="n">
        <f>IF(L$5="","",'Annual Cash Flow'!L25)</f>
        <v>0</v>
      </c>
      <c r="M13" s="187" t="n">
        <f>IF(M$5="","",'Annual Cash Flow'!M25)</f>
        <v>0</v>
      </c>
      <c r="N13" s="187" t="n">
        <f>IF(N$5="","",0)</f>
        <v>0</v>
      </c>
      <c r="O13" s="187" t="str">
        <f>IF(O$5="","",'Annual Cash Flow'!O25)</f>
      </c>
      <c r="P13" s="187" t="str">
        <f>IF(P$5="","",'Annual Cash Flow'!P25)</f>
      </c>
      <c r="Q13" s="187" t="str">
        <f>IF(Q$5="","",'Annual Cash Flow'!Q25)</f>
      </c>
      <c r="R13" s="187" t="str">
        <f>IF(R$5="","",'Annual Cash Flow'!R25)</f>
      </c>
      <c r="S13" s="187" t="str">
        <f>IF(S$5="","",'Annual Cash Flow'!S25)</f>
      </c>
      <c r="T13" s="187" t="str">
        <f>IF(T$5="","",'Annual Cash Flow'!T25)</f>
      </c>
      <c r="U13" s="187" t="str">
        <f>IF(U$5="","",'Annual Cash Flow'!U25)</f>
      </c>
      <c r="V13" s="187" t="str">
        <f>IF(V$5="","",'Annual Cash Flow'!V25)</f>
      </c>
      <c r="W13" s="187" t="str">
        <f>IF(W$5="","",'Annual Cash Flow'!W25)</f>
      </c>
      <c r="X13" s="187" t="str">
        <f>IF(X$5="","",'Annual Cash Flow'!X25)</f>
      </c>
    </row>
    <row r="14">
      <c r="B14" s="96" t="s">
        <v>343</v>
      </c>
      <c r="C14" s="165"/>
      <c r="D14" s="165"/>
      <c r="E14" s="165"/>
      <c r="F14" s="165"/>
      <c r="G14" s="187" t="str">
        <f>IF(G$5="","",'Annual Cash Flow'!G26)</f>
      </c>
      <c r="H14" s="187" t="str">
        <f>IF(H$5="","",'Annual Cash Flow'!H26)</f>
      </c>
      <c r="I14" s="187" t="n">
        <f>IF(I$5="","",'Annual Cash Flow'!I26)</f>
        <v>29104096.927344427</v>
      </c>
      <c r="J14" s="187" t="n">
        <f>IF(J$5="","",'Annual Cash Flow'!J26)</f>
        <v>63645303.90352921</v>
      </c>
      <c r="K14" s="187" t="n">
        <f>IF(K$5="","",'Annual Cash Flow'!K26)</f>
        <v>69950974.55281976</v>
      </c>
      <c r="L14" s="187" t="n">
        <f>IF(L$5="","",'Annual Cash Flow'!L26)</f>
        <v>72418758.0655309</v>
      </c>
      <c r="M14" s="187" t="n">
        <f>IF(M$5="","",'Annual Cash Flow'!M26)</f>
        <v>6144235.225963997</v>
      </c>
      <c r="N14" s="187" t="n">
        <f>IF(N$5="","",0)</f>
        <v>0</v>
      </c>
      <c r="O14" s="187" t="str">
        <f>IF(O$5="","",'Annual Cash Flow'!O26)</f>
      </c>
      <c r="P14" s="187" t="str">
        <f>IF(P$5="","",'Annual Cash Flow'!P26)</f>
      </c>
      <c r="Q14" s="187" t="str">
        <f>IF(Q$5="","",'Annual Cash Flow'!Q26)</f>
      </c>
      <c r="R14" s="187" t="str">
        <f>IF(R$5="","",'Annual Cash Flow'!R26)</f>
      </c>
      <c r="S14" s="187" t="str">
        <f>IF(S$5="","",'Annual Cash Flow'!S26)</f>
      </c>
      <c r="T14" s="187" t="str">
        <f>IF(T$5="","",'Annual Cash Flow'!T26)</f>
      </c>
      <c r="U14" s="187" t="str">
        <f>IF(U$5="","",'Annual Cash Flow'!U26)</f>
      </c>
      <c r="V14" s="187" t="str">
        <f>IF(V$5="","",'Annual Cash Flow'!V26)</f>
      </c>
      <c r="W14" s="187" t="str">
        <f>IF(W$5="","",'Annual Cash Flow'!W26)</f>
      </c>
      <c r="X14" s="187" t="str">
        <f>IF(X$5="","",'Annual Cash Flow'!X26)</f>
      </c>
    </row>
    <row r="15">
      <c r="B15" s="115" t="s">
        <v>491</v>
      </c>
      <c r="C15" s="165"/>
      <c r="D15" s="165"/>
      <c r="E15" s="165"/>
      <c r="F15" s="27"/>
      <c r="G15" s="237"/>
      <c r="H15" s="167"/>
      <c r="I15" s="167"/>
      <c r="J15" s="167"/>
      <c r="K15" s="167"/>
      <c r="L15" s="167"/>
      <c r="M15" s="167"/>
      <c r="N15" s="167"/>
      <c r="O15" s="167"/>
      <c r="P15" s="167"/>
      <c r="Q15" s="167"/>
      <c r="R15" s="167"/>
      <c r="S15" s="167"/>
      <c r="T15" s="167"/>
      <c r="U15" s="167"/>
      <c r="V15" s="167"/>
      <c r="W15" s="167"/>
      <c r="X15" s="167"/>
    </row>
    <row r="16">
      <c r="B16" s="181" t="s">
        <v>667</v>
      </c>
      <c r="C16" s="165"/>
      <c r="D16" s="165"/>
      <c r="E16" s="165"/>
      <c r="F16" s="165"/>
      <c r="G16" s="187" t="str">
        <f>IF(G$5="","",'Annual Cash Flow'!G29)</f>
      </c>
      <c r="H16" s="187" t="n">
        <f>IF(H$5="","",'Annual Cash Flow'!H29)</f>
        <v>686033.3378154335</v>
      </c>
      <c r="I16" s="187" t="n">
        <f>IF(I$5="","",'Annual Cash Flow'!I29)</f>
        <v>2261655.844934838</v>
      </c>
      <c r="J16" s="187" t="n">
        <f>IF(J$5="","",'Annual Cash Flow'!J29)</f>
        <v>3219761.817564407</v>
      </c>
      <c r="K16" s="187" t="n">
        <f>IF(K$5="","",'Annual Cash Flow'!K29)</f>
        <v>3324445.6984632486</v>
      </c>
      <c r="L16" s="187" t="n">
        <f>IF(L$5="","",'Annual Cash Flow'!L29)</f>
        <v>3393553.868089986</v>
      </c>
      <c r="M16" s="187" t="n">
        <f>IF(M$5="","",'Annual Cash Flow'!M29)</f>
        <v>285541.2466786235</v>
      </c>
      <c r="N16" s="187" t="n">
        <f>IF(N$5="","",0)</f>
        <v>0</v>
      </c>
      <c r="O16" s="187" t="str">
        <f>IF(O$5="","",'Annual Cash Flow'!O29)</f>
      </c>
      <c r="P16" s="187" t="str">
        <f>IF(P$5="","",'Annual Cash Flow'!P29)</f>
      </c>
      <c r="Q16" s="187" t="str">
        <f>IF(Q$5="","",'Annual Cash Flow'!Q29)</f>
      </c>
      <c r="R16" s="187" t="str">
        <f>IF(R$5="","",'Annual Cash Flow'!R29)</f>
      </c>
      <c r="S16" s="187" t="str">
        <f>IF(S$5="","",'Annual Cash Flow'!S29)</f>
      </c>
      <c r="T16" s="187" t="str">
        <f>IF(T$5="","",'Annual Cash Flow'!T29)</f>
      </c>
      <c r="U16" s="187" t="str">
        <f>IF(U$5="","",'Annual Cash Flow'!U29)</f>
      </c>
      <c r="V16" s="187" t="str">
        <f>IF(V$5="","",'Annual Cash Flow'!V29)</f>
      </c>
      <c r="W16" s="187" t="str">
        <f>IF(W$5="","",'Annual Cash Flow'!W29)</f>
      </c>
      <c r="X16" s="187" t="str">
        <f>IF(X$5="","",'Annual Cash Flow'!X29)</f>
      </c>
    </row>
    <row r="17">
      <c r="B17" s="181" t="s">
        <v>668</v>
      </c>
      <c r="C17" s="165"/>
      <c r="D17" s="165"/>
      <c r="E17" s="165"/>
      <c r="F17" s="165"/>
      <c r="G17" s="187" t="str">
        <f>IF(G$5="","",'Annual Cash Flow'!G30)</f>
      </c>
      <c r="H17" s="187" t="n">
        <f>IF(H$5="","",'Annual Cash Flow'!H30)</f>
        <v>0</v>
      </c>
      <c r="I17" s="187" t="n">
        <f>IF(I$5="","",'Annual Cash Flow'!I30)</f>
        <v>0</v>
      </c>
      <c r="J17" s="187" t="n">
        <f>IF(J$5="","",'Annual Cash Flow'!J30)</f>
        <v>0</v>
      </c>
      <c r="K17" s="187" t="n">
        <f>IF(K$5="","",'Annual Cash Flow'!K30)</f>
        <v>0</v>
      </c>
      <c r="L17" s="187" t="n">
        <f>IF(L$5="","",'Annual Cash Flow'!L30)</f>
        <v>0</v>
      </c>
      <c r="M17" s="187" t="n">
        <f>IF(M$5="","",'Annual Cash Flow'!M30)</f>
        <v>0</v>
      </c>
      <c r="N17" s="187" t="n">
        <f>IF(N$5="","",0)</f>
        <v>0</v>
      </c>
      <c r="O17" s="187" t="str">
        <f>IF(O$5="","",'Annual Cash Flow'!O30)</f>
      </c>
      <c r="P17" s="187" t="str">
        <f>IF(P$5="","",'Annual Cash Flow'!P30)</f>
      </c>
      <c r="Q17" s="187" t="str">
        <f>IF(Q$5="","",'Annual Cash Flow'!Q30)</f>
      </c>
      <c r="R17" s="187" t="str">
        <f>IF(R$5="","",'Annual Cash Flow'!R30)</f>
      </c>
      <c r="S17" s="187" t="str">
        <f>IF(S$5="","",'Annual Cash Flow'!S30)</f>
      </c>
      <c r="T17" s="187" t="str">
        <f>IF(T$5="","",'Annual Cash Flow'!T30)</f>
      </c>
      <c r="U17" s="187" t="str">
        <f>IF(U$5="","",'Annual Cash Flow'!U30)</f>
      </c>
      <c r="V17" s="187" t="str">
        <f>IF(V$5="","",'Annual Cash Flow'!V30)</f>
      </c>
      <c r="W17" s="187" t="str">
        <f>IF(W$5="","",'Annual Cash Flow'!W30)</f>
      </c>
      <c r="X17" s="187" t="str">
        <f>IF(X$5="","",'Annual Cash Flow'!X30)</f>
      </c>
    </row>
    <row r="18">
      <c r="B18" s="181" t="s">
        <v>669</v>
      </c>
      <c r="C18" s="165"/>
      <c r="D18" s="165"/>
      <c r="E18" s="165"/>
      <c r="F18" s="165"/>
      <c r="G18" s="187" t="str">
        <f>IF(G$5="","",'Annual Cash Flow'!G31)</f>
      </c>
      <c r="H18" s="187" t="n">
        <f>IF(H$5="","",'Annual Cash Flow'!H31)</f>
        <v>0</v>
      </c>
      <c r="I18" s="187" t="n">
        <f>IF(I$5="","",'Annual Cash Flow'!I31)</f>
        <v>0</v>
      </c>
      <c r="J18" s="187" t="n">
        <f>IF(J$5="","",'Annual Cash Flow'!J31)</f>
        <v>0</v>
      </c>
      <c r="K18" s="187" t="n">
        <f>IF(K$5="","",'Annual Cash Flow'!K31)</f>
        <v>0</v>
      </c>
      <c r="L18" s="187" t="n">
        <f>IF(L$5="","",'Annual Cash Flow'!L31)</f>
        <v>0</v>
      </c>
      <c r="M18" s="187" t="n">
        <f>IF(M$5="","",'Annual Cash Flow'!M31)</f>
        <v>0</v>
      </c>
      <c r="N18" s="187" t="n">
        <f>IF(N$5="","",0)</f>
        <v>0</v>
      </c>
      <c r="O18" s="187" t="str">
        <f>IF(O$5="","",'Annual Cash Flow'!O31)</f>
      </c>
      <c r="P18" s="187" t="str">
        <f>IF(P$5="","",'Annual Cash Flow'!P31)</f>
      </c>
      <c r="Q18" s="187" t="str">
        <f>IF(Q$5="","",'Annual Cash Flow'!Q31)</f>
      </c>
      <c r="R18" s="187" t="str">
        <f>IF(R$5="","",'Annual Cash Flow'!R31)</f>
      </c>
      <c r="S18" s="187" t="str">
        <f>IF(S$5="","",'Annual Cash Flow'!S31)</f>
      </c>
      <c r="T18" s="187" t="str">
        <f>IF(T$5="","",'Annual Cash Flow'!T31)</f>
      </c>
      <c r="U18" s="187" t="str">
        <f>IF(U$5="","",'Annual Cash Flow'!U31)</f>
      </c>
      <c r="V18" s="187" t="str">
        <f>IF(V$5="","",'Annual Cash Flow'!V31)</f>
      </c>
      <c r="W18" s="187" t="str">
        <f>IF(W$5="","",'Annual Cash Flow'!W31)</f>
      </c>
      <c r="X18" s="187" t="str">
        <f>IF(X$5="","",'Annual Cash Flow'!X31)</f>
      </c>
    </row>
    <row r="19">
      <c r="B19" s="181" t="s">
        <v>670</v>
      </c>
      <c r="C19" s="165"/>
      <c r="D19" s="165"/>
      <c r="E19" s="165"/>
      <c r="F19" s="165"/>
      <c r="G19" s="187" t="str">
        <f>IF(G$5="","",'Annual Cash Flow'!G32)</f>
      </c>
      <c r="H19" s="187" t="n">
        <f>IF(H$5="","",'Annual Cash Flow'!H32)</f>
        <v>0</v>
      </c>
      <c r="I19" s="187" t="n">
        <f>IF(I$5="","",'Annual Cash Flow'!I32)</f>
        <v>0</v>
      </c>
      <c r="J19" s="187" t="n">
        <f>IF(J$5="","",'Annual Cash Flow'!J32)</f>
        <v>0</v>
      </c>
      <c r="K19" s="187" t="n">
        <f>IF(K$5="","",'Annual Cash Flow'!K32)</f>
        <v>0</v>
      </c>
      <c r="L19" s="187" t="n">
        <f>IF(L$5="","",'Annual Cash Flow'!L32)</f>
        <v>0</v>
      </c>
      <c r="M19" s="187" t="n">
        <f>IF(M$5="","",'Annual Cash Flow'!M32)</f>
        <v>0</v>
      </c>
      <c r="N19" s="187" t="n">
        <f>IF(N$5="","",0)</f>
        <v>0</v>
      </c>
      <c r="O19" s="187" t="str">
        <f>IF(O$5="","",'Annual Cash Flow'!O32)</f>
      </c>
      <c r="P19" s="187" t="str">
        <f>IF(P$5="","",'Annual Cash Flow'!P32)</f>
      </c>
      <c r="Q19" s="187" t="str">
        <f>IF(Q$5="","",'Annual Cash Flow'!Q32)</f>
      </c>
      <c r="R19" s="187" t="str">
        <f>IF(R$5="","",'Annual Cash Flow'!R32)</f>
      </c>
      <c r="S19" s="187" t="str">
        <f>IF(S$5="","",'Annual Cash Flow'!S32)</f>
      </c>
      <c r="T19" s="187" t="str">
        <f>IF(T$5="","",'Annual Cash Flow'!T32)</f>
      </c>
      <c r="U19" s="187" t="str">
        <f>IF(U$5="","",'Annual Cash Flow'!U32)</f>
      </c>
      <c r="V19" s="187" t="str">
        <f>IF(V$5="","",'Annual Cash Flow'!V32)</f>
      </c>
      <c r="W19" s="187" t="str">
        <f>IF(W$5="","",'Annual Cash Flow'!W32)</f>
      </c>
      <c r="X19" s="187" t="str">
        <f>IF(X$5="","",'Annual Cash Flow'!X32)</f>
      </c>
    </row>
    <row r="20">
      <c r="B20" s="96" t="s">
        <v>347</v>
      </c>
      <c r="C20" s="165"/>
      <c r="D20" s="165"/>
      <c r="E20" s="165"/>
      <c r="F20" s="165"/>
      <c r="G20" s="187" t="str">
        <f>IF(G$5="","",'Annual Cash Flow'!G33)</f>
      </c>
      <c r="H20" s="187" t="n">
        <f>IF(H$5="","",'Annual Cash Flow'!H33)</f>
        <v>686033.3378154335</v>
      </c>
      <c r="I20" s="187" t="n">
        <f>IF(I$5="","",'Annual Cash Flow'!I33)</f>
        <v>2261655.844934838</v>
      </c>
      <c r="J20" s="187" t="n">
        <f>IF(J$5="","",'Annual Cash Flow'!J33)</f>
        <v>3219761.817564407</v>
      </c>
      <c r="K20" s="187" t="n">
        <f>IF(K$5="","",'Annual Cash Flow'!K33)</f>
        <v>3324445.6984632486</v>
      </c>
      <c r="L20" s="187" t="n">
        <f>IF(L$5="","",'Annual Cash Flow'!L33)</f>
        <v>3393553.868089986</v>
      </c>
      <c r="M20" s="187" t="n">
        <f>IF(M$5="","",'Annual Cash Flow'!M33)</f>
        <v>285541.2466786235</v>
      </c>
      <c r="N20" s="187" t="n">
        <f>IF(N$5="","",0)</f>
        <v>0</v>
      </c>
      <c r="O20" s="187" t="str">
        <f>IF(O$5="","",'Annual Cash Flow'!O33)</f>
      </c>
      <c r="P20" s="187" t="str">
        <f>IF(P$5="","",'Annual Cash Flow'!P33)</f>
      </c>
      <c r="Q20" s="187" t="str">
        <f>IF(Q$5="","",'Annual Cash Flow'!Q33)</f>
      </c>
      <c r="R20" s="187" t="str">
        <f>IF(R$5="","",'Annual Cash Flow'!R33)</f>
      </c>
      <c r="S20" s="187" t="str">
        <f>IF(S$5="","",'Annual Cash Flow'!S33)</f>
      </c>
      <c r="T20" s="187" t="str">
        <f>IF(T$5="","",'Annual Cash Flow'!T33)</f>
      </c>
      <c r="U20" s="187" t="str">
        <f>IF(U$5="","",'Annual Cash Flow'!U33)</f>
      </c>
      <c r="V20" s="187" t="str">
        <f>IF(V$5="","",'Annual Cash Flow'!V33)</f>
      </c>
      <c r="W20" s="187" t="str">
        <f>IF(W$5="","",'Annual Cash Flow'!W33)</f>
      </c>
      <c r="X20" s="187" t="str">
        <f>IF(X$5="","",'Annual Cash Flow'!X33)</f>
      </c>
    </row>
    <row r="21">
      <c r="B21" s="96"/>
      <c r="C21" s="165"/>
      <c r="D21" s="165"/>
      <c r="E21" s="165"/>
      <c r="F21" s="27"/>
      <c r="G21" s="187"/>
      <c r="H21" s="244"/>
      <c r="I21" s="187"/>
      <c r="J21" s="187"/>
      <c r="K21" s="187"/>
      <c r="L21" s="187"/>
      <c r="M21" s="187"/>
      <c r="N21" s="187"/>
      <c r="O21" s="187"/>
      <c r="P21" s="187"/>
      <c r="Q21" s="187"/>
      <c r="R21" s="187"/>
      <c r="S21" s="187"/>
      <c r="T21" s="187"/>
      <c r="U21" s="187"/>
      <c r="V21" s="187"/>
      <c r="W21" s="187"/>
      <c r="X21" s="187"/>
    </row>
    <row r="22">
      <c r="B22" s="181" t="s">
        <v>348</v>
      </c>
      <c r="C22" s="165"/>
      <c r="D22" s="165"/>
      <c r="E22" s="165"/>
      <c r="F22" s="165"/>
      <c r="G22" s="187" t="str">
        <f>IF(G$5="","",'Annual Cash Flow'!G35)</f>
      </c>
      <c r="H22" s="187" t="n">
        <f>IF(H$5="","",'Annual Cash Flow'!H35)</f>
        <v>3514842.3140540915</v>
      </c>
      <c r="I22" s="187" t="n">
        <f>IF(I$5="","",'Annual Cash Flow'!I35)</f>
        <v>26842441.08240959</v>
      </c>
      <c r="J22" s="187" t="n">
        <f>IF(J$5="","",'Annual Cash Flow'!J35)</f>
        <v>60425542.08596481</v>
      </c>
      <c r="K22" s="187" t="n">
        <f>IF(K$5="","",'Annual Cash Flow'!K35)</f>
        <v>66626528.85435651</v>
      </c>
      <c r="L22" s="187" t="n">
        <f>IF(L$5="","",'Annual Cash Flow'!L35)</f>
        <v>69025204.1974409</v>
      </c>
      <c r="M22" s="187" t="n">
        <f>IF(M$5="","",'Annual Cash Flow'!M35)</f>
        <v>5858693.979285373</v>
      </c>
      <c r="N22" s="187" t="n">
        <f>IF(N$5="","",0)</f>
        <v>0</v>
      </c>
      <c r="O22" s="187" t="str">
        <f>IF(O$5="","",'Annual Cash Flow'!O35)</f>
      </c>
      <c r="P22" s="187" t="str">
        <f>IF(P$5="","",'Annual Cash Flow'!P35)</f>
      </c>
      <c r="Q22" s="187" t="str">
        <f>IF(Q$5="","",'Annual Cash Flow'!Q35)</f>
      </c>
      <c r="R22" s="187" t="str">
        <f>IF(R$5="","",'Annual Cash Flow'!R35)</f>
      </c>
      <c r="S22" s="187" t="str">
        <f>IF(S$5="","",'Annual Cash Flow'!S35)</f>
      </c>
      <c r="T22" s="187" t="str">
        <f>IF(T$5="","",'Annual Cash Flow'!T35)</f>
      </c>
      <c r="U22" s="187" t="str">
        <f>IF(U$5="","",'Annual Cash Flow'!U35)</f>
      </c>
      <c r="V22" s="187" t="str">
        <f>IF(V$5="","",'Annual Cash Flow'!V35)</f>
      </c>
      <c r="W22" s="187" t="str">
        <f>IF(W$5="","",'Annual Cash Flow'!W35)</f>
      </c>
      <c r="X22" s="187" t="str">
        <f>IF(X$5="","",'Annual Cash Flow'!X35)</f>
      </c>
    </row>
    <row r="23">
      <c r="B23" s="96" t="s">
        <v>311</v>
      </c>
      <c r="C23" s="165"/>
      <c r="D23" s="165"/>
      <c r="E23" s="165"/>
      <c r="F23" s="165"/>
      <c r="G23" s="187" t="str">
        <f>IF(G$5="","",'Annual Cash Flow'!G39)</f>
      </c>
      <c r="H23" s="187" t="str">
        <f>IF(H$5="","",'Annual Cash Flow'!H39)</f>
      </c>
      <c r="I23" s="187" t="n">
        <f>IF(I$5="","",'Annual Cash Flow'!I39)</f>
        <v>26842441.08240959</v>
      </c>
      <c r="J23" s="187" t="n">
        <f>IF(J$5="","",'Annual Cash Flow'!J39)</f>
        <v>60425542.08596481</v>
      </c>
      <c r="K23" s="187" t="n">
        <f>IF(K$5="","",'Annual Cash Flow'!K39)</f>
        <v>65563171.23685651</v>
      </c>
      <c r="L23" s="187" t="n">
        <f>IF(L$5="","",'Annual Cash Flow'!L39)</f>
        <v>67940579.4275909</v>
      </c>
      <c r="M23" s="187" t="n">
        <f>IF(M$5="","",'Annual Cash Flow'!M39)</f>
        <v>5766500.8738481235</v>
      </c>
      <c r="N23" s="187" t="n">
        <f>IF(N$5="","",0)</f>
        <v>0</v>
      </c>
      <c r="O23" s="187" t="str">
        <f>IF(O$5="","",'Annual Cash Flow'!O39)</f>
      </c>
      <c r="P23" s="187" t="str">
        <f>IF(P$5="","",'Annual Cash Flow'!P39)</f>
      </c>
      <c r="Q23" s="187" t="str">
        <f>IF(Q$5="","",'Annual Cash Flow'!Q39)</f>
      </c>
      <c r="R23" s="187" t="str">
        <f>IF(R$5="","",'Annual Cash Flow'!R39)</f>
      </c>
      <c r="S23" s="187" t="str">
        <f>IF(S$5="","",'Annual Cash Flow'!S39)</f>
      </c>
      <c r="T23" s="187" t="str">
        <f>IF(T$5="","",'Annual Cash Flow'!T39)</f>
      </c>
      <c r="U23" s="187" t="str">
        <f>IF(U$5="","",'Annual Cash Flow'!U39)</f>
      </c>
      <c r="V23" s="187" t="str">
        <f>IF(V$5="","",'Annual Cash Flow'!V39)</f>
      </c>
      <c r="W23" s="187" t="str">
        <f>IF(W$5="","",'Annual Cash Flow'!W39)</f>
      </c>
      <c r="X23" s="187" t="str">
        <f>IF(X$5="","",'Annual Cash Flow'!X39)</f>
      </c>
    </row>
    <row r="24">
      <c r="B24" s="96"/>
      <c r="C24" s="165"/>
      <c r="D24" s="165"/>
      <c r="E24" s="165"/>
      <c r="F24" s="27"/>
      <c r="G24" s="187"/>
      <c r="H24" s="244"/>
      <c r="I24" s="187"/>
      <c r="J24" s="187"/>
      <c r="K24" s="187"/>
      <c r="L24" s="187"/>
      <c r="M24" s="187"/>
      <c r="N24" s="187"/>
      <c r="O24" s="187"/>
      <c r="P24" s="187"/>
      <c r="Q24" s="187"/>
      <c r="R24" s="187"/>
      <c r="S24" s="187"/>
      <c r="T24" s="187"/>
      <c r="U24" s="187"/>
      <c r="V24" s="187"/>
      <c r="W24" s="187"/>
      <c r="X24" s="187"/>
    </row>
    <row r="25">
      <c r="B25" s="181" t="s">
        <v>671</v>
      </c>
      <c r="C25" s="165"/>
      <c r="D25" s="165"/>
      <c r="E25" s="165"/>
      <c r="F25" s="165"/>
      <c r="G25" s="187" t="str">
        <f>IF(G$5="","",IFERROR(SUMIF('Annual Cash Flow'!$G$46:$EI$46,G$5,'Annual Cash Flow'!$G$83:$EI$83),0)+IFERROR(SUMIF('Annual Cash Flow'!$G$46:$EI$46,G$5,'Annual Cash Flow'!$G$86:$EI$86),0))</f>
      </c>
      <c r="H25" s="187" t="n">
        <f>IF(H$5="","",IFERROR(SUMIF('Annual Cash Flow'!$G$46:$EI$46,H$5,'Annual Cash Flow'!$G$83:$EI$83),0)+IFERROR(SUMIF('Annual Cash Flow'!$G$46:$EI$46,H$5,'Annual Cash Flow'!$G$86:$EI$86),0))</f>
        <v>6139.555523695716</v>
      </c>
      <c r="I25" s="187" t="n">
        <f>IF(I$5="","",IFERROR(SUMIF('Annual Cash Flow'!$G$46:$EI$46,I$5,'Annual Cash Flow'!$G$83:$EI$83),0)+IFERROR(SUMIF('Annual Cash Flow'!$G$46:$EI$46,I$5,'Annual Cash Flow'!$G$86:$EI$86),0))</f>
        <v>4970347.073937761</v>
      </c>
      <c r="J25" s="187" t="n">
        <f>IF(J$5="","",IFERROR(SUMIF('Annual Cash Flow'!$G$46:$EI$46,J$5,'Annual Cash Flow'!$G$83:$EI$83),0)+IFERROR(SUMIF('Annual Cash Flow'!$G$46:$EI$46,J$5,'Annual Cash Flow'!$G$86:$EI$86),0))</f>
        <v>18336678.50723477</v>
      </c>
      <c r="K25" s="187" t="n">
        <f>IF(K$5="","",IFERROR(SUMIF('Annual Cash Flow'!$G$46:$EI$46,K$5,'Annual Cash Flow'!$G$83:$EI$83),0)+IFERROR(SUMIF('Annual Cash Flow'!$G$46:$EI$46,K$5,'Annual Cash Flow'!$G$86:$EI$86),0))</f>
        <v>21150528.566819407</v>
      </c>
      <c r="L25" s="187" t="n">
        <f>IF(L$5="","",IFERROR(SUMIF('Annual Cash Flow'!$G$46:$EI$46,L$5,'Annual Cash Flow'!$G$83:$EI$83),0)+IFERROR(SUMIF('Annual Cash Flow'!$G$46:$EI$46,L$5,'Annual Cash Flow'!$G$86:$EI$86),0))</f>
        <v>23134594.03577424</v>
      </c>
      <c r="M25" s="187" t="n">
        <f>IF(M$5="","",IFERROR(SUMIF('Annual Cash Flow'!$G$46:$EI$46,M$5,'Annual Cash Flow'!$G$83:$EI$83),0)+IFERROR(SUMIF('Annual Cash Flow'!$G$46:$EI$46,M$5,'Annual Cash Flow'!$G$86:$EI$86),0))</f>
        <v>2023154.4129010744</v>
      </c>
      <c r="N25" s="187" t="n">
        <f>IF(N$5="","",0)</f>
        <v>0</v>
      </c>
      <c r="O25" s="187" t="str">
        <f>IF(O$5="","",IFERROR(SUMIF('Annual Cash Flow'!$G$46:$EI$46,O$5,'Annual Cash Flow'!$G$83:$EI$83),0)+IFERROR(SUMIF('Annual Cash Flow'!$G$46:$EI$46,O$5,'Annual Cash Flow'!$G$86:$EI$86),0))</f>
      </c>
      <c r="P25" s="187" t="str">
        <f>IF(P$5="","",IFERROR(SUMIF('Annual Cash Flow'!$G$46:$EI$46,P$5,'Annual Cash Flow'!$G$83:$EI$83),0)+IFERROR(SUMIF('Annual Cash Flow'!$G$46:$EI$46,P$5,'Annual Cash Flow'!$G$86:$EI$86),0))</f>
      </c>
      <c r="Q25" s="187" t="str">
        <f>IF(Q$5="","",IFERROR(SUMIF('Annual Cash Flow'!$G$46:$EI$46,Q$5,'Annual Cash Flow'!$G$83:$EI$83),0)+IFERROR(SUMIF('Annual Cash Flow'!$G$46:$EI$46,Q$5,'Annual Cash Flow'!$G$86:$EI$86),0))</f>
      </c>
      <c r="R25" s="187" t="str">
        <f>IF(R$5="","",IFERROR(SUMIF('Annual Cash Flow'!$G$46:$EI$46,R$5,'Annual Cash Flow'!$G$83:$EI$83),0)+IFERROR(SUMIF('Annual Cash Flow'!$G$46:$EI$46,R$5,'Annual Cash Flow'!$G$86:$EI$86),0))</f>
      </c>
      <c r="S25" s="187" t="str">
        <f>IF(S$5="","",IFERROR(SUMIF('Annual Cash Flow'!$G$46:$EI$46,S$5,'Annual Cash Flow'!$G$83:$EI$83),0)+IFERROR(SUMIF('Annual Cash Flow'!$G$46:$EI$46,S$5,'Annual Cash Flow'!$G$86:$EI$86),0))</f>
      </c>
      <c r="T25" s="187" t="str">
        <f>IF(T$5="","",IFERROR(SUMIF('Annual Cash Flow'!$G$46:$EI$46,T$5,'Annual Cash Flow'!$G$83:$EI$83),0)+IFERROR(SUMIF('Annual Cash Flow'!$G$46:$EI$46,T$5,'Annual Cash Flow'!$G$86:$EI$86),0))</f>
      </c>
      <c r="U25" s="187" t="str">
        <f>IF(U$5="","",IFERROR(SUMIF('Annual Cash Flow'!$G$46:$EI$46,U$5,'Annual Cash Flow'!$G$83:$EI$83),0)+IFERROR(SUMIF('Annual Cash Flow'!$G$46:$EI$46,U$5,'Annual Cash Flow'!$G$86:$EI$86),0))</f>
      </c>
      <c r="V25" s="187" t="str">
        <f>IF(V$5="","",IFERROR(SUMIF('Annual Cash Flow'!$G$46:$EI$46,V$5,'Annual Cash Flow'!$G$83:$EI$83),0)+IFERROR(SUMIF('Annual Cash Flow'!$G$46:$EI$46,V$5,'Annual Cash Flow'!$G$86:$EI$86),0))</f>
      </c>
      <c r="W25" s="187" t="str">
        <f>IF(W$5="","",IFERROR(SUMIF('Annual Cash Flow'!$G$46:$EI$46,W$5,'Annual Cash Flow'!$G$83:$EI$83),0)+IFERROR(SUMIF('Annual Cash Flow'!$G$46:$EI$46,W$5,'Annual Cash Flow'!$G$86:$EI$86),0))</f>
      </c>
      <c r="X25" s="187" t="str">
        <f>IF(X$5="","",IFERROR(SUMIF('Annual Cash Flow'!$G$46:$EI$46,X$5,'Annual Cash Flow'!$G$83:$EI$83),0)+IFERROR(SUMIF('Annual Cash Flow'!$G$46:$EI$46,X$5,'Annual Cash Flow'!$G$86:$EI$86),0))</f>
      </c>
    </row>
    <row r="26">
      <c r="B26" s="96" t="s">
        <v>672</v>
      </c>
      <c r="C26" s="165"/>
      <c r="D26" s="165"/>
      <c r="E26" s="165"/>
      <c r="F26" s="165"/>
      <c r="G26" s="187" t="str">
        <f>IF(G$5="","",G23-G25)</f>
      </c>
      <c r="H26" s="187" t="n">
        <f>IF(H$5="","",H23-H25)</f>
        <v>-6139.555523695716</v>
      </c>
      <c r="I26" s="187" t="n">
        <f>IF(I$5="","",I23-I25)</f>
        <v>21872094.00847183</v>
      </c>
      <c r="J26" s="187" t="n">
        <f>IF(J$5="","",J23-J25)</f>
        <v>42088863.57873003</v>
      </c>
      <c r="K26" s="187" t="n">
        <f>IF(K$5="","",K23-K25)</f>
        <v>44412642.670037106</v>
      </c>
      <c r="L26" s="187" t="n">
        <f>IF(L$5="","",N(L23)-N(L25))</f>
        <v>44805985.39181667</v>
      </c>
      <c r="M26" s="187" t="n">
        <f t="shared" ref="M26:X26" si="2">IF(M$5="","",N(M23)-N(M25))</f>
        <v>3743346.460947049</v>
      </c>
      <c r="N26" s="187">
        <f t="shared" si="2"/>
        <v>0</v>
      </c>
      <c r="O26" s="187" t="str">
        <f t="shared" si="2"/>
      </c>
      <c r="P26" s="187" t="str">
        <f t="shared" si="2"/>
      </c>
      <c r="Q26" s="187" t="str">
        <f t="shared" si="2"/>
      </c>
      <c r="R26" s="187" t="str">
        <f t="shared" si="2"/>
      </c>
      <c r="S26" s="187" t="str">
        <f t="shared" si="2"/>
      </c>
      <c r="T26" s="187" t="str">
        <f t="shared" si="2"/>
      </c>
      <c r="U26" s="187" t="str">
        <f t="shared" si="2"/>
      </c>
      <c r="V26" s="187" t="str">
        <f t="shared" si="2"/>
      </c>
      <c r="W26" s="187" t="str">
        <f t="shared" si="2"/>
      </c>
      <c r="X26" s="187" t="str">
        <f t="shared" si="2"/>
      </c>
    </row>
    <row r="27">
      <c r="B27" s="181" t="s">
        <v>673</v>
      </c>
      <c r="C27" s="165"/>
      <c r="D27" s="165"/>
      <c r="E27" s="165"/>
      <c r="F27" s="165"/>
      <c r="G27" s="187" t="str">
        <f t="shared" ref="G27:M27" si="3">IF(G$5="","",IF(G66=0,0,G66-(N(F34)-G65)))</f>
      </c>
      <c r="H27" s="187">
        <f t="shared" si="3"/>
        <v>0</v>
      </c>
      <c r="I27" s="187">
        <f t="shared" si="3"/>
        <v>0</v>
      </c>
      <c r="J27" s="187">
        <f t="shared" si="3"/>
        <v>0</v>
      </c>
      <c r="K27" s="187">
        <f t="shared" si="3"/>
        <v>0</v>
      </c>
      <c r="L27" s="187">
        <f t="shared" si="3"/>
        <v>0</v>
      </c>
      <c r="M27" s="187">
        <f t="shared" si="3"/>
        <v>628556422.14354205</v>
      </c>
      <c r="N27" s="187" t="n">
        <f>IF(N$5="","",0)</f>
        <v>0</v>
      </c>
      <c r="O27" s="187" t="str">
        <f>IF(O$5="","",IF(O66=0,0,O66+SUM($G65:O65)))</f>
      </c>
      <c r="P27" s="187" t="str">
        <f>IF(P$5="","",IF(P66=0,0,P66+SUM($G65:P65)))</f>
      </c>
      <c r="Q27" s="187" t="str">
        <f>IF(Q$5="","",IF(Q66=0,0,Q66+SUM($G65:Q65)))</f>
      </c>
      <c r="R27" s="187" t="str">
        <f>IF(R$5="","",IF(R66=0,0,R66+SUM($G65:R65)))</f>
      </c>
      <c r="S27" s="187" t="str">
        <f>IF(S$5="","",IF(S66=0,0,S66+SUM($G65:S65)))</f>
      </c>
      <c r="T27" s="187" t="str">
        <f>IF(T$5="","",IF(T66=0,0,T66+SUM($G65:T65)))</f>
      </c>
      <c r="U27" s="187" t="str">
        <f>IF(U$5="","",IF(U66=0,0,U66+SUM($G65:U65)))</f>
      </c>
      <c r="V27" s="187" t="str">
        <f>IF(V$5="","",IF(V66=0,0,V66+SUM($G65:V65)))</f>
      </c>
      <c r="W27" s="187" t="str">
        <f>IF(W$5="","",IF(W66=0,0,W66+SUM($G65:W65)))</f>
      </c>
      <c r="X27" s="187" t="str">
        <f>IF(X$5="","",IF(X66=0,0,X66+SUM($G65:X65)))</f>
      </c>
    </row>
    <row r="28">
      <c r="B28" s="96" t="s">
        <v>674</v>
      </c>
      <c r="C28" s="165"/>
      <c r="D28" s="165"/>
      <c r="E28" s="165"/>
      <c r="F28" s="165"/>
      <c r="G28" s="187" t="str">
        <f t="shared" ref="G28:L28" si="4">IF(G$5="","",G26+G27)</f>
      </c>
      <c r="H28" s="187">
        <f t="shared" si="4"/>
        <v>3508702.7585303956</v>
      </c>
      <c r="I28" s="187">
        <f t="shared" si="4"/>
        <v>21872094.008471832</v>
      </c>
      <c r="J28" s="187">
        <f t="shared" si="4"/>
        <v>42088863.578730032</v>
      </c>
      <c r="K28" s="187">
        <f t="shared" si="4"/>
        <v>44412642.670037106</v>
      </c>
      <c r="L28" s="187">
        <f t="shared" si="4"/>
        <v>44805985.391816668</v>
      </c>
      <c r="M28" s="187" t="n">
        <f t="shared" ref="M28:X28" si="5">IF(M$5="","",M26+M27)</f>
        <v>632299768.6044891</v>
      </c>
      <c r="N28" s="187">
        <f t="shared" si="5"/>
        <v>0</v>
      </c>
      <c r="O28" s="187" t="str">
        <f t="shared" si="5"/>
      </c>
      <c r="P28" s="187" t="str">
        <f t="shared" si="5"/>
      </c>
      <c r="Q28" s="187" t="str">
        <f t="shared" si="5"/>
      </c>
      <c r="R28" s="187" t="str">
        <f t="shared" si="5"/>
      </c>
      <c r="S28" s="187" t="str">
        <f t="shared" si="5"/>
      </c>
      <c r="T28" s="187" t="str">
        <f t="shared" si="5"/>
      </c>
      <c r="U28" s="187" t="str">
        <f t="shared" si="5"/>
      </c>
      <c r="V28" s="187" t="str">
        <f t="shared" si="5"/>
      </c>
      <c r="W28" s="187" t="str">
        <f t="shared" si="5"/>
      </c>
      <c r="X28" s="187" t="str">
        <f t="shared" si="5"/>
      </c>
    </row>
    <row r="29" ht="14.5" customHeight="1">
      <c r="B29" s="572" t="s">
        <v>675</v>
      </c>
      <c r="C29" s="571"/>
      <c r="D29" s="571"/>
      <c r="E29" s="571"/>
      <c r="F29" s="571"/>
      <c r="G29" s="571"/>
      <c r="H29" s="571"/>
      <c r="I29" s="571"/>
      <c r="J29" s="571"/>
      <c r="K29" s="571"/>
      <c r="L29" s="571"/>
      <c r="M29" s="571"/>
      <c r="N29" s="571"/>
      <c r="O29" s="571"/>
      <c r="P29" s="571"/>
      <c r="Q29" s="571"/>
      <c r="R29" s="571"/>
      <c r="S29" s="571"/>
      <c r="T29" s="571"/>
      <c r="U29" s="571"/>
      <c r="V29" s="571"/>
      <c r="W29" s="571"/>
      <c r="X29" s="571"/>
    </row>
    <row r="30">
      <c r="B30" s="96"/>
      <c r="C30" s="165"/>
      <c r="D30" s="165"/>
      <c r="E30" s="165"/>
      <c r="F30" s="27"/>
      <c r="G30" s="187"/>
      <c r="H30" s="244"/>
      <c r="I30" s="187"/>
      <c r="J30" s="187"/>
      <c r="K30" s="187"/>
      <c r="L30" s="187"/>
      <c r="M30" s="187"/>
      <c r="N30" s="187"/>
      <c r="O30" s="187"/>
      <c r="P30" s="187"/>
      <c r="Q30" s="187"/>
      <c r="R30" s="187"/>
      <c r="S30" s="187"/>
      <c r="T30" s="187"/>
      <c r="U30" s="187"/>
      <c r="V30" s="187"/>
      <c r="W30" s="187"/>
      <c r="X30" s="187"/>
    </row>
    <row r="31">
      <c r="B31" s="115" t="s">
        <v>676</v>
      </c>
      <c r="C31" s="165"/>
      <c r="D31" s="165"/>
      <c r="E31" s="165"/>
      <c r="F31" s="27"/>
      <c r="G31" s="237"/>
      <c r="H31" s="167"/>
      <c r="I31" s="167"/>
      <c r="J31" s="167"/>
      <c r="K31" s="167"/>
      <c r="L31" s="167"/>
      <c r="M31" s="167"/>
      <c r="N31" s="167"/>
      <c r="O31" s="167"/>
      <c r="P31" s="167"/>
      <c r="Q31" s="167"/>
      <c r="R31" s="167"/>
      <c r="S31" s="167"/>
      <c r="T31" s="167"/>
      <c r="U31" s="167"/>
      <c r="V31" s="167"/>
      <c r="W31" s="167"/>
      <c r="X31" s="167"/>
    </row>
    <row r="32">
      <c r="B32" s="96" t="s">
        <v>677</v>
      </c>
      <c r="C32" s="165"/>
      <c r="D32" s="165"/>
      <c r="E32" s="165"/>
      <c r="F32" s="27"/>
      <c r="G32" s="187"/>
      <c r="H32" s="244"/>
      <c r="I32" s="187"/>
      <c r="J32" s="187"/>
      <c r="K32" s="187"/>
      <c r="L32" s="187"/>
      <c r="M32" s="187"/>
      <c r="N32" s="187"/>
      <c r="O32" s="187"/>
      <c r="P32" s="187"/>
      <c r="Q32" s="187"/>
      <c r="R32" s="187"/>
      <c r="S32" s="187"/>
      <c r="T32" s="187"/>
      <c r="U32" s="187"/>
      <c r="V32" s="187"/>
      <c r="W32" s="187"/>
      <c r="X32" s="187"/>
    </row>
    <row r="33">
      <c r="B33" s="181" t="s">
        <v>678</v>
      </c>
      <c r="C33" s="165"/>
      <c r="D33" s="165"/>
      <c r="E33" s="165"/>
      <c r="F33" s="165"/>
      <c r="G33" s="187" t="n">
        <f t="shared" ref="G33:L33" si="6">0</f>
        <v>0</v>
      </c>
      <c r="H33" s="187">
        <f t="shared" si="6"/>
        <v>0</v>
      </c>
      <c r="I33" s="187">
        <f t="shared" si="6"/>
        <v>0</v>
      </c>
      <c r="J33" s="187">
        <f t="shared" si="6"/>
        <v>0</v>
      </c>
      <c r="K33" s="187">
        <f t="shared" si="6"/>
        <v>0</v>
      </c>
      <c r="L33" s="187">
        <f t="shared" si="6"/>
        <v>0</v>
      </c>
      <c r="M33" s="187" t="n">
        <f t="shared" ref="M33:X33" si="7">IF(M$5="","",M81)</f>
        <v>826365826.6616498</v>
      </c>
      <c r="N33" s="187">
        <f t="shared" si="7"/>
        <v>0</v>
      </c>
      <c r="O33" s="187" t="str">
        <f t="shared" si="7"/>
      </c>
      <c r="P33" s="187" t="str">
        <f t="shared" si="7"/>
      </c>
      <c r="Q33" s="187" t="str">
        <f t="shared" si="7"/>
      </c>
      <c r="R33" s="187" t="str">
        <f t="shared" si="7"/>
      </c>
      <c r="S33" s="187" t="str">
        <f t="shared" si="7"/>
      </c>
      <c r="T33" s="187" t="str">
        <f t="shared" si="7"/>
      </c>
      <c r="U33" s="187" t="str">
        <f t="shared" si="7"/>
      </c>
      <c r="V33" s="187" t="str">
        <f t="shared" si="7"/>
      </c>
      <c r="W33" s="187" t="str">
        <f t="shared" si="7"/>
      </c>
      <c r="X33" s="187" t="str">
        <f t="shared" si="7"/>
      </c>
    </row>
    <row r="34">
      <c r="B34" s="181" t="s">
        <v>679</v>
      </c>
      <c r="C34" s="165"/>
      <c r="D34" s="165"/>
      <c r="E34" s="165"/>
      <c r="F34" s="165"/>
      <c r="G34" s="187">
        <v>87034792.905174226</v>
      </c>
      <c r="H34" s="187">
        <v>142977881.16348797</v>
      </c>
      <c r="I34" s="187">
        <v>365064951.25910747</v>
      </c>
      <c r="J34" s="187">
        <v>407488551.28460008</v>
      </c>
      <c r="K34" s="187">
        <v>407488551.28460008</v>
      </c>
      <c r="L34" s="187">
        <v>407488551.28460008</v>
      </c>
      <c r="M34" s="187">
        <v>0</v>
      </c>
      <c r="N34" s="187">
        <v>0</v>
      </c>
      <c r="O34" s="187" t="str">
        <f>IF(O$5="","",IF(SUM($G66:O66)&lt;&gt;0,0,-SUM($G65:O65)))</f>
      </c>
      <c r="P34" s="187" t="str">
        <f>IF(P$5="","",IF(SUM($G66:P66)&lt;&gt;0,0,-SUM($G65:P65)))</f>
      </c>
      <c r="Q34" s="187" t="str">
        <f>IF(Q$5="","",IF(SUM($G66:Q66)&lt;&gt;0,0,-SUM($G65:Q65)))</f>
      </c>
      <c r="R34" s="187" t="str">
        <f>IF(R$5="","",IF(SUM($G66:R66)&lt;&gt;0,0,-SUM($G65:R65)))</f>
      </c>
      <c r="S34" s="187" t="str">
        <f>IF(S$5="","",IF(SUM($G66:S66)&lt;&gt;0,0,-SUM($G65:S65)))</f>
      </c>
      <c r="T34" s="187" t="str">
        <f>IF(T$5="","",IF(SUM($G66:T66)&lt;&gt;0,0,-SUM($G65:T65)))</f>
      </c>
      <c r="U34" s="187" t="str">
        <f>IF(U$5="","",IF(SUM($G66:U66)&lt;&gt;0,0,-SUM($G65:U65)))</f>
      </c>
      <c r="V34" s="187" t="str">
        <f>IF(V$5="","",IF(SUM($G66:V66)&lt;&gt;0,0,-SUM($G65:V65)))</f>
      </c>
      <c r="W34" s="187" t="str">
        <f>IF(W$5="","",IF(SUM($G66:W66)&lt;&gt;0,0,-SUM($G65:W65)))</f>
      </c>
      <c r="X34" s="187" t="str">
        <f>IF(X$5="","",IF(SUM($G66:X66)&lt;&gt;0,0,-SUM($G65:X65)))</f>
      </c>
    </row>
    <row r="35">
      <c r="B35" s="96" t="s">
        <v>680</v>
      </c>
      <c r="C35" s="165"/>
      <c r="D35" s="165"/>
      <c r="E35" s="165"/>
      <c r="F35" s="165"/>
      <c r="G35" s="187" t="n">
        <f t="shared" ref="G35:L35" si="8">SUM(G33:G34)</f>
        <v>87034792.90517423</v>
      </c>
      <c r="H35" s="187">
        <f t="shared" si="8"/>
        <v>142977881.16348797</v>
      </c>
      <c r="I35" s="187">
        <f t="shared" si="8"/>
        <v>365064951.25910747</v>
      </c>
      <c r="J35" s="187">
        <f t="shared" si="8"/>
        <v>407488551.28460008</v>
      </c>
      <c r="K35" s="187">
        <f t="shared" si="8"/>
        <v>407488551.28460008</v>
      </c>
      <c r="L35" s="187">
        <f t="shared" si="8"/>
        <v>407488551.28460008</v>
      </c>
      <c r="M35" s="187" t="n">
        <f t="shared" ref="M35:X35" si="9">IF(M$5="","",SUM(M33:M34))</f>
        <v>826365826.6616498</v>
      </c>
      <c r="N35" s="187">
        <f t="shared" si="9"/>
        <v>0</v>
      </c>
      <c r="O35" s="187" t="str">
        <f t="shared" si="9"/>
      </c>
      <c r="P35" s="187" t="str">
        <f t="shared" si="9"/>
      </c>
      <c r="Q35" s="187" t="str">
        <f t="shared" si="9"/>
      </c>
      <c r="R35" s="187" t="str">
        <f t="shared" si="9"/>
      </c>
      <c r="S35" s="187" t="str">
        <f t="shared" si="9"/>
      </c>
      <c r="T35" s="187" t="str">
        <f t="shared" si="9"/>
      </c>
      <c r="U35" s="187" t="str">
        <f t="shared" si="9"/>
      </c>
      <c r="V35" s="187" t="str">
        <f t="shared" si="9"/>
      </c>
      <c r="W35" s="187" t="str">
        <f t="shared" si="9"/>
      </c>
      <c r="X35" s="187" t="str">
        <f t="shared" si="9"/>
      </c>
    </row>
    <row r="36">
      <c r="B36" s="96"/>
      <c r="C36" s="165"/>
      <c r="D36" s="165"/>
      <c r="E36" s="165"/>
      <c r="F36" s="27"/>
      <c r="G36" s="187"/>
      <c r="H36" s="244"/>
      <c r="I36" s="187"/>
      <c r="J36" s="187"/>
      <c r="K36" s="187"/>
      <c r="L36" s="187"/>
      <c r="M36" s="187"/>
      <c r="N36" s="187"/>
      <c r="O36" s="187"/>
      <c r="P36" s="187"/>
      <c r="Q36" s="187"/>
      <c r="R36" s="187"/>
      <c r="S36" s="187"/>
      <c r="T36" s="187"/>
      <c r="U36" s="187"/>
      <c r="V36" s="187"/>
      <c r="W36" s="187"/>
      <c r="X36" s="187"/>
    </row>
    <row r="37">
      <c r="B37" s="115" t="s">
        <v>681</v>
      </c>
      <c r="C37" s="165"/>
      <c r="D37" s="165"/>
      <c r="E37" s="165"/>
      <c r="F37" s="27"/>
      <c r="G37" s="237"/>
      <c r="H37" s="167"/>
      <c r="I37" s="167"/>
      <c r="J37" s="167"/>
      <c r="K37" s="167"/>
      <c r="L37" s="167"/>
      <c r="M37" s="167"/>
      <c r="N37" s="167"/>
      <c r="O37" s="167"/>
      <c r="P37" s="167"/>
      <c r="Q37" s="167"/>
      <c r="R37" s="167"/>
      <c r="S37" s="167"/>
      <c r="T37" s="167"/>
      <c r="U37" s="167"/>
      <c r="V37" s="167"/>
      <c r="W37" s="167"/>
      <c r="X37" s="167"/>
    </row>
    <row r="38">
      <c r="B38" s="181" t="s">
        <v>169</v>
      </c>
      <c r="C38" s="165"/>
      <c r="D38" s="165"/>
      <c r="E38" s="165"/>
      <c r="F38" s="165"/>
      <c r="G38" s="187" t="n">
        <f>0</f>
        <v>0</v>
      </c>
      <c r="H38" s="187" t="n">
        <f>IF(H$5="","",MAX(0,SUM($G70:H70)+SUM($G71:H71)))</f>
        <v>3756666.6666666665</v>
      </c>
      <c r="I38" s="187" t="n">
        <f>IF(I$5="","",MAX(0,SUM($G70:I70)+SUM($G71:I71)))</f>
        <v>173679791.68031862</v>
      </c>
      <c r="J38" s="187" t="n">
        <f>IF(J$5="","",MAX(0,SUM($G70:J70)+SUM($G71:J71)))</f>
        <v>213018833.9095071</v>
      </c>
      <c r="K38" s="187" t="n">
        <f>IF(K$5="","",MAX(0,SUM($G70:K70)+SUM($G71:K71)))</f>
        <v>213018833.9095071</v>
      </c>
      <c r="L38" s="187" t="n">
        <f>IF(L$5="","",MAX(0,SUM($G70:L70)+SUM($G71:L71)))</f>
        <v>213018833.9095071</v>
      </c>
      <c r="M38" s="187" t="n">
        <f>IF(M$5="","",MAX(0,SUM($G70:M70)+SUM($G71:M71)))</f>
        <v>0</v>
      </c>
      <c r="N38" s="187" t="n">
        <f>IF(N$5="","",MAX(0,SUM($G70:N70)+SUM($G71:N71)))</f>
        <v>0</v>
      </c>
      <c r="O38" s="187" t="str">
        <f>IF(O$5="","",MAX(0,SUM($G70:O70)+SUM($G71:O71)))</f>
      </c>
      <c r="P38" s="187" t="str">
        <f>IF(P$5="","",MAX(0,SUM($G70:P70)+SUM($G71:P71)))</f>
      </c>
      <c r="Q38" s="187" t="str">
        <f>IF(Q$5="","",MAX(0,SUM($G70:Q70)+SUM($G71:Q71)))</f>
      </c>
      <c r="R38" s="187" t="str">
        <f>IF(R$5="","",MAX(0,SUM($G70:R70)+SUM($G71:R71)))</f>
      </c>
      <c r="S38" s="187" t="str">
        <f>IF(S$5="","",MAX(0,SUM($G70:S70)+SUM($G71:S71)))</f>
      </c>
      <c r="T38" s="187" t="str">
        <f>IF(T$5="","",MAX(0,SUM($G70:T70)+SUM($G71:T71)))</f>
      </c>
      <c r="U38" s="187" t="str">
        <f>IF(U$5="","",MAX(0,SUM($G70:U70)+SUM($G71:U71)))</f>
      </c>
      <c r="V38" s="187" t="str">
        <f>IF(V$5="","",MAX(0,SUM($G70:V70)+SUM($G71:V71)))</f>
      </c>
      <c r="W38" s="187" t="str">
        <f>IF(W$5="","",MAX(0,SUM($G70:W70)+SUM($G71:W71)))</f>
      </c>
      <c r="X38" s="187" t="str">
        <f>IF(X$5="","",MAX(0,SUM($G70:X70)+SUM($G71:X71)))</f>
      </c>
    </row>
    <row r="39">
      <c r="B39" s="96" t="s">
        <v>682</v>
      </c>
      <c r="C39" s="165"/>
      <c r="D39" s="165"/>
      <c r="E39" s="165"/>
      <c r="F39" s="165"/>
      <c r="G39" s="187" t="n">
        <f t="shared" ref="G39:L39" si="10">G38</f>
        <v>0</v>
      </c>
      <c r="H39" s="187">
        <f t="shared" si="10"/>
        <v>3756666.6666666665</v>
      </c>
      <c r="I39" s="187">
        <f t="shared" si="10"/>
        <v>173679791.68031862</v>
      </c>
      <c r="J39" s="187">
        <f t="shared" si="10"/>
        <v>213422493.22743934</v>
      </c>
      <c r="K39" s="187">
        <f t="shared" si="10"/>
        <v>213422493.22743934</v>
      </c>
      <c r="L39" s="187">
        <f t="shared" si="10"/>
        <v>213422493.22743934</v>
      </c>
      <c r="M39" s="187" t="n">
        <f t="shared" ref="M39:X39" si="11">IF(M$5="","",M38)</f>
        <v>0</v>
      </c>
      <c r="N39" s="187">
        <f t="shared" si="11"/>
        <v>0</v>
      </c>
      <c r="O39" s="187" t="str">
        <f t="shared" si="11"/>
      </c>
      <c r="P39" s="187" t="str">
        <f t="shared" si="11"/>
      </c>
      <c r="Q39" s="187" t="str">
        <f t="shared" si="11"/>
      </c>
      <c r="R39" s="187" t="str">
        <f t="shared" si="11"/>
      </c>
      <c r="S39" s="187" t="str">
        <f t="shared" si="11"/>
      </c>
      <c r="T39" s="187" t="str">
        <f t="shared" si="11"/>
      </c>
      <c r="U39" s="187" t="str">
        <f t="shared" si="11"/>
      </c>
      <c r="V39" s="187" t="str">
        <f t="shared" si="11"/>
      </c>
      <c r="W39" s="187" t="str">
        <f t="shared" si="11"/>
      </c>
      <c r="X39" s="187" t="str">
        <f t="shared" si="11"/>
      </c>
    </row>
    <row r="40">
      <c r="B40" s="96"/>
      <c r="C40" s="165"/>
      <c r="D40" s="165"/>
      <c r="E40" s="165"/>
      <c r="F40" s="27"/>
      <c r="G40" s="187"/>
      <c r="H40" s="244"/>
      <c r="I40" s="187"/>
      <c r="J40" s="187"/>
      <c r="K40" s="187"/>
      <c r="L40" s="187"/>
      <c r="M40" s="187"/>
      <c r="N40" s="187"/>
      <c r="O40" s="187"/>
      <c r="P40" s="187"/>
      <c r="Q40" s="187"/>
      <c r="R40" s="187"/>
      <c r="S40" s="187"/>
      <c r="T40" s="187"/>
      <c r="U40" s="187"/>
      <c r="V40" s="187"/>
      <c r="W40" s="187"/>
      <c r="X40" s="187"/>
    </row>
    <row r="41">
      <c r="B41" s="115" t="s">
        <v>683</v>
      </c>
      <c r="C41" s="165"/>
      <c r="D41" s="165"/>
      <c r="E41" s="165"/>
      <c r="F41" s="27"/>
      <c r="G41" s="237"/>
      <c r="H41" s="167"/>
      <c r="I41" s="167"/>
      <c r="J41" s="167"/>
      <c r="K41" s="167"/>
      <c r="L41" s="167"/>
      <c r="M41" s="167"/>
      <c r="N41" s="167"/>
      <c r="O41" s="167"/>
      <c r="P41" s="167"/>
      <c r="Q41" s="167"/>
      <c r="R41" s="167"/>
      <c r="S41" s="167"/>
      <c r="T41" s="167"/>
      <c r="U41" s="167"/>
      <c r="V41" s="167"/>
      <c r="W41" s="167"/>
      <c r="X41" s="167"/>
    </row>
    <row r="42">
      <c r="B42" s="181" t="s">
        <v>684</v>
      </c>
      <c r="C42" s="165"/>
      <c r="D42" s="165"/>
      <c r="E42" s="165"/>
      <c r="F42" s="165"/>
      <c r="G42" s="187" t="n">
        <f>MAX(0,G35-G39-G43-G44)</f>
        <v>87034792.90517423</v>
      </c>
      <c r="H42" s="187" t="n">
        <f>IF(H$5="","",$G$42+SUM($H73:H73))</f>
        <v>135712511.7382909</v>
      </c>
      <c r="I42" s="187" t="n">
        <f>IF(I$5="","",$G$42+SUM($H73:I73))</f>
        <v>166004362.81178662</v>
      </c>
      <c r="J42" s="187" t="n">
        <f>IF(J$5="","",$G$42+SUM($H73:J73))</f>
        <v>166004362.81178662</v>
      </c>
      <c r="K42" s="187" t="n">
        <f>IF(K$5="","",$G$42+SUM($H73:K73))</f>
        <v>166004362.81178662</v>
      </c>
      <c r="L42" s="187" t="n">
        <f>IF(L$5="","",$G$42+SUM($H73:L73))</f>
        <v>166004362.81178662</v>
      </c>
      <c r="M42" s="187" t="n">
        <f>IF(M$5="","",$G$42+SUM($H73:M73))</f>
        <v>166004362.81178662</v>
      </c>
      <c r="N42" s="187" t="n">
        <f>IF(N$5="","",$G$42+SUM($H73:N73))</f>
        <v>166004362.81178662</v>
      </c>
      <c r="O42" s="187" t="str">
        <f>IF(O$5="","",SUM($G73:O73))</f>
      </c>
      <c r="P42" s="187" t="str">
        <f>IF(P$5="","",SUM($G73:P73))</f>
      </c>
      <c r="Q42" s="187" t="str">
        <f>IF(Q$5="","",SUM($G73:Q73))</f>
      </c>
      <c r="R42" s="187" t="str">
        <f>IF(R$5="","",SUM($G73:R73))</f>
      </c>
      <c r="S42" s="187" t="str">
        <f>IF(S$5="","",SUM($G73:S73))</f>
      </c>
      <c r="T42" s="187" t="str">
        <f>IF(T$5="","",SUM($G73:T73))</f>
      </c>
      <c r="U42" s="187" t="str">
        <f>IF(U$5="","",SUM($G73:U73))</f>
      </c>
      <c r="V42" s="187" t="str">
        <f>IF(V$5="","",SUM($G73:V73))</f>
      </c>
      <c r="W42" s="187" t="str">
        <f>IF(W$5="","",SUM($G73:W73))</f>
      </c>
      <c r="X42" s="187" t="str">
        <f>IF(X$5="","",SUM($G73:X73))</f>
      </c>
    </row>
    <row r="43">
      <c r="B43" s="181" t="s">
        <v>685</v>
      </c>
      <c r="C43" s="165"/>
      <c r="D43" s="165"/>
      <c r="E43" s="165"/>
      <c r="F43" s="165"/>
      <c r="G43" s="187" t="n">
        <f>0</f>
        <v>0</v>
      </c>
      <c r="H43" s="187" t="n">
        <f>IF(H$5="","",SUM($G28:H28))</f>
        <v>3508702.7585303956</v>
      </c>
      <c r="I43" s="187" t="n">
        <f>IF(I$5="","",SUM($G28:I28))</f>
        <v>25380796.76700223</v>
      </c>
      <c r="J43" s="187" t="n">
        <f>IF(J$5="","",SUM($G28:J28))</f>
        <v>67469660.34573226</v>
      </c>
      <c r="K43" s="187" t="n">
        <f>IF(K$5="","",SUM($G28:K28))</f>
        <v>111882303.01576936</v>
      </c>
      <c r="L43" s="187" t="n">
        <f>IF(L$5="","",SUM($G28:L28))</f>
        <v>156688288.40758604</v>
      </c>
      <c r="M43" s="187" t="n">
        <f>IF(M$5="","",SUM($G28:M28))</f>
        <v>788988057.0120752</v>
      </c>
      <c r="N43" s="187" t="n">
        <f>IF(N$5="","",SUM($G28:N28))</f>
        <v>788988057.0120752</v>
      </c>
      <c r="O43" s="187" t="str">
        <f>IF(O$5="","",SUM($G28:O28))</f>
      </c>
      <c r="P43" s="187" t="str">
        <f>IF(P$5="","",SUM($G28:P28))</f>
      </c>
      <c r="Q43" s="187" t="str">
        <f>IF(Q$5="","",SUM($G28:Q28))</f>
      </c>
      <c r="R43" s="187" t="str">
        <f>IF(R$5="","",SUM($G28:R28))</f>
      </c>
      <c r="S43" s="187" t="str">
        <f>IF(S$5="","",SUM($G28:S28))</f>
      </c>
      <c r="T43" s="187" t="str">
        <f>IF(T$5="","",SUM($G28:T28))</f>
      </c>
      <c r="U43" s="187" t="str">
        <f>IF(U$5="","",SUM($G28:U28))</f>
      </c>
      <c r="V43" s="187" t="str">
        <f>IF(V$5="","",SUM($G28:V28))</f>
      </c>
      <c r="W43" s="187" t="str">
        <f>IF(W$5="","",SUM($G28:W28))</f>
      </c>
      <c r="X43" s="187" t="str">
        <f>IF(X$5="","",SUM($G28:X28))</f>
      </c>
    </row>
    <row r="44">
      <c r="B44" s="181" t="s">
        <v>686</v>
      </c>
      <c r="C44" s="165"/>
      <c r="D44" s="165"/>
      <c r="E44" s="165"/>
      <c r="F44" s="165"/>
      <c r="G44" s="187" t="n">
        <f>0</f>
        <v>0</v>
      </c>
      <c r="H44" s="187" t="n">
        <f>IF(H$5="","",SUM($G74:H74))</f>
        <v>0</v>
      </c>
      <c r="I44" s="187" t="n">
        <f>IF(I$5="","",SUM($G74:I74))</f>
        <v>0</v>
      </c>
      <c r="J44" s="187" t="n">
        <f>IF(J$5="","",SUM($G74:J74))</f>
        <v>-39407965.10035813</v>
      </c>
      <c r="K44" s="187" t="n">
        <f>IF(K$5="","",SUM($G74:K74))</f>
        <v>-83820607.77039523</v>
      </c>
      <c r="L44" s="187" t="n">
        <f>IF(L$5="","",SUM($G74:L74))</f>
        <v>-128626593.1622119</v>
      </c>
      <c r="M44" s="187" t="n">
        <f>IF(M$5="","",SUM($G74:M74))</f>
        <v>-128626593.1622119</v>
      </c>
      <c r="N44" s="187" t="n">
        <f>IF(N$5="","",SUM($G74:N74))</f>
        <v>-954992419.8238617</v>
      </c>
      <c r="O44" s="187" t="str">
        <f>IF(O$5="","",SUM($G74:O74))</f>
      </c>
      <c r="P44" s="187" t="str">
        <f>IF(P$5="","",SUM($G74:P74))</f>
      </c>
      <c r="Q44" s="187" t="str">
        <f>IF(Q$5="","",SUM($G74:Q74))</f>
      </c>
      <c r="R44" s="187" t="str">
        <f>IF(R$5="","",SUM($G74:R74))</f>
      </c>
      <c r="S44" s="187" t="str">
        <f>IF(S$5="","",SUM($G74:S74))</f>
      </c>
      <c r="T44" s="187" t="str">
        <f>IF(T$5="","",SUM($G74:T74))</f>
      </c>
      <c r="U44" s="187" t="str">
        <f>IF(U$5="","",SUM($G74:U74))</f>
      </c>
      <c r="V44" s="187" t="str">
        <f>IF(V$5="","",SUM($G74:V74))</f>
      </c>
      <c r="W44" s="187" t="str">
        <f>IF(W$5="","",SUM($G74:W74))</f>
      </c>
      <c r="X44" s="187" t="str">
        <f>IF(X$5="","",SUM($G74:X74))</f>
      </c>
    </row>
    <row r="45">
      <c r="B45" s="96" t="s">
        <v>687</v>
      </c>
      <c r="C45" s="165"/>
      <c r="D45" s="165"/>
      <c r="E45" s="165"/>
      <c r="F45" s="165"/>
      <c r="G45" s="187" t="n">
        <f t="shared" ref="G45:L45" si="12">SUM(G42:G44)</f>
        <v>87034792.90517423</v>
      </c>
      <c r="H45" s="187">
        <f t="shared" si="12"/>
        <v>139223256.98048145</v>
      </c>
      <c r="I45" s="187">
        <f t="shared" si="12"/>
        <v>191387202.06244898</v>
      </c>
      <c r="J45" s="187">
        <f t="shared" si="12"/>
        <v>194068100.5408209</v>
      </c>
      <c r="K45" s="187">
        <f t="shared" si="12"/>
        <v>194068100.5408209</v>
      </c>
      <c r="L45" s="187">
        <f t="shared" si="12"/>
        <v>194068100.5408209</v>
      </c>
      <c r="M45" s="187" t="n">
        <f t="shared" ref="M45:X45" si="13">IF(M$5="","",SUM(M42:M44))</f>
        <v>826365826.66165</v>
      </c>
      <c r="N45" s="187">
        <f t="shared" si="13"/>
        <v>2042.4836602210999</v>
      </c>
      <c r="O45" s="187" t="str">
        <f t="shared" si="13"/>
      </c>
      <c r="P45" s="187" t="str">
        <f t="shared" si="13"/>
      </c>
      <c r="Q45" s="187" t="str">
        <f t="shared" si="13"/>
      </c>
      <c r="R45" s="187" t="str">
        <f t="shared" si="13"/>
      </c>
      <c r="S45" s="187" t="str">
        <f t="shared" si="13"/>
      </c>
      <c r="T45" s="187" t="str">
        <f t="shared" si="13"/>
      </c>
      <c r="U45" s="187" t="str">
        <f t="shared" si="13"/>
      </c>
      <c r="V45" s="187" t="str">
        <f t="shared" si="13"/>
      </c>
      <c r="W45" s="187" t="str">
        <f t="shared" si="13"/>
      </c>
      <c r="X45" s="187" t="str">
        <f t="shared" si="13"/>
      </c>
    </row>
    <row r="46">
      <c r="B46" s="96" t="s">
        <v>688</v>
      </c>
      <c r="C46" s="165"/>
      <c r="D46" s="165"/>
      <c r="E46" s="165"/>
      <c r="F46" s="165"/>
      <c r="G46" s="187" t="n">
        <f t="shared" ref="G46:L46" si="14">G39+G45</f>
        <v>87034792.90517423</v>
      </c>
      <c r="H46" s="187">
        <f t="shared" si="14"/>
        <v>142979923.6471481</v>
      </c>
      <c r="I46" s="187">
        <f t="shared" si="14"/>
        <v>365066993.74276757</v>
      </c>
      <c r="J46" s="187">
        <f t="shared" si="14"/>
        <v>407490593.76826024</v>
      </c>
      <c r="K46" s="187">
        <f t="shared" si="14"/>
        <v>407490593.76826024</v>
      </c>
      <c r="L46" s="187">
        <f t="shared" si="14"/>
        <v>407490593.76826024</v>
      </c>
      <c r="M46" s="187" t="n">
        <f t="shared" ref="M46:X46" si="15">IF(M$5="","",M39+M45)</f>
        <v>826365826.66165</v>
      </c>
      <c r="N46" s="187">
        <f t="shared" si="15"/>
        <v>2042.4836602210999</v>
      </c>
      <c r="O46" s="187" t="str">
        <f t="shared" si="15"/>
      </c>
      <c r="P46" s="187" t="str">
        <f t="shared" si="15"/>
      </c>
      <c r="Q46" s="187" t="str">
        <f t="shared" si="15"/>
      </c>
      <c r="R46" s="187" t="str">
        <f t="shared" si="15"/>
      </c>
      <c r="S46" s="187" t="str">
        <f t="shared" si="15"/>
      </c>
      <c r="T46" s="187" t="str">
        <f t="shared" si="15"/>
      </c>
      <c r="U46" s="187" t="str">
        <f t="shared" si="15"/>
      </c>
      <c r="V46" s="187" t="str">
        <f t="shared" si="15"/>
      </c>
      <c r="W46" s="187" t="str">
        <f t="shared" si="15"/>
      </c>
      <c r="X46" s="187" t="str">
        <f t="shared" si="15"/>
      </c>
    </row>
    <row r="47">
      <c r="B47" s="96"/>
      <c r="C47" s="165"/>
      <c r="D47" s="165"/>
      <c r="E47" s="165"/>
      <c r="F47" s="27"/>
      <c r="G47" s="187"/>
      <c r="H47" s="244"/>
      <c r="I47" s="187"/>
      <c r="J47" s="187"/>
      <c r="K47" s="187"/>
      <c r="L47" s="187"/>
      <c r="M47" s="187"/>
      <c r="N47" s="187"/>
      <c r="O47" s="187"/>
      <c r="P47" s="187"/>
      <c r="Q47" s="187"/>
      <c r="R47" s="187"/>
      <c r="S47" s="187"/>
      <c r="T47" s="187"/>
      <c r="U47" s="187"/>
      <c r="V47" s="187"/>
      <c r="W47" s="187"/>
      <c r="X47" s="187"/>
    </row>
    <row r="48">
      <c r="B48" s="96"/>
      <c r="C48" s="165"/>
      <c r="D48" s="165"/>
      <c r="E48" s="165"/>
      <c r="F48" s="27"/>
      <c r="G48" s="187"/>
      <c r="H48" s="244"/>
      <c r="I48" s="187"/>
      <c r="J48" s="187"/>
      <c r="K48" s="187"/>
      <c r="L48" s="187"/>
      <c r="M48" s="187"/>
      <c r="N48" s="187"/>
      <c r="O48" s="187"/>
      <c r="P48" s="187"/>
      <c r="Q48" s="187"/>
      <c r="R48" s="187"/>
      <c r="S48" s="187"/>
      <c r="T48" s="187"/>
      <c r="U48" s="187"/>
      <c r="V48" s="187"/>
      <c r="W48" s="187"/>
      <c r="X48" s="187"/>
    </row>
    <row r="49">
      <c r="B49" s="115" t="s">
        <v>689</v>
      </c>
      <c r="C49" s="165"/>
      <c r="D49" s="165"/>
      <c r="E49" s="165"/>
      <c r="F49" s="27"/>
      <c r="G49" s="237"/>
      <c r="H49" s="167"/>
      <c r="I49" s="167"/>
      <c r="J49" s="167"/>
      <c r="K49" s="167"/>
      <c r="L49" s="167"/>
      <c r="M49" s="167"/>
      <c r="N49" s="167"/>
      <c r="O49" s="167"/>
      <c r="P49" s="167"/>
      <c r="Q49" s="167"/>
      <c r="R49" s="167"/>
      <c r="S49" s="167"/>
      <c r="T49" s="167"/>
      <c r="U49" s="167"/>
      <c r="V49" s="167"/>
      <c r="W49" s="167"/>
      <c r="X49" s="167"/>
    </row>
    <row r="50">
      <c r="B50" s="181" t="s">
        <v>690</v>
      </c>
      <c r="C50" s="165"/>
      <c r="D50" s="165"/>
      <c r="E50" s="165"/>
      <c r="F50" s="165"/>
      <c r="G50" s="187" t="n">
        <f t="shared" ref="G50:L50" si="16">G35-G46</f>
        <v>0</v>
      </c>
      <c r="H50" s="187">
        <f t="shared" si="16"/>
        <v>-2042.4836601316929</v>
      </c>
      <c r="I50" s="187">
        <f t="shared" si="16"/>
        <v>-2042.4836601018906</v>
      </c>
      <c r="J50" s="187">
        <f t="shared" si="16"/>
        <v>-2042.4836601614952</v>
      </c>
      <c r="K50" s="187">
        <f t="shared" si="16"/>
        <v>-2042.4836601614952</v>
      </c>
      <c r="L50" s="187">
        <f t="shared" si="16"/>
        <v>-2042.4836601614952</v>
      </c>
      <c r="M50" s="187" t="n">
        <f t="shared" ref="M50:X50" si="17">IF(M$5="","",M35-M46)</f>
        <v>-1.1920928955078125e-7</v>
      </c>
      <c r="N50" s="187">
        <f t="shared" si="17"/>
        <v>-2042.4836602210999</v>
      </c>
      <c r="O50" s="187" t="str">
        <f t="shared" si="17"/>
      </c>
      <c r="P50" s="187" t="str">
        <f t="shared" si="17"/>
      </c>
      <c r="Q50" s="187" t="str">
        <f t="shared" si="17"/>
      </c>
      <c r="R50" s="187" t="str">
        <f t="shared" si="17"/>
      </c>
      <c r="S50" s="187" t="str">
        <f t="shared" si="17"/>
      </c>
      <c r="T50" s="187" t="str">
        <f t="shared" si="17"/>
      </c>
      <c r="U50" s="187" t="str">
        <f t="shared" si="17"/>
      </c>
      <c r="V50" s="187" t="str">
        <f t="shared" si="17"/>
      </c>
      <c r="W50" s="187" t="str">
        <f t="shared" si="17"/>
      </c>
      <c r="X50" s="187" t="str">
        <f t="shared" si="17"/>
      </c>
    </row>
    <row r="51">
      <c r="B51" s="181" t="s">
        <v>691</v>
      </c>
      <c r="C51" s="165"/>
      <c r="D51" s="165"/>
      <c r="E51" s="165"/>
      <c r="F51" s="165"/>
      <c r="G51" s="187" t="n">
        <f t="shared" ref="G51:L51" si="18">G81-G33</f>
        <v>0</v>
      </c>
      <c r="H51" s="187">
        <f t="shared" si="18"/>
        <v>0</v>
      </c>
      <c r="I51" s="187">
        <f t="shared" si="18"/>
        <v>0</v>
      </c>
      <c r="J51" s="187">
        <f t="shared" si="18"/>
        <v>0</v>
      </c>
      <c r="K51" s="187">
        <f t="shared" si="18"/>
        <v>0</v>
      </c>
      <c r="L51" s="187">
        <f t="shared" si="18"/>
        <v>0</v>
      </c>
      <c r="M51" s="187" t="n">
        <f t="shared" ref="M51:X51" si="19">IF(M$5="","",M81-M33)</f>
        <v>0</v>
      </c>
      <c r="N51" s="187">
        <f t="shared" si="19"/>
        <v>0</v>
      </c>
      <c r="O51" s="187" t="str">
        <f t="shared" si="19"/>
      </c>
      <c r="P51" s="187" t="str">
        <f t="shared" si="19"/>
      </c>
      <c r="Q51" s="187" t="str">
        <f t="shared" si="19"/>
      </c>
      <c r="R51" s="187" t="str">
        <f t="shared" si="19"/>
      </c>
      <c r="S51" s="187" t="str">
        <f t="shared" si="19"/>
      </c>
      <c r="T51" s="187" t="str">
        <f t="shared" si="19"/>
      </c>
      <c r="U51" s="187" t="str">
        <f t="shared" si="19"/>
      </c>
      <c r="V51" s="187" t="str">
        <f t="shared" si="19"/>
      </c>
      <c r="W51" s="187" t="str">
        <f t="shared" si="19"/>
      </c>
      <c r="X51" s="187" t="str">
        <f t="shared" si="19"/>
      </c>
    </row>
    <row r="52">
      <c r="B52" s="96" t="s">
        <v>692</v>
      </c>
      <c r="C52" s="165"/>
      <c r="D52" s="165"/>
      <c r="E52" s="165"/>
      <c r="F52" s="165"/>
      <c r="G52" s="187" t="n">
        <f t="shared" ref="G52:L52" si="20">MAX(ABS(G50),ABS(G51),ABS(G94))</f>
        <v>0</v>
      </c>
      <c r="H52" s="187">
        <f t="shared" si="20"/>
        <v>87034792.905174226</v>
      </c>
      <c r="I52" s="187">
        <f t="shared" si="20"/>
        <v>226258049.88565564</v>
      </c>
      <c r="J52" s="187">
        <f t="shared" si="20"/>
        <v>417645251.94810468</v>
      </c>
      <c r="K52" s="187">
        <f t="shared" si="20"/>
        <v>611713352.48892546</v>
      </c>
      <c r="L52" s="187">
        <f t="shared" si="20"/>
        <v>805781453.02974653</v>
      </c>
      <c r="M52" s="187" t="n">
        <f t="shared" ref="M52:X52" si="21">IF(M$5="","",MAX(ABS(M50),ABS(M51),ABS(M94)))</f>
        <v>805783495.5134065</v>
      </c>
      <c r="N52" s="187">
        <f t="shared" si="21"/>
        <v>805781453.02974641</v>
      </c>
      <c r="O52" s="187" t="str">
        <f t="shared" si="21"/>
      </c>
      <c r="P52" s="187" t="str">
        <f t="shared" si="21"/>
      </c>
      <c r="Q52" s="187" t="str">
        <f t="shared" si="21"/>
      </c>
      <c r="R52" s="187" t="str">
        <f t="shared" si="21"/>
      </c>
      <c r="S52" s="187" t="str">
        <f t="shared" si="21"/>
      </c>
      <c r="T52" s="187" t="str">
        <f t="shared" si="21"/>
      </c>
      <c r="U52" s="187" t="str">
        <f t="shared" si="21"/>
      </c>
      <c r="V52" s="187" t="str">
        <f t="shared" si="21"/>
      </c>
      <c r="W52" s="187" t="str">
        <f t="shared" si="21"/>
      </c>
      <c r="X52" s="187" t="str">
        <f t="shared" si="21"/>
      </c>
    </row>
    <row r="53">
      <c r="B53" s="96" t="s">
        <v>693</v>
      </c>
      <c r="C53" s="165"/>
      <c r="D53" s="165"/>
      <c r="E53" s="165"/>
      <c r="F53" s="27"/>
      <c r="G53" s="187" t="str">
        <f t="shared" ref="G53:X53" si="22">IF(G$5="","",IF(ABS(G52)&lt;0.01,"OK","EXCEPTION"))</f>
      </c>
      <c r="H53" s="244" t="str">
        <f t="shared" si="22"/>
        <v>EXCEPTION</v>
      </c>
      <c r="I53" s="187" t="str">
        <f t="shared" si="22"/>
        <v>EXCEPTION</v>
      </c>
      <c r="J53" s="187" t="str">
        <f t="shared" si="22"/>
        <v>EXCEPTION</v>
      </c>
      <c r="K53" s="187" t="str">
        <f t="shared" si="22"/>
        <v>EXCEPTION</v>
      </c>
      <c r="L53" s="187" t="str">
        <f t="shared" si="22"/>
        <v>EXCEPTION</v>
      </c>
      <c r="M53" s="187" t="str">
        <f t="shared" si="22"/>
        <v>EXCEPTION</v>
      </c>
      <c r="N53" s="187" t="str">
        <f t="shared" si="22"/>
        <v>EXCEPTION</v>
      </c>
      <c r="O53" s="187" t="str">
        <f t="shared" si="22"/>
      </c>
      <c r="P53" s="187" t="str">
        <f t="shared" si="22"/>
      </c>
      <c r="Q53" s="187" t="str">
        <f t="shared" si="22"/>
      </c>
      <c r="R53" s="187" t="str">
        <f t="shared" si="22"/>
      </c>
      <c r="S53" s="187" t="str">
        <f t="shared" si="22"/>
      </c>
      <c r="T53" s="187" t="str">
        <f t="shared" si="22"/>
      </c>
      <c r="U53" s="187" t="str">
        <f t="shared" si="22"/>
      </c>
      <c r="V53" s="187" t="str">
        <f t="shared" si="22"/>
      </c>
      <c r="W53" s="187" t="str">
        <f t="shared" si="22"/>
      </c>
      <c r="X53" s="187" t="str">
        <f t="shared" si="22"/>
      </c>
    </row>
    <row r="54">
      <c r="B54" s="96" t="s">
        <v>694</v>
      </c>
      <c r="C54" s="165"/>
      <c r="D54" s="165"/>
      <c r="E54" s="165"/>
      <c r="F54" s="27"/>
      <c r="G54" s="187" t="str">
        <f t="shared" ref="G54:X54" si="23">IF(G$5="","",IF(ABS(G82)&lt;0.01,"OK","EXCEPTION"))</f>
      </c>
      <c r="H54" s="244" t="str">
        <f t="shared" si="23"/>
        <v>OK</v>
      </c>
      <c r="I54" s="187" t="str">
        <f t="shared" si="23"/>
        <v>OK</v>
      </c>
      <c r="J54" s="187" t="str">
        <f t="shared" si="23"/>
        <v>OK</v>
      </c>
      <c r="K54" s="187" t="str">
        <f t="shared" si="23"/>
        <v>OK</v>
      </c>
      <c r="L54" s="187" t="str">
        <f t="shared" si="23"/>
        <v>OK</v>
      </c>
      <c r="M54" s="187" t="str">
        <f t="shared" si="23"/>
        <v>OK</v>
      </c>
      <c r="N54" s="187" t="str">
        <f t="shared" si="23"/>
        <v>OK</v>
      </c>
      <c r="O54" s="187" t="str">
        <f t="shared" si="23"/>
      </c>
      <c r="P54" s="187" t="str">
        <f t="shared" si="23"/>
      </c>
      <c r="Q54" s="187" t="str">
        <f t="shared" si="23"/>
      </c>
      <c r="R54" s="187" t="str">
        <f t="shared" si="23"/>
      </c>
      <c r="S54" s="187" t="str">
        <f t="shared" si="23"/>
      </c>
      <c r="T54" s="187" t="str">
        <f t="shared" si="23"/>
      </c>
      <c r="U54" s="187" t="str">
        <f t="shared" si="23"/>
      </c>
      <c r="V54" s="187" t="str">
        <f t="shared" si="23"/>
      </c>
      <c r="W54" s="187" t="str">
        <f t="shared" si="23"/>
      </c>
      <c r="X54" s="187" t="str">
        <f t="shared" si="23"/>
      </c>
    </row>
    <row r="55">
      <c r="B55" s="96" t="s">
        <v>695</v>
      </c>
      <c r="C55" s="165"/>
      <c r="D55" s="165"/>
      <c r="E55" s="165"/>
      <c r="F55" s="27"/>
      <c r="G55" s="187" t="str">
        <f t="shared" ref="G55:X55" si="24">IF(G$5="","",IF(ABS(G94)&lt;0.01,"OK","EXCEPTION"))</f>
      </c>
      <c r="H55" s="244" t="str">
        <f t="shared" si="24"/>
        <v>EXCEPTION</v>
      </c>
      <c r="I55" s="187" t="str">
        <f t="shared" si="24"/>
        <v>EXCEPTION</v>
      </c>
      <c r="J55" s="187" t="str">
        <f t="shared" si="24"/>
        <v>EXCEPTION</v>
      </c>
      <c r="K55" s="187" t="str">
        <f t="shared" si="24"/>
        <v>EXCEPTION</v>
      </c>
      <c r="L55" s="187" t="str">
        <f t="shared" si="24"/>
        <v>EXCEPTION</v>
      </c>
      <c r="M55" s="187" t="str">
        <f t="shared" si="24"/>
        <v>EXCEPTION</v>
      </c>
      <c r="N55" s="187" t="str">
        <f t="shared" si="24"/>
        <v>EXCEPTION</v>
      </c>
      <c r="O55" s="187" t="str">
        <f t="shared" si="24"/>
      </c>
      <c r="P55" s="187" t="str">
        <f t="shared" si="24"/>
      </c>
      <c r="Q55" s="187" t="str">
        <f t="shared" si="24"/>
      </c>
      <c r="R55" s="187" t="str">
        <f t="shared" si="24"/>
      </c>
      <c r="S55" s="187" t="str">
        <f t="shared" si="24"/>
      </c>
      <c r="T55" s="187" t="str">
        <f t="shared" si="24"/>
      </c>
      <c r="U55" s="187" t="str">
        <f t="shared" si="24"/>
      </c>
      <c r="V55" s="187" t="str">
        <f t="shared" si="24"/>
      </c>
      <c r="W55" s="187" t="str">
        <f t="shared" si="24"/>
      </c>
      <c r="X55" s="187" t="str">
        <f t="shared" si="24"/>
      </c>
    </row>
    <row r="56">
      <c r="B56" s="115" t="s">
        <v>696</v>
      </c>
      <c r="C56" s="165"/>
      <c r="D56" s="165"/>
      <c r="E56" s="165"/>
      <c r="F56" s="27"/>
      <c r="G56" s="237"/>
      <c r="H56" s="167"/>
      <c r="I56" s="167"/>
      <c r="J56" s="167"/>
      <c r="K56" s="167"/>
      <c r="L56" s="167"/>
      <c r="M56" s="167"/>
      <c r="N56" s="167"/>
      <c r="O56" s="167"/>
      <c r="P56" s="167"/>
      <c r="Q56" s="167"/>
      <c r="R56" s="167"/>
      <c r="S56" s="167"/>
      <c r="T56" s="167"/>
      <c r="U56" s="167"/>
      <c r="V56" s="167"/>
      <c r="W56" s="167"/>
      <c r="X56" s="167"/>
    </row>
    <row r="57">
      <c r="B57" s="96"/>
      <c r="C57" s="165"/>
      <c r="D57" s="165"/>
      <c r="E57" s="165"/>
      <c r="F57" s="27"/>
      <c r="G57" s="187"/>
      <c r="H57" s="244"/>
      <c r="I57" s="187"/>
      <c r="J57" s="187"/>
      <c r="K57" s="187"/>
      <c r="L57" s="187"/>
      <c r="M57" s="187"/>
      <c r="N57" s="187"/>
      <c r="O57" s="187"/>
      <c r="P57" s="187"/>
      <c r="Q57" s="187"/>
      <c r="R57" s="187"/>
      <c r="S57" s="187"/>
      <c r="T57" s="187"/>
      <c r="U57" s="187"/>
      <c r="V57" s="187"/>
      <c r="W57" s="187"/>
      <c r="X57" s="187"/>
    </row>
    <row r="58">
      <c r="B58" s="115" t="s">
        <v>697</v>
      </c>
      <c r="C58" s="165"/>
      <c r="D58" s="165"/>
      <c r="E58" s="165"/>
      <c r="F58" s="27"/>
      <c r="G58" s="237"/>
      <c r="H58" s="167"/>
      <c r="I58" s="167"/>
      <c r="J58" s="167"/>
      <c r="K58" s="167"/>
      <c r="L58" s="167"/>
      <c r="M58" s="167"/>
      <c r="N58" s="167"/>
      <c r="O58" s="167"/>
      <c r="P58" s="167"/>
      <c r="Q58" s="167"/>
      <c r="R58" s="167"/>
      <c r="S58" s="167"/>
      <c r="T58" s="167"/>
      <c r="U58" s="167"/>
      <c r="V58" s="167"/>
      <c r="W58" s="167"/>
      <c r="X58" s="167"/>
    </row>
    <row r="59">
      <c r="B59" s="181" t="s">
        <v>68</v>
      </c>
      <c r="C59" s="165"/>
      <c r="D59" s="165"/>
      <c r="E59" s="165"/>
      <c r="F59" s="165"/>
      <c r="G59" s="187" t="str">
        <f t="shared" ref="G59:L59" si="25">IF(G$5="","",G23)</f>
      </c>
      <c r="H59" s="187">
        <f t="shared" si="25"/>
        <v>3514842.3140540915</v>
      </c>
      <c r="I59" s="187">
        <f t="shared" si="25"/>
        <v>26842441.08240959</v>
      </c>
      <c r="J59" s="187">
        <f t="shared" si="25"/>
        <v>60425542.085964806</v>
      </c>
      <c r="K59" s="187">
        <f t="shared" si="25"/>
        <v>65563171.236856513</v>
      </c>
      <c r="L59" s="187">
        <f t="shared" si="25"/>
        <v>67940579.427590907</v>
      </c>
      <c r="M59" s="187" t="n">
        <f t="shared" ref="M59:X59" si="26">IF(M$5="","",M23)</f>
        <v>5766500.8738481235</v>
      </c>
      <c r="N59" s="187">
        <f t="shared" si="26"/>
        <v>0</v>
      </c>
      <c r="O59" s="187" t="str">
        <f t="shared" si="26"/>
      </c>
      <c r="P59" s="187" t="str">
        <f t="shared" si="26"/>
      </c>
      <c r="Q59" s="187" t="str">
        <f t="shared" si="26"/>
      </c>
      <c r="R59" s="187" t="str">
        <f t="shared" si="26"/>
      </c>
      <c r="S59" s="187" t="str">
        <f t="shared" si="26"/>
      </c>
      <c r="T59" s="187" t="str">
        <f t="shared" si="26"/>
      </c>
      <c r="U59" s="187" t="str">
        <f t="shared" si="26"/>
      </c>
      <c r="V59" s="187" t="str">
        <f t="shared" si="26"/>
      </c>
      <c r="W59" s="187" t="str">
        <f t="shared" si="26"/>
      </c>
      <c r="X59" s="187" t="str">
        <f t="shared" si="26"/>
      </c>
    </row>
    <row r="60">
      <c r="B60" s="181" t="s">
        <v>698</v>
      </c>
      <c r="C60" s="165"/>
      <c r="D60" s="165"/>
      <c r="E60" s="165"/>
      <c r="F60" s="165"/>
      <c r="G60" s="187" t="str">
        <f t="shared" ref="G60:L60" si="27">IF(G$5="","",G59)</f>
      </c>
      <c r="H60" s="187">
        <f t="shared" si="27"/>
        <v>3514842.3140540915</v>
      </c>
      <c r="I60" s="187">
        <f t="shared" si="27"/>
        <v>26842441.08240959</v>
      </c>
      <c r="J60" s="187">
        <f t="shared" si="27"/>
        <v>60425542.085964806</v>
      </c>
      <c r="K60" s="187">
        <f t="shared" si="27"/>
        <v>65563171.236856513</v>
      </c>
      <c r="L60" s="187">
        <f t="shared" si="27"/>
        <v>67940579.427590907</v>
      </c>
      <c r="M60" s="187" t="n">
        <f t="shared" ref="M60:X60" si="28">IF(M$5="","",M59)</f>
        <v>5766500.8738481235</v>
      </c>
      <c r="N60" s="187">
        <f t="shared" si="28"/>
        <v>0</v>
      </c>
      <c r="O60" s="187" t="str">
        <f t="shared" si="28"/>
      </c>
      <c r="P60" s="187" t="str">
        <f t="shared" si="28"/>
      </c>
      <c r="Q60" s="187" t="str">
        <f t="shared" si="28"/>
      </c>
      <c r="R60" s="187" t="str">
        <f t="shared" si="28"/>
      </c>
      <c r="S60" s="187" t="str">
        <f t="shared" si="28"/>
      </c>
      <c r="T60" s="187" t="str">
        <f t="shared" si="28"/>
      </c>
      <c r="U60" s="187" t="str">
        <f t="shared" si="28"/>
      </c>
      <c r="V60" s="187" t="str">
        <f t="shared" si="28"/>
      </c>
      <c r="W60" s="187" t="str">
        <f t="shared" si="28"/>
      </c>
      <c r="X60" s="187" t="str">
        <f t="shared" si="28"/>
      </c>
    </row>
    <row r="61">
      <c r="B61" s="181"/>
      <c r="C61" s="165"/>
      <c r="D61" s="165"/>
      <c r="E61" s="165"/>
      <c r="F61" s="165"/>
      <c r="G61" s="187"/>
      <c r="H61" s="187"/>
      <c r="I61" s="187"/>
      <c r="J61" s="187"/>
      <c r="K61" s="187"/>
      <c r="L61" s="187"/>
      <c r="M61" s="187"/>
      <c r="N61" s="187"/>
      <c r="O61" s="187"/>
      <c r="P61" s="187"/>
      <c r="Q61" s="187"/>
      <c r="R61" s="187"/>
      <c r="S61" s="187"/>
      <c r="T61" s="187"/>
      <c r="U61" s="187"/>
      <c r="V61" s="187"/>
      <c r="W61" s="187"/>
      <c r="X61" s="187"/>
    </row>
    <row r="62">
      <c r="B62" s="96"/>
      <c r="C62" s="165"/>
      <c r="D62" s="165"/>
      <c r="E62" s="165"/>
      <c r="F62" s="165"/>
      <c r="G62" s="187"/>
      <c r="H62" s="187"/>
      <c r="I62" s="187"/>
      <c r="J62" s="187"/>
      <c r="K62" s="187"/>
      <c r="L62" s="187"/>
      <c r="M62" s="187"/>
      <c r="N62" s="187"/>
      <c r="O62" s="187"/>
      <c r="P62" s="187"/>
      <c r="Q62" s="187"/>
      <c r="R62" s="187"/>
      <c r="S62" s="187"/>
      <c r="T62" s="187"/>
      <c r="U62" s="187"/>
      <c r="V62" s="187"/>
      <c r="W62" s="187"/>
      <c r="X62" s="187"/>
    </row>
    <row r="63">
      <c r="B63" s="96"/>
      <c r="C63" s="165"/>
      <c r="D63" s="165"/>
      <c r="E63" s="165"/>
      <c r="F63" s="27"/>
      <c r="G63" s="187"/>
      <c r="H63" s="244"/>
      <c r="I63" s="187"/>
      <c r="J63" s="187"/>
      <c r="K63" s="187"/>
      <c r="L63" s="187"/>
      <c r="M63" s="187"/>
      <c r="N63" s="187"/>
      <c r="O63" s="187"/>
      <c r="P63" s="187"/>
      <c r="Q63" s="187"/>
      <c r="R63" s="187"/>
      <c r="S63" s="187"/>
      <c r="T63" s="187"/>
      <c r="U63" s="187"/>
      <c r="V63" s="187"/>
      <c r="W63" s="187"/>
      <c r="X63" s="187"/>
    </row>
    <row r="64">
      <c r="B64" s="115" t="s">
        <v>699</v>
      </c>
      <c r="C64" s="165"/>
      <c r="D64" s="165"/>
      <c r="E64" s="165"/>
      <c r="F64" s="27"/>
      <c r="G64" s="237"/>
      <c r="H64" s="167"/>
      <c r="I64" s="167"/>
      <c r="J64" s="167"/>
      <c r="K64" s="167"/>
      <c r="L64" s="167"/>
      <c r="M64" s="167"/>
      <c r="N64" s="167"/>
      <c r="O64" s="167"/>
      <c r="P64" s="167"/>
      <c r="Q64" s="167"/>
      <c r="R64" s="167"/>
      <c r="S64" s="167"/>
      <c r="T64" s="167"/>
      <c r="U64" s="167"/>
      <c r="V64" s="167"/>
      <c r="W64" s="167"/>
      <c r="X64" s="167"/>
    </row>
    <row r="65">
      <c r="B65" s="181" t="s">
        <v>700</v>
      </c>
      <c r="C65" s="165"/>
      <c r="D65" s="165"/>
      <c r="E65" s="165"/>
      <c r="F65" s="165"/>
      <c r="G65" s="187" t="str">
        <f>IF(G$5="","",-(IFERROR(SUMIF('Annual Cash Flow'!$G$46:$EI$46,G$5,'Annual Cash Flow'!$G$82:$EI$82),0)))</f>
      </c>
      <c r="H65" s="187" t="n">
        <f>IF(H$5="","",-(IFERROR(SUMIF('Annual Cash Flow'!$G$46:$EI$46,H$5,'Annual Cash Flow'!$G$82:$EI$82),0)))</f>
        <v>-55943088.25831374</v>
      </c>
      <c r="I65" s="187" t="n">
        <f>IF(I$5="","",-(IFERROR(SUMIF('Annual Cash Flow'!$G$46:$EI$46,I$5,'Annual Cash Flow'!$G$82:$EI$82),0)))</f>
        <v>-222087070.09561953</v>
      </c>
      <c r="J65" s="187" t="n">
        <f>IF(J$5="","",-(IFERROR(SUMIF('Annual Cash Flow'!$G$46:$EI$46,J$5,'Annual Cash Flow'!$G$82:$EI$82),0)))</f>
        <v>-42423600.02549262</v>
      </c>
      <c r="K65" s="187" t="n">
        <f>IF(K$5="","",-(IFERROR(SUMIF('Annual Cash Flow'!$G$46:$EI$46,K$5,'Annual Cash Flow'!$G$82:$EI$82),0)))</f>
        <v>0</v>
      </c>
      <c r="L65" s="187" t="n">
        <f>IF(L$5="","",-(IFERROR(SUMIF('Annual Cash Flow'!$G$46:$EI$46,L$5,'Annual Cash Flow'!$G$82:$EI$82),0)))</f>
        <v>0</v>
      </c>
      <c r="M65" s="187" t="n">
        <f>IF(M$5="","",-(IFERROR(SUMIF('Annual Cash Flow'!$G$46:$EI$46,M$5,'Annual Cash Flow'!$G$82:$EI$82),0)))</f>
        <v>0</v>
      </c>
      <c r="N65" s="187" t="n">
        <f>IF(N$5="","",-(IFERROR(SUMIF('Annual Cash Flow'!$G$46:$EI$46,N$5,'Annual Cash Flow'!$G$82:$EI$82),0)))</f>
        <v>0</v>
      </c>
      <c r="O65" s="187" t="str">
        <f>IF(O$5="","",-(IFERROR(SUMIF('Annual Cash Flow'!$G$46:$EI$46,O$5,'Annual Cash Flow'!$G$82:$EI$82),0)))</f>
      </c>
      <c r="P65" s="187" t="str">
        <f>IF(P$5="","",-(IFERROR(SUMIF('Annual Cash Flow'!$G$46:$EI$46,P$5,'Annual Cash Flow'!$G$82:$EI$82),0)))</f>
      </c>
      <c r="Q65" s="187" t="str">
        <f>IF(Q$5="","",-(IFERROR(SUMIF('Annual Cash Flow'!$G$46:$EI$46,Q$5,'Annual Cash Flow'!$G$82:$EI$82),0)))</f>
      </c>
      <c r="R65" s="187" t="str">
        <f>IF(R$5="","",-(IFERROR(SUMIF('Annual Cash Flow'!$G$46:$EI$46,R$5,'Annual Cash Flow'!$G$82:$EI$82),0)))</f>
      </c>
      <c r="S65" s="187" t="str">
        <f>IF(S$5="","",-(IFERROR(SUMIF('Annual Cash Flow'!$G$46:$EI$46,S$5,'Annual Cash Flow'!$G$82:$EI$82),0)))</f>
      </c>
      <c r="T65" s="187" t="str">
        <f>IF(T$5="","",-(IFERROR(SUMIF('Annual Cash Flow'!$G$46:$EI$46,T$5,'Annual Cash Flow'!$G$82:$EI$82),0)))</f>
      </c>
      <c r="U65" s="187" t="str">
        <f>IF(U$5="","",-(IFERROR(SUMIF('Annual Cash Flow'!$G$46:$EI$46,U$5,'Annual Cash Flow'!$G$82:$EI$82),0)))</f>
      </c>
      <c r="V65" s="187" t="str">
        <f>IF(V$5="","",-(IFERROR(SUMIF('Annual Cash Flow'!$G$46:$EI$46,V$5,'Annual Cash Flow'!$G$82:$EI$82),0)))</f>
      </c>
      <c r="W65" s="187" t="str">
        <f>IF(W$5="","",-(IFERROR(SUMIF('Annual Cash Flow'!$G$46:$EI$46,W$5,'Annual Cash Flow'!$G$82:$EI$82),0)))</f>
      </c>
      <c r="X65" s="187" t="str">
        <f>IF(X$5="","",-(IFERROR(SUMIF('Annual Cash Flow'!$G$46:$EI$46,X$5,'Annual Cash Flow'!$G$82:$EI$82),0)))</f>
      </c>
    </row>
    <row r="66">
      <c r="B66" s="181" t="s">
        <v>353</v>
      </c>
      <c r="C66" s="165"/>
      <c r="D66" s="165"/>
      <c r="E66" s="165"/>
      <c r="F66" s="165"/>
      <c r="G66" s="187" t="str">
        <f>IF(G$5="","",IFERROR(SUMIF('Annual Cash Flow'!$G$46:$EI$46,G$5,'Annual Cash Flow'!$G$89:$EI$89),0))</f>
      </c>
      <c r="H66" s="187" t="n">
        <f>IF(H$5="","",IFERROR(SUMIF('Annual Cash Flow'!$G$46:$EI$46,H$5,'Annual Cash Flow'!$G$89:$EI$89),0))</f>
        <v>0</v>
      </c>
      <c r="I66" s="187" t="n">
        <f>IF(I$5="","",IFERROR(SUMIF('Annual Cash Flow'!$G$46:$EI$46,I$5,'Annual Cash Flow'!$G$89:$EI$89),0))</f>
        <v>0</v>
      </c>
      <c r="J66" s="187" t="n">
        <f>IF(J$5="","",IFERROR(SUMIF('Annual Cash Flow'!$G$46:$EI$46,J$5,'Annual Cash Flow'!$G$89:$EI$89),0))</f>
        <v>0</v>
      </c>
      <c r="K66" s="187" t="n">
        <f>IF(K$5="","",IFERROR(SUMIF('Annual Cash Flow'!$G$46:$EI$46,K$5,'Annual Cash Flow'!$G$89:$EI$89),0))</f>
        <v>0</v>
      </c>
      <c r="L66" s="187" t="n">
        <f>IF(L$5="","",IFERROR(SUMIF('Annual Cash Flow'!$G$46:$EI$46,L$5,'Annual Cash Flow'!$G$89:$EI$89),0))</f>
        <v>0</v>
      </c>
      <c r="M66" s="187" t="n">
        <f>IF(M$5="","",IFERROR(SUMIF('Annual Cash Flow'!$G$46:$EI$46,M$5,'Annual Cash Flow'!$G$89:$EI$89),0))</f>
        <v>1036044973.4281422</v>
      </c>
      <c r="N66" s="187" t="n">
        <f>IF(N$5="","",IFERROR(SUMIF('Annual Cash Flow'!$G$46:$EI$46,N$5,'Annual Cash Flow'!$G$89:$EI$89),0))</f>
        <v>0</v>
      </c>
      <c r="O66" s="187" t="str">
        <f>IF(O$5="","",IFERROR(SUMIF('Annual Cash Flow'!$G$46:$EI$46,O$5,'Annual Cash Flow'!$G$89:$EI$89),0))</f>
      </c>
      <c r="P66" s="187" t="str">
        <f>IF(P$5="","",IFERROR(SUMIF('Annual Cash Flow'!$G$46:$EI$46,P$5,'Annual Cash Flow'!$G$89:$EI$89),0))</f>
      </c>
      <c r="Q66" s="187" t="str">
        <f>IF(Q$5="","",IFERROR(SUMIF('Annual Cash Flow'!$G$46:$EI$46,Q$5,'Annual Cash Flow'!$G$89:$EI$89),0))</f>
      </c>
      <c r="R66" s="187" t="str">
        <f>IF(R$5="","",IFERROR(SUMIF('Annual Cash Flow'!$G$46:$EI$46,R$5,'Annual Cash Flow'!$G$89:$EI$89),0))</f>
      </c>
      <c r="S66" s="187" t="str">
        <f>IF(S$5="","",IFERROR(SUMIF('Annual Cash Flow'!$G$46:$EI$46,S$5,'Annual Cash Flow'!$G$89:$EI$89),0))</f>
      </c>
      <c r="T66" s="187" t="str">
        <f>IF(T$5="","",IFERROR(SUMIF('Annual Cash Flow'!$G$46:$EI$46,T$5,'Annual Cash Flow'!$G$89:$EI$89),0))</f>
      </c>
      <c r="U66" s="187" t="str">
        <f>IF(U$5="","",IFERROR(SUMIF('Annual Cash Flow'!$G$46:$EI$46,U$5,'Annual Cash Flow'!$G$89:$EI$89),0))</f>
      </c>
      <c r="V66" s="187" t="str">
        <f>IF(V$5="","",IFERROR(SUMIF('Annual Cash Flow'!$G$46:$EI$46,V$5,'Annual Cash Flow'!$G$89:$EI$89),0))</f>
      </c>
      <c r="W66" s="187" t="str">
        <f>IF(W$5="","",IFERROR(SUMIF('Annual Cash Flow'!$G$46:$EI$46,W$5,'Annual Cash Flow'!$G$89:$EI$89),0))</f>
      </c>
      <c r="X66" s="187" t="str">
        <f>IF(X$5="","",IFERROR(SUMIF('Annual Cash Flow'!$G$46:$EI$46,X$5,'Annual Cash Flow'!$G$89:$EI$89),0))</f>
      </c>
    </row>
    <row r="67">
      <c r="B67" s="96" t="s">
        <v>701</v>
      </c>
      <c r="C67" s="165"/>
      <c r="D67" s="165"/>
      <c r="E67" s="165"/>
      <c r="F67" s="165"/>
      <c r="G67" s="187" t="str">
        <f t="shared" ref="G67:L67" si="29">IF(G$5="","",SUM(G65:G66))</f>
      </c>
      <c r="H67" s="187">
        <f t="shared" si="29"/>
        <v>-55943088.258313738</v>
      </c>
      <c r="I67" s="187">
        <f t="shared" si="29"/>
        <v>-222087070.09561953</v>
      </c>
      <c r="J67" s="187">
        <f t="shared" si="29"/>
        <v>-42423600.025492623</v>
      </c>
      <c r="K67" s="187">
        <f t="shared" si="29"/>
        <v>0</v>
      </c>
      <c r="L67" s="187">
        <f t="shared" si="29"/>
        <v>0</v>
      </c>
      <c r="M67" s="187" t="n">
        <f t="shared" ref="M67:X67" si="30">IF(M$5="","",SUM(M65:M66))</f>
        <v>1036044973.4281422</v>
      </c>
      <c r="N67" s="187">
        <f t="shared" si="30"/>
        <v>0</v>
      </c>
      <c r="O67" s="187" t="str">
        <f t="shared" si="30"/>
      </c>
      <c r="P67" s="187" t="str">
        <f t="shared" si="30"/>
      </c>
      <c r="Q67" s="187" t="str">
        <f t="shared" si="30"/>
      </c>
      <c r="R67" s="187" t="str">
        <f t="shared" si="30"/>
      </c>
      <c r="S67" s="187" t="str">
        <f t="shared" si="30"/>
      </c>
      <c r="T67" s="187" t="str">
        <f t="shared" si="30"/>
      </c>
      <c r="U67" s="187" t="str">
        <f t="shared" si="30"/>
      </c>
      <c r="V67" s="187" t="str">
        <f t="shared" si="30"/>
      </c>
      <c r="W67" s="187" t="str">
        <f t="shared" si="30"/>
      </c>
      <c r="X67" s="187" t="str">
        <f t="shared" si="30"/>
      </c>
    </row>
    <row r="68">
      <c r="B68" s="96"/>
      <c r="C68" s="165"/>
      <c r="D68" s="165"/>
      <c r="E68" s="165"/>
      <c r="F68" s="27"/>
      <c r="G68" s="187"/>
      <c r="H68" s="244"/>
      <c r="I68" s="187"/>
      <c r="J68" s="187"/>
      <c r="K68" s="187"/>
      <c r="L68" s="187"/>
      <c r="M68" s="187"/>
      <c r="N68" s="187"/>
      <c r="O68" s="187"/>
      <c r="P68" s="187"/>
      <c r="Q68" s="187"/>
      <c r="R68" s="187"/>
      <c r="S68" s="187"/>
      <c r="T68" s="187"/>
      <c r="U68" s="187"/>
      <c r="V68" s="187"/>
      <c r="W68" s="187"/>
      <c r="X68" s="187"/>
    </row>
    <row r="69">
      <c r="B69" s="115" t="s">
        <v>702</v>
      </c>
      <c r="C69" s="165"/>
      <c r="D69" s="165"/>
      <c r="E69" s="165"/>
      <c r="F69" s="27"/>
      <c r="G69" s="237"/>
      <c r="H69" s="167">
        <v>0</v>
      </c>
      <c r="I69" s="167">
        <v>0</v>
      </c>
      <c r="J69" s="167">
        <v>0</v>
      </c>
      <c r="K69" s="167">
        <v>0</v>
      </c>
      <c r="L69" s="167">
        <v>1</v>
      </c>
      <c r="M69" s="167">
        <v>2</v>
      </c>
      <c r="N69" s="167">
        <v>3</v>
      </c>
      <c r="O69" s="167">
        <v>4</v>
      </c>
      <c r="P69" s="167">
        <v>5</v>
      </c>
      <c r="Q69" s="167">
        <v>6</v>
      </c>
      <c r="R69" s="167">
        <v>7</v>
      </c>
      <c r="S69" s="167">
        <v>8</v>
      </c>
      <c r="T69" s="167">
        <v>9</v>
      </c>
      <c r="U69" s="167">
        <v>10</v>
      </c>
      <c r="V69" s="167">
        <v>11</v>
      </c>
      <c r="W69" s="167">
        <v>12</v>
      </c>
      <c r="X69" s="167">
        <v>13</v>
      </c>
    </row>
    <row r="70">
      <c r="B70" s="181" t="s">
        <v>703</v>
      </c>
      <c r="C70" s="165"/>
      <c r="D70" s="165"/>
      <c r="E70" s="165"/>
      <c r="F70" s="165"/>
      <c r="G70" s="187" t="str">
        <f>IF(G$5="","",IFERROR(SUMIF('Annual Cash Flow'!$G$46:$EI$46,G$5,'Annual Cash Flow'!$G$85:$EI$85),0))</f>
      </c>
      <c r="H70" s="187" t="n">
        <f>IF(H$5="","",IFERROR(SUMIF('Annual Cash Flow'!$G$46:$EI$46,H$5,'Annual Cash Flow'!$G$85:$EI$85),0))</f>
        <v>3756666.6666666665</v>
      </c>
      <c r="I70" s="187" t="n">
        <f>IF(I$5="","",IFERROR(SUMIF('Annual Cash Flow'!$G$46:$EI$46,I$5,'Annual Cash Flow'!$G$85:$EI$85),0))</f>
        <v>169923125.01365197</v>
      </c>
      <c r="J70" s="187" t="n">
        <f>IF(J$5="","",IFERROR(SUMIF('Annual Cash Flow'!$G$46:$EI$46,J$5,'Annual Cash Flow'!$G$85:$EI$85),0))</f>
        <v>39339042.22918847</v>
      </c>
      <c r="K70" s="187" t="n">
        <f>IF(K$5="","",IFERROR(SUMIF('Annual Cash Flow'!$G$46:$EI$46,K$5,'Annual Cash Flow'!$G$85:$EI$85),0))</f>
        <v>0</v>
      </c>
      <c r="L70" s="187" t="n">
        <f>IF(L$5="","",IFERROR(SUMIF('Annual Cash Flow'!$G$46:$EI$46,L$5,'Annual Cash Flow'!$G$85:$EI$85),0))</f>
        <v>0</v>
      </c>
      <c r="M70" s="187" t="n">
        <f>IF(M$5="","",IFERROR(SUMIF('Annual Cash Flow'!$G$46:$EI$46,M$5,'Annual Cash Flow'!$G$85:$EI$85),0))</f>
        <v>0</v>
      </c>
      <c r="N70" s="187" t="n">
        <f>IF(N$5="","",IFERROR(SUMIF('Annual Cash Flow'!$G$46:$EI$46,N$5,'Annual Cash Flow'!$G$85:$EI$85),0))</f>
        <v>0</v>
      </c>
      <c r="O70" s="187" t="str">
        <f>IF(O$5="","",IFERROR(SUMIF('Annual Cash Flow'!$G$46:$EI$46,O$5,'Annual Cash Flow'!$G$85:$EI$85),0))</f>
      </c>
      <c r="P70" s="187" t="str">
        <f>IF(P$5="","",IFERROR(SUMIF('Annual Cash Flow'!$G$46:$EI$46,P$5,'Annual Cash Flow'!$G$85:$EI$85),0))</f>
      </c>
      <c r="Q70" s="187" t="str">
        <f>IF(Q$5="","",IFERROR(SUMIF('Annual Cash Flow'!$G$46:$EI$46,Q$5,'Annual Cash Flow'!$G$85:$EI$85),0))</f>
      </c>
      <c r="R70" s="187" t="str">
        <f>IF(R$5="","",IFERROR(SUMIF('Annual Cash Flow'!$G$46:$EI$46,R$5,'Annual Cash Flow'!$G$85:$EI$85),0))</f>
      </c>
      <c r="S70" s="187" t="str">
        <f>IF(S$5="","",IFERROR(SUMIF('Annual Cash Flow'!$G$46:$EI$46,S$5,'Annual Cash Flow'!$G$85:$EI$85),0))</f>
      </c>
      <c r="T70" s="187" t="str">
        <f>IF(T$5="","",IFERROR(SUMIF('Annual Cash Flow'!$G$46:$EI$46,T$5,'Annual Cash Flow'!$G$85:$EI$85),0))</f>
      </c>
      <c r="U70" s="187" t="str">
        <f>IF(U$5="","",IFERROR(SUMIF('Annual Cash Flow'!$G$46:$EI$46,U$5,'Annual Cash Flow'!$G$85:$EI$85),0))</f>
      </c>
      <c r="V70" s="187" t="str">
        <f>IF(V$5="","",IFERROR(SUMIF('Annual Cash Flow'!$G$46:$EI$46,V$5,'Annual Cash Flow'!$G$85:$EI$85),0))</f>
      </c>
      <c r="W70" s="187" t="str">
        <f>IF(W$5="","",IFERROR(SUMIF('Annual Cash Flow'!$G$46:$EI$46,W$5,'Annual Cash Flow'!$G$85:$EI$85),0))</f>
      </c>
      <c r="X70" s="187" t="str">
        <f>IF(X$5="","",IFERROR(SUMIF('Annual Cash Flow'!$G$46:$EI$46,X$5,'Annual Cash Flow'!$G$85:$EI$85),0))</f>
      </c>
    </row>
    <row r="71">
      <c r="B71" s="181" t="s">
        <v>704</v>
      </c>
      <c r="C71" s="165"/>
      <c r="D71" s="165"/>
      <c r="E71" s="165"/>
      <c r="F71" s="165"/>
      <c r="G71" s="187" t="str">
        <f>IF(G$5="","",IFERROR(SUMIF('Annual Cash Flow'!$G$46:$EI$46,G$5,'Annual Cash Flow'!$G$90:$EI$90),0))</f>
      </c>
      <c r="H71" s="187" t="n">
        <f>IF(H$5="","",IFERROR(SUMIF('Annual Cash Flow'!$G$46:$EI$46,H$5,'Annual Cash Flow'!$G$90:$EI$90),0))</f>
        <v>0</v>
      </c>
      <c r="I71" s="187" t="n">
        <f>IF(I$5="","",IFERROR(SUMIF('Annual Cash Flow'!$G$46:$EI$46,I$5,'Annual Cash Flow'!$G$90:$EI$90),0))</f>
        <v>0</v>
      </c>
      <c r="J71" s="187" t="n">
        <f>IF(J$5="","",IFERROR(SUMIF('Annual Cash Flow'!$G$46:$EI$46,J$5,'Annual Cash Flow'!$G$90:$EI$90),0))</f>
        <v>0</v>
      </c>
      <c r="K71" s="187" t="n">
        <f>IF(K$5="","",IFERROR(SUMIF('Annual Cash Flow'!$G$46:$EI$46,K$5,'Annual Cash Flow'!$G$90:$EI$90),0))</f>
        <v>0</v>
      </c>
      <c r="L71" s="187" t="n">
        <f>IF(L$5="","",IFERROR(SUMIF('Annual Cash Flow'!$G$46:$EI$46,L$5,'Annual Cash Flow'!$G$90:$EI$90),0))</f>
        <v>0</v>
      </c>
      <c r="M71" s="187" t="n">
        <f>IF(M$5="","",IFERROR(SUMIF('Annual Cash Flow'!$G$46:$EI$46,M$5,'Annual Cash Flow'!$G$90:$EI$90),0))</f>
        <v>-213422493.2274394</v>
      </c>
      <c r="N71" s="187" t="n">
        <f>IF(N$5="","",IFERROR(SUMIF('Annual Cash Flow'!$G$46:$EI$46,N$5,'Annual Cash Flow'!$G$90:$EI$90),0))</f>
        <v>0</v>
      </c>
      <c r="O71" s="187" t="str">
        <f>IF(O$5="","",IFERROR(SUMIF('Annual Cash Flow'!$G$46:$EI$46,O$5,'Annual Cash Flow'!$G$90:$EI$90),0))</f>
      </c>
      <c r="P71" s="187" t="str">
        <f>IF(P$5="","",IFERROR(SUMIF('Annual Cash Flow'!$G$46:$EI$46,P$5,'Annual Cash Flow'!$G$90:$EI$90),0))</f>
      </c>
      <c r="Q71" s="187" t="str">
        <f>IF(Q$5="","",IFERROR(SUMIF('Annual Cash Flow'!$G$46:$EI$46,Q$5,'Annual Cash Flow'!$G$90:$EI$90),0))</f>
      </c>
      <c r="R71" s="187" t="str">
        <f>IF(R$5="","",IFERROR(SUMIF('Annual Cash Flow'!$G$46:$EI$46,R$5,'Annual Cash Flow'!$G$90:$EI$90),0))</f>
      </c>
      <c r="S71" s="187" t="str">
        <f>IF(S$5="","",IFERROR(SUMIF('Annual Cash Flow'!$G$46:$EI$46,S$5,'Annual Cash Flow'!$G$90:$EI$90),0))</f>
      </c>
      <c r="T71" s="187" t="str">
        <f>IF(T$5="","",IFERROR(SUMIF('Annual Cash Flow'!$G$46:$EI$46,T$5,'Annual Cash Flow'!$G$90:$EI$90),0))</f>
      </c>
      <c r="U71" s="187" t="str">
        <f>IF(U$5="","",IFERROR(SUMIF('Annual Cash Flow'!$G$46:$EI$46,U$5,'Annual Cash Flow'!$G$90:$EI$90),0))</f>
      </c>
      <c r="V71" s="187" t="str">
        <f>IF(V$5="","",IFERROR(SUMIF('Annual Cash Flow'!$G$46:$EI$46,V$5,'Annual Cash Flow'!$G$90:$EI$90),0))</f>
      </c>
      <c r="W71" s="187" t="str">
        <f>IF(W$5="","",IFERROR(SUMIF('Annual Cash Flow'!$G$46:$EI$46,W$5,'Annual Cash Flow'!$G$90:$EI$90),0))</f>
      </c>
      <c r="X71" s="187" t="str">
        <f>IF(X$5="","",IFERROR(SUMIF('Annual Cash Flow'!$G$46:$EI$46,X$5,'Annual Cash Flow'!$G$90:$EI$90),0))</f>
      </c>
    </row>
    <row r="72">
      <c r="B72" s="181" t="s">
        <v>705</v>
      </c>
      <c r="C72" s="165"/>
      <c r="D72" s="165"/>
      <c r="E72" s="165"/>
      <c r="F72" s="165"/>
      <c r="G72" s="187" t="str">
        <f t="shared" ref="G72:L72" si="31">IF(G$5="","",-G25)</f>
      </c>
      <c r="H72" s="187">
        <f t="shared" si="31"/>
        <v>-6139.5555236957161</v>
      </c>
      <c r="I72" s="187">
        <f t="shared" si="31"/>
        <v>-4970347.0739377607</v>
      </c>
      <c r="J72" s="187">
        <f t="shared" si="31"/>
        <v>-18336678.507234771</v>
      </c>
      <c r="K72" s="187">
        <f t="shared" si="31"/>
        <v>-21150528.566819407</v>
      </c>
      <c r="L72" s="187">
        <f t="shared" si="31"/>
        <v>-23134594.035774238</v>
      </c>
      <c r="M72" s="187" t="n">
        <f t="shared" ref="M72:X72" si="32">IF(M$5="","",-M25)</f>
        <v>-2023154.4129010744</v>
      </c>
      <c r="N72" s="187">
        <f t="shared" si="32"/>
        <v>0</v>
      </c>
      <c r="O72" s="187" t="str">
        <f t="shared" si="32"/>
      </c>
      <c r="P72" s="187" t="str">
        <f t="shared" si="32"/>
      </c>
      <c r="Q72" s="187" t="str">
        <f t="shared" si="32"/>
      </c>
      <c r="R72" s="187" t="str">
        <f t="shared" si="32"/>
      </c>
      <c r="S72" s="187" t="str">
        <f t="shared" si="32"/>
      </c>
      <c r="T72" s="187" t="str">
        <f t="shared" si="32"/>
      </c>
      <c r="U72" s="187" t="str">
        <f t="shared" si="32"/>
      </c>
      <c r="V72" s="187" t="str">
        <f t="shared" si="32"/>
      </c>
      <c r="W72" s="187" t="str">
        <f t="shared" si="32"/>
      </c>
      <c r="X72" s="187" t="str">
        <f t="shared" si="32"/>
      </c>
    </row>
    <row r="73">
      <c r="B73" s="181" t="s">
        <v>706</v>
      </c>
      <c r="C73" s="165"/>
      <c r="D73" s="165"/>
      <c r="E73" s="165"/>
      <c r="F73" s="165"/>
      <c r="G73" s="187" t="str">
        <f t="shared" ref="G73:L73" si="33">IF(G$5="","",MAX(0,-(G80+SUM(G60,G67,G70:G72))))</f>
      </c>
      <c r="H73" s="187">
        <f t="shared" si="33"/>
        <v>48677718.833116673</v>
      </c>
      <c r="I73" s="187">
        <f t="shared" si="33"/>
        <v>30291851.073495731</v>
      </c>
      <c r="J73" s="187">
        <f t="shared" si="33"/>
        <v>0</v>
      </c>
      <c r="K73" s="187">
        <f t="shared" si="33"/>
        <v>0</v>
      </c>
      <c r="L73" s="187">
        <f t="shared" si="33"/>
        <v>0</v>
      </c>
      <c r="M73" s="187" t="n">
        <f t="shared" ref="M73:X73" si="34">IF(M$5="","",MAX(0,-(M80+SUM(M60,M67,M70:M72))))</f>
        <v>0</v>
      </c>
      <c r="N73" s="187">
        <f t="shared" si="34"/>
        <v>0</v>
      </c>
      <c r="O73" s="187" t="str">
        <f t="shared" si="34"/>
      </c>
      <c r="P73" s="187" t="str">
        <f t="shared" si="34"/>
      </c>
      <c r="Q73" s="187" t="str">
        <f t="shared" si="34"/>
      </c>
      <c r="R73" s="187" t="str">
        <f t="shared" si="34"/>
      </c>
      <c r="S73" s="187" t="str">
        <f t="shared" si="34"/>
      </c>
      <c r="T73" s="187" t="str">
        <f t="shared" si="34"/>
      </c>
      <c r="U73" s="187" t="str">
        <f t="shared" si="34"/>
      </c>
      <c r="V73" s="187" t="str">
        <f t="shared" si="34"/>
      </c>
      <c r="W73" s="187" t="str">
        <f t="shared" si="34"/>
      </c>
      <c r="X73" s="187" t="str">
        <f t="shared" si="34"/>
      </c>
    </row>
    <row r="74">
      <c r="B74" s="181" t="s">
        <v>707</v>
      </c>
      <c r="C74" s="165"/>
      <c r="D74" s="165"/>
      <c r="E74" s="165"/>
      <c r="F74" s="165"/>
      <c r="G74" s="187" t="str">
        <f t="shared" ref="G74:L74" si="35">IF(G$5="","",IF(G66&lt;&gt;0,0,-MAX(0,G80+SUM(G60,G67,G70:G72))))</f>
      </c>
      <c r="H74" s="187">
        <f t="shared" si="35"/>
        <v>0</v>
      </c>
      <c r="I74" s="187">
        <f t="shared" si="35"/>
        <v>0</v>
      </c>
      <c r="J74" s="187">
        <f t="shared" si="35"/>
        <v>-39407965.100358129</v>
      </c>
      <c r="K74" s="187">
        <f t="shared" si="35"/>
        <v>-44412642.670037106</v>
      </c>
      <c r="L74" s="187">
        <f t="shared" si="35"/>
        <v>-44805985.391816668</v>
      </c>
      <c r="M74" s="187" t="n">
        <f t="shared" ref="M74:X74" si="36">IF(M$5="","",IF(M66&lt;&gt;0,0,-MAX(0,M80+SUM(M60,M67,M70:M72))))</f>
        <v>0</v>
      </c>
      <c r="N74" s="187">
        <f t="shared" si="36"/>
        <v>-826365826.66164982</v>
      </c>
      <c r="O74" s="187" t="str">
        <f t="shared" si="36"/>
      </c>
      <c r="P74" s="187" t="str">
        <f t="shared" si="36"/>
      </c>
      <c r="Q74" s="187" t="str">
        <f t="shared" si="36"/>
      </c>
      <c r="R74" s="187" t="str">
        <f t="shared" si="36"/>
      </c>
      <c r="S74" s="187" t="str">
        <f t="shared" si="36"/>
      </c>
      <c r="T74" s="187" t="str">
        <f t="shared" si="36"/>
      </c>
      <c r="U74" s="187" t="str">
        <f t="shared" si="36"/>
      </c>
      <c r="V74" s="187" t="str">
        <f t="shared" si="36"/>
      </c>
      <c r="W74" s="187" t="str">
        <f t="shared" si="36"/>
      </c>
      <c r="X74" s="187" t="str">
        <f t="shared" si="36"/>
      </c>
    </row>
    <row r="75">
      <c r="B75" s="96" t="s">
        <v>708</v>
      </c>
      <c r="C75" s="165"/>
      <c r="D75" s="165"/>
      <c r="E75" s="165"/>
      <c r="F75" s="165"/>
      <c r="G75" s="187" t="str">
        <f t="shared" ref="G75:L75" si="37">IF(G$5="","",SUM(G70:G74))</f>
      </c>
      <c r="H75" s="187">
        <f t="shared" si="37"/>
        <v>52428245.944259644</v>
      </c>
      <c r="I75" s="187">
        <f t="shared" si="37"/>
        <v>195244629.01320994</v>
      </c>
      <c r="J75" s="187">
        <f t="shared" si="37"/>
        <v>-18001942.060472179</v>
      </c>
      <c r="K75" s="187">
        <f t="shared" si="37"/>
        <v>-65563171.236856513</v>
      </c>
      <c r="L75" s="187">
        <f t="shared" si="37"/>
        <v>-67940579.427590907</v>
      </c>
      <c r="M75" s="187" t="n">
        <f t="shared" ref="M75:X75" si="38">IF(M$5="","",SUM(M70:M74))</f>
        <v>-215445647.64034048</v>
      </c>
      <c r="N75" s="187">
        <f t="shared" si="38"/>
        <v>-826365826.66164982</v>
      </c>
      <c r="O75" s="187" t="str">
        <f t="shared" si="38"/>
      </c>
      <c r="P75" s="187" t="str">
        <f t="shared" si="38"/>
      </c>
      <c r="Q75" s="187" t="str">
        <f t="shared" si="38"/>
      </c>
      <c r="R75" s="187" t="str">
        <f t="shared" si="38"/>
      </c>
      <c r="S75" s="187" t="str">
        <f t="shared" si="38"/>
      </c>
      <c r="T75" s="187" t="str">
        <f t="shared" si="38"/>
      </c>
      <c r="U75" s="187" t="str">
        <f t="shared" si="38"/>
      </c>
      <c r="V75" s="187" t="str">
        <f t="shared" si="38"/>
      </c>
      <c r="W75" s="187" t="str">
        <f t="shared" si="38"/>
      </c>
      <c r="X75" s="187" t="str">
        <f t="shared" si="38"/>
      </c>
    </row>
    <row r="76">
      <c r="B76" s="96"/>
      <c r="C76" s="165"/>
      <c r="D76" s="165"/>
      <c r="E76" s="165"/>
      <c r="F76" s="27"/>
      <c r="G76" s="187"/>
      <c r="H76" s="244"/>
      <c r="I76" s="187"/>
      <c r="J76" s="187"/>
      <c r="K76" s="187"/>
      <c r="L76" s="187"/>
      <c r="M76" s="187"/>
      <c r="N76" s="187"/>
      <c r="O76" s="187"/>
      <c r="P76" s="187"/>
      <c r="Q76" s="187"/>
      <c r="R76" s="187"/>
      <c r="S76" s="187"/>
      <c r="T76" s="187"/>
      <c r="U76" s="187"/>
      <c r="V76" s="187"/>
      <c r="W76" s="187"/>
      <c r="X76" s="187"/>
    </row>
    <row r="77">
      <c r="B77" s="181"/>
      <c r="C77" s="165"/>
      <c r="D77" s="165"/>
      <c r="E77" s="165"/>
      <c r="F77" s="165"/>
      <c r="G77" s="187"/>
      <c r="H77" s="187"/>
      <c r="I77" s="187"/>
      <c r="J77" s="187"/>
      <c r="K77" s="187"/>
      <c r="L77" s="187"/>
      <c r="M77" s="187"/>
      <c r="N77" s="187"/>
      <c r="O77" s="187"/>
      <c r="P77" s="187"/>
      <c r="Q77" s="187"/>
      <c r="R77" s="187"/>
      <c r="S77" s="187"/>
      <c r="T77" s="187"/>
      <c r="U77" s="187"/>
      <c r="V77" s="187"/>
      <c r="W77" s="187"/>
      <c r="X77" s="187"/>
    </row>
    <row r="78">
      <c r="B78" s="96" t="s">
        <v>709</v>
      </c>
      <c r="C78" s="165"/>
      <c r="D78" s="165"/>
      <c r="E78" s="165"/>
      <c r="F78" s="165"/>
      <c r="G78" s="187" t="str">
        <f t="shared" ref="G78:L78" si="39">IF(G$5="","",SUM(G60,G67,G75))</f>
      </c>
      <c r="H78" s="187">
        <f t="shared" si="39"/>
        <v>0</v>
      </c>
      <c r="I78" s="187">
        <f t="shared" si="39"/>
        <v>0</v>
      </c>
      <c r="J78" s="187">
        <f t="shared" si="39"/>
        <v>0</v>
      </c>
      <c r="K78" s="187">
        <f t="shared" si="39"/>
        <v>0</v>
      </c>
      <c r="L78" s="187">
        <f t="shared" si="39"/>
        <v>0</v>
      </c>
      <c r="M78" s="187" t="n">
        <f t="shared" ref="M78:X78" si="40">IF(M$5="","",SUM(M60,M67,M75))</f>
        <v>826365826.6616498</v>
      </c>
      <c r="N78" s="187">
        <f t="shared" si="40"/>
        <v>-826365826.66164982</v>
      </c>
      <c r="O78" s="187" t="str">
        <f t="shared" si="40"/>
      </c>
      <c r="P78" s="187" t="str">
        <f t="shared" si="40"/>
      </c>
      <c r="Q78" s="187" t="str">
        <f t="shared" si="40"/>
      </c>
      <c r="R78" s="187" t="str">
        <f t="shared" si="40"/>
      </c>
      <c r="S78" s="187" t="str">
        <f t="shared" si="40"/>
      </c>
      <c r="T78" s="187" t="str">
        <f t="shared" si="40"/>
      </c>
      <c r="U78" s="187" t="str">
        <f t="shared" si="40"/>
      </c>
      <c r="V78" s="187" t="str">
        <f t="shared" si="40"/>
      </c>
      <c r="W78" s="187" t="str">
        <f t="shared" si="40"/>
      </c>
      <c r="X78" s="187" t="str">
        <f t="shared" si="40"/>
      </c>
    </row>
    <row r="79">
      <c r="B79" s="96"/>
      <c r="C79" s="165"/>
      <c r="D79" s="165"/>
      <c r="E79" s="165"/>
      <c r="F79" s="27"/>
      <c r="G79" s="187"/>
      <c r="H79" s="244"/>
      <c r="I79" s="187"/>
      <c r="J79" s="187"/>
      <c r="K79" s="187"/>
      <c r="L79" s="187"/>
      <c r="M79" s="187"/>
      <c r="N79" s="187"/>
      <c r="O79" s="187"/>
      <c r="P79" s="187"/>
      <c r="Q79" s="187"/>
      <c r="R79" s="187"/>
      <c r="S79" s="187"/>
      <c r="T79" s="187"/>
      <c r="U79" s="187"/>
      <c r="V79" s="187"/>
      <c r="W79" s="187"/>
      <c r="X79" s="187"/>
    </row>
    <row r="80">
      <c r="B80" s="96" t="s">
        <v>710</v>
      </c>
      <c r="C80" s="165"/>
      <c r="D80" s="165"/>
      <c r="E80" s="165"/>
      <c r="F80" s="165"/>
      <c r="G80" s="187" t="str">
        <f>IF(G$5="","",0)</f>
      </c>
      <c r="H80" s="187" t="str">
        <f>IF(H$5="","",G81)</f>
      </c>
      <c r="I80" s="187" t="n">
        <f>IF(I$5="","",H81)</f>
        <v>0</v>
      </c>
      <c r="J80" s="187" t="n">
        <f>IF(J$5="","",I81)</f>
        <v>0</v>
      </c>
      <c r="K80" s="187" t="n">
        <f>IF(K$5="","",J81)</f>
        <v>0</v>
      </c>
      <c r="L80" s="187" t="n">
        <f>IF(L$5="","",K81)</f>
        <v>0</v>
      </c>
      <c r="M80" s="187" t="n">
        <f t="shared" ref="M80:X80" si="41">IF(M$5="","",L81)</f>
        <v>0</v>
      </c>
      <c r="N80" s="187">
        <f t="shared" si="41"/>
        <v>826365826.66164982</v>
      </c>
      <c r="O80" s="187" t="str">
        <f t="shared" si="41"/>
      </c>
      <c r="P80" s="187" t="str">
        <f t="shared" si="41"/>
      </c>
      <c r="Q80" s="187" t="str">
        <f t="shared" si="41"/>
      </c>
      <c r="R80" s="187" t="str">
        <f t="shared" si="41"/>
      </c>
      <c r="S80" s="187" t="str">
        <f t="shared" si="41"/>
      </c>
      <c r="T80" s="187" t="str">
        <f t="shared" si="41"/>
      </c>
      <c r="U80" s="187" t="str">
        <f t="shared" si="41"/>
      </c>
      <c r="V80" s="187" t="str">
        <f t="shared" si="41"/>
      </c>
      <c r="W80" s="187" t="str">
        <f t="shared" si="41"/>
      </c>
      <c r="X80" s="187" t="str">
        <f t="shared" si="41"/>
      </c>
    </row>
    <row r="81">
      <c r="B81" s="181" t="s">
        <v>711</v>
      </c>
      <c r="C81" s="165"/>
      <c r="D81" s="165"/>
      <c r="E81" s="165"/>
      <c r="F81" s="165"/>
      <c r="G81" s="187" t="str">
        <f t="shared" ref="G81:L81" si="42">IF(G$5="","",G80+G78)</f>
      </c>
      <c r="H81" s="187">
        <f t="shared" si="42"/>
        <v>0</v>
      </c>
      <c r="I81" s="187">
        <f t="shared" si="42"/>
        <v>0</v>
      </c>
      <c r="J81" s="187">
        <f t="shared" si="42"/>
        <v>0</v>
      </c>
      <c r="K81" s="187">
        <f t="shared" si="42"/>
        <v>0</v>
      </c>
      <c r="L81" s="187">
        <f t="shared" si="42"/>
        <v>0</v>
      </c>
      <c r="M81" s="187" t="n">
        <f t="shared" ref="M81:X81" si="43">IF(M$5="","",M80+M78)</f>
        <v>826365826.6616498</v>
      </c>
      <c r="N81" s="187">
        <f t="shared" si="43"/>
        <v>0</v>
      </c>
      <c r="O81" s="187" t="str">
        <f t="shared" si="43"/>
      </c>
      <c r="P81" s="187" t="str">
        <f t="shared" si="43"/>
      </c>
      <c r="Q81" s="187" t="str">
        <f t="shared" si="43"/>
      </c>
      <c r="R81" s="187" t="str">
        <f t="shared" si="43"/>
      </c>
      <c r="S81" s="187" t="str">
        <f t="shared" si="43"/>
      </c>
      <c r="T81" s="187" t="str">
        <f t="shared" si="43"/>
      </c>
      <c r="U81" s="187" t="str">
        <f t="shared" si="43"/>
      </c>
      <c r="V81" s="187" t="str">
        <f t="shared" si="43"/>
      </c>
      <c r="W81" s="187" t="str">
        <f t="shared" si="43"/>
      </c>
      <c r="X81" s="187" t="str">
        <f t="shared" si="43"/>
      </c>
    </row>
    <row r="82">
      <c r="B82" s="181" t="s">
        <v>712</v>
      </c>
      <c r="C82" s="165"/>
      <c r="D82" s="165"/>
      <c r="E82" s="165"/>
      <c r="F82" s="165"/>
      <c r="G82" s="187" t="str">
        <f t="shared" ref="G82:L82" si="44">IF(G$5="","",G81-G33)</f>
      </c>
      <c r="H82" s="187">
        <f t="shared" si="44"/>
        <v>0</v>
      </c>
      <c r="I82" s="187">
        <f t="shared" si="44"/>
        <v>0</v>
      </c>
      <c r="J82" s="187">
        <f t="shared" si="44"/>
        <v>0</v>
      </c>
      <c r="K82" s="187">
        <f t="shared" si="44"/>
        <v>0</v>
      </c>
      <c r="L82" s="187">
        <f t="shared" si="44"/>
        <v>0</v>
      </c>
      <c r="M82" s="187" t="n">
        <f t="shared" ref="M82:X82" si="45">IF(M$5="","",M81-M33)</f>
        <v>0</v>
      </c>
      <c r="N82" s="187">
        <f t="shared" si="45"/>
        <v>0</v>
      </c>
      <c r="O82" s="187" t="str">
        <f t="shared" si="45"/>
      </c>
      <c r="P82" s="187" t="str">
        <f t="shared" si="45"/>
      </c>
      <c r="Q82" s="187" t="str">
        <f t="shared" si="45"/>
      </c>
      <c r="R82" s="187" t="str">
        <f t="shared" si="45"/>
      </c>
      <c r="S82" s="187" t="str">
        <f t="shared" si="45"/>
      </c>
      <c r="T82" s="187" t="str">
        <f t="shared" si="45"/>
      </c>
      <c r="U82" s="187" t="str">
        <f t="shared" si="45"/>
      </c>
      <c r="V82" s="187" t="str">
        <f t="shared" si="45"/>
      </c>
      <c r="W82" s="187" t="str">
        <f t="shared" si="45"/>
      </c>
      <c r="X82" s="187" t="str">
        <f t="shared" si="45"/>
      </c>
    </row>
    <row r="83">
      <c r="B83" s="96"/>
      <c r="C83" s="165"/>
      <c r="D83" s="165"/>
      <c r="E83" s="165"/>
      <c r="F83" s="165"/>
      <c r="G83" s="187"/>
      <c r="H83" s="187"/>
      <c r="I83" s="187"/>
      <c r="J83" s="187"/>
      <c r="K83" s="187"/>
      <c r="L83" s="187"/>
      <c r="M83" s="187"/>
      <c r="N83" s="187"/>
      <c r="O83" s="187"/>
      <c r="P83" s="187"/>
      <c r="Q83" s="187"/>
      <c r="R83" s="187"/>
      <c r="S83" s="187"/>
      <c r="T83" s="187"/>
      <c r="U83" s="187"/>
      <c r="V83" s="187"/>
      <c r="W83" s="187"/>
      <c r="X83" s="187"/>
    </row>
    <row r="84">
      <c r="B84" s="96"/>
      <c r="C84" s="165"/>
      <c r="D84" s="165"/>
      <c r="E84" s="165"/>
      <c r="F84" s="165"/>
      <c r="G84" s="187"/>
      <c r="H84" s="187"/>
      <c r="I84" s="187"/>
      <c r="J84" s="187"/>
      <c r="K84" s="187"/>
      <c r="L84" s="187"/>
      <c r="M84" s="187"/>
      <c r="N84" s="187"/>
      <c r="O84" s="187"/>
      <c r="P84" s="187"/>
      <c r="Q84" s="187"/>
      <c r="R84" s="187"/>
      <c r="S84" s="187"/>
      <c r="T84" s="187"/>
      <c r="U84" s="187"/>
      <c r="V84" s="187"/>
      <c r="W84" s="187"/>
      <c r="X84" s="187"/>
    </row>
    <row r="85">
      <c r="B85" s="96"/>
      <c r="C85" s="165"/>
      <c r="D85" s="165"/>
      <c r="E85" s="165"/>
      <c r="F85" s="27"/>
      <c r="G85" s="187"/>
      <c r="H85" s="244"/>
      <c r="I85" s="187"/>
      <c r="J85" s="187"/>
      <c r="K85" s="187"/>
      <c r="L85" s="187"/>
      <c r="M85" s="187"/>
      <c r="N85" s="187"/>
      <c r="O85" s="187"/>
      <c r="P85" s="187"/>
      <c r="Q85" s="187"/>
      <c r="R85" s="187"/>
      <c r="S85" s="187"/>
      <c r="T85" s="187"/>
      <c r="U85" s="187"/>
      <c r="V85" s="187"/>
      <c r="W85" s="187"/>
      <c r="X85" s="187"/>
    </row>
    <row r="86">
      <c r="B86" s="96"/>
      <c r="C86" s="165"/>
      <c r="D86" s="165"/>
      <c r="E86" s="165"/>
      <c r="F86" s="27"/>
      <c r="G86" s="187"/>
      <c r="H86" s="244"/>
      <c r="I86" s="187"/>
      <c r="J86" s="187"/>
      <c r="K86" s="187"/>
      <c r="L86" s="187"/>
      <c r="M86" s="187"/>
      <c r="N86" s="187"/>
      <c r="O86" s="187"/>
      <c r="P86" s="187"/>
      <c r="Q86" s="187"/>
      <c r="R86" s="187"/>
      <c r="S86" s="187"/>
      <c r="T86" s="187"/>
      <c r="U86" s="187"/>
      <c r="V86" s="187"/>
      <c r="W86" s="187"/>
      <c r="X86" s="187"/>
    </row>
    <row r="87">
      <c r="B87" s="115" t="s">
        <v>713</v>
      </c>
      <c r="C87" s="165"/>
      <c r="D87" s="165"/>
      <c r="E87" s="165"/>
      <c r="F87" s="27"/>
      <c r="G87" s="237"/>
      <c r="H87" s="167"/>
      <c r="I87" s="167"/>
      <c r="J87" s="167"/>
      <c r="K87" s="167"/>
      <c r="L87" s="167"/>
      <c r="M87" s="167"/>
      <c r="N87" s="167"/>
      <c r="O87" s="167"/>
      <c r="P87" s="167"/>
      <c r="Q87" s="167"/>
      <c r="R87" s="167"/>
      <c r="S87" s="167"/>
      <c r="T87" s="167"/>
      <c r="U87" s="167"/>
      <c r="V87" s="167"/>
      <c r="W87" s="167"/>
      <c r="X87" s="167"/>
    </row>
    <row r="88">
      <c r="B88" s="181" t="s">
        <v>714</v>
      </c>
      <c r="C88" s="165"/>
      <c r="D88" s="165"/>
      <c r="E88" s="165"/>
      <c r="F88" s="165"/>
      <c r="G88" s="187" t="n">
        <f>0</f>
        <v>0</v>
      </c>
      <c r="H88" s="187" t="n">
        <f>IF(H$5="","",G92)</f>
        <v>87034792.90517423</v>
      </c>
      <c r="I88" s="187" t="n">
        <f>IF(I$5="","",H92)</f>
        <v>226258049.88565567</v>
      </c>
      <c r="J88" s="187" t="n">
        <f>IF(J$5="","",I92)</f>
        <v>417645251.9481046</v>
      </c>
      <c r="K88" s="187" t="n">
        <f>IF(K$5="","",J92)</f>
        <v>611713352.4889256</v>
      </c>
      <c r="L88" s="187" t="n">
        <f>IF(L$5="","",K92)</f>
        <v>805781453.0297464</v>
      </c>
      <c r="M88" s="187" t="n">
        <f t="shared" ref="M88:X88" si="46">IF(M$5="","",L92)</f>
        <v>999849553.5705674</v>
      </c>
      <c r="N88" s="187">
        <f t="shared" si="46"/>
        <v>1632149322.1750565</v>
      </c>
      <c r="O88" s="187" t="str">
        <f t="shared" si="46"/>
      </c>
      <c r="P88" s="187" t="str">
        <f t="shared" si="46"/>
      </c>
      <c r="Q88" s="187" t="str">
        <f t="shared" si="46"/>
      </c>
      <c r="R88" s="187" t="str">
        <f t="shared" si="46"/>
      </c>
      <c r="S88" s="187" t="str">
        <f t="shared" si="46"/>
      </c>
      <c r="T88" s="187" t="str">
        <f t="shared" si="46"/>
      </c>
      <c r="U88" s="187" t="str">
        <f t="shared" si="46"/>
      </c>
      <c r="V88" s="187" t="str">
        <f t="shared" si="46"/>
      </c>
      <c r="W88" s="187" t="str">
        <f t="shared" si="46"/>
      </c>
      <c r="X88" s="187" t="str">
        <f t="shared" si="46"/>
      </c>
    </row>
    <row r="89">
      <c r="B89" s="181" t="s">
        <v>706</v>
      </c>
      <c r="C89" s="165"/>
      <c r="D89" s="165"/>
      <c r="E89" s="165"/>
      <c r="F89" s="165"/>
      <c r="G89" s="187" t="n">
        <f t="shared" ref="G89:L89" si="47">G42</f>
        <v>87034792.90517423</v>
      </c>
      <c r="H89" s="187">
        <f t="shared" si="47"/>
        <v>135712511.73829091</v>
      </c>
      <c r="I89" s="187">
        <f t="shared" si="47"/>
        <v>166004362.81178662</v>
      </c>
      <c r="J89" s="187">
        <f t="shared" si="47"/>
        <v>166004362.81178662</v>
      </c>
      <c r="K89" s="187">
        <f t="shared" si="47"/>
        <v>166004362.81178662</v>
      </c>
      <c r="L89" s="187">
        <f t="shared" si="47"/>
        <v>166004362.81178662</v>
      </c>
      <c r="M89" s="187" t="n">
        <f t="shared" ref="M89:X89" si="48">IF(M$5="","",M73)</f>
        <v>0</v>
      </c>
      <c r="N89" s="187">
        <f t="shared" si="48"/>
        <v>0</v>
      </c>
      <c r="O89" s="187" t="str">
        <f t="shared" si="48"/>
      </c>
      <c r="P89" s="187" t="str">
        <f t="shared" si="48"/>
      </c>
      <c r="Q89" s="187" t="str">
        <f t="shared" si="48"/>
      </c>
      <c r="R89" s="187" t="str">
        <f t="shared" si="48"/>
      </c>
      <c r="S89" s="187" t="str">
        <f t="shared" si="48"/>
      </c>
      <c r="T89" s="187" t="str">
        <f t="shared" si="48"/>
      </c>
      <c r="U89" s="187" t="str">
        <f t="shared" si="48"/>
      </c>
      <c r="V89" s="187" t="str">
        <f t="shared" si="48"/>
      </c>
      <c r="W89" s="187" t="str">
        <f t="shared" si="48"/>
      </c>
      <c r="X89" s="187" t="str">
        <f t="shared" si="48"/>
      </c>
    </row>
    <row r="90">
      <c r="B90" s="181" t="s">
        <v>715</v>
      </c>
      <c r="C90" s="165"/>
      <c r="D90" s="165"/>
      <c r="E90" s="165"/>
      <c r="F90" s="165"/>
      <c r="G90" s="187" t="n">
        <f t="shared" ref="G90:L90" si="49">G43</f>
        <v>0</v>
      </c>
      <c r="H90" s="187">
        <f t="shared" si="49"/>
        <v>3510745.2421905263</v>
      </c>
      <c r="I90" s="187">
        <f t="shared" si="49"/>
        <v>25382839.250662357</v>
      </c>
      <c r="J90" s="187">
        <f t="shared" si="49"/>
        <v>67471702.829392388</v>
      </c>
      <c r="K90" s="187">
        <f t="shared" si="49"/>
        <v>111884345.49942949</v>
      </c>
      <c r="L90" s="187">
        <f t="shared" si="49"/>
        <v>156690330.89124617</v>
      </c>
      <c r="M90" s="187" t="n">
        <f t="shared" ref="M90:X90" si="50">IF(M$5="","",M28)</f>
        <v>632299768.6044891</v>
      </c>
      <c r="N90" s="187">
        <f t="shared" si="50"/>
        <v>0</v>
      </c>
      <c r="O90" s="187" t="str">
        <f t="shared" si="50"/>
      </c>
      <c r="P90" s="187" t="str">
        <f t="shared" si="50"/>
      </c>
      <c r="Q90" s="187" t="str">
        <f t="shared" si="50"/>
      </c>
      <c r="R90" s="187" t="str">
        <f t="shared" si="50"/>
      </c>
      <c r="S90" s="187" t="str">
        <f t="shared" si="50"/>
      </c>
      <c r="T90" s="187" t="str">
        <f t="shared" si="50"/>
      </c>
      <c r="U90" s="187" t="str">
        <f t="shared" si="50"/>
      </c>
      <c r="V90" s="187" t="str">
        <f t="shared" si="50"/>
      </c>
      <c r="W90" s="187" t="str">
        <f t="shared" si="50"/>
      </c>
      <c r="X90" s="187" t="str">
        <f t="shared" si="50"/>
      </c>
    </row>
    <row r="91">
      <c r="B91" s="181" t="s">
        <v>707</v>
      </c>
      <c r="C91" s="165"/>
      <c r="D91" s="165"/>
      <c r="E91" s="165"/>
      <c r="F91" s="165"/>
      <c r="G91" s="187" t="n">
        <f t="shared" ref="G91:L91" si="51">G44</f>
        <v>0</v>
      </c>
      <c r="H91" s="187">
        <f t="shared" si="51"/>
        <v>0</v>
      </c>
      <c r="I91" s="187">
        <f t="shared" si="51"/>
        <v>0</v>
      </c>
      <c r="J91" s="187">
        <f t="shared" si="51"/>
        <v>-39407965.100358129</v>
      </c>
      <c r="K91" s="187">
        <f t="shared" si="51"/>
        <v>-83820607.770395234</v>
      </c>
      <c r="L91" s="187">
        <f t="shared" si="51"/>
        <v>-128626593.16221189</v>
      </c>
      <c r="M91" s="187" t="n">
        <f t="shared" ref="M91:X91" si="52">IF(M$5="","",M74)</f>
        <v>0</v>
      </c>
      <c r="N91" s="187">
        <f t="shared" si="52"/>
        <v>-826365826.66164982</v>
      </c>
      <c r="O91" s="187" t="str">
        <f t="shared" si="52"/>
      </c>
      <c r="P91" s="187" t="str">
        <f t="shared" si="52"/>
      </c>
      <c r="Q91" s="187" t="str">
        <f t="shared" si="52"/>
      </c>
      <c r="R91" s="187" t="str">
        <f t="shared" si="52"/>
      </c>
      <c r="S91" s="187" t="str">
        <f t="shared" si="52"/>
      </c>
      <c r="T91" s="187" t="str">
        <f t="shared" si="52"/>
      </c>
      <c r="U91" s="187" t="str">
        <f t="shared" si="52"/>
      </c>
      <c r="V91" s="187" t="str">
        <f t="shared" si="52"/>
      </c>
      <c r="W91" s="187" t="str">
        <f t="shared" si="52"/>
      </c>
      <c r="X91" s="187" t="str">
        <f t="shared" si="52"/>
      </c>
    </row>
    <row r="92">
      <c r="B92" s="96" t="s">
        <v>716</v>
      </c>
      <c r="C92" s="165"/>
      <c r="D92" s="165"/>
      <c r="E92" s="165"/>
      <c r="F92" s="165"/>
      <c r="G92" s="187" t="n">
        <f t="shared" ref="G92:L92" si="53">SUM(G88:G91)</f>
        <v>87034792.90517423</v>
      </c>
      <c r="H92" s="187">
        <f t="shared" si="53"/>
        <v>226258049.88565567</v>
      </c>
      <c r="I92" s="187">
        <f t="shared" si="53"/>
        <v>417645251.94810462</v>
      </c>
      <c r="J92" s="187">
        <f t="shared" si="53"/>
        <v>611713352.48892558</v>
      </c>
      <c r="K92" s="187">
        <f t="shared" si="53"/>
        <v>805781453.02974641</v>
      </c>
      <c r="L92" s="187">
        <f t="shared" si="53"/>
        <v>999849553.57056737</v>
      </c>
      <c r="M92" s="187" t="n">
        <f t="shared" ref="M92:X92" si="54">IF(M$5="","",SUM(M88:M91))</f>
        <v>1632149322.1750565</v>
      </c>
      <c r="N92" s="187">
        <f t="shared" si="54"/>
        <v>805783495.51340663</v>
      </c>
      <c r="O92" s="187" t="str">
        <f t="shared" si="54"/>
      </c>
      <c r="P92" s="187" t="str">
        <f t="shared" si="54"/>
      </c>
      <c r="Q92" s="187" t="str">
        <f t="shared" si="54"/>
      </c>
      <c r="R92" s="187" t="str">
        <f t="shared" si="54"/>
      </c>
      <c r="S92" s="187" t="str">
        <f t="shared" si="54"/>
      </c>
      <c r="T92" s="187" t="str">
        <f t="shared" si="54"/>
      </c>
      <c r="U92" s="187" t="str">
        <f t="shared" si="54"/>
      </c>
      <c r="V92" s="187" t="str">
        <f t="shared" si="54"/>
      </c>
      <c r="W92" s="187" t="str">
        <f t="shared" si="54"/>
      </c>
      <c r="X92" s="187" t="str">
        <f t="shared" si="54"/>
      </c>
    </row>
    <row r="93">
      <c r="B93" s="181" t="s">
        <v>717</v>
      </c>
      <c r="C93" s="165"/>
      <c r="D93" s="165"/>
      <c r="E93" s="165"/>
      <c r="F93" s="165"/>
      <c r="G93" s="187" t="n">
        <f t="shared" ref="G93:L93" si="55">G45</f>
        <v>87034792.90517423</v>
      </c>
      <c r="H93" s="187">
        <f t="shared" si="55"/>
        <v>139223256.98048145</v>
      </c>
      <c r="I93" s="187">
        <f t="shared" si="55"/>
        <v>191387202.06244898</v>
      </c>
      <c r="J93" s="187">
        <f t="shared" si="55"/>
        <v>194068100.5408209</v>
      </c>
      <c r="K93" s="187">
        <f t="shared" si="55"/>
        <v>194068100.5408209</v>
      </c>
      <c r="L93" s="187">
        <f t="shared" si="55"/>
        <v>194068100.5408209</v>
      </c>
      <c r="M93" s="187" t="n">
        <f t="shared" ref="M93:X93" si="56">IF(M$5="","",M45)</f>
        <v>826365826.66165</v>
      </c>
      <c r="N93" s="187">
        <f t="shared" si="56"/>
        <v>2042.4836602210999</v>
      </c>
      <c r="O93" s="187" t="str">
        <f t="shared" si="56"/>
      </c>
      <c r="P93" s="187" t="str">
        <f t="shared" si="56"/>
      </c>
      <c r="Q93" s="187" t="str">
        <f t="shared" si="56"/>
      </c>
      <c r="R93" s="187" t="str">
        <f t="shared" si="56"/>
      </c>
      <c r="S93" s="187" t="str">
        <f t="shared" si="56"/>
      </c>
      <c r="T93" s="187" t="str">
        <f t="shared" si="56"/>
      </c>
      <c r="U93" s="187" t="str">
        <f t="shared" si="56"/>
      </c>
      <c r="V93" s="187" t="str">
        <f t="shared" si="56"/>
      </c>
      <c r="W93" s="187" t="str">
        <f t="shared" si="56"/>
      </c>
      <c r="X93" s="187" t="str">
        <f t="shared" si="56"/>
      </c>
    </row>
    <row r="94">
      <c r="B94" s="96" t="s">
        <v>718</v>
      </c>
      <c r="C94" s="165"/>
      <c r="D94" s="165"/>
      <c r="E94" s="165"/>
      <c r="F94" s="165"/>
      <c r="G94" s="187" t="n">
        <f t="shared" ref="G94:L94" si="57">G92-G93</f>
        <v>0</v>
      </c>
      <c r="H94" s="187">
        <f t="shared" si="57"/>
        <v>87034792.905174226</v>
      </c>
      <c r="I94" s="187">
        <f t="shared" si="57"/>
        <v>226258049.88565564</v>
      </c>
      <c r="J94" s="187">
        <f t="shared" si="57"/>
        <v>417645251.94810468</v>
      </c>
      <c r="K94" s="187">
        <f t="shared" si="57"/>
        <v>611713352.48892546</v>
      </c>
      <c r="L94" s="187">
        <f t="shared" si="57"/>
        <v>805781453.02974653</v>
      </c>
      <c r="M94" s="187" t="n">
        <f t="shared" ref="M94:X94" si="58">IF(M$5="","",M92-M93)</f>
        <v>805783495.5134065</v>
      </c>
      <c r="N94" s="187">
        <f t="shared" si="58"/>
        <v>805781453.02974641</v>
      </c>
      <c r="O94" s="187" t="str">
        <f t="shared" si="58"/>
      </c>
      <c r="P94" s="187" t="str">
        <f t="shared" si="58"/>
      </c>
      <c r="Q94" s="187" t="str">
        <f t="shared" si="58"/>
      </c>
      <c r="R94" s="187" t="str">
        <f t="shared" si="58"/>
      </c>
      <c r="S94" s="187" t="str">
        <f t="shared" si="58"/>
      </c>
      <c r="T94" s="187" t="str">
        <f t="shared" si="58"/>
      </c>
      <c r="U94" s="187" t="str">
        <f t="shared" si="58"/>
      </c>
      <c r="V94" s="187" t="str">
        <f t="shared" si="58"/>
      </c>
      <c r="W94" s="187" t="str">
        <f t="shared" si="58"/>
      </c>
      <c r="X94" s="187" t="str">
        <f t="shared" si="58"/>
      </c>
    </row>
  </sheetData>
  <pageMargins left="0.7" right="0.7" top="0.75" bottom="0.75" header="0.3" footer="0.3"/>
</worksheet>
</file>

<file path=xl/worksheets/sheet7.xml><?xml version="1.0" encoding="utf-8"?>
<worksheet xmlns="http://schemas.openxmlformats.org/spreadsheetml/2006/main">
  <sheetPr>
    <tabColor rgb="FFC1B56B"/>
  </sheetPr>
  <sheetViews>
    <sheetView showGridLines="0" workbookViewId="0"/>
  </sheetViews>
  <sheetFormatPr defaultRowHeight="14.5"/>
  <cols>
    <col min="1" max="1" width="2.5" customWidth="1"/>
    <col min="2" max="2" width="14.1640625" customWidth="1"/>
    <col min="3" max="8" width="8.33203125" customWidth="1"/>
    <col min="9" max="9" width="2.5" customWidth="1"/>
    <col min="10" max="10" width="11.6640625" customWidth="1"/>
    <col min="11" max="11" width="8.33203125" customWidth="1"/>
    <col min="12" max="12" width="7.5" customWidth="1"/>
    <col min="13" max="15" width="8.33203125" customWidth="1"/>
    <col min="16" max="16" width="20" customWidth="1"/>
    <col min="24" max="24" width="7.83203125" customWidth="1"/>
    <col min="25" max="25" width="8.5" customWidth="1"/>
    <col min="26" max="26" width="11.83203125" customWidth="1"/>
    <col min="27" max="27" width="7.83203125" customWidth="1"/>
    <col min="28" max="28" width="8.5" customWidth="1"/>
    <col min="29" max="30" width="7.83203125" customWidth="1"/>
    <col min="31" max="31" width="8.5" customWidth="1"/>
    <col min="32" max="32" width="7.83203125" customWidth="1"/>
    <col min="33" max="33" width="12.58203125" customWidth="1"/>
    <col min="34" max="92" width="5.83203125" customWidth="1"/>
    <col min="93" max="93" width="11.83203125" customWidth="1"/>
    <col min="95" max="95" width="47.58203125" customWidth="1"/>
    <col min="96" max="96" width="42.6640625" customWidth="1"/>
    <col min="97" max="97" width="15.5" customWidth="1"/>
    <col min="98" max="98" width="77.5" customWidth="1"/>
    <col min="99" max="99" width="20.08203125" customWidth="1"/>
    <col min="100" max="100" width="10.83203125" customWidth="1"/>
    <col min="101" max="101" width="22.33203125" customWidth="1"/>
    <col min="102" max="102" width="12.9140625" customWidth="1"/>
    <col min="103" max="103" width="16.9140625" customWidth="1"/>
    <col min="104" max="104" width="47" customWidth="1"/>
    <col min="105" max="106" width="10.33203125" customWidth="1"/>
    <col min="107" max="107" width="72.58203125" customWidth="1"/>
    <col min="108" max="108" width="71" customWidth="1"/>
    <col min="109" max="109" width="7.58203125" customWidth="1"/>
    <col min="118" max="118" width="40.33203125" customWidth="1"/>
    <col min="119" max="125" width="12.5" customWidth="1"/>
    <col min="126" max="161" width="13.5" customWidth="1"/>
    <col min="162" max="185" width="11.83203125" customWidth="1"/>
  </cols>
  <sheetData>
    <row r="1">
      <c r="A1" s="311"/>
      <c r="B1" s="311"/>
      <c r="C1" s="311"/>
      <c r="D1" s="311"/>
      <c r="E1" s="311"/>
      <c r="F1" s="311"/>
      <c r="G1" s="311"/>
      <c r="H1" s="311"/>
      <c r="I1" s="311"/>
      <c r="J1" s="311"/>
      <c r="K1" s="311"/>
      <c r="L1" s="311"/>
      <c r="M1" s="311"/>
      <c r="N1" s="311"/>
      <c r="O1" s="311"/>
      <c r="P1" s="327"/>
    </row>
    <row r="2" ht="48" customHeight="1">
      <c r="A2" s="311"/>
      <c r="B2" s="927" t="s">
        <v>660</v>
      </c>
      <c r="C2" s="927"/>
      <c r="D2" s="927"/>
      <c r="E2" s="927"/>
      <c r="F2" s="927"/>
      <c r="G2" s="927"/>
      <c r="H2" s="927"/>
      <c r="I2" s="927"/>
      <c r="J2" s="927"/>
      <c r="K2" s="927"/>
      <c r="L2" s="927"/>
      <c r="M2" s="927"/>
      <c r="N2" s="927"/>
      <c r="O2" s="927"/>
      <c r="P2" s="928"/>
      <c r="CQ2" s="696" t="s">
        <v>660</v>
      </c>
      <c r="CR2" s="699"/>
      <c r="CS2" s="699"/>
      <c r="CT2" s="699"/>
      <c r="CU2" s="699"/>
      <c r="CV2" s="699"/>
      <c r="CW2" s="699"/>
      <c r="CX2" s="699"/>
      <c r="CY2" s="699"/>
      <c r="CZ2" s="699"/>
      <c r="DA2" s="699"/>
      <c r="DB2" s="697" t="str">
        <f>UPPER(Underwriting!$I$2)</f>
        <v>MAYABAY ACTIVE (MELBOURNE) PTY LTD</v>
      </c>
      <c r="DC2" s="699"/>
      <c r="DD2" s="699"/>
      <c r="DE2" s="699"/>
      <c r="DF2" s="699"/>
      <c r="DG2" s="699"/>
      <c r="DH2" s="699"/>
      <c r="DI2" s="699"/>
      <c r="DJ2" s="699"/>
      <c r="DK2" s="699"/>
      <c r="DL2" s="699"/>
      <c r="DN2" s="312" t="str">
        <f>Underwriting!$C$228</f>
        <v>Sponsor / General Partner — illustrative waterfall</v>
      </c>
    </row>
    <row r="3" ht="18" customHeight="1">
      <c r="A3" s="311"/>
      <c r="B3" s="929" t="s">
        <v>661</v>
      </c>
      <c r="C3" s="929"/>
      <c r="D3" s="929"/>
      <c r="E3" s="929"/>
      <c r="F3" s="929"/>
      <c r="G3" s="929"/>
      <c r="H3" s="929"/>
      <c r="I3" s="929"/>
      <c r="J3" s="929"/>
      <c r="K3" s="929"/>
      <c r="L3" s="929"/>
      <c r="M3" s="929"/>
      <c r="N3" s="929"/>
      <c r="O3" s="929"/>
      <c r="P3" s="930"/>
      <c r="CQ3" s="697" t="str">
        <f>Underwriting!$E$11&amp;", "&amp;Underwriting!$I$10</f>
        <v>Port Melbourne, Victoria</v>
      </c>
      <c r="CR3" s="699"/>
      <c r="CS3" s="699"/>
      <c r="CT3" s="699"/>
      <c r="CU3" s="699"/>
      <c r="CV3" s="699"/>
      <c r="CW3" s="699"/>
      <c r="CX3" s="699"/>
      <c r="CY3" s="699"/>
      <c r="CZ3" s="699"/>
      <c r="DA3" s="699"/>
      <c r="DB3" s="699"/>
      <c r="DC3" s="699"/>
      <c r="DD3" s="699"/>
      <c r="DE3" s="699"/>
      <c r="DF3" s="699"/>
      <c r="DG3" s="699"/>
      <c r="DH3" s="699"/>
      <c r="DI3" s="699"/>
      <c r="DJ3" s="699"/>
      <c r="DK3" s="699"/>
      <c r="DL3" s="699"/>
      <c r="DN3" s="312" t="str">
        <f>Underwriting!$C$229</f>
        <v>External Equity / Limited Partner — illustrative waterfall</v>
      </c>
    </row>
    <row r="4" ht="30" customHeight="1">
      <c r="A4" s="311"/>
      <c r="B4" s="931" t="s">
        <v>719</v>
      </c>
      <c r="C4" s="931"/>
      <c r="D4" s="931"/>
      <c r="E4" s="931"/>
      <c r="F4" s="931"/>
      <c r="G4" s="931"/>
      <c r="H4" s="931"/>
      <c r="I4" s="931"/>
      <c r="J4" s="931"/>
      <c r="K4" s="931"/>
      <c r="L4" s="931"/>
      <c r="M4" s="931"/>
      <c r="N4" s="931"/>
      <c r="O4" s="931"/>
      <c r="P4" s="932"/>
      <c r="CQ4" s="698" t="s">
        <v>720</v>
      </c>
      <c r="CR4" s="699"/>
      <c r="CS4" s="699"/>
      <c r="CT4" s="699"/>
      <c r="CU4" s="699"/>
      <c r="CV4" s="699"/>
      <c r="CW4" s="699"/>
      <c r="CX4" s="699"/>
      <c r="CY4" s="699"/>
      <c r="CZ4" s="699"/>
      <c r="DA4" s="699"/>
      <c r="DB4" s="699"/>
      <c r="DC4" s="699"/>
      <c r="DD4" s="699"/>
      <c r="DE4" s="699"/>
      <c r="DF4" s="699"/>
      <c r="DG4" s="699"/>
      <c r="DH4" s="699"/>
      <c r="DI4" s="699"/>
      <c r="DJ4" s="699"/>
      <c r="DK4" s="699"/>
      <c r="DL4" s="699"/>
    </row>
    <row r="5">
      <c r="A5" s="311"/>
      <c r="B5" s="922"/>
      <c r="C5" s="922"/>
      <c r="D5" s="922"/>
      <c r="E5" s="922"/>
      <c r="F5" s="922"/>
      <c r="G5" s="922"/>
      <c r="H5" s="922"/>
      <c r="I5" s="922"/>
      <c r="J5" s="922"/>
      <c r="K5" s="922"/>
      <c r="L5" s="922"/>
      <c r="M5" s="922"/>
      <c r="N5" s="922"/>
      <c r="O5" s="922"/>
      <c r="P5" s="923"/>
      <c r="CQ5" s="695" t="s">
        <v>721</v>
      </c>
      <c r="CR5" s="699"/>
      <c r="CS5" s="699"/>
      <c r="CT5" s="699"/>
      <c r="CU5" s="699"/>
      <c r="CV5" s="699"/>
      <c r="CW5" s="699"/>
      <c r="CX5" s="699"/>
      <c r="CY5" s="699"/>
      <c r="CZ5" s="699"/>
      <c r="DA5" s="699"/>
      <c r="DB5" s="699"/>
      <c r="DC5" s="699"/>
      <c r="DD5" s="699"/>
      <c r="DE5" s="699"/>
      <c r="DF5" s="699"/>
      <c r="DG5" s="699"/>
      <c r="DH5" s="699"/>
      <c r="DI5" s="699"/>
      <c r="DJ5" s="699"/>
      <c r="DK5" s="699"/>
      <c r="DL5" s="699"/>
    </row>
    <row r="6" ht="22" customHeight="1">
      <c r="A6" s="311"/>
      <c r="B6" s="933" t="s">
        <v>722</v>
      </c>
      <c r="C6" s="933"/>
      <c r="D6" s="933"/>
      <c r="E6" s="933"/>
      <c r="F6" s="933"/>
      <c r="G6" s="933"/>
      <c r="H6" s="933"/>
      <c r="I6" s="933"/>
      <c r="J6" s="933"/>
      <c r="K6" s="933"/>
      <c r="L6" s="933"/>
      <c r="M6" s="933"/>
      <c r="N6" s="933"/>
      <c r="O6" s="933"/>
      <c r="P6" s="934"/>
      <c r="CQ6" s="692" t="s">
        <v>723</v>
      </c>
      <c r="CR6" s="699"/>
      <c r="CS6" s="699"/>
      <c r="CT6" s="699"/>
      <c r="CU6" s="699"/>
      <c r="CV6" s="699"/>
      <c r="CW6" s="699"/>
      <c r="CX6" s="699"/>
      <c r="CZ6" s="692" t="s">
        <v>724</v>
      </c>
      <c r="DA6" s="699"/>
      <c r="DB6" s="699"/>
      <c r="DC6" s="699"/>
      <c r="DD6" s="699"/>
      <c r="DE6" s="699"/>
      <c r="DF6" s="699"/>
      <c r="DG6" s="699"/>
      <c r="DH6" s="699"/>
      <c r="DI6" s="699"/>
      <c r="DJ6" s="699"/>
      <c r="DK6" s="699"/>
      <c r="DL6" s="699"/>
    </row>
    <row r="7" ht="26">
      <c r="A7" s="311"/>
      <c r="B7" s="922" t="s">
        <v>725</v>
      </c>
      <c r="C7" s="1011" t="n">
        <f>Underwriting!$H$190/1000000</f>
        <v>45.54192174739582</v>
      </c>
      <c r="D7" s="923" t="s">
        <v>726</v>
      </c>
      <c r="E7" s="923" t="s">
        <v>727</v>
      </c>
      <c r="F7" s="922"/>
      <c r="G7" s="922"/>
      <c r="H7" s="922"/>
      <c r="I7" s="922"/>
      <c r="J7" s="922" t="s">
        <v>728</v>
      </c>
      <c r="K7" s="1011" t="n">
        <f>C7/C8</f>
        <v>679.6470279122067</v>
      </c>
      <c r="L7" s="923" t="s">
        <v>515</v>
      </c>
      <c r="M7" s="924" t="s">
        <v>729</v>
      </c>
      <c r="N7" s="924"/>
      <c r="O7" s="924"/>
      <c r="P7" s="924"/>
      <c r="CQ7" s="311" t="s">
        <v>730</v>
      </c>
      <c r="CR7" s="327" t="str">
        <f>'INVESTOR REPORT'!$I$3</f>
        <v>Base</v>
      </c>
      <c r="CS7" s="695" t="s">
        <v>731</v>
      </c>
      <c r="CT7" s="699"/>
      <c r="CU7" s="699"/>
      <c r="CV7" s="699"/>
      <c r="CW7" s="699"/>
      <c r="CX7" s="699"/>
      <c r="CZ7" s="311" t="s">
        <v>732</v>
      </c>
      <c r="DA7" s="313" t="n">
        <f>SUMIFS($CU$75:$CU$77,$CQ$75:$CQ$77,$CR$7)</f>
        <v>679.6470279122067</v>
      </c>
      <c r="DB7" s="312" t="s">
        <v>515</v>
      </c>
      <c r="DC7" s="695" t="s">
        <v>733</v>
      </c>
      <c r="DD7" s="699"/>
      <c r="DE7" s="699"/>
      <c r="DF7" s="699"/>
      <c r="DG7" s="699"/>
      <c r="DH7" s="699"/>
      <c r="DI7" s="699"/>
      <c r="DJ7" s="699"/>
      <c r="DK7" s="699"/>
      <c r="DL7" s="699"/>
    </row>
    <row r="8" ht="26">
      <c r="A8" s="311"/>
      <c r="B8" s="922" t="s">
        <v>734</v>
      </c>
      <c r="C8" s="1012" t="n">
        <f>Underwriting!$H$189</f>
        <v>0.06700819672131147</v>
      </c>
      <c r="D8" s="923" t="s">
        <v>78</v>
      </c>
      <c r="E8" s="923" t="s">
        <v>735</v>
      </c>
      <c r="F8" s="922"/>
      <c r="G8" s="922"/>
      <c r="H8" s="922"/>
      <c r="I8" s="922"/>
      <c r="J8" s="922" t="s">
        <v>736</v>
      </c>
      <c r="K8" s="1011" t="n">
        <f>-K7*C9</f>
        <v>-13.592940558244134</v>
      </c>
      <c r="L8" s="923" t="s">
        <v>515</v>
      </c>
      <c r="M8" s="924" t="s">
        <v>737</v>
      </c>
      <c r="N8" s="924"/>
      <c r="O8" s="924"/>
      <c r="P8" s="924"/>
      <c r="CQ8" s="311" t="s">
        <v>738</v>
      </c>
      <c r="CR8" s="317" t="n">
        <f>PROJECTS!$AP$112</f>
        <v>0.08</v>
      </c>
      <c r="CS8" s="695" t="str">
        <f>"Source: "&amp;PROJECTS!$AS$112&amp;" | Status: "&amp;PROJECTS!$AU$112&amp;" | Owner: "&amp;PROJECTS!$AV$112</f>
        <v>Source: ASSUMPTIONS | B44; MODEL DESIGN | D71 | Status: Mapped | Owner: Model owner</v>
      </c>
      <c r="CT8" s="699"/>
      <c r="CU8" s="699"/>
      <c r="CV8" s="699"/>
      <c r="CW8" s="699"/>
      <c r="CX8" s="699"/>
      <c r="CZ8" s="311" t="s">
        <v>739</v>
      </c>
      <c r="DA8" s="313" t="n">
        <f>Underwriting!$H$191/1000000</f>
        <v>679.6470279122068</v>
      </c>
      <c r="DB8" s="312" t="s">
        <v>515</v>
      </c>
      <c r="DC8" s="699"/>
      <c r="DD8" s="699"/>
      <c r="DE8" s="699"/>
      <c r="DF8" s="699"/>
      <c r="DG8" s="699"/>
      <c r="DH8" s="699"/>
      <c r="DI8" s="699"/>
      <c r="DJ8" s="699"/>
      <c r="DK8" s="699"/>
      <c r="DL8" s="699"/>
    </row>
    <row r="9" ht="26">
      <c r="A9" s="311"/>
      <c r="B9" s="922" t="s">
        <v>740</v>
      </c>
      <c r="C9" s="1012" t="n">
        <f>Underwriting!$I$163</f>
        <v>0.02</v>
      </c>
      <c r="D9" s="923" t="s">
        <v>78</v>
      </c>
      <c r="E9" s="923" t="s">
        <v>741</v>
      </c>
      <c r="F9" s="922"/>
      <c r="G9" s="922"/>
      <c r="H9" s="922"/>
      <c r="I9" s="922"/>
      <c r="J9" s="922" t="s">
        <v>742</v>
      </c>
      <c r="K9" s="1011" t="n">
        <f>SUM(K7:K8)</f>
        <v>666.0540873539626</v>
      </c>
      <c r="L9" s="923" t="s">
        <v>515</v>
      </c>
      <c r="M9" s="924" t="s">
        <v>743</v>
      </c>
      <c r="N9" s="924"/>
      <c r="O9" s="924"/>
      <c r="P9" s="924"/>
      <c r="CQ9" s="311" t="s">
        <v>744</v>
      </c>
      <c r="CR9" s="317" t="n">
        <f>PROJECTS!$AP$113</f>
        <v>0.2</v>
      </c>
      <c r="CS9" s="695" t="str">
        <f>"Source: "&amp;PROJECTS!$AS$113&amp;" | Status: "&amp;PROJECTS!$AU$113&amp;" | Owner: "&amp;PROJECTS!$AV$113</f>
        <v>Source: Target: VALUATIONS | B9 | Status: Mapped | Owner: Model owner</v>
      </c>
      <c r="CT9" s="699"/>
      <c r="CU9" s="699"/>
      <c r="CV9" s="699"/>
      <c r="CW9" s="699"/>
      <c r="CX9" s="699"/>
      <c r="CZ9" s="311" t="s">
        <v>745</v>
      </c>
      <c r="DA9" s="313" t="n">
        <f>$DA$14</f>
        <v>223.60652151036874</v>
      </c>
      <c r="DB9" s="312" t="s">
        <v>515</v>
      </c>
      <c r="DC9" s="699"/>
      <c r="DD9" s="699"/>
      <c r="DE9" s="699"/>
      <c r="DF9" s="699"/>
      <c r="DG9" s="699"/>
      <c r="DH9" s="699"/>
      <c r="DI9" s="699"/>
      <c r="DJ9" s="699"/>
      <c r="DK9" s="699"/>
      <c r="DL9" s="699"/>
    </row>
    <row r="10" ht="26">
      <c r="A10" s="311"/>
      <c r="B10" s="922" t="s">
        <v>746</v>
      </c>
      <c r="C10" s="1011" t="n">
        <f>-Underwriting!$E$191/1000000</f>
        <v>213.01883390950715</v>
      </c>
      <c r="D10" s="923" t="s">
        <v>515</v>
      </c>
      <c r="E10" s="923" t="s">
        <v>747</v>
      </c>
      <c r="F10" s="922"/>
      <c r="G10" s="922"/>
      <c r="H10" s="922"/>
      <c r="I10" s="922"/>
      <c r="J10" s="922" t="s">
        <v>748</v>
      </c>
      <c r="K10" s="1011" t="n">
        <f>K9-C10</f>
        <v>453.0352534444554</v>
      </c>
      <c r="L10" s="923" t="s">
        <v>515</v>
      </c>
      <c r="M10" s="924" t="s">
        <v>749</v>
      </c>
      <c r="N10" s="924"/>
      <c r="O10" s="924"/>
      <c r="P10" s="924"/>
      <c r="CQ10" s="311" t="s">
        <v>750</v>
      </c>
      <c r="CR10" s="317" t="n">
        <f>PROJECTS!$AP$114</f>
        <v>0.2</v>
      </c>
      <c r="CS10" s="695" t="str">
        <f>"Source: "&amp;PROJECTS!$AS$114&amp;" | Status: "&amp;PROJECTS!$AU$114&amp;" | Owner: "&amp;PROJECTS!$AV$114</f>
        <v>Source: Target: VALUATIONS | B10 | Status: Mapped | Owner: Model owner</v>
      </c>
      <c r="CT10" s="699"/>
      <c r="CU10" s="699"/>
      <c r="CV10" s="699"/>
      <c r="CW10" s="699"/>
      <c r="CX10" s="699"/>
      <c r="CZ10" s="311" t="s">
        <v>751</v>
      </c>
      <c r="DA10" s="313" t="n">
        <f>SUMIFS($CS$75:$CS$77,$CQ$75:$CQ$77,$CR$7)</f>
        <v>45.54192174739582</v>
      </c>
      <c r="DB10" s="312" t="s">
        <v>726</v>
      </c>
      <c r="DC10" s="699"/>
      <c r="DD10" s="699"/>
      <c r="DE10" s="699"/>
      <c r="DF10" s="699"/>
      <c r="DG10" s="699"/>
      <c r="DH10" s="699"/>
      <c r="DI10" s="699"/>
      <c r="DJ10" s="699"/>
      <c r="DK10" s="699"/>
      <c r="DL10" s="699"/>
      <c r="DN10" s="319" t="n">
        <f>Underwriting!L24</f>
        <v>46203</v>
      </c>
      <c r="DO10" s="319" t="n">
        <f>Underwriting!M24</f>
        <v>46234</v>
      </c>
      <c r="DP10" s="319" t="n">
        <f>Underwriting!N24</f>
        <v>46265</v>
      </c>
      <c r="DQ10" s="319" t="n">
        <f>Underwriting!O24</f>
        <v>46295</v>
      </c>
      <c r="DR10" s="319" t="n">
        <f>Underwriting!P24</f>
        <v>46326</v>
      </c>
      <c r="DS10" s="319" t="n">
        <f>Underwriting!Q24</f>
        <v>46356</v>
      </c>
      <c r="DT10" s="319" t="n">
        <f>Underwriting!R24</f>
        <v>46387</v>
      </c>
      <c r="DU10" s="319" t="n">
        <f>Underwriting!S24</f>
        <v>46418</v>
      </c>
      <c r="DV10" s="319" t="n">
        <f>Underwriting!T24</f>
        <v>46446</v>
      </c>
      <c r="DW10" s="319" t="n">
        <f>Underwriting!U24</f>
        <v>46477</v>
      </c>
      <c r="DX10" s="319" t="n">
        <f>Underwriting!V24</f>
        <v>46507</v>
      </c>
      <c r="DY10" s="319" t="n">
        <f>Underwriting!W24</f>
        <v>46538</v>
      </c>
      <c r="DZ10" s="319" t="n">
        <f>Underwriting!X24</f>
        <v>46568</v>
      </c>
      <c r="EA10" s="319" t="n">
        <f>Underwriting!Y24</f>
        <v>46599</v>
      </c>
      <c r="EB10" s="319" t="n">
        <f>Underwriting!Z24</f>
        <v>46630</v>
      </c>
      <c r="EC10" s="319" t="n">
        <f>Underwriting!AA24</f>
        <v>46660</v>
      </c>
      <c r="ED10" s="319" t="n">
        <f>Underwriting!AB24</f>
        <v>46691</v>
      </c>
      <c r="EE10" s="319" t="n">
        <f>Underwriting!AC24</f>
        <v>46721</v>
      </c>
      <c r="EF10" s="319" t="n">
        <f>Underwriting!AD24</f>
        <v>46752</v>
      </c>
      <c r="EG10" s="319" t="n">
        <f>Underwriting!AE24</f>
        <v>46783</v>
      </c>
      <c r="EH10" s="319" t="n">
        <f>Underwriting!AF24</f>
        <v>46812</v>
      </c>
      <c r="EI10" s="319" t="n">
        <f>Underwriting!AG24</f>
        <v>46843</v>
      </c>
      <c r="EJ10" s="319" t="n">
        <f>Underwriting!AH24</f>
        <v>46873</v>
      </c>
      <c r="EK10" s="319" t="n">
        <f>Underwriting!AI24</f>
        <v>46904</v>
      </c>
      <c r="EL10" s="319" t="n">
        <f>Underwriting!AJ24</f>
        <v>46934</v>
      </c>
      <c r="EM10" s="319" t="n">
        <f>Underwriting!AK24</f>
        <v>46965</v>
      </c>
      <c r="EN10" s="319" t="n">
        <f>Underwriting!AL24</f>
        <v>46996</v>
      </c>
      <c r="EO10" s="319" t="n">
        <f>Underwriting!AM24</f>
        <v>47026</v>
      </c>
      <c r="EP10" s="319" t="n">
        <f>Underwriting!AN24</f>
        <v>47057</v>
      </c>
      <c r="EQ10" s="319" t="n">
        <f>Underwriting!AO24</f>
        <v>47087</v>
      </c>
      <c r="ER10" s="319" t="n">
        <f>Underwriting!AP24</f>
        <v>47118</v>
      </c>
      <c r="ES10" s="319" t="n">
        <f>Underwriting!AQ24</f>
        <v>47149</v>
      </c>
      <c r="ET10" s="319" t="n">
        <f>Underwriting!AR24</f>
        <v>47177</v>
      </c>
      <c r="EU10" s="319" t="n">
        <f>Underwriting!AS24</f>
        <v>47208</v>
      </c>
      <c r="EV10" s="319" t="n">
        <f>Underwriting!AT24</f>
        <v>47238</v>
      </c>
      <c r="EW10" s="319" t="n">
        <f>Underwriting!AU24</f>
        <v>47269</v>
      </c>
      <c r="EX10" s="319" t="n">
        <f>Underwriting!AV24</f>
        <v>47299</v>
      </c>
      <c r="EY10" s="319" t="n">
        <f>Underwriting!AW24</f>
        <v>47330</v>
      </c>
      <c r="EZ10" s="319" t="n">
        <f>Underwriting!AX24</f>
        <v>47361</v>
      </c>
      <c r="FA10" s="319" t="n">
        <f>Underwriting!AY24</f>
        <v>47391</v>
      </c>
      <c r="FB10" s="319" t="n">
        <f>Underwriting!AZ24</f>
        <v>47422</v>
      </c>
      <c r="FC10" s="319" t="n">
        <f>Underwriting!BA24</f>
        <v>47452</v>
      </c>
      <c r="FD10" s="319" t="n">
        <f>Underwriting!BB24</f>
        <v>47483</v>
      </c>
      <c r="FE10" s="319" t="n">
        <f>Underwriting!BC24</f>
        <v>47514</v>
      </c>
      <c r="FF10" s="9" t="n">
        <f>Underwriting!BD24</f>
        <v>47542</v>
      </c>
      <c r="FG10" s="9" t="n">
        <f>Underwriting!BE24</f>
        <v>47573</v>
      </c>
      <c r="FH10" s="9" t="n">
        <f>Underwriting!BF24</f>
        <v>47603</v>
      </c>
      <c r="FI10" s="9" t="n">
        <f>Underwriting!BG24</f>
        <v>47634</v>
      </c>
      <c r="FJ10" s="9" t="n">
        <f>Underwriting!BH24</f>
        <v>47664</v>
      </c>
      <c r="FK10" s="9" t="n">
        <f>Underwriting!BI24</f>
        <v>47695</v>
      </c>
      <c r="FL10" s="9" t="n">
        <f>Underwriting!BJ24</f>
        <v>47726</v>
      </c>
      <c r="FM10" s="9" t="n">
        <f>Underwriting!BK24</f>
        <v>47756</v>
      </c>
      <c r="FN10" s="9" t="n">
        <f>Underwriting!BL24</f>
        <v>47787</v>
      </c>
      <c r="FO10" s="9" t="n">
        <f>Underwriting!BM24</f>
        <v>47817</v>
      </c>
      <c r="FP10" s="9" t="n">
        <f>Underwriting!BN24</f>
        <v>47848</v>
      </c>
      <c r="FQ10" s="9" t="n">
        <f>Underwriting!BO24</f>
        <v>47879</v>
      </c>
      <c r="FR10" s="9" t="n">
        <f>Underwriting!BP24</f>
        <v>47907</v>
      </c>
      <c r="FS10" s="9" t="n">
        <f>Underwriting!BQ24</f>
        <v>47938</v>
      </c>
      <c r="FT10" s="9" t="n">
        <f>Underwriting!BR24</f>
        <v>47968</v>
      </c>
      <c r="FU10" s="9" t="n">
        <f>Underwriting!BS24</f>
        <v>47999</v>
      </c>
      <c r="FV10" s="9" t="n">
        <f>Underwriting!BT24</f>
        <v>48029</v>
      </c>
      <c r="FW10" s="9" t="n">
        <f>Underwriting!BU24</f>
        <v>48060</v>
      </c>
      <c r="FX10" s="670" t="n">
        <f>EOMONTH(FW10,1)</f>
        <v>48091</v>
      </c>
      <c r="FY10" s="670" t="n">
        <f>EOMONTH(FX10,1)</f>
        <v>48121</v>
      </c>
      <c r="FZ10" s="670" t="n">
        <f>EOMONTH(FY10,1)</f>
        <v>48152</v>
      </c>
      <c r="GA10" s="670" t="n">
        <f>EOMONTH(FZ10,1)</f>
        <v>48182</v>
      </c>
      <c r="GB10" s="670" t="n">
        <f>EOMONTH(GA10,1)</f>
        <v>48213</v>
      </c>
      <c r="GC10" s="670" t="n">
        <f>EOMONTH(GB10,1)</f>
        <v>48244</v>
      </c>
    </row>
    <row r="11" ht="26">
      <c r="A11" s="311"/>
      <c r="B11" s="922" t="s">
        <v>752</v>
      </c>
      <c r="C11" s="1011" t="n">
        <f>Underwriting!$I$57/1000000</f>
        <v>418.7585512846001</v>
      </c>
      <c r="D11" s="923" t="s">
        <v>515</v>
      </c>
      <c r="E11" s="923" t="s">
        <v>753</v>
      </c>
      <c r="F11" s="922"/>
      <c r="G11" s="922"/>
      <c r="H11" s="922"/>
      <c r="I11" s="922"/>
      <c r="J11" s="922" t="s">
        <v>754</v>
      </c>
      <c r="K11" s="1011" t="n">
        <f>K9-C11</f>
        <v>247.29553606936247</v>
      </c>
      <c r="L11" s="923" t="s">
        <v>515</v>
      </c>
      <c r="M11" s="924" t="s">
        <v>755</v>
      </c>
      <c r="N11" s="924"/>
      <c r="O11" s="924"/>
      <c r="P11" s="924"/>
      <c r="CQ11" s="311" t="s">
        <v>756</v>
      </c>
      <c r="CR11" s="318" t="n">
        <f>PROJECTS!$AP$115</f>
        <v>8</v>
      </c>
      <c r="CS11" s="695" t="str">
        <f>"Source: "&amp;PROJECTS!$AS$115&amp;" | Status: "&amp;PROJECTS!$AU$115&amp;" | Owner: "&amp;PROJECTS!$AV$115</f>
        <v>Source: Target: VALUATIONS | B11 | Status: Mapped | Owner: Model owner</v>
      </c>
      <c r="CT11" s="699"/>
      <c r="CU11" s="699"/>
      <c r="CV11" s="699"/>
      <c r="CW11" s="699"/>
      <c r="CX11" s="699"/>
      <c r="CZ11" s="311" t="s">
        <v>757</v>
      </c>
      <c r="DA11" s="316" t="n">
        <f>SUMIFS($CT$75:$CT$77,$CQ$75:$CQ$77,$CR$7)</f>
        <v>0.06700819672131147</v>
      </c>
      <c r="DB11" s="312" t="s">
        <v>78</v>
      </c>
      <c r="DC11" s="699"/>
      <c r="DD11" s="699"/>
      <c r="DE11" s="699"/>
      <c r="DF11" s="699"/>
      <c r="DG11" s="699"/>
      <c r="DH11" s="699"/>
      <c r="DI11" s="699"/>
      <c r="DJ11" s="699"/>
      <c r="DK11" s="699"/>
      <c r="DL11" s="699"/>
      <c r="DN11" s="313" t="str">
        <f>Underwriting!$L$211</f>
      </c>
      <c r="DO11" s="313" t="n">
        <f>Underwriting!$M$211</f>
        <v>100892.8237358164</v>
      </c>
      <c r="DP11" s="313" t="n">
        <f>Underwriting!$N$211</f>
        <v>-170317.57335215877</v>
      </c>
      <c r="DQ11" s="313" t="n">
        <f>Underwriting!$O$211</f>
        <v>-557650.6541499208</v>
      </c>
      <c r="DR11" s="313" t="n">
        <f>Underwriting!$P$211</f>
        <v>-1094287.4844426755</v>
      </c>
      <c r="DS11" s="313" t="n">
        <f>Underwriting!$Q$211</f>
        <v>-1929459.8612853033</v>
      </c>
      <c r="DT11" s="313" t="n">
        <f>Underwriting!$R$211</f>
        <v>-2167370.6176870433</v>
      </c>
      <c r="DU11" s="313" t="n">
        <f>Underwriting!$S$211</f>
        <v>-3348953.0601374223</v>
      </c>
      <c r="DV11" s="313" t="n">
        <f>Underwriting!$T$211</f>
        <v>-4787857.205203236</v>
      </c>
      <c r="DW11" s="313" t="n">
        <f>Underwriting!$U$211</f>
        <v>-6479356.599241465</v>
      </c>
      <c r="DX11" s="313" t="n">
        <f>Underwriting!$V$211</f>
        <v>-8394944.910989355</v>
      </c>
      <c r="DY11" s="313" t="n">
        <f>Underwriting!$W$211</f>
        <v>-10478998.553147484</v>
      </c>
      <c r="DZ11" s="313" t="n">
        <f>Underwriting!$X$211</f>
        <v>-12648474.085652951</v>
      </c>
      <c r="EA11" s="313" t="n">
        <f>Underwriting!$Y$211</f>
        <v>-14796439.460382633</v>
      </c>
      <c r="EB11" s="313" t="n">
        <f>Underwriting!$Z$211</f>
        <v>-16799664.429716155</v>
      </c>
      <c r="EC11" s="313" t="n">
        <f>Underwriting!$AA$211</f>
        <v>-18529749.00567072</v>
      </c>
      <c r="ED11" s="313" t="n">
        <f>Underwriting!$AB$211</f>
        <v>-19866501.015728973</v>
      </c>
      <c r="EE11" s="313" t="n">
        <f>Underwriting!$AC$211</f>
        <v>-20859934.02639237</v>
      </c>
      <c r="EF11" s="313" t="n">
        <f>Underwriting!$AD$211</f>
        <v>-18093120.303566884</v>
      </c>
      <c r="EG11" s="313" t="n">
        <f>Underwriting!$AE$211</f>
        <v>-17803924.23923062</v>
      </c>
      <c r="EH11" s="313" t="n">
        <f>Underwriting!$AF$211</f>
        <v>-16958756.09011783</v>
      </c>
      <c r="EI11" s="313" t="n">
        <f>Underwriting!$AG$211</f>
        <v>-14833241.779848058</v>
      </c>
      <c r="EJ11" s="313" t="n">
        <f>Underwriting!$AH$211</f>
        <v>-13103157.20389343</v>
      </c>
      <c r="EK11" s="313" t="n">
        <f>Underwriting!$AI$211</f>
        <v>-11099932.234559935</v>
      </c>
      <c r="EL11" s="313" t="n">
        <f>Underwriting!$AJ$211</f>
        <v>-8646438.133212887</v>
      </c>
      <c r="EM11" s="313" t="n">
        <f>Underwriting!$AK$211</f>
        <v>-6476962.600707364</v>
      </c>
      <c r="EN11" s="313" t="n">
        <f>Underwriting!$AL$211</f>
        <v>-4392908.958549266</v>
      </c>
      <c r="EO11" s="313" t="n">
        <f>Underwriting!$AM$211</f>
        <v>-2289237.84621792</v>
      </c>
      <c r="EP11" s="313" t="n">
        <f>Underwriting!$AN$211</f>
        <v>-597738.4521796498</v>
      </c>
      <c r="EQ11" s="313" t="n">
        <f>Underwriting!$AO$211</f>
        <v>837350.7093441873</v>
      </c>
      <c r="ER11" s="313" t="n">
        <f>Underwriting!$AP$211</f>
        <v>2571824.5896222102</v>
      </c>
      <c r="ES11" s="313" t="n">
        <f>Underwriting!$AQ$211</f>
        <v>3509881.288002234</v>
      </c>
      <c r="ET11" s="313" t="n">
        <f>Underwriting!$AR$211</f>
        <v>4230714.775208935</v>
      </c>
      <c r="EU11" s="313" t="n">
        <f>Underwriting!$AS$211</f>
        <v>4767351.605501714</v>
      </c>
      <c r="EV11" s="313" t="n">
        <f>Underwriting!$AT$211</f>
        <v>5280223.890943118</v>
      </c>
      <c r="EW11" s="313" t="n">
        <f>Underwriting!$AU$211</f>
        <v>5551434.288031132</v>
      </c>
      <c r="EX11" s="313" t="n">
        <f>Underwriting!$AV$211</f>
        <v>5735748.559121081</v>
      </c>
      <c r="EY11" s="313" t="n">
        <f>Underwriting!$AW$211</f>
        <v>5369511.662836967</v>
      </c>
      <c r="EZ11" s="313" t="n">
        <f>Underwriting!$AX$211</f>
        <v>5369511.662836967</v>
      </c>
      <c r="FA11" s="313" t="n">
        <f>Underwriting!$AY$211</f>
        <v>5369511.662836967</v>
      </c>
      <c r="FB11" s="313" t="n">
        <f>Underwriting!$AZ$211</f>
        <v>5375831.43887231</v>
      </c>
      <c r="FC11" s="313" t="n">
        <f>Underwriting!$BA$211</f>
        <v>5375831.43887231</v>
      </c>
      <c r="FD11" s="313" t="n">
        <f>Underwriting!$BB$211</f>
        <v>5375831.43887231</v>
      </c>
      <c r="FE11" s="313" t="n">
        <f>Underwriting!$BC$211+$DA$7*(1-Underwriting!$I$163)*1000000</f>
        <v>671594040.8009173</v>
      </c>
    </row>
    <row r="12" ht="26">
      <c r="A12" s="311"/>
      <c r="B12" s="922" t="s">
        <v>758</v>
      </c>
      <c r="C12" s="1011" t="n">
        <f>Underwriting!$I$69/1000000</f>
        <v>119.20222252470232</v>
      </c>
      <c r="D12" s="923" t="s">
        <v>515</v>
      </c>
      <c r="E12" s="923" t="s">
        <v>759</v>
      </c>
      <c r="F12" s="922"/>
      <c r="G12" s="922"/>
      <c r="H12" s="922"/>
      <c r="I12" s="922"/>
      <c r="J12" s="922" t="s">
        <v>760</v>
      </c>
      <c r="K12" s="1012" t="n">
        <f>IFERROR(K11/C11,0)</f>
        <v>0.5905444445510403</v>
      </c>
      <c r="L12" s="923" t="s">
        <v>78</v>
      </c>
      <c r="M12" s="924" t="s">
        <v>761</v>
      </c>
      <c r="N12" s="924"/>
      <c r="O12" s="924"/>
      <c r="P12" s="924"/>
      <c r="CQ12" s="311" t="s">
        <v>762</v>
      </c>
      <c r="CR12" s="317" t="n">
        <f>PROJECTS!$AP$116</f>
        <v>0</v>
      </c>
      <c r="CS12" s="695" t="str">
        <f>"Source: "&amp;PROJECTS!$AS$116&amp;" | Status: "&amp;PROJECTS!$AU$116&amp;" | Owner: "&amp;PROJECTS!$AV$116</f>
        <v>Source: Target: VALUATIONS | B12 | Status: Mapped | Owner: Model owner</v>
      </c>
      <c r="CT12" s="699"/>
      <c r="CU12" s="699"/>
      <c r="CV12" s="699"/>
      <c r="CW12" s="699"/>
      <c r="CX12" s="699"/>
      <c r="CZ12" s="311" t="s">
        <v>763</v>
      </c>
      <c r="DA12" s="313" t="n">
        <f>XNPV($CR$8,Underwriting!$M$211:$BB$211,Underwriting!$M$195:$BB$195)/1000000+($DA$7*(1-Underwriting!$I$163)+Underwriting!$BC$202/1000000)/(1+$CR$8)^((Underwriting!$BC$195-Underwriting!$M$195)/365)</f>
        <v>331.7639822450195</v>
      </c>
      <c r="DB12" s="312" t="s">
        <v>515</v>
      </c>
      <c r="DC12" s="695" t="s">
        <v>764</v>
      </c>
      <c r="DD12" s="699"/>
      <c r="DE12" s="699"/>
      <c r="DF12" s="699"/>
      <c r="DG12" s="699"/>
      <c r="DH12" s="699"/>
      <c r="DI12" s="699"/>
      <c r="DJ12" s="699"/>
      <c r="DK12" s="699"/>
      <c r="DL12" s="699"/>
      <c r="DN12" s="313" t="n">
        <f>Underwriting!$L$212</f>
        <v>0</v>
      </c>
      <c r="DO12" s="313" t="n">
        <f>Underwriting!$M$212</f>
        <v>413948.37929137197</v>
      </c>
      <c r="DP12" s="313" t="n">
        <f>Underwriting!$N$212</f>
        <v>142737.9822033968</v>
      </c>
      <c r="DQ12" s="313" t="n">
        <f>Underwriting!$O$212</f>
        <v>-244595.09859436523</v>
      </c>
      <c r="DR12" s="313" t="n">
        <f>Underwriting!$P$212</f>
        <v>-781231.92888712</v>
      </c>
      <c r="DS12" s="313" t="n">
        <f>Underwriting!$Q$212</f>
        <v>-1616404.3057297477</v>
      </c>
      <c r="DT12" s="313" t="n">
        <f>Underwriting!$R$212</f>
        <v>-1855172.603803757</v>
      </c>
      <c r="DU12" s="313" t="n">
        <f>Underwriting!$S$212</f>
        <v>-3036761.477816678</v>
      </c>
      <c r="DV12" s="313" t="n">
        <f>Underwriting!$T$212</f>
        <v>-4475672.102681752</v>
      </c>
      <c r="DW12" s="313" t="n">
        <f>Underwriting!$U$212</f>
        <v>-6167178.025117737</v>
      </c>
      <c r="DX12" s="313" t="n">
        <f>Underwriting!$V$212</f>
        <v>-8082772.914226367</v>
      </c>
      <c r="DY12" s="313" t="n">
        <f>Underwriting!$W$212</f>
        <v>-10166833.18307544</v>
      </c>
      <c r="DZ12" s="313" t="n">
        <f>Underwriting!$X$212</f>
        <v>-12336315.391972035</v>
      </c>
      <c r="EA12" s="313" t="n">
        <f>Underwriting!$Y$212</f>
        <v>-14484287.493165776</v>
      </c>
      <c r="EB12" s="313" t="n">
        <f>Underwriting!$Z$212</f>
        <v>-16487519.239411835</v>
      </c>
      <c r="EC12" s="313" t="n">
        <f>Underwriting!$AA$212</f>
        <v>-18217610.643105783</v>
      </c>
      <c r="ED12" s="313" t="n">
        <f>Underwriting!$AB$212</f>
        <v>-3404701.909687373</v>
      </c>
      <c r="EE12" s="313" t="n">
        <f>Underwriting!$AC$212</f>
        <v>853119.5528102423</v>
      </c>
      <c r="EF12" s="313" t="n">
        <f>Underwriting!$AD$212</f>
        <v>3665053.554138343</v>
      </c>
      <c r="EG12" s="313" t="n">
        <f>Underwriting!$AE$212</f>
        <v>3410662.101577672</v>
      </c>
      <c r="EH12" s="313" t="n">
        <f>Underwriting!$AF$212</f>
        <v>3247961.4392093075</v>
      </c>
      <c r="EI12" s="313" t="n">
        <f>Underwriting!$AG$212</f>
        <v>3879141.583203119</v>
      </c>
      <c r="EJ12" s="313" t="n">
        <f>Underwriting!$AH$212</f>
        <v>3730403.20088913</v>
      </c>
      <c r="EK12" s="313" t="n">
        <f>Underwriting!$AI$212</f>
        <v>3593524.9150274647</v>
      </c>
      <c r="EL12" s="313" t="n">
        <f>Underwriting!$AJ$212</f>
        <v>3776172.955909197</v>
      </c>
      <c r="EM12" s="313" t="n">
        <f>Underwriting!$AK$212</f>
        <v>3668480.4053410282</v>
      </c>
      <c r="EN12" s="313" t="n">
        <f>Underwriting!$AL$212</f>
        <v>3576251.227137384</v>
      </c>
      <c r="EO12" s="313" t="n">
        <f>Underwriting!$AM$212</f>
        <v>3687043.532996877</v>
      </c>
      <c r="EP12" s="313" t="n">
        <f>Underwriting!$AN$212</f>
        <v>2995370.366841185</v>
      </c>
      <c r="EQ12" s="313" t="n">
        <f>Underwriting!$AO$212</f>
        <v>1576563.4029267943</v>
      </c>
      <c r="ER12" s="313" t="n">
        <f>Underwriting!$AP$212</f>
        <v>2641225.119958074</v>
      </c>
      <c r="ES12" s="313" t="n">
        <f>Underwriting!$AQ$212</f>
        <v>3037129.1260873023</v>
      </c>
      <c r="ET12" s="313" t="n">
        <f>Underwriting!$AR$212</f>
        <v>2928280.71192563</v>
      </c>
      <c r="EU12" s="313" t="n">
        <f>Underwriting!$AS$212</f>
        <v>3543075.2003101264</v>
      </c>
      <c r="EV12" s="313" t="n">
        <f>Underwriting!$AT$212</f>
        <v>3941015.522375727</v>
      </c>
      <c r="EW12" s="313" t="n">
        <f>Underwriting!$AU$212</f>
        <v>4033678.1277150894</v>
      </c>
      <c r="EX12" s="313" t="n">
        <f>Underwriting!$AV$212</f>
        <v>4101932.8264588993</v>
      </c>
      <c r="EY12" s="313" t="n">
        <f>Underwriting!$AW$212</f>
        <v>3678495.6694553457</v>
      </c>
      <c r="EZ12" s="313" t="n">
        <f>Underwriting!$AX$212</f>
        <v>3665813.0495049832</v>
      </c>
      <c r="FA12" s="313" t="n">
        <f>Underwriting!$AY$212</f>
        <v>3653035.3099049935</v>
      </c>
      <c r="FB12" s="313" t="n">
        <f>Underwriting!$AZ$212</f>
        <v>3646481.5132933473</v>
      </c>
      <c r="FC12" s="313" t="n">
        <f>Underwriting!$BA$212</f>
        <v>3633511.388851505</v>
      </c>
      <c r="FD12" s="313" t="n">
        <f>Underwriting!$BB$212</f>
        <v>3620443.988476349</v>
      </c>
      <c r="FE12" s="313" t="n">
        <f>Underwriting!$BC$212+$CR$52*1000000</f>
        <v>479992719.7464526</v>
      </c>
    </row>
    <row r="13" ht="26">
      <c r="A13" s="311"/>
      <c r="B13" s="922" t="s">
        <v>765</v>
      </c>
      <c r="C13" s="1013" t="n">
        <f>Underwriting!$I$18</f>
        <v>78312.38</v>
      </c>
      <c r="D13" s="923" t="s">
        <v>510</v>
      </c>
      <c r="E13" s="923" t="s">
        <v>766</v>
      </c>
      <c r="F13" s="922"/>
      <c r="G13" s="922"/>
      <c r="H13" s="922"/>
      <c r="I13" s="922"/>
      <c r="J13" s="922" t="s">
        <v>767</v>
      </c>
      <c r="K13" s="1012" t="n">
        <f>IFERROR(C7/C11,0)</f>
        <v>0.10875460717802571</v>
      </c>
      <c r="L13" s="923" t="s">
        <v>78</v>
      </c>
      <c r="M13" s="924" t="s">
        <v>768</v>
      </c>
      <c r="N13" s="924"/>
      <c r="O13" s="924"/>
      <c r="P13" s="924"/>
      <c r="CQ13" s="311" t="s">
        <v>769</v>
      </c>
      <c r="CR13" s="321" t="n">
        <f>PROJECTS!$AP$117</f>
        <v>1</v>
      </c>
      <c r="CS13" s="695" t="str">
        <f>"Source: "&amp;PROJECTS!$AS$117&amp;" | Status: "&amp;PROJECTS!$AU$117&amp;" | Owner: "&amp;PROJECTS!$AV$117</f>
        <v>Source: Target: VALUATIONS | B13 | Status: Mapped | Owner: Model owner</v>
      </c>
      <c r="CT13" s="699"/>
      <c r="CU13" s="699"/>
      <c r="CV13" s="699"/>
      <c r="CW13" s="699"/>
      <c r="CX13" s="699"/>
      <c r="CZ13" s="311" t="s">
        <v>770</v>
      </c>
      <c r="DA13" s="313" t="n">
        <f>$DA$7</f>
        <v>679.6470279122067</v>
      </c>
      <c r="DB13" s="312" t="s">
        <v>515</v>
      </c>
      <c r="DC13" s="699"/>
      <c r="DD13" s="699"/>
      <c r="DE13" s="699"/>
      <c r="DF13" s="699"/>
      <c r="DG13" s="699"/>
      <c r="DH13" s="699"/>
      <c r="DI13" s="699"/>
      <c r="DJ13" s="699"/>
      <c r="DK13" s="699"/>
      <c r="DL13" s="699"/>
      <c r="DN13" s="313" t="str">
        <f>Underwriting!$L$244</f>
      </c>
      <c r="DO13" s="313" t="n">
        <f>Underwriting!$M$244</f>
        <v>20697.41896456861</v>
      </c>
      <c r="DP13" s="313" t="n">
        <f>Underwriting!$N$244</f>
        <v>7136.89911016984</v>
      </c>
      <c r="DQ13" s="313" t="n">
        <f>Underwriting!$O$244</f>
        <v>-12229.754929718263</v>
      </c>
      <c r="DR13" s="313" t="n">
        <f>Underwriting!$P$244</f>
        <v>-39061.596444356</v>
      </c>
      <c r="DS13" s="313" t="n">
        <f>Underwriting!$Q$244</f>
        <v>-80820.2152864874</v>
      </c>
      <c r="DT13" s="313" t="n">
        <f>Underwriting!$R$244</f>
        <v>-92758.63019018786</v>
      </c>
      <c r="DU13" s="313" t="n">
        <f>Underwriting!$S$244</f>
        <v>-151838.0738908339</v>
      </c>
      <c r="DV13" s="313" t="n">
        <f>Underwriting!$T$244</f>
        <v>-223783.60513408761</v>
      </c>
      <c r="DW13" s="313" t="n">
        <f>Underwriting!$U$244</f>
        <v>-308358.9012558869</v>
      </c>
      <c r="DX13" s="313" t="n">
        <f>Underwriting!$V$244</f>
        <v>-404138.64571131836</v>
      </c>
      <c r="DY13" s="313" t="n">
        <f>Underwriting!$W$244</f>
        <v>-508341.659153772</v>
      </c>
      <c r="DZ13" s="313" t="n">
        <f>Underwriting!$X$244</f>
        <v>-616815.7695986017</v>
      </c>
      <c r="EA13" s="313" t="n">
        <f>Underwriting!$Y$244</f>
        <v>-724214.3746582889</v>
      </c>
      <c r="EB13" s="313" t="n">
        <f>Underwriting!$Z$244</f>
        <v>-824375.9619705918</v>
      </c>
      <c r="EC13" s="313" t="n">
        <f>Underwriting!$AA$244</f>
        <v>-910880.5321552892</v>
      </c>
      <c r="ED13" s="313" t="n">
        <f>Underwriting!$AB$244</f>
        <v>-170235.09548436865</v>
      </c>
      <c r="EE13" s="313" t="n">
        <f>Underwriting!$AC$244</f>
        <v>42655.977640512116</v>
      </c>
      <c r="EF13" s="313" t="n">
        <f>Underwriting!$AD$244</f>
        <v>183252.67770691717</v>
      </c>
      <c r="EG13" s="313" t="n">
        <f>Underwriting!$AE$244</f>
        <v>170533.1050788837</v>
      </c>
      <c r="EH13" s="313" t="n">
        <f>Underwriting!$AF$244</f>
        <v>162398.0719604654</v>
      </c>
      <c r="EI13" s="313" t="n">
        <f>Underwriting!$AG$244</f>
        <v>193957.07916015596</v>
      </c>
      <c r="EJ13" s="313" t="n">
        <f>Underwriting!$AH$244</f>
        <v>186520.1600444566</v>
      </c>
      <c r="EK13" s="313" t="n">
        <f>Underwriting!$AI$244</f>
        <v>179676.24575137324</v>
      </c>
      <c r="EL13" s="313" t="n">
        <f>Underwriting!$AJ$244</f>
        <v>188808.64779545995</v>
      </c>
      <c r="EM13" s="313" t="n">
        <f>Underwriting!$AK$244</f>
        <v>183424.0202670514</v>
      </c>
      <c r="EN13" s="313" t="n">
        <f>Underwriting!$AL$244</f>
        <v>178812.5613568693</v>
      </c>
      <c r="EO13" s="313" t="n">
        <f>Underwriting!$AM$244</f>
        <v>184352.17664984387</v>
      </c>
      <c r="EP13" s="313" t="n">
        <f>Underwriting!$AN$244</f>
        <v>149768.51834205934</v>
      </c>
      <c r="EQ13" s="313" t="n">
        <f>Underwriting!$AO$244</f>
        <v>78828.17014633972</v>
      </c>
      <c r="ER13" s="313" t="n">
        <f>Underwriting!$AP$244</f>
        <v>132061.2559979037</v>
      </c>
      <c r="ES13" s="313" t="n">
        <f>Underwriting!$AQ$244</f>
        <v>151856.45630436513</v>
      </c>
      <c r="ET13" s="313" t="n">
        <f>Underwriting!$AR$244</f>
        <v>166597.00149289376</v>
      </c>
      <c r="EU13" s="313" t="n">
        <f>Underwriting!$AS$244</f>
        <v>177153.76001550633</v>
      </c>
      <c r="EV13" s="313" t="n">
        <f>Underwriting!$AT$244</f>
        <v>197050.77611878637</v>
      </c>
      <c r="EW13" s="313" t="n">
        <f>Underwriting!$AU$244</f>
        <v>201683.90638575447</v>
      </c>
      <c r="EX13" s="313" t="n">
        <f>Underwriting!$AV$244</f>
        <v>205096.64132294507</v>
      </c>
      <c r="EY13" s="313" t="n">
        <f>Underwriting!$AW$244</f>
        <v>183924.7834727674</v>
      </c>
      <c r="EZ13" s="313" t="n">
        <f>Underwriting!$AX$244</f>
        <v>183290.65247524926</v>
      </c>
      <c r="FA13" s="313" t="n">
        <f>Underwriting!$AY$244</f>
        <v>182651.76549524977</v>
      </c>
      <c r="FB13" s="313" t="n">
        <f>Underwriting!$AZ$244</f>
        <v>182324.07566466738</v>
      </c>
      <c r="FC13" s="313" t="n">
        <f>Underwriting!$BA$244</f>
        <v>181675.56944257524</v>
      </c>
      <c r="FD13" s="313" t="n">
        <f>Underwriting!$BB$244</f>
        <v>181022.19942381745</v>
      </c>
      <c r="FE13" s="313" t="n">
        <f>Underwriting!$BC$244+$CR$52*1000000*Underwriting!$BC$239/SUM(Underwriting!$BC$239:$BC$240)</f>
        <v>23999635.987322632</v>
      </c>
    </row>
    <row r="14" ht="26">
      <c r="A14" s="311"/>
      <c r="B14" s="922" t="s">
        <v>771</v>
      </c>
      <c r="C14" s="1014" t="n">
        <f>Underwriting!$I$15</f>
        <v>48030</v>
      </c>
      <c r="D14" s="923" t="s">
        <v>772</v>
      </c>
      <c r="E14" s="923" t="s">
        <v>773</v>
      </c>
      <c r="F14" s="922"/>
      <c r="G14" s="922"/>
      <c r="H14" s="922"/>
      <c r="I14" s="922"/>
      <c r="J14" s="922" t="s">
        <v>774</v>
      </c>
      <c r="K14" s="1012" t="n">
        <f>IFERROR(C10/K7,0)</f>
        <v>0.3134256829811721</v>
      </c>
      <c r="L14" s="923" t="s">
        <v>78</v>
      </c>
      <c r="M14" s="924" t="s">
        <v>775</v>
      </c>
      <c r="N14" s="924"/>
      <c r="O14" s="924"/>
      <c r="P14" s="924"/>
      <c r="CQ14" s="311" t="s">
        <v>776</v>
      </c>
      <c r="CR14" s="314" t="n">
        <f>PROJECTS!$AP$118</f>
        <v>0</v>
      </c>
      <c r="CS14" s="695" t="str">
        <f>"Source: "&amp;PROJECTS!$AS$118&amp;" | Status: "&amp;PROJECTS!$AU$118&amp;" | Owner: "&amp;PROJECTS!$AV$118</f>
        <v>Source: Target: VALUATIONS | B14 | Status: Mapped | Owner: Model owner</v>
      </c>
      <c r="CT14" s="699"/>
      <c r="CU14" s="699"/>
      <c r="CV14" s="699"/>
      <c r="CW14" s="699"/>
      <c r="CX14" s="699"/>
      <c r="CZ14" s="311" t="s">
        <v>777</v>
      </c>
      <c r="DA14" s="313" t="n">
        <f>MAX(0,($DA$7*(1-Underwriting!$I$163))/(1+$CR$9)-(Underwriting!$I$57-Underwriting!$I$31)/1000000)</f>
        <v>223.60652151036874</v>
      </c>
      <c r="DB14" s="312" t="s">
        <v>515</v>
      </c>
      <c r="DC14" s="695" t="s">
        <v>778</v>
      </c>
      <c r="DD14" s="699"/>
      <c r="DE14" s="699"/>
      <c r="DF14" s="699"/>
      <c r="DG14" s="699"/>
      <c r="DH14" s="699"/>
      <c r="DI14" s="699"/>
      <c r="DJ14" s="699"/>
      <c r="DK14" s="699"/>
      <c r="DL14" s="699"/>
      <c r="DN14" s="313" t="str">
        <f>Underwriting!$L$245</f>
      </c>
      <c r="DO14" s="313" t="n">
        <f>Underwriting!$M$245</f>
        <v>393250.9603268034</v>
      </c>
      <c r="DP14" s="313" t="n">
        <f>Underwriting!$N$245</f>
        <v>135601.08309322695</v>
      </c>
      <c r="DQ14" s="313" t="n">
        <f>Underwriting!$O$245</f>
        <v>-232365.34366464696</v>
      </c>
      <c r="DR14" s="313" t="n">
        <f>Underwriting!$P$245</f>
        <v>-742170.332442764</v>
      </c>
      <c r="DS14" s="313" t="n">
        <f>Underwriting!$Q$245</f>
        <v>-1535584.0904432603</v>
      </c>
      <c r="DT14" s="313" t="n">
        <f>Underwriting!$R$245</f>
        <v>-1762413.9736135693</v>
      </c>
      <c r="DU14" s="313" t="n">
        <f>Underwriting!$S$245</f>
        <v>-2884923.403925844</v>
      </c>
      <c r="DV14" s="313" t="n">
        <f>Underwriting!$T$245</f>
        <v>-4251888.497547665</v>
      </c>
      <c r="DW14" s="313" t="n">
        <f>Underwriting!$U$245</f>
        <v>-5858819.12386185</v>
      </c>
      <c r="DX14" s="313" t="n">
        <f>Underwriting!$V$245</f>
        <v>-7678634.268515049</v>
      </c>
      <c r="DY14" s="313" t="n">
        <f>Underwriting!$W$245</f>
        <v>-9658491.523921667</v>
      </c>
      <c r="DZ14" s="313" t="n">
        <f>Underwriting!$X$245</f>
        <v>-11719499.622373434</v>
      </c>
      <c r="EA14" s="313" t="n">
        <f>Underwriting!$Y$245</f>
        <v>-13760073.118507486</v>
      </c>
      <c r="EB14" s="313" t="n">
        <f>Underwriting!$Z$245</f>
        <v>-15663143.277441243</v>
      </c>
      <c r="EC14" s="313" t="n">
        <f>Underwriting!$AA$245</f>
        <v>-17306730.110950492</v>
      </c>
      <c r="ED14" s="313" t="n">
        <f>Underwriting!$AB$245</f>
        <v>-3234466.814203004</v>
      </c>
      <c r="EE14" s="313" t="n">
        <f>Underwriting!$AC$245</f>
        <v>810463.5751697301</v>
      </c>
      <c r="EF14" s="313" t="n">
        <f>Underwriting!$AD$245</f>
        <v>3481800.8764314256</v>
      </c>
      <c r="EG14" s="313" t="n">
        <f>Underwriting!$AE$245</f>
        <v>3240128.9964987887</v>
      </c>
      <c r="EH14" s="313" t="n">
        <f>Underwriting!$AF$245</f>
        <v>3085563.367248842</v>
      </c>
      <c r="EI14" s="313" t="n">
        <f>Underwriting!$AG$245</f>
        <v>3685184.504042963</v>
      </c>
      <c r="EJ14" s="313" t="n">
        <f>Underwriting!$AH$245</f>
        <v>3543883.0408446738</v>
      </c>
      <c r="EK14" s="313" t="n">
        <f>Underwriting!$AI$245</f>
        <v>3413848.6692760913</v>
      </c>
      <c r="EL14" s="313" t="n">
        <f>Underwriting!$AJ$245</f>
        <v>3587364.3081137375</v>
      </c>
      <c r="EM14" s="313" t="n">
        <f>Underwriting!$AK$245</f>
        <v>3485056.3850739766</v>
      </c>
      <c r="EN14" s="313" t="n">
        <f>Underwriting!$AL$245</f>
        <v>3397438.665780515</v>
      </c>
      <c r="EO14" s="313" t="n">
        <f>Underwriting!$AM$245</f>
        <v>3502691.3563470333</v>
      </c>
      <c r="EP14" s="313" t="n">
        <f>Underwriting!$AN$245</f>
        <v>2845601.848499126</v>
      </c>
      <c r="EQ14" s="313" t="n">
        <f>Underwriting!$AO$245</f>
        <v>1497735.2327804544</v>
      </c>
      <c r="ER14" s="313" t="n">
        <f>Underwriting!$AP$245</f>
        <v>2509163.86396017</v>
      </c>
      <c r="ES14" s="313" t="n">
        <f>Underwriting!$AQ$245</f>
        <v>2885272.669782937</v>
      </c>
      <c r="ET14" s="313" t="n">
        <f>Underwriting!$AR$245</f>
        <v>3165343.028364981</v>
      </c>
      <c r="EU14" s="313" t="n">
        <f>Underwriting!$AS$245</f>
        <v>3365921.44029462</v>
      </c>
      <c r="EV14" s="313" t="n">
        <f>Underwriting!$AT$245</f>
        <v>3743964.7462569405</v>
      </c>
      <c r="EW14" s="313" t="n">
        <f>Underwriting!$AU$245</f>
        <v>3831994.2213293347</v>
      </c>
      <c r="EX14" s="313" t="n">
        <f>Underwriting!$AV$245</f>
        <v>3896836.1851359545</v>
      </c>
      <c r="EY14" s="313" t="n">
        <f>Underwriting!$AW$245</f>
        <v>3494570.8859825786</v>
      </c>
      <c r="EZ14" s="313" t="n">
        <f>Underwriting!$AX$245</f>
        <v>3482522.397029734</v>
      </c>
      <c r="FA14" s="313" t="n">
        <f>Underwriting!$AY$245</f>
        <v>3470383.544409744</v>
      </c>
      <c r="FB14" s="313" t="n">
        <f>Underwriting!$AZ$245</f>
        <v>3464157.43762868</v>
      </c>
      <c r="FC14" s="313" t="n">
        <f>Underwriting!$BA$245</f>
        <v>3451835.8194089294</v>
      </c>
      <c r="FD14" s="313" t="n">
        <f>Underwriting!$BB$245</f>
        <v>3439421.7890525316</v>
      </c>
      <c r="FE14" s="313" t="n">
        <f>Underwriting!$BC$245+$CR$52*1000000*Underwriting!$BC$240/SUM(Underwriting!$BC$239:$BC$240)</f>
        <v>455993083.75912994</v>
      </c>
    </row>
    <row r="15">
      <c r="A15" s="312"/>
      <c r="B15" s="923"/>
      <c r="C15" s="923"/>
      <c r="D15" s="923"/>
      <c r="E15" s="923"/>
      <c r="F15" s="923"/>
      <c r="G15" s="923"/>
      <c r="H15" s="923"/>
      <c r="I15" s="923"/>
      <c r="J15" s="922" t="s">
        <v>779</v>
      </c>
      <c r="K15" s="1015" t="n">
        <f>Underwriting!$G$212</f>
        <v>9.688789923849196</v>
      </c>
      <c r="L15" s="923" t="s">
        <v>780</v>
      </c>
      <c r="M15" s="924" t="s">
        <v>781</v>
      </c>
      <c r="N15" s="924"/>
      <c r="O15" s="924"/>
      <c r="P15" s="924"/>
      <c r="CQ15" s="311" t="s">
        <v>782</v>
      </c>
      <c r="CR15" s="314" t="n">
        <f>PROJECTS!$AP$119</f>
        <v>0</v>
      </c>
      <c r="CS15" s="695" t="str">
        <f>"Source: "&amp;PROJECTS!$AS$119&amp;" | Status: "&amp;PROJECTS!$AU$119&amp;" | Owner: "&amp;PROJECTS!$AV$119</f>
        <v>Source: Target: VALUATIONS | B15 | Status: Mapped | Owner: Model owner</v>
      </c>
      <c r="CT15" s="699"/>
      <c r="CU15" s="699"/>
      <c r="CV15" s="699"/>
      <c r="CW15" s="699"/>
      <c r="CX15" s="699"/>
      <c r="CZ15" s="311" t="s">
        <v>783</v>
      </c>
      <c r="DA15" s="313" t="n">
        <f>Underwriting!$I$57/1000000</f>
        <v>418.7585512846001</v>
      </c>
      <c r="DB15" s="312" t="s">
        <v>515</v>
      </c>
      <c r="DC15" s="699"/>
      <c r="DD15" s="699"/>
      <c r="DE15" s="699"/>
      <c r="DF15" s="699"/>
      <c r="DG15" s="699"/>
      <c r="DH15" s="699"/>
      <c r="DI15" s="699"/>
      <c r="DJ15" s="699"/>
      <c r="DK15" s="699"/>
      <c r="DL15" s="699"/>
      <c r="DN15" s="313" t="str">
        <f>IF($CR$17=$CQ$62,DN$13,DN$14)</f>
      </c>
      <c r="DO15" s="313" t="n">
        <f>IF($CR$17=$CQ$62,DO$13,DO$14)</f>
        <v>20697.41896456861</v>
      </c>
      <c r="DP15" s="313" t="n">
        <f>IF($CR$17=$CQ$62,DP$13,DP$14)</f>
        <v>7136.89911016984</v>
      </c>
      <c r="DQ15" s="313" t="n">
        <f>IF($CR$17=$CQ$62,DQ$13,DQ$14)</f>
        <v>-12229.754929718263</v>
      </c>
      <c r="DR15" s="313" t="n">
        <f>IF($CR$17=$CQ$62,DR$13,DR$14)</f>
        <v>-39061.596444356</v>
      </c>
      <c r="DS15" s="313" t="n">
        <f>IF($CR$17=$CQ$62,DS$13,DS$14)</f>
        <v>-80820.2152864874</v>
      </c>
      <c r="DT15" s="313" t="n">
        <f>IF($CR$17=$CQ$62,DT$13,DT$14)</f>
        <v>-92758.63019018786</v>
      </c>
      <c r="DU15" s="313" t="n">
        <f>IF($CR$17=$CQ$62,DU$13,DU$14)</f>
        <v>-151838.0738908339</v>
      </c>
      <c r="DV15" s="313" t="n">
        <f>IF($CR$17=$CQ$62,DV$13,DV$14)</f>
        <v>-223783.60513408761</v>
      </c>
      <c r="DW15" s="313" t="n">
        <f>IF($CR$17=$CQ$62,DW$13,DW$14)</f>
        <v>-308358.9012558869</v>
      </c>
      <c r="DX15" s="313" t="n">
        <f>IF($CR$17=$CQ$62,DX$13,DX$14)</f>
        <v>-404138.64571131836</v>
      </c>
      <c r="DY15" s="313" t="n">
        <f>IF($CR$17=$CQ$62,DY$13,DY$14)</f>
        <v>-508341.659153772</v>
      </c>
      <c r="DZ15" s="313" t="n">
        <f>IF($CR$17=$CQ$62,DZ$13,DZ$14)</f>
        <v>-616815.7695986017</v>
      </c>
      <c r="EA15" s="313" t="n">
        <f>IF($CR$17=$CQ$62,EA$13,EA$14)</f>
        <v>-724214.3746582889</v>
      </c>
      <c r="EB15" s="313" t="n">
        <f>IF($CR$17=$CQ$62,EB$13,EB$14)</f>
        <v>-824375.9619705918</v>
      </c>
      <c r="EC15" s="313" t="n">
        <f>IF($CR$17=$CQ$62,EC$13,EC$14)</f>
        <v>-910880.5321552892</v>
      </c>
      <c r="ED15" s="313" t="n">
        <f>IF($CR$17=$CQ$62,ED$13,ED$14)</f>
        <v>-170235.09548436865</v>
      </c>
      <c r="EE15" s="313" t="n">
        <f>IF($CR$17=$CQ$62,EE$13,EE$14)</f>
        <v>42655.977640512116</v>
      </c>
      <c r="EF15" s="313" t="n">
        <f>IF($CR$17=$CQ$62,EF$13,EF$14)</f>
        <v>183252.67770691717</v>
      </c>
      <c r="EG15" s="313" t="n">
        <f>IF($CR$17=$CQ$62,EG$13,EG$14)</f>
        <v>170533.1050788837</v>
      </c>
      <c r="EH15" s="313" t="n">
        <f>IF($CR$17=$CQ$62,EH$13,EH$14)</f>
        <v>162398.0719604654</v>
      </c>
      <c r="EI15" s="313" t="n">
        <f>IF($CR$17=$CQ$62,EI$13,EI$14)</f>
        <v>193957.07916015596</v>
      </c>
      <c r="EJ15" s="313" t="n">
        <f>IF($CR$17=$CQ$62,EJ$13,EJ$14)</f>
        <v>186520.1600444566</v>
      </c>
      <c r="EK15" s="313" t="n">
        <f>IF($CR$17=$CQ$62,EK$13,EK$14)</f>
        <v>179676.24575137324</v>
      </c>
      <c r="EL15" s="313" t="n">
        <f>IF($CR$17=$CQ$62,EL$13,EL$14)</f>
        <v>188808.64779545995</v>
      </c>
      <c r="EM15" s="313" t="n">
        <f>IF($CR$17=$CQ$62,EM$13,EM$14)</f>
        <v>183424.0202670514</v>
      </c>
      <c r="EN15" s="313" t="n">
        <f>IF($CR$17=$CQ$62,EN$13,EN$14)</f>
        <v>178812.5613568693</v>
      </c>
      <c r="EO15" s="313" t="n">
        <f>IF($CR$17=$CQ$62,EO$13,EO$14)</f>
        <v>184352.17664984387</v>
      </c>
      <c r="EP15" s="313" t="n">
        <f>IF($CR$17=$CQ$62,EP$13,EP$14)</f>
        <v>149768.51834205934</v>
      </c>
      <c r="EQ15" s="313" t="n">
        <f>IF($CR$17=$CQ$62,EQ$13,EQ$14)</f>
        <v>78828.17014633972</v>
      </c>
      <c r="ER15" s="313" t="n">
        <f>IF($CR$17=$CQ$62,ER$13,ER$14)</f>
        <v>132061.2559979037</v>
      </c>
      <c r="ES15" s="313" t="n">
        <f>IF($CR$17=$CQ$62,ES$13,ES$14)</f>
        <v>151856.45630436513</v>
      </c>
      <c r="ET15" s="313" t="n">
        <f>IF($CR$17=$CQ$62,ET$13,ET$14)</f>
        <v>166597.00149289376</v>
      </c>
      <c r="EU15" s="313" t="n">
        <f>IF($CR$17=$CQ$62,EU$13,EU$14)</f>
        <v>177153.76001550633</v>
      </c>
      <c r="EV15" s="313" t="n">
        <f>IF($CR$17=$CQ$62,EV$13,EV$14)</f>
        <v>197050.77611878637</v>
      </c>
      <c r="EW15" s="313" t="n">
        <f>IF($CR$17=$CQ$62,EW$13,EW$14)</f>
        <v>201683.90638575447</v>
      </c>
      <c r="EX15" s="313" t="n">
        <f>IF($CR$17=$CQ$62,EX$13,EX$14)</f>
        <v>205096.64132294507</v>
      </c>
      <c r="EY15" s="313" t="n">
        <f>IF($CR$17=$CQ$62,EY$13,EY$14)</f>
        <v>183924.7834727674</v>
      </c>
      <c r="EZ15" s="313" t="n">
        <f>IF($CR$17=$CQ$62,EZ$13,EZ$14)</f>
        <v>183290.65247524926</v>
      </c>
      <c r="FA15" s="313" t="n">
        <f>IF($CR$17=$CQ$62,FA$13,FA$14)</f>
        <v>182651.76549524977</v>
      </c>
      <c r="FB15" s="313" t="n">
        <f>IF($CR$17=$CQ$62,FB$13,FB$14)</f>
        <v>182324.07566466738</v>
      </c>
      <c r="FC15" s="313" t="n">
        <f>IF($CR$17=$CQ$62,FC$13,FC$14)</f>
        <v>181675.56944257524</v>
      </c>
      <c r="FD15" s="313" t="n">
        <f>IF($CR$17=$CQ$62,FD$13,FD$14)</f>
        <v>181022.19942381745</v>
      </c>
      <c r="FE15" s="313" t="n">
        <f>IF($CR$17=$CQ$62,FE$13,FE$14)</f>
        <v>23999635.987322632</v>
      </c>
    </row>
    <row r="16">
      <c r="A16" s="311"/>
      <c r="B16" s="922"/>
      <c r="C16" s="922"/>
      <c r="D16" s="922"/>
      <c r="E16" s="922"/>
      <c r="F16" s="922"/>
      <c r="G16" s="922"/>
      <c r="H16" s="922"/>
      <c r="I16" s="922"/>
      <c r="J16" s="922"/>
      <c r="K16" s="922"/>
      <c r="L16" s="922"/>
      <c r="M16" s="922"/>
      <c r="N16" s="922"/>
      <c r="O16" s="922"/>
      <c r="P16" s="923"/>
      <c r="CQ16" s="311" t="s">
        <v>678</v>
      </c>
      <c r="CR16" s="315" t="n">
        <f>'Financial Statements'!$K$33/1000000</f>
        <v>0</v>
      </c>
      <c r="CS16" s="695" t="s">
        <v>784</v>
      </c>
      <c r="CT16" s="699"/>
      <c r="CU16" s="699"/>
      <c r="CV16" s="699"/>
      <c r="CW16" s="699"/>
      <c r="CX16" s="699"/>
      <c r="CZ16" s="311" t="s">
        <v>785</v>
      </c>
      <c r="DA16" s="313" t="n">
        <f>$DA$7*(1-Underwriting!$I$163)-$DA$15</f>
        <v>247.29553606936247</v>
      </c>
      <c r="DB16" s="312" t="s">
        <v>515</v>
      </c>
      <c r="DC16" s="699"/>
      <c r="DD16" s="699"/>
      <c r="DE16" s="699"/>
      <c r="DF16" s="699"/>
      <c r="DG16" s="699"/>
      <c r="DH16" s="699"/>
      <c r="DI16" s="699"/>
      <c r="DJ16" s="699"/>
      <c r="DK16" s="699"/>
      <c r="DL16" s="699"/>
      <c r="DN16" s="313" t="n">
        <f>SUM($DN$11:DN$11)</f>
        <v>0</v>
      </c>
      <c r="DO16" s="313" t="n">
        <f>SUM($DN$11:DO$11)</f>
        <v>100892.8237358164</v>
      </c>
      <c r="DP16" s="313" t="n">
        <f>SUM($DN$11:DP$11)</f>
        <v>-69424.74961634236</v>
      </c>
      <c r="DQ16" s="313" t="n">
        <f>SUM($DN$11:DQ$11)</f>
        <v>-627075.4037662632</v>
      </c>
      <c r="DR16" s="313" t="n">
        <f>SUM($DN$11:DR$11)</f>
        <v>-1721362.8882089388</v>
      </c>
      <c r="DS16" s="313" t="n">
        <f>SUM($DN$11:DS$11)</f>
        <v>-3650822.749494242</v>
      </c>
      <c r="DT16" s="313" t="n">
        <f>SUM($DN$11:DT$11)</f>
        <v>-5818193.367181285</v>
      </c>
      <c r="DU16" s="313" t="n">
        <f>SUM($DN$11:DU$11)</f>
        <v>-9167146.427318707</v>
      </c>
      <c r="DV16" s="313" t="n">
        <f>SUM($DN$11:DV$11)</f>
        <v>-13955003.632521942</v>
      </c>
      <c r="DW16" s="313" t="n">
        <f>SUM($DN$11:DW$11)</f>
        <v>-20434360.231763408</v>
      </c>
      <c r="DX16" s="313" t="n">
        <f>SUM($DN$11:DX$11)</f>
        <v>-28829305.142752763</v>
      </c>
      <c r="DY16" s="313" t="n">
        <f>SUM($DN$11:DY$11)</f>
        <v>-39308303.69590025</v>
      </c>
      <c r="DZ16" s="313" t="n">
        <f>SUM($DN$11:DZ$11)</f>
        <v>-51956777.781553194</v>
      </c>
      <c r="EA16" s="313" t="n">
        <f>SUM($DN$11:EA$11)</f>
        <v>-66753217.24193583</v>
      </c>
      <c r="EB16" s="313" t="n">
        <f>SUM($DN$11:EB$11)</f>
        <v>-83552881.67165199</v>
      </c>
      <c r="EC16" s="313" t="n">
        <f>SUM($DN$11:EC$11)</f>
        <v>-102082630.67732272</v>
      </c>
      <c r="ED16" s="313" t="n">
        <f>SUM($DN$11:ED$11)</f>
        <v>-121949131.6930517</v>
      </c>
      <c r="EE16" s="313" t="n">
        <f>SUM($DN$11:EE$11)</f>
        <v>-142809065.71944407</v>
      </c>
      <c r="EF16" s="313" t="n">
        <f>SUM($DN$11:EF$11)</f>
        <v>-160902186.02301094</v>
      </c>
      <c r="EG16" s="313" t="n">
        <f>SUM($DN$11:EG$11)</f>
        <v>-178706110.26224157</v>
      </c>
      <c r="EH16" s="313" t="n">
        <f>SUM($DN$11:EH$11)</f>
        <v>-195664866.3523594</v>
      </c>
      <c r="EI16" s="313" t="n">
        <f>SUM($DN$11:EI$11)</f>
        <v>-210498108.13220748</v>
      </c>
      <c r="EJ16" s="313" t="n">
        <f>SUM($DN$11:EJ$11)</f>
        <v>-223601265.3361009</v>
      </c>
      <c r="EK16" s="313" t="n">
        <f>SUM($DN$11:EK$11)</f>
        <v>-234701197.57066083</v>
      </c>
      <c r="EL16" s="313" t="n">
        <f>SUM($DN$11:EL$11)</f>
        <v>-243347635.70387372</v>
      </c>
      <c r="EM16" s="313" t="n">
        <f>SUM($DN$11:EM$11)</f>
        <v>-249824598.30458108</v>
      </c>
      <c r="EN16" s="313" t="n">
        <f>SUM($DN$11:EN$11)</f>
        <v>-254217507.26313034</v>
      </c>
      <c r="EO16" s="313" t="n">
        <f>SUM($DN$11:EO$11)</f>
        <v>-256506745.10934827</v>
      </c>
      <c r="EP16" s="313" t="n">
        <f>SUM($DN$11:EP$11)</f>
        <v>-257104483.5615279</v>
      </c>
      <c r="EQ16" s="313" t="n">
        <f>SUM($DN$11:EQ$11)</f>
        <v>-256267132.85218373</v>
      </c>
      <c r="ER16" s="313" t="n">
        <f>SUM($DN$11:ER$11)</f>
        <v>-253695308.26256153</v>
      </c>
      <c r="ES16" s="313" t="n">
        <f>SUM($DN$11:ES$11)</f>
        <v>-250185426.9745593</v>
      </c>
      <c r="ET16" s="313" t="n">
        <f>SUM($DN$11:ET$11)</f>
        <v>-245954712.19935036</v>
      </c>
      <c r="EU16" s="313" t="n">
        <f>SUM($DN$11:EU$11)</f>
        <v>-241187360.59384865</v>
      </c>
      <c r="EV16" s="313" t="n">
        <f>SUM($DN$11:EV$11)</f>
        <v>-235907136.70290554</v>
      </c>
      <c r="EW16" s="313" t="n">
        <f>SUM($DN$11:EW$11)</f>
        <v>-230355702.4148744</v>
      </c>
      <c r="EX16" s="313" t="n">
        <f>SUM($DN$11:EX$11)</f>
        <v>-224619953.85575333</v>
      </c>
      <c r="EY16" s="313" t="n">
        <f>SUM($DN$11:EY$11)</f>
        <v>-219250442.19291636</v>
      </c>
      <c r="EZ16" s="313" t="n">
        <f>SUM($DN$11:EZ$11)</f>
        <v>-213880930.5300794</v>
      </c>
      <c r="FA16" s="313" t="n">
        <f>SUM($DN$11:FA$11)</f>
        <v>-208511418.86724243</v>
      </c>
      <c r="FB16" s="313" t="n">
        <f>SUM($DN$11:FB$11)</f>
        <v>-203135587.42837012</v>
      </c>
      <c r="FC16" s="313" t="n">
        <f>SUM($DN$11:FC$11)</f>
        <v>-197759755.9894978</v>
      </c>
      <c r="FD16" s="313" t="n">
        <f>SUM($DN$11:FD$11)</f>
        <v>-192383924.5506255</v>
      </c>
      <c r="FE16" s="313" t="n">
        <f>SUM($DN$11:FE$11)</f>
        <v>479210116.25029176</v>
      </c>
    </row>
    <row r="17" ht="22" customHeight="1">
      <c r="A17" s="311"/>
      <c r="B17" s="933" t="s">
        <v>786</v>
      </c>
      <c r="C17" s="933"/>
      <c r="D17" s="933"/>
      <c r="E17" s="933"/>
      <c r="F17" s="933"/>
      <c r="G17" s="933"/>
      <c r="H17" s="933"/>
      <c r="I17" s="933"/>
      <c r="J17" s="933"/>
      <c r="K17" s="933"/>
      <c r="L17" s="933"/>
      <c r="M17" s="933"/>
      <c r="N17" s="933"/>
      <c r="O17" s="933"/>
      <c r="P17" s="934"/>
      <c r="CQ17" s="311" t="s">
        <v>787</v>
      </c>
      <c r="CR17" s="327" t="str">
        <f>'INVESTOR REPORT'!$C$3</f>
        <v>David Gifford</v>
      </c>
      <c r="CS17" s="695" t="s">
        <v>788</v>
      </c>
      <c r="CT17" s="699"/>
      <c r="CU17" s="699"/>
      <c r="CV17" s="699"/>
      <c r="CW17" s="699"/>
      <c r="CX17" s="699"/>
      <c r="CZ17" s="311" t="s">
        <v>789</v>
      </c>
      <c r="DA17" s="316" t="n">
        <f>IF($DA$15=0,"",$DA$16/$DA$15)</f>
        <v>0.5905444445510403</v>
      </c>
      <c r="DB17" s="312" t="s">
        <v>78</v>
      </c>
      <c r="DC17" s="699"/>
      <c r="DD17" s="699"/>
      <c r="DE17" s="699"/>
      <c r="DF17" s="699"/>
      <c r="DG17" s="699"/>
      <c r="DH17" s="699"/>
      <c r="DI17" s="699"/>
      <c r="DJ17" s="699"/>
      <c r="DK17" s="699"/>
      <c r="DL17" s="699"/>
      <c r="DN17" s="313" t="n">
        <f>SUM($DN$12:DN$12)</f>
        <v>0</v>
      </c>
      <c r="DO17" s="313" t="n">
        <f>SUM($DN$12:DO$12)</f>
        <v>413948.37929137197</v>
      </c>
      <c r="DP17" s="313" t="n">
        <f>SUM($DN$12:DP$12)</f>
        <v>556686.3614947688</v>
      </c>
      <c r="DQ17" s="313" t="n">
        <f>SUM($DN$12:DQ$12)</f>
        <v>312091.2629004035</v>
      </c>
      <c r="DR17" s="313" t="n">
        <f>SUM($DN$12:DR$12)</f>
        <v>-469140.66598671646</v>
      </c>
      <c r="DS17" s="313" t="n">
        <f>SUM($DN$12:DS$12)</f>
        <v>-2085544.9717164643</v>
      </c>
      <c r="DT17" s="313" t="n">
        <f>SUM($DN$12:DT$12)</f>
        <v>-3940717.575520221</v>
      </c>
      <c r="DU17" s="313" t="n">
        <f>SUM($DN$12:DU$12)</f>
        <v>-6977479.0533369</v>
      </c>
      <c r="DV17" s="313" t="n">
        <f>SUM($DN$12:DV$12)</f>
        <v>-11453151.156018652</v>
      </c>
      <c r="DW17" s="313" t="n">
        <f>SUM($DN$12:DW$12)</f>
        <v>-17620329.18113639</v>
      </c>
      <c r="DX17" s="313" t="n">
        <f>SUM($DN$12:DX$12)</f>
        <v>-25703102.095362756</v>
      </c>
      <c r="DY17" s="313" t="n">
        <f>SUM($DN$12:DY$12)</f>
        <v>-35869935.278438196</v>
      </c>
      <c r="DZ17" s="313" t="n">
        <f>SUM($DN$12:DZ$12)</f>
        <v>-48206250.67041023</v>
      </c>
      <c r="EA17" s="313" t="n">
        <f>SUM($DN$12:EA$12)</f>
        <v>-62690538.16357601</v>
      </c>
      <c r="EB17" s="313" t="n">
        <f>SUM($DN$12:EB$12)</f>
        <v>-79178057.40298784</v>
      </c>
      <c r="EC17" s="313" t="n">
        <f>SUM($DN$12:EC$12)</f>
        <v>-97395668.04609361</v>
      </c>
      <c r="ED17" s="313" t="n">
        <f>SUM($DN$12:ED$12)</f>
        <v>-100800369.95578098</v>
      </c>
      <c r="EE17" s="313" t="n">
        <f>SUM($DN$12:EE$12)</f>
        <v>-99947250.40297075</v>
      </c>
      <c r="EF17" s="313" t="n">
        <f>SUM($DN$12:EF$12)</f>
        <v>-96282196.8488324</v>
      </c>
      <c r="EG17" s="313" t="n">
        <f>SUM($DN$12:EG$12)</f>
        <v>-92871534.74725473</v>
      </c>
      <c r="EH17" s="313" t="n">
        <f>SUM($DN$12:EH$12)</f>
        <v>-89623573.30804542</v>
      </c>
      <c r="EI17" s="313" t="n">
        <f>SUM($DN$12:EI$12)</f>
        <v>-85744431.7248423</v>
      </c>
      <c r="EJ17" s="313" t="n">
        <f>SUM($DN$12:EJ$12)</f>
        <v>-82014028.52395317</v>
      </c>
      <c r="EK17" s="313" t="n">
        <f>SUM($DN$12:EK$12)</f>
        <v>-78420503.6089257</v>
      </c>
      <c r="EL17" s="313" t="n">
        <f>SUM($DN$12:EL$12)</f>
        <v>-74644330.65301651</v>
      </c>
      <c r="EM17" s="313" t="n">
        <f>SUM($DN$12:EM$12)</f>
        <v>-70975850.24767548</v>
      </c>
      <c r="EN17" s="313" t="n">
        <f>SUM($DN$12:EN$12)</f>
        <v>-67399599.02053809</v>
      </c>
      <c r="EO17" s="313" t="n">
        <f>SUM($DN$12:EO$12)</f>
        <v>-63712555.48754121</v>
      </c>
      <c r="EP17" s="313" t="n">
        <f>SUM($DN$12:EP$12)</f>
        <v>-60717185.12070003</v>
      </c>
      <c r="EQ17" s="313" t="n">
        <f>SUM($DN$12:EQ$12)</f>
        <v>-59140621.71777324</v>
      </c>
      <c r="ER17" s="313" t="n">
        <f>SUM($DN$12:ER$12)</f>
        <v>-56499396.59781516</v>
      </c>
      <c r="ES17" s="313" t="n">
        <f>SUM($DN$12:ES$12)</f>
        <v>-53462267.47172786</v>
      </c>
      <c r="ET17" s="313" t="n">
        <f>SUM($DN$12:ET$12)</f>
        <v>-50533986.75980223</v>
      </c>
      <c r="EU17" s="313" t="n">
        <f>SUM($DN$12:EU$12)</f>
        <v>-46990911.559492104</v>
      </c>
      <c r="EV17" s="313" t="n">
        <f>SUM($DN$12:EV$12)</f>
        <v>-43049896.03711638</v>
      </c>
      <c r="EW17" s="313" t="n">
        <f>SUM($DN$12:EW$12)</f>
        <v>-39016217.90940129</v>
      </c>
      <c r="EX17" s="313" t="n">
        <f>SUM($DN$12:EX$12)</f>
        <v>-34914285.08294239</v>
      </c>
      <c r="EY17" s="313" t="n">
        <f>SUM($DN$12:EY$12)</f>
        <v>-31235789.413487043</v>
      </c>
      <c r="EZ17" s="313" t="n">
        <f>SUM($DN$12:EZ$12)</f>
        <v>-27569976.36398206</v>
      </c>
      <c r="FA17" s="313" t="n">
        <f>SUM($DN$12:FA$12)</f>
        <v>-23916941.054077066</v>
      </c>
      <c r="FB17" s="313" t="n">
        <f>SUM($DN$12:FB$12)</f>
        <v>-20270459.54078372</v>
      </c>
      <c r="FC17" s="313" t="n">
        <f>SUM($DN$12:FC$12)</f>
        <v>-16636948.151932213</v>
      </c>
      <c r="FD17" s="313" t="n">
        <f>SUM($DN$12:FD$12)</f>
        <v>-13016504.163455864</v>
      </c>
      <c r="FE17" s="313" t="n">
        <f>SUM($DN$12:FE$12)</f>
        <v>466976215.5829968</v>
      </c>
    </row>
    <row r="18" ht="28" customHeight="1">
      <c r="A18" s="311"/>
      <c r="B18" s="941" t="s">
        <v>790</v>
      </c>
      <c r="C18" s="941" t="s">
        <v>791</v>
      </c>
      <c r="D18" s="941" t="s">
        <v>792</v>
      </c>
      <c r="E18" s="941" t="s">
        <v>793</v>
      </c>
      <c r="F18" s="941" t="s">
        <v>794</v>
      </c>
      <c r="G18" s="941" t="s">
        <v>795</v>
      </c>
      <c r="H18" s="941" t="s">
        <v>796</v>
      </c>
      <c r="I18" s="941" t="s">
        <v>797</v>
      </c>
      <c r="J18" s="941" t="s">
        <v>798</v>
      </c>
      <c r="K18" s="941" t="s">
        <v>799</v>
      </c>
      <c r="L18" s="941" t="s">
        <v>800</v>
      </c>
      <c r="M18" s="941" t="s">
        <v>801</v>
      </c>
      <c r="N18" s="941" t="s">
        <v>802</v>
      </c>
      <c r="O18" s="941" t="s">
        <v>803</v>
      </c>
      <c r="P18" s="941" t="s">
        <v>804</v>
      </c>
      <c r="CQ18" s="699" t="s">
        <v>805</v>
      </c>
      <c r="CR18" s="699"/>
      <c r="CS18" s="699"/>
      <c r="CT18" s="699"/>
      <c r="CU18" s="699"/>
      <c r="CV18" s="699"/>
      <c r="CW18" s="699"/>
      <c r="CX18" s="699"/>
      <c r="CZ18" s="311" t="s">
        <v>806</v>
      </c>
      <c r="DA18" s="316" t="n">
        <f>IF($DA$7=0,"",$DA$16/$DA$7)</f>
        <v>0.36385877656086335</v>
      </c>
      <c r="DB18" s="312" t="s">
        <v>78</v>
      </c>
      <c r="DC18" s="699"/>
      <c r="DD18" s="699"/>
      <c r="DE18" s="699"/>
      <c r="DF18" s="699"/>
      <c r="DG18" s="699"/>
      <c r="DH18" s="699"/>
      <c r="DI18" s="699"/>
      <c r="DJ18" s="699"/>
      <c r="DK18" s="699"/>
      <c r="DL18" s="699"/>
      <c r="DN18" s="313" t="n">
        <f>Underwriting!$L$212/(1+$CR$8)^((Underwriting!$L$195-Underwriting!$L$195)/365)</f>
        <v>0</v>
      </c>
      <c r="DO18" s="313" t="n">
        <f>Underwriting!$M$212/(1+$CR$8)^((Underwriting!$M$195-Underwriting!$L$195)/365)</f>
        <v>24.166259996261616</v>
      </c>
      <c r="DP18" s="313" t="n">
        <f>Underwriting!$N$212/(1+$CR$8)^((Underwriting!$N$195-Underwriting!$L$195)/365)</f>
        <v>8.278736888346058</v>
      </c>
      <c r="DQ18" s="313" t="n">
        <f>Underwriting!$O$212/(1+$CR$8)^((Underwriting!$O$195-Underwriting!$L$195)/365)</f>
        <v>-14.09694869482296</v>
      </c>
      <c r="DR18" s="313" t="n">
        <f>Underwriting!$P$212/(1+$CR$8)^((Underwriting!$P$195-Underwriting!$L$195)/365)</f>
        <v>-44.7320316767032</v>
      </c>
      <c r="DS18" s="313" t="n">
        <f>Underwriting!$Q$212/(1+$CR$8)^((Underwriting!$Q$195-Underwriting!$L$195)/365)</f>
        <v>-91.96900328879158</v>
      </c>
      <c r="DT18" s="313" t="n">
        <f>Underwriting!$R$212/(1+$CR$8)^((Underwriting!$R$195-Underwriting!$L$195)/365)</f>
        <v>-104.86657249260205</v>
      </c>
      <c r="DU18" s="313" t="n">
        <f>Underwriting!$S$212/(1+$CR$8)^((Underwriting!$S$195-Underwriting!$L$195)/365)</f>
        <v>-170.53938913350348</v>
      </c>
      <c r="DV18" s="313" t="n">
        <f>Underwriting!$T$212/(1+$CR$8)^((Underwriting!$T$195-Underwriting!$L$195)/365)</f>
        <v>-249.86663547592866</v>
      </c>
      <c r="DW18" s="313" t="n">
        <f>Underwriting!$U$212/(1+$CR$8)^((Underwriting!$U$195-Underwriting!$L$195)/365)</f>
        <v>-342.05643299646175</v>
      </c>
      <c r="DX18" s="313" t="n">
        <f>Underwriting!$V$212/(1+$CR$8)^((Underwriting!$V$195-Underwriting!$L$195)/365)</f>
        <v>-445.4761901843618</v>
      </c>
      <c r="DY18" s="313" t="n">
        <f>Underwriting!$W$212/(1+$CR$8)^((Underwriting!$W$195-Underwriting!$L$195)/365)</f>
        <v>-556.6870097290716</v>
      </c>
      <c r="DZ18" s="313" t="n">
        <f>Underwriting!$X$212/(1+$CR$8)^((Underwriting!$X$195-Underwriting!$L$195)/365)</f>
        <v>-671.2181562958554</v>
      </c>
      <c r="EA18" s="313" t="n">
        <f>Underwriting!$Y$212/(1+$CR$8)^((Underwriting!$Y$195-Underwriting!$L$195)/365)</f>
        <v>-782.9547043998087</v>
      </c>
      <c r="EB18" s="313" t="n">
        <f>Underwriting!$Z$212/(1+$CR$8)^((Underwriting!$Z$195-Underwriting!$L$195)/365)</f>
        <v>-885.4337806626596</v>
      </c>
      <c r="EC18" s="313" t="n">
        <f>Underwriting!$AA$212/(1+$CR$8)^((Underwriting!$AA$195-Underwriting!$L$195)/365)</f>
        <v>-972.176299971795</v>
      </c>
      <c r="ED18" s="313" t="n">
        <f>Underwriting!$AB$212/(1+$CR$8)^((Underwriting!$AB$195-Underwriting!$L$195)/365)</f>
        <v>-180.50697077648533</v>
      </c>
      <c r="EE18" s="313" t="n">
        <f>Underwriting!$AC$212/(1+$CR$8)^((Underwriting!$AC$195-Underwriting!$L$195)/365)</f>
        <v>44.94461054128248</v>
      </c>
      <c r="EF18" s="313" t="n">
        <f>Underwriting!$AD$212/(1+$CR$8)^((Underwriting!$AD$195-Underwriting!$L$195)/365)</f>
        <v>191.82681710240553</v>
      </c>
      <c r="EG18" s="313" t="n">
        <f>Underwriting!$AE$212/(1+$CR$8)^((Underwriting!$AE$195-Underwriting!$L$195)/365)</f>
        <v>177.34908876055144</v>
      </c>
      <c r="EH18" s="313" t="n">
        <f>Underwriting!$AF$212/(1+$CR$8)^((Underwriting!$AF$195-Underwriting!$L$195)/365)</f>
        <v>167.859352823705</v>
      </c>
      <c r="EI18" s="313" t="n">
        <f>Underwriting!$AG$212/(1+$CR$8)^((Underwriting!$AG$195-Underwriting!$L$195)/365)</f>
        <v>199.1735118469526</v>
      </c>
      <c r="EJ18" s="313" t="n">
        <f>Underwriting!$AH$212/(1+$CR$8)^((Underwriting!$AH$195-Underwriting!$L$195)/365)</f>
        <v>190.32882524499868</v>
      </c>
      <c r="EK18" s="313" t="n">
        <f>Underwriting!$AI$212/(1+$CR$8)^((Underwriting!$AI$195-Underwriting!$L$195)/365)</f>
        <v>182.15064873344616</v>
      </c>
      <c r="EL18" s="313" t="n">
        <f>Underwriting!$AJ$212/(1+$CR$8)^((Underwriting!$AJ$195-Underwriting!$L$195)/365)</f>
        <v>190.2018696409558</v>
      </c>
      <c r="EM18" s="313" t="n">
        <f>Underwriting!$AK$212/(1+$CR$8)^((Underwriting!$AK$195-Underwriting!$L$195)/365)</f>
        <v>183.57366467957135</v>
      </c>
      <c r="EN18" s="313" t="n">
        <f>Underwriting!$AL$212/(1+$CR$8)^((Underwriting!$AL$195-Underwriting!$L$195)/365)</f>
        <v>177.79251117698794</v>
      </c>
      <c r="EO18" s="313" t="n">
        <f>Underwriting!$AM$212/(1+$CR$8)^((Underwriting!$AM$195-Underwriting!$L$195)/365)</f>
        <v>182.14470537229442</v>
      </c>
      <c r="EP18" s="313" t="n">
        <f>Underwriting!$AN$212/(1+$CR$8)^((Underwriting!$AN$195-Underwriting!$L$195)/365)</f>
        <v>147.01108582813976</v>
      </c>
      <c r="EQ18" s="313" t="n">
        <f>Underwriting!$AO$212/(1+$CR$8)^((Underwriting!$AO$195-Underwriting!$L$195)/365)</f>
        <v>76.88893390778296</v>
      </c>
      <c r="ER18" s="313" t="n">
        <f>Underwriting!$AP$212/(1+$CR$8)^((Underwriting!$AP$195-Underwriting!$L$195)/365)</f>
        <v>127.97321701842931</v>
      </c>
      <c r="ES18" s="313" t="n">
        <f>Underwriting!$AQ$212/(1+$CR$8)^((Underwriting!$AQ$195-Underwriting!$L$195)/365)</f>
        <v>146.1969105595136</v>
      </c>
      <c r="ET18" s="313" t="n">
        <f>Underwriting!$AR$212/(1+$CR$8)^((Underwriting!$AR$195-Underwriting!$L$195)/365)</f>
        <v>140.12758304107547</v>
      </c>
      <c r="EU18" s="313" t="n">
        <f>Underwriting!$AS$212/(1+$CR$8)^((Underwriting!$AS$195-Underwriting!$L$195)/365)</f>
        <v>168.44284366247427</v>
      </c>
      <c r="EV18" s="313" t="n">
        <f>Underwriting!$AT$212/(1+$CR$8)^((Underwriting!$AT$195-Underwriting!$L$195)/365)</f>
        <v>186.1800668354959</v>
      </c>
      <c r="EW18" s="313" t="n">
        <f>Underwriting!$AU$212/(1+$CR$8)^((Underwriting!$AU$195-Underwriting!$L$195)/365)</f>
        <v>189.31609891938317</v>
      </c>
      <c r="EX18" s="313" t="n">
        <f>Underwriting!$AV$212/(1+$CR$8)^((Underwriting!$AV$195-Underwriting!$L$195)/365)</f>
        <v>191.30560418251002</v>
      </c>
      <c r="EY18" s="313" t="n">
        <f>Underwriting!$AW$212/(1+$CR$8)^((Underwriting!$AW$195-Underwriting!$L$195)/365)</f>
        <v>170.43966335859747</v>
      </c>
      <c r="EZ18" s="313" t="n">
        <f>Underwriting!$AX$212/(1+$CR$8)^((Underwriting!$AX$195-Underwriting!$L$195)/365)</f>
        <v>168.74542284804352</v>
      </c>
      <c r="FA18" s="313" t="n">
        <f>Underwriting!$AY$212/(1+$CR$8)^((Underwriting!$AY$195-Underwriting!$L$195)/365)</f>
        <v>167.09690305024608</v>
      </c>
      <c r="FB18" s="313" t="n">
        <f>Underwriting!$AZ$212/(1+$CR$8)^((Underwriting!$AZ$195-Underwriting!$L$195)/365)</f>
        <v>165.71041958364816</v>
      </c>
      <c r="FC18" s="313" t="n">
        <f>Underwriting!$BA$212/(1+$CR$8)^((Underwriting!$BA$195-Underwriting!$L$195)/365)</f>
        <v>164.07981912497135</v>
      </c>
      <c r="FD18" s="313" t="n">
        <f>Underwriting!$BB$212/(1+$CR$8)^((Underwriting!$BB$195-Underwriting!$L$195)/365)</f>
        <v>162.42457753977124</v>
      </c>
      <c r="FE18" s="313" t="n">
        <f>Underwriting!$BC$212/(1+$CR$8)^((Underwriting!$BC$195-Underwriting!$L$195)/365)</f>
        <v>168.094633167906</v>
      </c>
    </row>
    <row r="19" ht="52">
      <c r="A19" s="311"/>
      <c r="B19" s="942" t="s">
        <v>807</v>
      </c>
      <c r="C19" s="943" t="s">
        <v>808</v>
      </c>
      <c r="D19" s="944" t="n">
        <f>$C$11</f>
        <v>418.7585512846001</v>
      </c>
      <c r="E19" s="944" t="n">
        <f>0</f>
        <v>0</v>
      </c>
      <c r="F19" s="944" t="n">
        <f>D19+E19</f>
        <v>418.7585512846001</v>
      </c>
      <c r="G19" s="944" t="n">
        <f>$C$10</f>
        <v>213.01883390950715</v>
      </c>
      <c r="H19" s="944" t="n">
        <f>MAX(0,F19-G19)</f>
        <v>205.73971737509297</v>
      </c>
      <c r="I19" s="944" t="n">
        <f>F19-$C$11</f>
        <v>0</v>
      </c>
      <c r="J19" s="945" t="n">
        <f>IFERROR(I19/$C$11,0)</f>
        <v>0</v>
      </c>
      <c r="K19" s="945" t="n">
        <f>IFERROR(G19/D19,0)</f>
        <v>0.5086913049442029</v>
      </c>
      <c r="L19" s="946" t="n">
        <f>IFERROR(D19*1000000/$C$13,0)</f>
        <v>5347.2841878206245</v>
      </c>
      <c r="M19" s="947" t="n">
        <f>IFERROR(H19/$G$34,0)</f>
        <v>1.0000000000000024</v>
      </c>
      <c r="N19" s="947" t="n">
        <f>IFERROR(H19/$C$12,0)</f>
        <v>1.725972159054815</v>
      </c>
      <c r="O19" s="943" t="str">
        <f>"Cost cross-check"</f>
        <v>Cost cross-check</v>
      </c>
      <c r="P19" s="948" t="str">
        <f>"Total project cost is a valuation cross-check, not a market-value conclusion."</f>
        <v>Total project cost is a valuation cross-check, not a market-value conclusion.</v>
      </c>
      <c r="CQ19" t="s">
        <v>809</v>
      </c>
      <c r="CR19" t="n">
        <f>$DA$7</f>
        <v>679.6470279122067</v>
      </c>
      <c r="CS19" t="s">
        <v>515</v>
      </c>
      <c r="CT19" t="s">
        <v>810</v>
      </c>
      <c r="CZ19" s="311" t="s">
        <v>767</v>
      </c>
      <c r="DA19" s="316" t="n">
        <f>IF($DA$15=0,"",$DA$10/$DA$15)</f>
        <v>0.10875460717802571</v>
      </c>
      <c r="DB19" s="312" t="s">
        <v>78</v>
      </c>
      <c r="DC19" s="699"/>
      <c r="DD19" s="699"/>
      <c r="DE19" s="699"/>
      <c r="DF19" s="699"/>
      <c r="DG19" s="699"/>
      <c r="DH19" s="699"/>
      <c r="DI19" s="699"/>
      <c r="DJ19" s="699"/>
      <c r="DK19" s="699"/>
      <c r="DL19" s="699"/>
      <c r="DN19" s="313" t="n">
        <f>SUM($DN$18:DN$18)</f>
        <v>0</v>
      </c>
      <c r="DO19" s="313" t="n">
        <f>SUM($DN$18:DO$18)</f>
        <v>24.166259996261616</v>
      </c>
      <c r="DP19" s="313" t="n">
        <f>SUM($DN$18:DP$18)</f>
        <v>32.444996884607676</v>
      </c>
      <c r="DQ19" s="313" t="n">
        <f>SUM($DN$18:DQ$18)</f>
        <v>18.348048189784716</v>
      </c>
      <c r="DR19" s="313" t="n">
        <f>SUM($DN$18:DR$18)</f>
        <v>-26.383983486918485</v>
      </c>
      <c r="DS19" s="313" t="n">
        <f>SUM($DN$18:DS$18)</f>
        <v>-118.35298677571006</v>
      </c>
      <c r="DT19" s="313" t="n">
        <f>SUM($DN$18:DT$18)</f>
        <v>-223.2195592683121</v>
      </c>
      <c r="DU19" s="313" t="n">
        <f>SUM($DN$18:DU$18)</f>
        <v>-393.7589484018156</v>
      </c>
      <c r="DV19" s="313" t="n">
        <f>SUM($DN$18:DV$18)</f>
        <v>-643.6255838777442</v>
      </c>
      <c r="DW19" s="313" t="n">
        <f>SUM($DN$18:DW$18)</f>
        <v>-985.682016874206</v>
      </c>
      <c r="DX19" s="313" t="n">
        <f>SUM($DN$18:DX$18)</f>
        <v>-1431.1582070585678</v>
      </c>
      <c r="DY19" s="313" t="n">
        <f>SUM($DN$18:DY$18)</f>
        <v>-1987.8452167876394</v>
      </c>
      <c r="DZ19" s="313" t="n">
        <f>SUM($DN$18:DZ$18)</f>
        <v>-2659.0633730834948</v>
      </c>
      <c r="EA19" s="313" t="n">
        <f>SUM($DN$18:EA$18)</f>
        <v>-3442.0180774833034</v>
      </c>
      <c r="EB19" s="313" t="n">
        <f>SUM($DN$18:EB$18)</f>
        <v>-4327.451858145963</v>
      </c>
      <c r="EC19" s="313" t="n">
        <f>SUM($DN$18:EC$18)</f>
        <v>-5299.628158117758</v>
      </c>
      <c r="ED19" s="313" t="n">
        <f>SUM($DN$18:ED$18)</f>
        <v>-5480.135128894243</v>
      </c>
      <c r="EE19" s="313" t="n">
        <f>SUM($DN$18:EE$18)</f>
        <v>-5435.190518352961</v>
      </c>
      <c r="EF19" s="313" t="n">
        <f>SUM($DN$18:EF$18)</f>
        <v>-5243.363701250555</v>
      </c>
      <c r="EG19" s="313" t="n">
        <f>SUM($DN$18:EG$18)</f>
        <v>-5066.014612490004</v>
      </c>
      <c r="EH19" s="313" t="n">
        <f>SUM($DN$18:EH$18)</f>
        <v>-4898.155259666299</v>
      </c>
      <c r="EI19" s="313" t="n">
        <f>SUM($DN$18:EI$18)</f>
        <v>-4698.981747819346</v>
      </c>
      <c r="EJ19" s="313" t="n">
        <f>SUM($DN$18:EJ$18)</f>
        <v>-4508.652922574348</v>
      </c>
      <c r="EK19" s="313" t="n">
        <f>SUM($DN$18:EK$18)</f>
        <v>-4326.502273840902</v>
      </c>
      <c r="EL19" s="313" t="n">
        <f>SUM($DN$18:EL$18)</f>
        <v>-4136.300404199946</v>
      </c>
      <c r="EM19" s="313" t="n">
        <f>SUM($DN$18:EM$18)</f>
        <v>-3952.7267395203744</v>
      </c>
      <c r="EN19" s="313" t="n">
        <f>SUM($DN$18:EN$18)</f>
        <v>-3774.9342283433866</v>
      </c>
      <c r="EO19" s="313" t="n">
        <f>SUM($DN$18:EO$18)</f>
        <v>-3592.789522971092</v>
      </c>
      <c r="EP19" s="313" t="n">
        <f>SUM($DN$18:EP$18)</f>
        <v>-3445.7784371429525</v>
      </c>
      <c r="EQ19" s="313" t="n">
        <f>SUM($DN$18:EQ$18)</f>
        <v>-3368.8895032351697</v>
      </c>
      <c r="ER19" s="313" t="n">
        <f>SUM($DN$18:ER$18)</f>
        <v>-3240.9162862167404</v>
      </c>
      <c r="ES19" s="313" t="n">
        <f>SUM($DN$18:ES$18)</f>
        <v>-3094.719375657227</v>
      </c>
      <c r="ET19" s="313" t="n">
        <f>SUM($DN$18:ET$18)</f>
        <v>-2954.5917926161515</v>
      </c>
      <c r="EU19" s="313" t="n">
        <f>SUM($DN$18:EU$18)</f>
        <v>-2786.148948953677</v>
      </c>
      <c r="EV19" s="313" t="n">
        <f>SUM($DN$18:EV$18)</f>
        <v>-2599.968882118181</v>
      </c>
      <c r="EW19" s="313" t="n">
        <f>SUM($DN$18:EW$18)</f>
        <v>-2410.6527831987983</v>
      </c>
      <c r="EX19" s="313" t="n">
        <f>SUM($DN$18:EX$18)</f>
        <v>-2219.3471790162885</v>
      </c>
      <c r="EY19" s="313" t="n">
        <f>SUM($DN$18:EY$18)</f>
        <v>-2048.907515657691</v>
      </c>
      <c r="EZ19" s="313" t="n">
        <f>SUM($DN$18:EZ$18)</f>
        <v>-1880.1620928096474</v>
      </c>
      <c r="FA19" s="313" t="n">
        <f>SUM($DN$18:FA$18)</f>
        <v>-1713.0651897594014</v>
      </c>
      <c r="FB19" s="313" t="n">
        <f>SUM($DN$18:FB$18)</f>
        <v>-1547.3547701757532</v>
      </c>
      <c r="FC19" s="313" t="n">
        <f>SUM($DN$18:FC$18)</f>
        <v>-1383.2749510507817</v>
      </c>
      <c r="FD19" s="313" t="n">
        <f>SUM($DN$18:FD$18)</f>
        <v>-1220.8503735110105</v>
      </c>
      <c r="FE19" s="313" t="n">
        <f>SUM($DN$18:FE$18)</f>
        <v>-1052.7557403431044</v>
      </c>
    </row>
    <row r="20" ht="52">
      <c r="A20" s="311"/>
      <c r="B20" s="949" t="s">
        <v>811</v>
      </c>
      <c r="C20" s="950" t="n">
        <f>$C$8+0.005</f>
        <v>0.07200819672131148</v>
      </c>
      <c r="D20" s="951" t="n">
        <f>IFERROR($C$7/C20,0)</f>
        <v>632.4546901744211</v>
      </c>
      <c r="E20" s="951" t="n">
        <f>-D20*$C$9</f>
        <v>-12.649093803488423</v>
      </c>
      <c r="F20" s="951" t="n">
        <f>SUM(D20:E20)</f>
        <v>619.8055963709327</v>
      </c>
      <c r="G20" s="951" t="n">
        <f>$C$10</f>
        <v>213.01883390950715</v>
      </c>
      <c r="H20" s="951" t="n">
        <f>MAX(0,F20-G20)</f>
        <v>406.7867624614255</v>
      </c>
      <c r="I20" s="951" t="n">
        <f>F20-$C$11</f>
        <v>201.04704508633256</v>
      </c>
      <c r="J20" s="950" t="n">
        <f>IFERROR(I20/$C$11,0)</f>
        <v>0.48010254231129795</v>
      </c>
      <c r="K20" s="950" t="n">
        <f>IFERROR(G20/D20,0)</f>
        <v>0.3368127981638651</v>
      </c>
      <c r="L20" s="952" t="n">
        <f>IFERROR(D20*1000000/$C$13,0)</f>
        <v>8076.049919239092</v>
      </c>
      <c r="M20" s="953" t="n">
        <f>IFERROR(H20/$G$34,0)</f>
        <v>1.9771912183576883</v>
      </c>
      <c r="N20" s="953" t="n">
        <f>IFERROR(H20/$C$12,0)</f>
        <v>3.4125769960130308</v>
      </c>
      <c r="O20" s="954" t="str">
        <f>"Modelled"</f>
        <v>Modelled</v>
      </c>
      <c r="P20" s="955" t="str">
        <f>"Stabilised NOI capitalised at "&amp;TEXT(C20,"0.00%")&amp;"; selling costs and debt deducted to derive equity value."</f>
        <v>Stabilised NOI capitalised at 7.20%; selling costs and debt deducted to derive equity value.</v>
      </c>
      <c r="CQ20" t="s">
        <v>812</v>
      </c>
      <c r="CR20" t="n">
        <f>-$DA$7*Underwriting!$I$163</f>
        <v>-13.592940558244134</v>
      </c>
      <c r="CS20" t="s">
        <v>515</v>
      </c>
      <c r="CT20" t="s">
        <v>813</v>
      </c>
      <c r="CZ20" s="311" t="s">
        <v>814</v>
      </c>
      <c r="DA20" s="316" t="n">
        <f>$DA$11</f>
        <v>0.06700819672131147</v>
      </c>
      <c r="DB20" s="312" t="s">
        <v>78</v>
      </c>
      <c r="DC20" s="699"/>
      <c r="DD20" s="699"/>
      <c r="DE20" s="699"/>
      <c r="DF20" s="699"/>
      <c r="DG20" s="699"/>
      <c r="DH20" s="699"/>
      <c r="DI20" s="699"/>
      <c r="DJ20" s="699"/>
      <c r="DK20" s="699"/>
      <c r="DL20" s="699"/>
      <c r="DN20" s="313" t="n">
        <f>SUM($DN$13:DN$13)</f>
        <v>0</v>
      </c>
      <c r="DO20" s="313" t="n">
        <f>SUM($DN$13:DO$13)</f>
        <v>20697.41896456861</v>
      </c>
      <c r="DP20" s="313" t="n">
        <f>SUM($DN$13:DP$13)</f>
        <v>27834.31807473845</v>
      </c>
      <c r="DQ20" s="313" t="n">
        <f>SUM($DN$13:DQ$13)</f>
        <v>15604.563145020187</v>
      </c>
      <c r="DR20" s="313" t="n">
        <f>SUM($DN$13:DR$13)</f>
        <v>-23457.033299335813</v>
      </c>
      <c r="DS20" s="313" t="n">
        <f>SUM($DN$13:DS$13)</f>
        <v>-104277.24858582321</v>
      </c>
      <c r="DT20" s="313" t="n">
        <f>SUM($DN$13:DT$13)</f>
        <v>-197035.87877601106</v>
      </c>
      <c r="DU20" s="313" t="n">
        <f>SUM($DN$13:DU$13)</f>
        <v>-348873.95266684494</v>
      </c>
      <c r="DV20" s="313" t="n">
        <f>SUM($DN$13:DV$13)</f>
        <v>-572657.5578009326</v>
      </c>
      <c r="DW20" s="313" t="n">
        <f>SUM($DN$13:DW$13)</f>
        <v>-881016.4590568194</v>
      </c>
      <c r="DX20" s="313" t="n">
        <f>SUM($DN$13:DX$13)</f>
        <v>-1285155.104768138</v>
      </c>
      <c r="DY20" s="313" t="n">
        <f>SUM($DN$13:DY$13)</f>
        <v>-1793496.76392191</v>
      </c>
      <c r="DZ20" s="313" t="n">
        <f>SUM($DN$13:DZ$13)</f>
        <v>-2410312.533520512</v>
      </c>
      <c r="EA20" s="313" t="n">
        <f>SUM($DN$13:EA$13)</f>
        <v>-3134526.9081788007</v>
      </c>
      <c r="EB20" s="313" t="n">
        <f>SUM($DN$13:EB$13)</f>
        <v>-3958902.8701493926</v>
      </c>
      <c r="EC20" s="313" t="n">
        <f>SUM($DN$13:EC$13)</f>
        <v>-4869783.402304682</v>
      </c>
      <c r="ED20" s="313" t="n">
        <f>SUM($DN$13:ED$13)</f>
        <v>-5040018.49778905</v>
      </c>
      <c r="EE20" s="313" t="n">
        <f>SUM($DN$13:EE$13)</f>
        <v>-4997362.520148538</v>
      </c>
      <c r="EF20" s="313" t="n">
        <f>SUM($DN$13:EF$13)</f>
        <v>-4814109.842441621</v>
      </c>
      <c r="EG20" s="313" t="n">
        <f>SUM($DN$13:EG$13)</f>
        <v>-4643576.737362738</v>
      </c>
      <c r="EH20" s="313" t="n">
        <f>SUM($DN$13:EH$13)</f>
        <v>-4481178.665402273</v>
      </c>
      <c r="EI20" s="313" t="n">
        <f>SUM($DN$13:EI$13)</f>
        <v>-4287221.586242117</v>
      </c>
      <c r="EJ20" s="313" t="n">
        <f>SUM($DN$13:EJ$13)</f>
        <v>-4100701.42619766</v>
      </c>
      <c r="EK20" s="313" t="n">
        <f>SUM($DN$13:EK$13)</f>
        <v>-3921025.1804462867</v>
      </c>
      <c r="EL20" s="313" t="n">
        <f>SUM($DN$13:EL$13)</f>
        <v>-3732216.5326508265</v>
      </c>
      <c r="EM20" s="313" t="n">
        <f>SUM($DN$13:EM$13)</f>
        <v>-3548792.512383775</v>
      </c>
      <c r="EN20" s="313" t="n">
        <f>SUM($DN$13:EN$13)</f>
        <v>-3369979.9510269053</v>
      </c>
      <c r="EO20" s="313" t="n">
        <f>SUM($DN$13:EO$13)</f>
        <v>-3185627.7743770615</v>
      </c>
      <c r="EP20" s="313" t="n">
        <f>SUM($DN$13:EP$13)</f>
        <v>-3035859.256035002</v>
      </c>
      <c r="EQ20" s="313" t="n">
        <f>SUM($DN$13:EQ$13)</f>
        <v>-2957031.0858886624</v>
      </c>
      <c r="ER20" s="313" t="n">
        <f>SUM($DN$13:ER$13)</f>
        <v>-2824969.8298907587</v>
      </c>
      <c r="ES20" s="313" t="n">
        <f>SUM($DN$13:ES$13)</f>
        <v>-2673113.3735863934</v>
      </c>
      <c r="ET20" s="313" t="n">
        <f>SUM($DN$13:ET$13)</f>
        <v>-2506516.3720934996</v>
      </c>
      <c r="EU20" s="313" t="n">
        <f>SUM($DN$13:EU$13)</f>
        <v>-2329362.6120779933</v>
      </c>
      <c r="EV20" s="313" t="n">
        <f>SUM($DN$13:EV$13)</f>
        <v>-2132311.835959207</v>
      </c>
      <c r="EW20" s="313" t="n">
        <f>SUM($DN$13:EW$13)</f>
        <v>-1930627.9295734523</v>
      </c>
      <c r="EX20" s="313" t="n">
        <f>SUM($DN$13:EX$13)</f>
        <v>-1725531.2882505073</v>
      </c>
      <c r="EY20" s="313" t="n">
        <f>SUM($DN$13:EY$13)</f>
        <v>-1541606.50477774</v>
      </c>
      <c r="EZ20" s="313" t="n">
        <f>SUM($DN$13:EZ$13)</f>
        <v>-1358315.8523024907</v>
      </c>
      <c r="FA20" s="313" t="n">
        <f>SUM($DN$13:FA$13)</f>
        <v>-1175664.086807241</v>
      </c>
      <c r="FB20" s="313" t="n">
        <f>SUM($DN$13:FB$13)</f>
        <v>-993340.0111425736</v>
      </c>
      <c r="FC20" s="313" t="n">
        <f>SUM($DN$13:FC$13)</f>
        <v>-811664.4416999983</v>
      </c>
      <c r="FD20" s="313" t="n">
        <f>SUM($DN$13:FD$13)</f>
        <v>-630642.2422761809</v>
      </c>
      <c r="FE20" s="313" t="n">
        <f>SUM($DN$13:FE$13)</f>
        <v>23368993.74504645</v>
      </c>
    </row>
    <row r="21" ht="65">
      <c r="A21" s="311"/>
      <c r="B21" s="956" t="s">
        <v>815</v>
      </c>
      <c r="C21" s="957" t="n">
        <f>$C$8</f>
        <v>0.06700819672131147</v>
      </c>
      <c r="D21" s="958" t="n">
        <f>IFERROR($C$7/C21,0)</f>
        <v>679.6470279122067</v>
      </c>
      <c r="E21" s="958" t="n">
        <f>-D21*$C$9</f>
        <v>-13.592940558244134</v>
      </c>
      <c r="F21" s="958" t="n">
        <f>SUM(D21:E21)</f>
        <v>666.0540873539626</v>
      </c>
      <c r="G21" s="958" t="n">
        <f>$C$10</f>
        <v>213.01883390950715</v>
      </c>
      <c r="H21" s="958" t="n">
        <f>MAX(0,F21-G21)</f>
        <v>453.0352534444554</v>
      </c>
      <c r="I21" s="958" t="n">
        <f>F21-$C$11</f>
        <v>247.29553606936247</v>
      </c>
      <c r="J21" s="957" t="n">
        <f>IFERROR(I21/$C$11,0)</f>
        <v>0.5905444445510403</v>
      </c>
      <c r="K21" s="957" t="n">
        <f>IFERROR(G21/D21,0)</f>
        <v>0.3134256829811721</v>
      </c>
      <c r="L21" s="958" t="n">
        <f>IFERROR(D21*1000000/$C$13,0)</f>
        <v>8678.666488136443</v>
      </c>
      <c r="M21" s="959" t="n">
        <f>IFERROR(H21/$G$34,0)</f>
        <v>2.201982481673718</v>
      </c>
      <c r="N21" s="959" t="n">
        <f>IFERROR(H21/$C$12,0)</f>
        <v>3.8005604580952568</v>
      </c>
      <c r="O21" s="960" t="str">
        <f>"Modelled"</f>
        <v>Modelled</v>
      </c>
      <c r="P21" s="961" t="str">
        <f>"Stabilised NOI capitalised at "&amp;TEXT(C21,"0.00%")&amp;"; selling costs and debt deducted to derive equity value."</f>
        <v>Stabilised NOI capitalised at 6.70%; selling costs and debt deducted to derive equity value.</v>
      </c>
      <c r="CQ21" t="s">
        <v>816</v>
      </c>
      <c r="CR21" t="n">
        <f>$DA$7*(1-Underwriting!$I$163)/(1+$CR$8)^((Underwriting!$BC$195-Underwriting!$M$195)/365)-$DA$7*(1-Underwriting!$I$163)</f>
        <v>-157.54651593485806</v>
      </c>
      <c r="CS21" t="s">
        <v>515</v>
      </c>
      <c r="CT21" t="s">
        <v>817</v>
      </c>
      <c r="CZ21" s="311" t="s">
        <v>818</v>
      </c>
      <c r="DA21" s="313" t="n">
        <f>$DA$7*(1-Underwriting!$I$163)-$DA$15</f>
        <v>247.29553606936247</v>
      </c>
      <c r="DB21" s="312" t="s">
        <v>515</v>
      </c>
      <c r="DC21" s="699"/>
      <c r="DD21" s="699"/>
      <c r="DE21" s="699"/>
      <c r="DF21" s="699"/>
      <c r="DG21" s="699"/>
      <c r="DH21" s="699"/>
      <c r="DI21" s="699"/>
      <c r="DJ21" s="699"/>
      <c r="DK21" s="699"/>
      <c r="DL21" s="699"/>
      <c r="DN21" s="313" t="n">
        <f>SUM($DN$14:DN$14)</f>
        <v>0</v>
      </c>
      <c r="DO21" s="313" t="n">
        <f>SUM($DN$14:DO$14)</f>
        <v>393250.9603268034</v>
      </c>
      <c r="DP21" s="313" t="n">
        <f>SUM($DN$14:DP$14)</f>
        <v>528852.0434200303</v>
      </c>
      <c r="DQ21" s="313" t="n">
        <f>SUM($DN$14:DQ$14)</f>
        <v>296486.6997553833</v>
      </c>
      <c r="DR21" s="313" t="n">
        <f>SUM($DN$14:DR$14)</f>
        <v>-445683.63268738065</v>
      </c>
      <c r="DS21" s="313" t="n">
        <f>SUM($DN$14:DS$14)</f>
        <v>-1981267.723130641</v>
      </c>
      <c r="DT21" s="313" t="n">
        <f>SUM($DN$14:DT$14)</f>
        <v>-3743681.69674421</v>
      </c>
      <c r="DU21" s="313" t="n">
        <f>SUM($DN$14:DU$14)</f>
        <v>-6628605.100670055</v>
      </c>
      <c r="DV21" s="313" t="n">
        <f>SUM($DN$14:DV$14)</f>
        <v>-10880493.598217718</v>
      </c>
      <c r="DW21" s="313" t="n">
        <f>SUM($DN$14:DW$14)</f>
        <v>-16739312.722079568</v>
      </c>
      <c r="DX21" s="313" t="n">
        <f>SUM($DN$14:DX$14)</f>
        <v>-24417946.990594618</v>
      </c>
      <c r="DY21" s="313" t="n">
        <f>SUM($DN$14:DY$14)</f>
        <v>-34076438.51451629</v>
      </c>
      <c r="DZ21" s="313" t="n">
        <f>SUM($DN$14:DZ$14)</f>
        <v>-45795938.13688972</v>
      </c>
      <c r="EA21" s="313" t="n">
        <f>SUM($DN$14:EA$14)</f>
        <v>-59556011.2553972</v>
      </c>
      <c r="EB21" s="313" t="n">
        <f>SUM($DN$14:EB$14)</f>
        <v>-75219154.53283845</v>
      </c>
      <c r="EC21" s="313" t="n">
        <f>SUM($DN$14:EC$14)</f>
        <v>-92525884.64378893</v>
      </c>
      <c r="ED21" s="313" t="n">
        <f>SUM($DN$14:ED$14)</f>
        <v>-95760351.45799194</v>
      </c>
      <c r="EE21" s="313" t="n">
        <f>SUM($DN$14:EE$14)</f>
        <v>-94949887.88282222</v>
      </c>
      <c r="EF21" s="313" t="n">
        <f>SUM($DN$14:EF$14)</f>
        <v>-91468087.0063908</v>
      </c>
      <c r="EG21" s="313" t="n">
        <f>SUM($DN$14:EG$14)</f>
        <v>-88227958.009892</v>
      </c>
      <c r="EH21" s="313" t="n">
        <f>SUM($DN$14:EH$14)</f>
        <v>-85142394.64264315</v>
      </c>
      <c r="EI21" s="313" t="n">
        <f>SUM($DN$14:EI$14)</f>
        <v>-81457210.13860019</v>
      </c>
      <c r="EJ21" s="313" t="n">
        <f>SUM($DN$14:EJ$14)</f>
        <v>-77913327.0977555</v>
      </c>
      <c r="EK21" s="313" t="n">
        <f>SUM($DN$14:EK$14)</f>
        <v>-74499478.42847942</v>
      </c>
      <c r="EL21" s="313" t="n">
        <f>SUM($DN$14:EL$14)</f>
        <v>-70912114.12036568</v>
      </c>
      <c r="EM21" s="313" t="n">
        <f>SUM($DN$14:EM$14)</f>
        <v>-67427057.7352917</v>
      </c>
      <c r="EN21" s="313" t="n">
        <f>SUM($DN$14:EN$14)</f>
        <v>-64029619.06951119</v>
      </c>
      <c r="EO21" s="313" t="n">
        <f>SUM($DN$14:EO$14)</f>
        <v>-60526927.71316416</v>
      </c>
      <c r="EP21" s="313" t="n">
        <f>SUM($DN$14:EP$14)</f>
        <v>-57681325.86466503</v>
      </c>
      <c r="EQ21" s="313" t="n">
        <f>SUM($DN$14:EQ$14)</f>
        <v>-56183590.631884575</v>
      </c>
      <c r="ER21" s="313" t="n">
        <f>SUM($DN$14:ER$14)</f>
        <v>-53674426.767924406</v>
      </c>
      <c r="ES21" s="313" t="n">
        <f>SUM($DN$14:ES$14)</f>
        <v>-50789154.09814147</v>
      </c>
      <c r="ET21" s="313" t="n">
        <f>SUM($DN$14:ET$14)</f>
        <v>-47623811.06977649</v>
      </c>
      <c r="EU21" s="313" t="n">
        <f>SUM($DN$14:EU$14)</f>
        <v>-44257889.62948187</v>
      </c>
      <c r="EV21" s="313" t="n">
        <f>SUM($DN$14:EV$14)</f>
        <v>-40513924.88322493</v>
      </c>
      <c r="EW21" s="313" t="n">
        <f>SUM($DN$14:EW$14)</f>
        <v>-36681930.661895595</v>
      </c>
      <c r="EX21" s="313" t="n">
        <f>SUM($DN$14:EX$14)</f>
        <v>-32785094.476759642</v>
      </c>
      <c r="EY21" s="313" t="n">
        <f>SUM($DN$14:EY$14)</f>
        <v>-29290523.590777062</v>
      </c>
      <c r="EZ21" s="313" t="n">
        <f>SUM($DN$14:EZ$14)</f>
        <v>-25808001.193747327</v>
      </c>
      <c r="FA21" s="313" t="n">
        <f>SUM($DN$14:FA$14)</f>
        <v>-22337617.649337582</v>
      </c>
      <c r="FB21" s="313" t="n">
        <f>SUM($DN$14:FB$14)</f>
        <v>-18873460.211708903</v>
      </c>
      <c r="FC21" s="313" t="n">
        <f>SUM($DN$14:FC$14)</f>
        <v>-15421624.392299974</v>
      </c>
      <c r="FD21" s="313" t="n">
        <f>SUM($DN$14:FD$14)</f>
        <v>-11982202.603247443</v>
      </c>
      <c r="FE21" s="313" t="n">
        <f>SUM($DN$14:FE$14)</f>
        <v>444010881.1558825</v>
      </c>
    </row>
    <row r="22" ht="52">
      <c r="A22" s="311"/>
      <c r="B22" s="962" t="s">
        <v>819</v>
      </c>
      <c r="C22" s="963" t="n">
        <f>MAX($C$8-0.005,0.0001)</f>
        <v>0.06200819672131148</v>
      </c>
      <c r="D22" s="964" t="n">
        <f>IFERROR($C$7/C22,0)</f>
        <v>734.4500268582009</v>
      </c>
      <c r="E22" s="964" t="n">
        <f>-D22*$C$9</f>
        <v>-14.689000537164018</v>
      </c>
      <c r="F22" s="964" t="n">
        <f>SUM(D22:E22)</f>
        <v>719.7610263210369</v>
      </c>
      <c r="G22" s="964" t="n">
        <f>$C$10</f>
        <v>213.01883390950715</v>
      </c>
      <c r="H22" s="964" t="n">
        <f>MAX(0,F22-G22)</f>
        <v>506.7421924115297</v>
      </c>
      <c r="I22" s="964" t="n">
        <f>F22-$C$11</f>
        <v>301.00247503643675</v>
      </c>
      <c r="J22" s="963" t="n">
        <f>IFERROR(I22/$C$11,0)</f>
        <v>0.7187972021420692</v>
      </c>
      <c r="K22" s="963" t="n">
        <f>IFERROR(G22/D22,0)</f>
        <v>0.2900385677984792</v>
      </c>
      <c r="L22" s="965" t="n">
        <f>IFERROR(D22*1000000/$C$13,0)</f>
        <v>9378.46642967818</v>
      </c>
      <c r="M22" s="966" t="n">
        <f>IFERROR(H22/$G$34,0)</f>
        <v>2.4630256076791794</v>
      </c>
      <c r="N22" s="966" t="n">
        <f>IFERROR(H22/$C$12,0)</f>
        <v>4.25111362589332</v>
      </c>
      <c r="O22" s="967" t="str">
        <f>"Modelled"</f>
        <v>Modelled</v>
      </c>
      <c r="P22" s="968" t="str">
        <f>"Stabilised NOI capitalised at "&amp;TEXT(C22,"0.00%")&amp;"; selling costs and debt deducted to derive equity value."</f>
        <v>Stabilised NOI capitalised at 6.20%; selling costs and debt deducted to derive equity value.</v>
      </c>
      <c r="CQ22" t="s">
        <v>820</v>
      </c>
      <c r="CR22" t="n">
        <f>XNPV($CR$8,Underwriting!$M$211:$BB$211,Underwriting!$M$195:$BB$195)/1000000+(Underwriting!$BC$202/1000000)/(1+$CR$8)^((Underwriting!$BC$195-Underwriting!$M$195)/365)</f>
        <v>-176.743589174085</v>
      </c>
      <c r="CS22" t="s">
        <v>515</v>
      </c>
      <c r="CT22" t="s">
        <v>821</v>
      </c>
      <c r="CZ22" s="311" t="s">
        <v>822</v>
      </c>
      <c r="DA22" s="313" t="n">
        <f>SUM($CW$26:$CW$37)</f>
        <v>679.6470279122068</v>
      </c>
      <c r="DB22" s="312" t="s">
        <v>515</v>
      </c>
      <c r="DC22" s="695" t="s">
        <v>823</v>
      </c>
      <c r="DD22" s="699"/>
      <c r="DE22" s="699"/>
      <c r="DF22" s="699"/>
      <c r="DG22" s="699"/>
      <c r="DH22" s="699"/>
      <c r="DI22" s="699"/>
      <c r="DJ22" s="699"/>
      <c r="DK22" s="699"/>
      <c r="DL22" s="699"/>
      <c r="DN22" s="313" t="n">
        <f>SUM(Underwriting!$L$199:$L$199)+SUM(Underwriting!$L$206:$L$206)</f>
        <v>0</v>
      </c>
      <c r="DO22" s="313" t="n">
        <f>SUM(Underwriting!$L$199:$M$199)+SUM(Underwriting!$L$206:$M$206)</f>
        <v>313055.55555555556</v>
      </c>
      <c r="DP22" s="313" t="n">
        <f>SUM(Underwriting!$L$199:$N$199)+SUM(Underwriting!$L$206:$N$206)</f>
        <v>626111.1111111111</v>
      </c>
      <c r="DQ22" s="313" t="n">
        <f>SUM(Underwriting!$L$199:$O$199)+SUM(Underwriting!$L$206:$O$206)</f>
        <v>939166.6666666667</v>
      </c>
      <c r="DR22" s="313" t="n">
        <f>SUM(Underwriting!$L$199:$P$199)+SUM(Underwriting!$L$206:$P$206)</f>
        <v>1252222.2222222222</v>
      </c>
      <c r="DS22" s="313" t="n">
        <f>SUM(Underwriting!$L$199:$Q$199)+SUM(Underwriting!$L$206:$Q$206)</f>
        <v>1565277.7777777778</v>
      </c>
      <c r="DT22" s="313" t="n">
        <f>SUM(Underwriting!$L$199:$R$199)+SUM(Underwriting!$L$206:$R$206)</f>
        <v>1878333.3333333333</v>
      </c>
      <c r="DU22" s="313" t="n">
        <f>SUM(Underwriting!$L$199:$S$199)+SUM(Underwriting!$L$206:$S$206)</f>
        <v>2191388.888888889</v>
      </c>
      <c r="DV22" s="313" t="n">
        <f>SUM(Underwriting!$L$199:$T$199)+SUM(Underwriting!$L$206:$T$206)</f>
        <v>2504444.4444444445</v>
      </c>
      <c r="DW22" s="313" t="n">
        <f>SUM(Underwriting!$L$199:$U$199)+SUM(Underwriting!$L$206:$U$206)</f>
        <v>2817500</v>
      </c>
      <c r="DX22" s="313" t="n">
        <f>SUM(Underwriting!$L$199:$V$199)+SUM(Underwriting!$L$206:$V$206)</f>
        <v>3130555.5555555555</v>
      </c>
      <c r="DY22" s="313" t="n">
        <f>SUM(Underwriting!$L$199:$W$199)+SUM(Underwriting!$L$206:$W$206)</f>
        <v>3443611.111111111</v>
      </c>
      <c r="DZ22" s="313" t="n">
        <f>SUM(Underwriting!$L$199:$X$199)+SUM(Underwriting!$L$206:$X$206)</f>
        <v>3756666.6666666665</v>
      </c>
      <c r="EA22" s="313" t="n">
        <f>SUM(Underwriting!$L$199:$Y$199)+SUM(Underwriting!$L$206:$Y$206)</f>
        <v>4069722.222222222</v>
      </c>
      <c r="EB22" s="313" t="n">
        <f>SUM(Underwriting!$L$199:$Z$199)+SUM(Underwriting!$L$206:$Z$206)</f>
        <v>4382777.777777778</v>
      </c>
      <c r="EC22" s="313" t="n">
        <f>SUM(Underwriting!$L$199:$AA$199)+SUM(Underwriting!$L$206:$AA$206)</f>
        <v>4695833.333333334</v>
      </c>
      <c r="ED22" s="313" t="n">
        <f>SUM(Underwriting!$L$199:$AB$199)+SUM(Underwriting!$L$206:$AB$206)</f>
        <v>21158556.511312984</v>
      </c>
      <c r="EE22" s="313" t="n">
        <f>SUM(Underwriting!$L$199:$AC$199)+SUM(Underwriting!$L$206:$AC$206)</f>
        <v>42943641.89678627</v>
      </c>
      <c r="EF22" s="313" t="n">
        <f>SUM(Underwriting!$L$199:$AD$199)+SUM(Underwriting!$L$206:$AD$206)</f>
        <v>64934118.870938085</v>
      </c>
      <c r="EG22" s="313" t="n">
        <f>SUM(Underwriting!$L$199:$AE$199)+SUM(Underwriting!$L$206:$AE$206)</f>
        <v>86544650.64367771</v>
      </c>
      <c r="EH22" s="313" t="n">
        <f>SUM(Underwriting!$L$199:$AF$199)+SUM(Underwriting!$L$206:$AF$206)</f>
        <v>107310014.26730455</v>
      </c>
      <c r="EI22" s="313" t="n">
        <f>SUM(Underwriting!$L$199:$AG$199)+SUM(Underwriting!$L$206:$AG$206)</f>
        <v>126738625.88087322</v>
      </c>
      <c r="EJ22" s="313" t="n">
        <f>SUM(Underwriting!$L$199:$AH$199)+SUM(Underwriting!$L$206:$AH$206)</f>
        <v>144437152.91848725</v>
      </c>
      <c r="EK22" s="313" t="n">
        <f>SUM(Underwriting!$L$199:$AI$199)+SUM(Underwriting!$L$206:$AI$206)</f>
        <v>160132454.9867678</v>
      </c>
      <c r="EL22" s="313" t="n">
        <f>SUM(Underwriting!$L$199:$AJ$199)+SUM(Underwriting!$L$206:$AJ$206)</f>
        <v>173679791.68031865</v>
      </c>
      <c r="EM22" s="313" t="n">
        <f>SUM(Underwriting!$L$199:$AK$199)+SUM(Underwriting!$L$206:$AK$206)</f>
        <v>185057652.841364</v>
      </c>
      <c r="EN22" s="313" t="n">
        <f>SUM(Underwriting!$L$199:$AL$199)+SUM(Underwriting!$L$206:$AL$206)</f>
        <v>194351460.36025125</v>
      </c>
      <c r="EO22" s="313" t="n">
        <f>SUM(Underwriting!$L$199:$AM$199)+SUM(Underwriting!$L$206:$AM$206)</f>
        <v>201729679.56739065</v>
      </c>
      <c r="EP22" s="313" t="n">
        <f>SUM(Underwriting!$L$199:$AN$199)+SUM(Underwriting!$L$206:$AN$206)</f>
        <v>206788229.4754324</v>
      </c>
      <c r="EQ22" s="313" t="n">
        <f>SUM(Underwriting!$L$199:$AO$199)+SUM(Underwriting!$L$206:$AO$206)</f>
        <v>209044176.54813516</v>
      </c>
      <c r="ER22" s="313" t="n">
        <f>SUM(Underwriting!$L$199:$AP$199)+SUM(Underwriting!$L$206:$AP$206)</f>
        <v>210671197.66627818</v>
      </c>
      <c r="ES22" s="313" t="n">
        <f>SUM(Underwriting!$L$199:$AQ$199)+SUM(Underwriting!$L$206:$AQ$206)</f>
        <v>211788397.0791042</v>
      </c>
      <c r="ET22" s="313" t="n">
        <f>SUM(Underwriting!$L$199:$AR$199)+SUM(Underwriting!$L$206:$AR$206)</f>
        <v>212101452.63465974</v>
      </c>
      <c r="EU22" s="313" t="n">
        <f>SUM(Underwriting!$L$199:$AS$199)+SUM(Underwriting!$L$206:$AS$206)</f>
        <v>212512989.17658162</v>
      </c>
      <c r="EV22" s="313" t="n">
        <f>SUM(Underwriting!$L$199:$AT$199)+SUM(Underwriting!$L$206:$AT$206)</f>
        <v>212826044.73213717</v>
      </c>
      <c r="EW22" s="313" t="n">
        <f>SUM(Underwriting!$L$199:$AU$199)+SUM(Underwriting!$L$206:$AU$206)</f>
        <v>212974221.85717514</v>
      </c>
      <c r="EX22" s="313" t="n">
        <f>SUM(Underwriting!$L$199:$AV$199)+SUM(Underwriting!$L$206:$AV$206)</f>
        <v>213018833.90950713</v>
      </c>
      <c r="EY22" s="313" t="n">
        <f>SUM(Underwriting!$L$199:$AW$199)+SUM(Underwriting!$L$206:$AW$206)</f>
        <v>213018833.90950713</v>
      </c>
      <c r="EZ22" s="313" t="n">
        <f>SUM(Underwriting!$L$199:$AX$199)+SUM(Underwriting!$L$206:$AX$206)</f>
        <v>213018833.90950713</v>
      </c>
      <c r="FA22" s="313" t="n">
        <f>SUM(Underwriting!$L$199:$AY$199)+SUM(Underwriting!$L$206:$AY$206)</f>
        <v>213018833.90950713</v>
      </c>
      <c r="FB22" s="313" t="n">
        <f>SUM(Underwriting!$L$199:$AZ$199)+SUM(Underwriting!$L$206:$AZ$206)</f>
        <v>213018833.90950713</v>
      </c>
      <c r="FC22" s="313" t="n">
        <f>SUM(Underwriting!$L$199:$BA$199)+SUM(Underwriting!$L$206:$BA$206)</f>
        <v>213018833.90950713</v>
      </c>
      <c r="FD22" s="313" t="n">
        <f>SUM(Underwriting!$L$199:$BB$199)+SUM(Underwriting!$L$206:$BB$206)</f>
        <v>213018833.90950713</v>
      </c>
      <c r="FE22" s="313" t="n">
        <f>SUM(Underwriting!$L$199:$BC$199)+SUM(Underwriting!$L$206:$BC$206)</f>
        <v>213018833.90950713</v>
      </c>
    </row>
    <row r="23">
      <c r="A23" s="311"/>
      <c r="B23" s="922"/>
      <c r="C23" s="922"/>
      <c r="D23" s="922"/>
      <c r="E23" s="922"/>
      <c r="F23" s="922"/>
      <c r="G23" s="922"/>
      <c r="H23" s="922"/>
      <c r="I23" s="922"/>
      <c r="J23" s="922"/>
      <c r="K23" s="922"/>
      <c r="L23" s="922"/>
      <c r="M23" s="922"/>
      <c r="N23" s="922"/>
      <c r="O23" s="922"/>
      <c r="P23" s="923"/>
      <c r="CQ23" t="s">
        <v>824</v>
      </c>
      <c r="CR23" t="n">
        <f>SUM(CR19:CR22)</f>
        <v>331.7639822450195</v>
      </c>
      <c r="CS23" t="s">
        <v>515</v>
      </c>
      <c r="CT23" t="s">
        <v>825</v>
      </c>
      <c r="CU23" t="n">
        <f>CR23-$DA$12</f>
        <v>0</v>
      </c>
      <c r="CV23" t="s">
        <v>612</v>
      </c>
      <c r="CW23" t="str">
        <f>IF(ABS(CU23)&lt;0.0001,"OK","RECONCILE")</f>
        <v>OK</v>
      </c>
    </row>
    <row r="24">
      <c r="A24" s="311"/>
      <c r="B24" s="933" t="s">
        <v>826</v>
      </c>
      <c r="C24" s="933"/>
      <c r="D24" s="933"/>
      <c r="E24" s="933"/>
      <c r="F24" s="933"/>
      <c r="G24" s="933"/>
      <c r="H24" s="933"/>
      <c r="I24" s="933"/>
      <c r="J24" s="933"/>
      <c r="K24" s="933"/>
      <c r="L24" s="933"/>
      <c r="M24" s="933"/>
      <c r="N24" s="933"/>
      <c r="O24" s="933"/>
      <c r="P24" s="934"/>
      <c r="CQ24" s="692" t="s">
        <v>827</v>
      </c>
      <c r="CR24" s="699"/>
      <c r="CS24" s="699"/>
      <c r="CT24" s="699"/>
      <c r="CU24" s="699"/>
      <c r="CV24" s="699"/>
      <c r="CW24" s="699"/>
      <c r="CX24" s="699"/>
      <c r="CY24" s="699"/>
      <c r="CZ24" s="699"/>
      <c r="DA24" s="699"/>
      <c r="DB24" s="699"/>
      <c r="DC24" s="699"/>
      <c r="DD24" s="699"/>
      <c r="DE24" s="699"/>
      <c r="DF24" s="699"/>
      <c r="DG24" s="699"/>
      <c r="DH24" s="699"/>
      <c r="DI24" s="699"/>
      <c r="DJ24" s="699"/>
      <c r="DK24" s="699"/>
      <c r="DL24" s="699"/>
      <c r="DN24" s="313" t="n">
        <f>MIN(0,N(Underwriting!L211))*(1+DEBT!$K$31)+MAX(0,0)*DEBT!$N$31*DEBT!$P$31</f>
        <v>0</v>
      </c>
      <c r="DO24" s="313" t="n">
        <f>MIN(0,N(Underwriting!M211))*(1+DEBT!$K$31)+MAX(0,0)*DEBT!$N$31*DEBT!$P$31</f>
        <v>0</v>
      </c>
      <c r="DP24" s="313" t="n">
        <f>MIN(0,N(Underwriting!N211))*(1+DEBT!$K$31)+MAX(0,0)*DEBT!$N$31*DEBT!$P$31</f>
        <v>-187349.33068737466</v>
      </c>
      <c r="DQ24" s="313" t="n">
        <f>MIN(0,N(Underwriting!O211))*(1+DEBT!$K$31)+MAX(0,0)*DEBT!$N$31*DEBT!$P$31</f>
        <v>-613415.719564913</v>
      </c>
      <c r="DR24" s="313" t="n">
        <f>MIN(0,N(Underwriting!P211))*(1+DEBT!$K$31)+MAX(0,0)*DEBT!$N$31*DEBT!$P$31</f>
        <v>-1203716.232886943</v>
      </c>
      <c r="DS24" s="313" t="n">
        <f>MIN(0,N(Underwriting!Q211))*(1+DEBT!$K$31)+MAX(0,0)*DEBT!$N$31*DEBT!$P$31</f>
        <v>-2122405.8474138337</v>
      </c>
      <c r="DT24" s="313" t="n">
        <f>MIN(0,N(Underwriting!R211))*(1+DEBT!$K$31)+MAX(0,N(Underwriting!L211))*DEBT!$N$31*DEBT!$P$31</f>
        <v>-2384107.679455748</v>
      </c>
      <c r="DU24" s="313" t="n">
        <f>MIN(0,N(Underwriting!S211))*(1+DEBT!$K$31)+MAX(0,N(Underwriting!M211))*DEBT!$N$31*DEBT!$P$31</f>
        <v>-3615241.2460108097</v>
      </c>
      <c r="DV24" s="313" t="n">
        <f>MIN(0,N(Underwriting!T211))*(1+DEBT!$K$31)+MAX(0,N(Underwriting!N211))*DEBT!$N$31*DEBT!$P$31</f>
        <v>-5266642.92572356</v>
      </c>
      <c r="DW24" s="313" t="n">
        <f>MIN(0,N(Underwriting!U211))*(1+DEBT!$K$31)+MAX(0,N(Underwriting!O211))*DEBT!$N$31*DEBT!$P$31</f>
        <v>-7127292.259165612</v>
      </c>
      <c r="DX24" s="313" t="n">
        <f>MIN(0,N(Underwriting!V211))*(1+DEBT!$K$31)+MAX(0,N(Underwriting!P211))*DEBT!$N$31*DEBT!$P$31</f>
        <v>-9234439.402088292</v>
      </c>
      <c r="DY24" s="313" t="n">
        <f>MIN(0,N(Underwriting!W211))*(1+DEBT!$K$31)+MAX(0,N(Underwriting!Q211))*DEBT!$N$31*DEBT!$P$31</f>
        <v>-11526898.408462232</v>
      </c>
      <c r="DZ24" s="313" t="n">
        <f>MIN(0,N(Underwriting!X211))*(1+DEBT!$K$31)+MAX(0,N(Underwriting!R211))*DEBT!$N$31*DEBT!$P$31</f>
        <v>-13913321.494218247</v>
      </c>
      <c r="EA24" s="313" t="n">
        <f>MIN(0,N(Underwriting!Y211))*(1+DEBT!$K$31)+MAX(0,N(Underwriting!S211))*DEBT!$N$31*DEBT!$P$31</f>
        <v>-16276083.406420898</v>
      </c>
      <c r="EB24" s="313" t="n">
        <f>MIN(0,N(Underwriting!Z211))*(1+DEBT!$K$31)+MAX(0,N(Underwriting!T211))*DEBT!$N$31*DEBT!$P$31</f>
        <v>-18479630.872687772</v>
      </c>
      <c r="EC24" s="313" t="n">
        <f>MIN(0,N(Underwriting!AA211))*(1+DEBT!$K$31)+MAX(0,N(Underwriting!U211))*DEBT!$N$31*DEBT!$P$31</f>
        <v>-20382723.906237792</v>
      </c>
      <c r="ED24" s="313" t="n">
        <f>MIN(0,N(Underwriting!AB211))*(1+DEBT!$K$31)+MAX(0,N(Underwriting!V211))*DEBT!$N$31*DEBT!$P$31</f>
        <v>-21853151.11730187</v>
      </c>
      <c r="EE24" s="313" t="n">
        <f>MIN(0,N(Underwriting!AC211))*(1+DEBT!$K$31)+MAX(0,N(Underwriting!W211))*DEBT!$N$31*DEBT!$P$31</f>
        <v>-22945927.42903161</v>
      </c>
      <c r="EF24" s="313" t="n">
        <f>MIN(0,N(Underwriting!AD211))*(1+DEBT!$K$31)+MAX(0,N(Underwriting!X211))*DEBT!$N$31*DEBT!$P$31</f>
        <v>-19902432.333923575</v>
      </c>
      <c r="EG24" s="313" t="n">
        <f>MIN(0,N(Underwriting!AE211))*(1+DEBT!$K$31)+MAX(0,N(Underwriting!Y211))*DEBT!$N$31*DEBT!$P$31</f>
        <v>-19584316.663153686</v>
      </c>
      <c r="EH24" s="313" t="n">
        <f>MIN(0,N(Underwriting!AF211))*(1+DEBT!$K$31)+MAX(0,N(Underwriting!Z211))*DEBT!$N$31*DEBT!$P$31</f>
        <v>-18654631.699129615</v>
      </c>
      <c r="EI24" s="313" t="n">
        <f>MIN(0,N(Underwriting!AG211))*(1+DEBT!$K$31)+MAX(0,N(Underwriting!AA211))*DEBT!$N$31*DEBT!$P$31</f>
        <v>-16316565.957832865</v>
      </c>
      <c r="EJ24" s="313" t="n">
        <f>MIN(0,N(Underwriting!AH211))*(1+DEBT!$K$31)+MAX(0,N(Underwriting!AB211))*DEBT!$N$31*DEBT!$P$31</f>
        <v>-14413472.924282774</v>
      </c>
      <c r="EK24" s="313" t="n">
        <f>MIN(0,N(Underwriting!AI211))*(1+DEBT!$K$31)+MAX(0,N(Underwriting!AC211))*DEBT!$N$31*DEBT!$P$31</f>
        <v>-12209925.45801593</v>
      </c>
      <c r="EL24" s="313" t="n">
        <f>MIN(0,N(Underwriting!AJ211))*(1+DEBT!$K$31)+MAX(0,N(Underwriting!AD211))*DEBT!$N$31*DEBT!$P$31</f>
        <v>-9511081.946534175</v>
      </c>
      <c r="EM24" s="313" t="n">
        <f>MIN(0,N(Underwriting!AK211))*(1+DEBT!$K$31)+MAX(0,N(Underwriting!AE211))*DEBT!$N$31*DEBT!$P$31</f>
        <v>-7124658.860778102</v>
      </c>
      <c r="EN24" s="313" t="n">
        <f>MIN(0,N(Underwriting!AL211))*(1+DEBT!$K$31)+MAX(0,N(Underwriting!AF211))*DEBT!$N$31*DEBT!$P$31</f>
        <v>-4832199.854404192</v>
      </c>
      <c r="EO24" s="313" t="n">
        <f>MIN(0,N(Underwriting!AM211))*(1+DEBT!$K$31)+MAX(0,N(Underwriting!AG211))*DEBT!$N$31*DEBT!$P$31</f>
        <v>-2518161.6308397125</v>
      </c>
      <c r="EP24" s="313" t="n">
        <f>MIN(0,N(Underwriting!AN211))*(1+DEBT!$K$31)+MAX(0,N(Underwriting!AH211))*DEBT!$N$31*DEBT!$P$31</f>
        <v>-657512.2973976149</v>
      </c>
      <c r="EQ24" s="313" t="n">
        <f>MIN(0,N(Underwriting!AO211))*(1+DEBT!$K$31)+MAX(0,N(Underwriting!AI211))*DEBT!$N$31*DEBT!$P$31</f>
        <v>0</v>
      </c>
      <c r="ER24" s="313" t="n">
        <f>MIN(0,N(Underwriting!AP211))*(1+DEBT!$K$31)+MAX(0,N(Underwriting!AJ211))*DEBT!$N$31*DEBT!$P$31</f>
        <v>0</v>
      </c>
      <c r="ES24" s="313" t="n">
        <f>MIN(0,N(Underwriting!AQ211))*(1+DEBT!$K$31)+MAX(0,N(Underwriting!AK211))*DEBT!$N$31*DEBT!$P$31</f>
        <v>0</v>
      </c>
      <c r="ET24" s="313" t="n">
        <f>MIN(0,N(Underwriting!AR211))*(1+DEBT!$K$31)+MAX(0,N(Underwriting!AL211))*DEBT!$N$31*DEBT!$P$31</f>
        <v>0</v>
      </c>
      <c r="EU24" s="313" t="n">
        <f>MIN(0,N(Underwriting!AS211))*(1+DEBT!$K$31)+MAX(0,N(Underwriting!AM211))*DEBT!$N$31*DEBT!$P$31</f>
        <v>0</v>
      </c>
      <c r="EV24" s="313" t="n">
        <f>MIN(0,N(Underwriting!AT211))*(1+DEBT!$K$31)+MAX(0,N(Underwriting!AN211))*DEBT!$N$31*DEBT!$P$31</f>
        <v>0</v>
      </c>
      <c r="EW24" s="313" t="n">
        <f>MIN(0,N(Underwriting!AU211))*(1+DEBT!$K$31)+MAX(0,N(Underwriting!AO211))*DEBT!$N$31*DEBT!$P$31</f>
        <v>569398.4823540474</v>
      </c>
      <c r="EX24" s="313" t="n">
        <f>MIN(0,N(Underwriting!AV211))*(1+DEBT!$K$31)+MAX(0,N(Underwriting!AP211))*DEBT!$N$31*DEBT!$P$31</f>
        <v>1748840.720943103</v>
      </c>
      <c r="EY24" s="313" t="n">
        <f>MIN(0,N(Underwriting!AW211))*(1+DEBT!$K$31)+MAX(0,N(Underwriting!AQ211))*DEBT!$N$31*DEBT!$P$31</f>
        <v>2386719.2758415192</v>
      </c>
      <c r="EZ24" s="313" t="n">
        <f>MIN(0,N(Underwriting!AX211))*(1+DEBT!$K$31)+MAX(0,N(Underwriting!AR211))*DEBT!$N$31*DEBT!$P$31</f>
        <v>2876886.0471420763</v>
      </c>
      <c r="FA24" s="313" t="n">
        <f>MIN(0,N(Underwriting!AY211))*(1+DEBT!$K$31)+MAX(0,N(Underwriting!AS211))*DEBT!$N$31*DEBT!$P$31</f>
        <v>3241799.0917411656</v>
      </c>
      <c r="FB24" s="313" t="n">
        <f>MIN(0,N(Underwriting!AZ211))*(1+DEBT!$K$31)+MAX(0,N(Underwriting!AT211))*DEBT!$N$31*DEBT!$P$31</f>
        <v>3590552.2458413206</v>
      </c>
      <c r="FC24" s="313" t="n">
        <f>MIN(0,N(Underwriting!BA211))*(1+DEBT!$K$31)+MAX(0,N(Underwriting!AU211))*DEBT!$N$31*DEBT!$P$31</f>
        <v>3774975.3158611692</v>
      </c>
      <c r="FD24" s="313" t="n">
        <f>MIN(0,N(Underwriting!BB211))*(1+DEBT!$K$31)+MAX(0,N(Underwriting!AV211))*DEBT!$N$31*DEBT!$P$31</f>
        <v>3900309.020202335</v>
      </c>
      <c r="FE24" s="313" t="n">
        <f>MIN(0,N(Underwriting!BC211))*(1+DEBT!$K$31)+MAX(0,N(Underwriting!AW211))*DEBT!$N$31*DEBT!$P$31</f>
        <v>3651267.9307291377</v>
      </c>
      <c r="FF24" t="n">
        <f>MIN(0,N(Underwriting!BD211))*(1+DEBT!$K$31)+MAX(0,N(Underwriting!AX211))*DEBT!$N$31*DEBT!$P$31</f>
        <v>3651267.9307291377</v>
      </c>
      <c r="FG24" t="n">
        <f>MIN(0,N(Underwriting!BE211))*(1+DEBT!$K$31)+MAX(0,N(Underwriting!AY211))*DEBT!$N$31*DEBT!$P$31</f>
        <v>3651267.9307291377</v>
      </c>
      <c r="FH24" t="n">
        <f>MIN(0,N(Underwriting!BF211))*(1+DEBT!$K$31)+MAX(0,N(Underwriting!AZ211))*DEBT!$N$31*DEBT!$P$31</f>
        <v>3655565.3784331707</v>
      </c>
      <c r="FI24" t="n">
        <f>MIN(0,N(Underwriting!BG211))*(1+DEBT!$K$31)+MAX(0,N(Underwriting!BA211))*DEBT!$N$31*DEBT!$P$31</f>
        <v>3655565.3784331707</v>
      </c>
      <c r="FJ24" t="n">
        <f>MIN(0,N(Underwriting!BH211))*(1+DEBT!$K$31)+MAX(0,N(Underwriting!BB211))*DEBT!$N$31*DEBT!$P$31</f>
        <v>3655565.3784331707</v>
      </c>
      <c r="FK24" t="n">
        <f>MIN(0,N(Underwriting!BI211))*(1+DEBT!$K$31)+MAX(0,N(Underwriting!BC211))*DEBT!$N$31*DEBT!$P$31</f>
        <v>3767168.3439292493</v>
      </c>
      <c r="FL24" t="n">
        <f>MIN(0,N(Underwriting!BJ211))*(1+DEBT!$K$31)+MAX(0,N(Underwriting!BD211))*DEBT!$N$31*DEBT!$P$31</f>
        <v>3767168.3439292493</v>
      </c>
      <c r="FM24" t="n">
        <f>MIN(0,N(Underwriting!BK211))*(1+DEBT!$K$31)+MAX(0,N(Underwriting!BE211))*DEBT!$N$31*DEBT!$P$31</f>
        <v>3767168.3439292493</v>
      </c>
      <c r="FN24" t="n">
        <f>MIN(0,N(Underwriting!BL211))*(1+DEBT!$K$31)+MAX(0,N(Underwriting!BF211))*DEBT!$N$31*DEBT!$P$31</f>
        <v>3786983.827262583</v>
      </c>
      <c r="FO24" t="n">
        <f>MIN(0,N(Underwriting!BM211))*(1+DEBT!$K$31)+MAX(0,N(Underwriting!BG211))*DEBT!$N$31*DEBT!$P$31</f>
        <v>3786983.827262583</v>
      </c>
      <c r="FP24" t="n">
        <f>MIN(0,N(Underwriting!BN211))*(1+DEBT!$K$31)+MAX(0,N(Underwriting!BH211))*DEBT!$N$31*DEBT!$P$31</f>
        <v>3786983.827262583</v>
      </c>
      <c r="FQ24" t="n">
        <f>MIN(0,N(Underwriting!BO211))*(1+DEBT!$K$31)+MAX(0,N(Underwriting!BI211))*DEBT!$N$31*DEBT!$P$31</f>
        <v>3791115.8386294167</v>
      </c>
      <c r="FR24" t="n">
        <f>MIN(0,N(Underwriting!BP211))*(1+DEBT!$K$31)+MAX(0,N(Underwriting!BJ211))*DEBT!$N$31*DEBT!$P$31</f>
        <v>3791115.8386294167</v>
      </c>
      <c r="FS24" t="n">
        <f>MIN(0,N(Underwriting!BQ211))*(1+DEBT!$K$31)+MAX(0,N(Underwriting!BK211))*DEBT!$N$31*DEBT!$P$31</f>
        <v>3791115.8386294167</v>
      </c>
      <c r="FT24" t="n">
        <f>MIN(0,N(Underwriting!BR211))*(1+DEBT!$K$31)+MAX(0,N(Underwriting!BL211))*DEBT!$N$31*DEBT!$P$31</f>
        <v>3795406.0861294162</v>
      </c>
      <c r="FU24" t="n">
        <f>MIN(0,N(Underwriting!BS211))*(1+DEBT!$K$31)+MAX(0,N(Underwriting!BM211))*DEBT!$N$31*DEBT!$P$31</f>
        <v>3795406.0861294162</v>
      </c>
      <c r="FV24" t="n">
        <f>MIN(0,N(Underwriting!BT211))*(1+DEBT!$K$31)+MAX(0,N(Underwriting!BN211))*DEBT!$N$31*DEBT!$P$31</f>
        <v>3795406.0861294162</v>
      </c>
      <c r="FW24" t="n">
        <f>MIN(0,N(Underwriting!BU211))*(1+DEBT!$K$31)+MAX(0,N(Underwriting!BO211))*DEBT!$N$31*DEBT!$P$31</f>
        <v>3896416.860122554</v>
      </c>
      <c r="FX24" t="n">
        <f>MIN(0,0)*(1+DEBT!$K$31)+MAX(0,N(Underwriting!BP211))*DEBT!$N$31*DEBT!$P$31</f>
        <v>3896416.860122554</v>
      </c>
      <c r="FY24" t="n">
        <f>MIN(0,0)*(1+DEBT!$K$31)+MAX(0,N(Underwriting!BQ211))*DEBT!$N$31*DEBT!$P$31</f>
        <v>3896416.860122554</v>
      </c>
      <c r="FZ24" t="n">
        <f>MIN(0,0)*(1+DEBT!$K$31)+MAX(0,N(Underwriting!BR211))*DEBT!$N$31*DEBT!$P$31</f>
        <v>3916925.8853725544</v>
      </c>
      <c r="GA24" t="n">
        <f>MIN(0,0)*(1+DEBT!$K$31)+MAX(0,N(Underwriting!BS211))*DEBT!$N$31*DEBT!$P$31</f>
        <v>3916925.8853725544</v>
      </c>
      <c r="GB24" t="n">
        <f>MIN(0,0)*(1+DEBT!$K$31)+MAX(0,N(Underwriting!BT211))*DEBT!$N$31*DEBT!$P$31</f>
        <v>3916925.8853725544</v>
      </c>
      <c r="GC24" t="n">
        <f>MIN(0,0)*(1+DEBT!$K$31)+MAX(0,N(Underwriting!BU211))*DEBT!$N$31*DEBT!$P$31</f>
        <v>708431802.5253533</v>
      </c>
    </row>
    <row r="25" ht="195">
      <c r="A25" s="311"/>
      <c r="B25" s="941" t="s">
        <v>828</v>
      </c>
      <c r="C25" s="941" t="s">
        <v>612</v>
      </c>
      <c r="D25" s="941" t="s">
        <v>829</v>
      </c>
      <c r="E25" s="941" t="s">
        <v>830</v>
      </c>
      <c r="F25" s="941" t="s">
        <v>831</v>
      </c>
      <c r="G25" s="941" t="s">
        <v>832</v>
      </c>
      <c r="H25" s="941" t="s">
        <v>833</v>
      </c>
      <c r="I25" s="941" t="s">
        <v>834</v>
      </c>
      <c r="J25" s="941" t="s">
        <v>835</v>
      </c>
      <c r="K25" s="941" t="s">
        <v>836</v>
      </c>
      <c r="L25" s="941" t="s">
        <v>837</v>
      </c>
      <c r="M25" s="941" t="s">
        <v>838</v>
      </c>
      <c r="N25" s="941" t="s">
        <v>839</v>
      </c>
      <c r="O25" s="941" t="s">
        <v>840</v>
      </c>
      <c r="P25" s="941" t="s">
        <v>841</v>
      </c>
      <c r="CQ25" s="310" t="s">
        <v>527</v>
      </c>
      <c r="CR25" s="310" t="s">
        <v>842</v>
      </c>
      <c r="CS25" s="310" t="s">
        <v>843</v>
      </c>
      <c r="CT25" s="310" t="s">
        <v>844</v>
      </c>
      <c r="CU25" s="310" t="s">
        <v>845</v>
      </c>
      <c r="CV25" s="310" t="s">
        <v>70</v>
      </c>
      <c r="CW25" s="310" t="s">
        <v>846</v>
      </c>
      <c r="CX25" s="310" t="s">
        <v>847</v>
      </c>
      <c r="CY25" s="310" t="s">
        <v>848</v>
      </c>
      <c r="CZ25" s="310" t="s">
        <v>849</v>
      </c>
      <c r="DA25" s="310" t="s">
        <v>850</v>
      </c>
      <c r="DB25" s="310" t="s">
        <v>851</v>
      </c>
      <c r="DC25" s="310" t="s">
        <v>852</v>
      </c>
      <c r="DD25" s="700" t="s">
        <v>853</v>
      </c>
      <c r="DE25" s="699"/>
      <c r="DF25" s="699"/>
      <c r="DG25" s="699"/>
      <c r="DH25" s="699"/>
      <c r="DI25" s="699"/>
      <c r="DJ25" s="699"/>
      <c r="DK25" s="699"/>
      <c r="DL25" s="699"/>
      <c r="DN25" s="313" t="n">
        <f>N(Underwriting!L211)</f>
        <v>0</v>
      </c>
      <c r="DO25" s="313" t="n">
        <f>N(Underwriting!M211)</f>
        <v>100892.8237358164</v>
      </c>
      <c r="DP25" s="313" t="n">
        <f>N(Underwriting!N211)</f>
        <v>-170317.57335215877</v>
      </c>
      <c r="DQ25" s="313" t="n">
        <f>N(Underwriting!O211)</f>
        <v>-557650.6541499208</v>
      </c>
      <c r="DR25" s="313" t="n">
        <f>N(Underwriting!P211)</f>
        <v>-1094287.4844426755</v>
      </c>
      <c r="DS25" s="313" t="n">
        <f>N(Underwriting!Q211)</f>
        <v>-1929459.8612853033</v>
      </c>
      <c r="DT25" s="313" t="n">
        <f>N(Underwriting!R211)</f>
        <v>-2167370.6176870433</v>
      </c>
      <c r="DU25" s="313" t="n">
        <f>N(Underwriting!S211)</f>
        <v>-3348953.0601374223</v>
      </c>
      <c r="DV25" s="313" t="n">
        <f>N(Underwriting!T211)</f>
        <v>-4787857.205203236</v>
      </c>
      <c r="DW25" s="313" t="n">
        <f>N(Underwriting!U211)</f>
        <v>-6479356.599241465</v>
      </c>
      <c r="DX25" s="313" t="n">
        <f>N(Underwriting!V211)</f>
        <v>-8394944.910989355</v>
      </c>
      <c r="DY25" s="313" t="n">
        <f>N(Underwriting!W211)</f>
        <v>-10478998.553147484</v>
      </c>
      <c r="DZ25" s="313" t="n">
        <f>N(Underwriting!X211)</f>
        <v>-12648474.085652951</v>
      </c>
      <c r="EA25" s="313" t="n">
        <f>N(Underwriting!Y211)</f>
        <v>-14796439.460382633</v>
      </c>
      <c r="EB25" s="313" t="n">
        <f>N(Underwriting!Z211)</f>
        <v>-16799664.429716155</v>
      </c>
      <c r="EC25" s="313" t="n">
        <f>N(Underwriting!AA211)</f>
        <v>-18529749.00567072</v>
      </c>
      <c r="ED25" s="313" t="n">
        <f>N(Underwriting!AB211)</f>
        <v>-19866501.015728973</v>
      </c>
      <c r="EE25" s="313" t="n">
        <f>N(Underwriting!AC211)</f>
        <v>-20859934.02639237</v>
      </c>
      <c r="EF25" s="313" t="n">
        <f>N(Underwriting!AD211)</f>
        <v>-18093120.303566884</v>
      </c>
      <c r="EG25" s="313" t="n">
        <f>N(Underwriting!AE211)</f>
        <v>-17803924.23923062</v>
      </c>
      <c r="EH25" s="313" t="n">
        <f>N(Underwriting!AF211)</f>
        <v>-16958756.09011783</v>
      </c>
      <c r="EI25" s="313" t="n">
        <f>N(Underwriting!AG211)</f>
        <v>-14833241.779848058</v>
      </c>
      <c r="EJ25" s="313" t="n">
        <f>N(Underwriting!AH211)</f>
        <v>-13103157.20389343</v>
      </c>
      <c r="EK25" s="313" t="n">
        <f>N(Underwriting!AI211)</f>
        <v>-11099932.234559935</v>
      </c>
      <c r="EL25" s="313" t="n">
        <f>N(Underwriting!AJ211)</f>
        <v>-8646438.133212887</v>
      </c>
      <c r="EM25" s="313" t="n">
        <f>N(Underwriting!AK211)</f>
        <v>-6476962.600707364</v>
      </c>
      <c r="EN25" s="313" t="n">
        <f>N(Underwriting!AL211)</f>
        <v>-4392908.958549266</v>
      </c>
      <c r="EO25" s="313" t="n">
        <f>N(Underwriting!AM211)</f>
        <v>-2289237.84621792</v>
      </c>
      <c r="EP25" s="313" t="n">
        <f>N(Underwriting!AN211)</f>
        <v>-597738.4521796498</v>
      </c>
      <c r="EQ25" s="313" t="n">
        <f>N(Underwriting!AO211)</f>
        <v>837350.7093441873</v>
      </c>
      <c r="ER25" s="313" t="n">
        <f>N(Underwriting!AP211)</f>
        <v>2571824.5896222102</v>
      </c>
      <c r="ES25" s="313" t="n">
        <f>N(Underwriting!AQ211)</f>
        <v>3509881.288002234</v>
      </c>
      <c r="ET25" s="313" t="n">
        <f>N(Underwriting!AR211)</f>
        <v>4230714.775208935</v>
      </c>
      <c r="EU25" s="313" t="n">
        <f>N(Underwriting!AS211)</f>
        <v>4767351.605501714</v>
      </c>
      <c r="EV25" s="313" t="n">
        <f>N(Underwriting!AT211)</f>
        <v>5280223.890943118</v>
      </c>
      <c r="EW25" s="313" t="n">
        <f>N(Underwriting!AU211)</f>
        <v>5551434.288031132</v>
      </c>
      <c r="EX25" s="313" t="n">
        <f>N(Underwriting!AV211)</f>
        <v>5735748.559121081</v>
      </c>
      <c r="EY25" s="313" t="n">
        <f>N(Underwriting!AW211)</f>
        <v>5369511.662836967</v>
      </c>
      <c r="EZ25" s="313" t="n">
        <f>N(Underwriting!AX211)</f>
        <v>5369511.662836967</v>
      </c>
      <c r="FA25" s="313" t="n">
        <f>N(Underwriting!AY211)</f>
        <v>5369511.662836967</v>
      </c>
      <c r="FB25" s="313" t="n">
        <f>N(Underwriting!AZ211)</f>
        <v>5375831.43887231</v>
      </c>
      <c r="FC25" s="313" t="n">
        <f>N(Underwriting!BA211)</f>
        <v>5375831.43887231</v>
      </c>
      <c r="FD25" s="313" t="n">
        <f>N(Underwriting!BB211)</f>
        <v>5375831.43887231</v>
      </c>
      <c r="FE25" s="313" t="n">
        <f>N(Underwriting!BC211)</f>
        <v>5539953.446954778</v>
      </c>
      <c r="FF25" t="n">
        <f>N(Underwriting!BD211)</f>
        <v>5539953.446954778</v>
      </c>
      <c r="FG25" t="n">
        <f>N(Underwriting!BE211)</f>
        <v>5539953.446954778</v>
      </c>
      <c r="FH25" t="n">
        <f>N(Underwriting!BF211)</f>
        <v>5569093.863621445</v>
      </c>
      <c r="FI25" t="n">
        <f>N(Underwriting!BG211)</f>
        <v>5569093.863621445</v>
      </c>
      <c r="FJ25" t="n">
        <f>N(Underwriting!BH211)</f>
        <v>5569093.863621445</v>
      </c>
      <c r="FK25" t="n">
        <f>N(Underwriting!BI211)</f>
        <v>5575170.350925612</v>
      </c>
      <c r="FL25" t="n">
        <f>N(Underwriting!BJ211)</f>
        <v>5575170.350925612</v>
      </c>
      <c r="FM25" t="n">
        <f>N(Underwriting!BK211)</f>
        <v>5575170.350925612</v>
      </c>
      <c r="FN25" t="n">
        <f>N(Underwriting!BL211)</f>
        <v>5581479.538425612</v>
      </c>
      <c r="FO25" t="n">
        <f>N(Underwriting!BM211)</f>
        <v>5581479.538425612</v>
      </c>
      <c r="FP25" t="n">
        <f>N(Underwriting!BN211)</f>
        <v>5581479.538425612</v>
      </c>
      <c r="FQ25" t="n">
        <f>N(Underwriting!BO211)</f>
        <v>5730024.794297874</v>
      </c>
      <c r="FR25" t="n">
        <f>N(Underwriting!BP211)</f>
        <v>5730024.794297874</v>
      </c>
      <c r="FS25" t="n">
        <f>N(Underwriting!BQ211)</f>
        <v>5730024.794297874</v>
      </c>
      <c r="FT25" t="n">
        <f>N(Underwriting!BR211)</f>
        <v>5760185.125547874</v>
      </c>
      <c r="FU25" t="n">
        <f>N(Underwriting!BS211)</f>
        <v>5760185.125547874</v>
      </c>
      <c r="FV25" t="n">
        <f>N(Underwriting!BT211)</f>
        <v>5760185.125547874</v>
      </c>
      <c r="FW25" t="n">
        <f>N(Underwriting!BU211)</f>
        <v>1041811474.3019903</v>
      </c>
      <c r="FX25" t="n">
        <f>0</f>
        <v>0</v>
      </c>
      <c r="FY25" t="n">
        <f>0</f>
        <v>0</v>
      </c>
      <c r="FZ25" t="n">
        <f>0</f>
        <v>0</v>
      </c>
      <c r="GA25" t="n">
        <f>0</f>
        <v>0</v>
      </c>
      <c r="GB25" t="n">
        <f>0</f>
        <v>0</v>
      </c>
      <c r="GC25" t="n">
        <f>0</f>
        <v>0</v>
      </c>
    </row>
    <row r="26" ht="65">
      <c r="A26" s="311"/>
      <c r="B26" s="942" t="str">
        <f>'FUNDING &amp; CAP TABLE'!$A$9</f>
        <v>David Gifford</v>
      </c>
      <c r="C26" s="942" t="str">
        <f>'FUNDING &amp; CAP TABLE'!$H$9</f>
        <v>Mapped — provisional</v>
      </c>
      <c r="D26" s="944" t="n">
        <f>'FUNDING &amp; CAP TABLE'!$D$9</f>
        <v>10</v>
      </c>
      <c r="E26" s="944" t="n">
        <f>0</f>
        <v>0</v>
      </c>
      <c r="F26" s="944" t="n">
        <f>0</f>
        <v>0</v>
      </c>
      <c r="G26" s="944" t="n">
        <f t="shared" ref="G26:G33" si="0">SUM(D26:F26)</f>
        <v>10</v>
      </c>
      <c r="H26" s="945">
        <v>4.8605102250474042E-2</v>
      </c>
      <c r="I26" s="944" t="n">
        <f t="shared" ref="I26:I33" si="1">$H$20*H26</f>
        <v>19.77191218357688</v>
      </c>
      <c r="J26" s="944" t="n">
        <f t="shared" ref="J26:J33" si="2">$H$21*H26</f>
        <v>22.019824816737177</v>
      </c>
      <c r="K26" s="944" t="n">
        <f t="shared" ref="K26:K33" si="3">$H$22*H26</f>
        <v>24.63025607679179</v>
      </c>
      <c r="L26" s="944" t="n">
        <f t="shared" ref="L26:L33" si="4">J26-G26</f>
        <v>12.019824816737177</v>
      </c>
      <c r="M26" s="947" t="n">
        <f t="shared" ref="M26:M34" si="5">IFERROR(J26/G26,0)</f>
        <v>2.201982481673718</v>
      </c>
      <c r="N26" s="945" t="n">
        <f t="shared" ref="N26:N33" si="6">$M58</f>
        <v>0.25243591969602264</v>
      </c>
      <c r="O26" s="948" t="s">
        <v>854</v>
      </c>
      <c r="P26" s="948" t="s">
        <v>855</v>
      </c>
      <c r="CQ26" s="311" t="str">
        <f>Underwriting!$B$93</f>
        <v>URWLD</v>
      </c>
      <c r="CR26" s="312" t="str">
        <f>IF(Underwriting!$I$93&gt;0,"NOI / cap rate","EBITDA multiple")</f>
        <v>NOI / cap rate</v>
      </c>
      <c r="CS26" s="315" t="n">
        <f>Underwriting!$E$93</f>
        <v>21500</v>
      </c>
      <c r="CT26" s="315" t="n">
        <f>Underwriting!$I$93/1000000</f>
        <v>8.6</v>
      </c>
      <c r="CU26" s="313" t="n">
        <f>IF(Underwriting!$I$93=0,0,$DA$10*Underwriting!$I$93/Underwriting!$I$105)</f>
        <v>24.05777193044251</v>
      </c>
      <c r="CV26" s="316" t="n">
        <f>IF(Underwriting!$I$93=0,"",$DA$11)</f>
        <v>0.06700819672131147</v>
      </c>
      <c r="CW26" s="313" t="n">
        <f>IF($CV26="",0,$CU26/$CV26)</f>
        <v>359.0272997570625</v>
      </c>
      <c r="CX26" s="315" t="n">
        <f>IF(Underwriting!$I$93=0,'Tenant Report'!$O$34,0)</f>
        <v>0</v>
      </c>
      <c r="CY26" s="316" t="str">
        <f>IF($CX26=0,"",$CR$10)</f>
      </c>
      <c r="CZ26" s="313" t="n">
        <f>$CX26*N($CY26)</f>
        <v>0</v>
      </c>
      <c r="DA26" s="318" t="str">
        <f>IF($CX26=0,"",$CR$11)</f>
      </c>
      <c r="DB26" s="313" t="n">
        <f>$CZ26*N($DA26)</f>
        <v>0</v>
      </c>
      <c r="DC26" s="313" t="n">
        <f>SUM($CW26,$DB26)</f>
        <v>359.0272997570625</v>
      </c>
      <c r="DD26" s="701" t="str">
        <f>IF(Underwriting!$I$93&gt;0,"Model rent allocation; property-only value.","Revenue linked to Tenant Report; margin and multiple illustrative.")</f>
        <v>Model rent allocation; property-only value.</v>
      </c>
      <c r="DE26" s="699"/>
      <c r="DF26" s="699"/>
      <c r="DG26" s="699"/>
      <c r="DH26" s="699"/>
      <c r="DI26" s="699"/>
      <c r="DJ26" s="699"/>
      <c r="DK26" s="699"/>
      <c r="DL26" s="699"/>
      <c r="DN26" s="313" t="n">
        <f>MIN(0,N(Underwriting!L211))*(1+DEBT!$K$33)+MAX(0,N(Underwriting!L211))*DEBT!$N$33*DEBT!$P$33</f>
        <v>0</v>
      </c>
      <c r="DO26" s="313" t="n">
        <f>MIN(0,N(Underwriting!M211))*(1+DEBT!$K$33)+MAX(0,N(Underwriting!M211))*DEBT!$N$33*DEBT!$P$33</f>
        <v>111234.33816873761</v>
      </c>
      <c r="DP26" s="313" t="n">
        <f>MIN(0,N(Underwriting!N211))*(1+DEBT!$K$33)+MAX(0,N(Underwriting!N211))*DEBT!$N$33*DEBT!$P$33</f>
        <v>-161801.69468455084</v>
      </c>
      <c r="DQ26" s="313" t="n">
        <f>MIN(0,N(Underwriting!O211))*(1+DEBT!$K$33)+MAX(0,N(Underwriting!O211))*DEBT!$N$33*DEBT!$P$33</f>
        <v>-529768.1214424247</v>
      </c>
      <c r="DR26" s="313" t="n">
        <f>MIN(0,N(Underwriting!P211))*(1+DEBT!$K$33)+MAX(0,N(Underwriting!P211))*DEBT!$N$33*DEBT!$P$33</f>
        <v>-1039573.1102205417</v>
      </c>
      <c r="DS26" s="313" t="n">
        <f>MIN(0,N(Underwriting!Q211))*(1+DEBT!$K$33)+MAX(0,N(Underwriting!Q211))*DEBT!$N$33*DEBT!$P$33</f>
        <v>-1832986.868221038</v>
      </c>
      <c r="DT26" s="313" t="n">
        <f>MIN(0,N(Underwriting!R211))*(1+DEBT!$K$33)+MAX(0,N(Underwriting!R211))*DEBT!$N$33*DEBT!$P$33</f>
        <v>-2059002.086802691</v>
      </c>
      <c r="DU26" s="313" t="n">
        <f>MIN(0,N(Underwriting!S211))*(1+DEBT!$K$33)+MAX(0,N(Underwriting!S211))*DEBT!$N$33*DEBT!$P$33</f>
        <v>-3181505.407130551</v>
      </c>
      <c r="DV26" s="313" t="n">
        <f>MIN(0,N(Underwriting!T211))*(1+DEBT!$K$33)+MAX(0,N(Underwriting!T211))*DEBT!$N$33*DEBT!$P$33</f>
        <v>-4548464.3449430745</v>
      </c>
      <c r="DW26" s="313" t="n">
        <f>MIN(0,N(Underwriting!U211))*(1+DEBT!$K$33)+MAX(0,N(Underwriting!U211))*DEBT!$N$33*DEBT!$P$33</f>
        <v>-6155388.7692793915</v>
      </c>
      <c r="DX26" s="313" t="n">
        <f>MIN(0,N(Underwriting!V211))*(1+DEBT!$K$33)+MAX(0,N(Underwriting!V211))*DEBT!$N$33*DEBT!$P$33</f>
        <v>-7975197.665439887</v>
      </c>
      <c r="DY26" s="313" t="n">
        <f>MIN(0,N(Underwriting!W211))*(1+DEBT!$K$33)+MAX(0,N(Underwriting!W211))*DEBT!$N$33*DEBT!$P$33</f>
        <v>-9955048.625490109</v>
      </c>
      <c r="DZ26" s="313" t="n">
        <f>MIN(0,N(Underwriting!X211))*(1+DEBT!$K$33)+MAX(0,N(Underwriting!X211))*DEBT!$N$33*DEBT!$P$33</f>
        <v>-12016050.381370302</v>
      </c>
      <c r="EA26" s="313" t="n">
        <f>MIN(0,N(Underwriting!Y211))*(1+DEBT!$K$33)+MAX(0,N(Underwriting!Y211))*DEBT!$N$33*DEBT!$P$33</f>
        <v>-14056617.4873635</v>
      </c>
      <c r="EB26" s="313" t="n">
        <f>MIN(0,N(Underwriting!Z211))*(1+DEBT!$K$33)+MAX(0,N(Underwriting!Z211))*DEBT!$N$33*DEBT!$P$33</f>
        <v>-15959681.208230346</v>
      </c>
      <c r="EC26" s="313" t="n">
        <f>MIN(0,N(Underwriting!AA211))*(1+DEBT!$K$33)+MAX(0,N(Underwriting!AA211))*DEBT!$N$33*DEBT!$P$33</f>
        <v>-17603261.55538718</v>
      </c>
      <c r="ED26" s="313" t="n">
        <f>MIN(0,N(Underwriting!AB211))*(1+DEBT!$K$33)+MAX(0,N(Underwriting!AB211))*DEBT!$N$33*DEBT!$P$33</f>
        <v>-18873175.964942522</v>
      </c>
      <c r="EE26" s="313" t="n">
        <f>MIN(0,N(Underwriting!AC211))*(1+DEBT!$K$33)+MAX(0,N(Underwriting!AC211))*DEBT!$N$33*DEBT!$P$33</f>
        <v>-19816937.32507275</v>
      </c>
      <c r="EF26" s="313" t="n">
        <f>MIN(0,N(Underwriting!AD211))*(1+DEBT!$K$33)+MAX(0,N(Underwriting!AD211))*DEBT!$N$33*DEBT!$P$33</f>
        <v>-17188464.28838854</v>
      </c>
      <c r="EG26" s="313" t="n">
        <f>MIN(0,N(Underwriting!AE211))*(1+DEBT!$K$33)+MAX(0,N(Underwriting!AE211))*DEBT!$N$33*DEBT!$P$33</f>
        <v>-16913728.02726909</v>
      </c>
      <c r="EH26" s="313" t="n">
        <f>MIN(0,N(Underwriting!AF211))*(1+DEBT!$K$33)+MAX(0,N(Underwriting!AF211))*DEBT!$N$33*DEBT!$P$33</f>
        <v>-16110818.285611939</v>
      </c>
      <c r="EI26" s="313" t="n">
        <f>MIN(0,N(Underwriting!AG211))*(1+DEBT!$K$33)+MAX(0,N(Underwriting!AG211))*DEBT!$N$33*DEBT!$P$33</f>
        <v>-14091579.690855654</v>
      </c>
      <c r="EJ26" s="313" t="n">
        <f>MIN(0,N(Underwriting!AH211))*(1+DEBT!$K$33)+MAX(0,N(Underwriting!AH211))*DEBT!$N$33*DEBT!$P$33</f>
        <v>-12447999.343698759</v>
      </c>
      <c r="EK26" s="313" t="n">
        <f>MIN(0,N(Underwriting!AI211))*(1+DEBT!$K$33)+MAX(0,N(Underwriting!AI211))*DEBT!$N$33*DEBT!$P$33</f>
        <v>-10544935.622831937</v>
      </c>
      <c r="EL26" s="313" t="n">
        <f>MIN(0,N(Underwriting!AJ211))*(1+DEBT!$K$33)+MAX(0,N(Underwriting!AJ211))*DEBT!$N$33*DEBT!$P$33</f>
        <v>-8214116.226552242</v>
      </c>
      <c r="EM26" s="313" t="n">
        <f>MIN(0,N(Underwriting!AK211))*(1+DEBT!$K$33)+MAX(0,N(Underwriting!AK211))*DEBT!$N$33*DEBT!$P$33</f>
        <v>-6153114.470671996</v>
      </c>
      <c r="EN26" s="313" t="n">
        <f>MIN(0,N(Underwriting!AL211))*(1+DEBT!$K$33)+MAX(0,N(Underwriting!AL211))*DEBT!$N$33*DEBT!$P$33</f>
        <v>-4173263.5106218024</v>
      </c>
      <c r="EO26" s="313" t="n">
        <f>MIN(0,N(Underwriting!AM211))*(1+DEBT!$K$33)+MAX(0,N(Underwriting!AM211))*DEBT!$N$33*DEBT!$P$33</f>
        <v>-2174775.953907024</v>
      </c>
      <c r="EP26" s="313" t="n">
        <f>MIN(0,N(Underwriting!AN211))*(1+DEBT!$K$33)+MAX(0,N(Underwriting!AN211))*DEBT!$N$33*DEBT!$P$33</f>
        <v>-567851.5295706673</v>
      </c>
      <c r="EQ26" s="313" t="n">
        <f>MIN(0,N(Underwriting!AO211))*(1+DEBT!$K$33)+MAX(0,N(Underwriting!AO211))*DEBT!$N$33*DEBT!$P$33</f>
        <v>923179.1570519665</v>
      </c>
      <c r="ER26" s="313" t="n">
        <f>MIN(0,N(Underwriting!AP211))*(1+DEBT!$K$33)+MAX(0,N(Underwriting!AP211))*DEBT!$N$33*DEBT!$P$33</f>
        <v>2835436.6100584874</v>
      </c>
      <c r="ES26" s="313" t="n">
        <f>MIN(0,N(Underwriting!AQ211))*(1+DEBT!$K$33)+MAX(0,N(Underwriting!AQ211))*DEBT!$N$33*DEBT!$P$33</f>
        <v>3869644.120022463</v>
      </c>
      <c r="ET26" s="313" t="n">
        <f>MIN(0,N(Underwriting!AR211))*(1+DEBT!$K$33)+MAX(0,N(Underwriting!AR211))*DEBT!$N$33*DEBT!$P$33</f>
        <v>4664363.039667851</v>
      </c>
      <c r="EU26" s="313" t="n">
        <f>MIN(0,N(Underwriting!AS211))*(1+DEBT!$K$33)+MAX(0,N(Underwriting!AS211))*DEBT!$N$33*DEBT!$P$33</f>
        <v>5256005.14506564</v>
      </c>
      <c r="EV26" s="313" t="n">
        <f>MIN(0,N(Underwriting!AT211))*(1+DEBT!$K$33)+MAX(0,N(Underwriting!AT211))*DEBT!$N$33*DEBT!$P$33</f>
        <v>5821446.839764788</v>
      </c>
      <c r="EW26" s="313" t="n">
        <f>MIN(0,N(Underwriting!AU211))*(1+DEBT!$K$33)+MAX(0,N(Underwriting!AU211))*DEBT!$N$33*DEBT!$P$33</f>
        <v>6120456.302554323</v>
      </c>
      <c r="EX26" s="313" t="n">
        <f>MIN(0,N(Underwriting!AV211))*(1+DEBT!$K$33)+MAX(0,N(Underwriting!AV211))*DEBT!$N$33*DEBT!$P$33</f>
        <v>6323662.786430991</v>
      </c>
      <c r="EY26" s="313" t="n">
        <f>MIN(0,N(Underwriting!AW211))*(1+DEBT!$K$33)+MAX(0,N(Underwriting!AW211))*DEBT!$N$33*DEBT!$P$33</f>
        <v>5919886.608277757</v>
      </c>
      <c r="EZ26" s="313" t="n">
        <f>MIN(0,N(Underwriting!AX211))*(1+DEBT!$K$33)+MAX(0,N(Underwriting!AX211))*DEBT!$N$33*DEBT!$P$33</f>
        <v>5919886.608277757</v>
      </c>
      <c r="FA26" s="313" t="n">
        <f>MIN(0,N(Underwriting!AY211))*(1+DEBT!$K$33)+MAX(0,N(Underwriting!AY211))*DEBT!$N$33*DEBT!$P$33</f>
        <v>5919886.608277757</v>
      </c>
      <c r="FB26" s="313" t="n">
        <f>MIN(0,N(Underwriting!AZ211))*(1+DEBT!$K$33)+MAX(0,N(Underwriting!AZ211))*DEBT!$N$33*DEBT!$P$33</f>
        <v>5926854.161356722</v>
      </c>
      <c r="FC26" s="313" t="n">
        <f>MIN(0,N(Underwriting!BA211))*(1+DEBT!$K$33)+MAX(0,N(Underwriting!BA211))*DEBT!$N$33*DEBT!$P$33</f>
        <v>5926854.161356722</v>
      </c>
      <c r="FD26" s="313" t="n">
        <f>MIN(0,N(Underwriting!BB211))*(1+DEBT!$K$33)+MAX(0,N(Underwriting!BB211))*DEBT!$N$33*DEBT!$P$33</f>
        <v>5926854.161356722</v>
      </c>
      <c r="FE26" s="313" t="n">
        <f>MIN(0,N(Underwriting!BC211))*(1+DEBT!$K$33)+MAX(0,N(Underwriting!BC211))*DEBT!$N$33*DEBT!$P$33</f>
        <v>6107798.675267644</v>
      </c>
      <c r="FF26" t="n">
        <f>MIN(0,N(Underwriting!BD211))*(1+DEBT!$K$33)+MAX(0,N(Underwriting!BD211))*DEBT!$N$33*DEBT!$P$33</f>
        <v>6107798.675267644</v>
      </c>
      <c r="FG26" t="n">
        <f>MIN(0,N(Underwriting!BE211))*(1+DEBT!$K$33)+MAX(0,N(Underwriting!BE211))*DEBT!$N$33*DEBT!$P$33</f>
        <v>6107798.675267644</v>
      </c>
      <c r="FH26" t="n">
        <f>MIN(0,N(Underwriting!BF211))*(1+DEBT!$K$33)+MAX(0,N(Underwriting!BF211))*DEBT!$N$33*DEBT!$P$33</f>
        <v>6139925.9846426435</v>
      </c>
      <c r="FI26" t="n">
        <f>MIN(0,N(Underwriting!BG211))*(1+DEBT!$K$33)+MAX(0,N(Underwriting!BG211))*DEBT!$N$33*DEBT!$P$33</f>
        <v>6139925.9846426435</v>
      </c>
      <c r="FJ26" t="n">
        <f>MIN(0,N(Underwriting!BH211))*(1+DEBT!$K$33)+MAX(0,N(Underwriting!BH211))*DEBT!$N$33*DEBT!$P$33</f>
        <v>6139925.9846426435</v>
      </c>
      <c r="FK26" t="n">
        <f>MIN(0,N(Underwriting!BI211))*(1+DEBT!$K$33)+MAX(0,N(Underwriting!BI211))*DEBT!$N$33*DEBT!$P$33</f>
        <v>6146625.311895489</v>
      </c>
      <c r="FL26" t="n">
        <f>MIN(0,N(Underwriting!BJ211))*(1+DEBT!$K$33)+MAX(0,N(Underwriting!BJ211))*DEBT!$N$33*DEBT!$P$33</f>
        <v>6146625.311895489</v>
      </c>
      <c r="FM26" t="n">
        <f>MIN(0,N(Underwriting!BK211))*(1+DEBT!$K$33)+MAX(0,N(Underwriting!BK211))*DEBT!$N$33*DEBT!$P$33</f>
        <v>6146625.311895489</v>
      </c>
      <c r="FN26" t="n">
        <f>MIN(0,N(Underwriting!BL211))*(1+DEBT!$K$33)+MAX(0,N(Underwriting!BL211))*DEBT!$N$33*DEBT!$P$33</f>
        <v>6153581.191114238</v>
      </c>
      <c r="FO26" t="n">
        <f>MIN(0,N(Underwriting!BM211))*(1+DEBT!$K$33)+MAX(0,N(Underwriting!BM211))*DEBT!$N$33*DEBT!$P$33</f>
        <v>6153581.191114238</v>
      </c>
      <c r="FP26" t="n">
        <f>MIN(0,N(Underwriting!BN211))*(1+DEBT!$K$33)+MAX(0,N(Underwriting!BN211))*DEBT!$N$33*DEBT!$P$33</f>
        <v>6153581.191114238</v>
      </c>
      <c r="FQ26" t="n">
        <f>MIN(0,N(Underwriting!BO211))*(1+DEBT!$K$33)+MAX(0,N(Underwriting!BO211))*DEBT!$N$33*DEBT!$P$33</f>
        <v>6317352.335713406</v>
      </c>
      <c r="FR26" t="n">
        <f>MIN(0,N(Underwriting!BP211))*(1+DEBT!$K$33)+MAX(0,N(Underwriting!BP211))*DEBT!$N$33*DEBT!$P$33</f>
        <v>6317352.335713406</v>
      </c>
      <c r="FS26" t="n">
        <f>MIN(0,N(Underwriting!BQ211))*(1+DEBT!$K$33)+MAX(0,N(Underwriting!BQ211))*DEBT!$N$33*DEBT!$P$33</f>
        <v>6317352.335713406</v>
      </c>
      <c r="FT26" t="n">
        <f>MIN(0,N(Underwriting!BR211))*(1+DEBT!$K$33)+MAX(0,N(Underwriting!BR211))*DEBT!$N$33*DEBT!$P$33</f>
        <v>6350604.100916531</v>
      </c>
      <c r="FU26" t="n">
        <f>MIN(0,N(Underwriting!BS211))*(1+DEBT!$K$33)+MAX(0,N(Underwriting!BS211))*DEBT!$N$33*DEBT!$P$33</f>
        <v>6350604.100916531</v>
      </c>
      <c r="FV26" t="n">
        <f>MIN(0,N(Underwriting!BT211))*(1+DEBT!$K$33)+MAX(0,N(Underwriting!BT211))*DEBT!$N$33*DEBT!$P$33</f>
        <v>6350604.100916531</v>
      </c>
      <c r="FW26" t="n">
        <f>MIN(0,N(Underwriting!BU211))*(1+DEBT!$K$33)+MAX(0,N(Underwriting!BU211))*DEBT!$N$33*DEBT!$P$33</f>
        <v>1148597150.4179444</v>
      </c>
      <c r="FX26" t="n">
        <f>MIN(0,0)*(1+DEBT!$K$33)+MAX(0,0)*DEBT!$N$33*DEBT!$P$33</f>
        <v>0</v>
      </c>
      <c r="FY26" t="n">
        <f>MIN(0,0)*(1+DEBT!$K$33)+MAX(0,0)*DEBT!$N$33*DEBT!$P$33</f>
        <v>0</v>
      </c>
      <c r="FZ26" t="n">
        <f>MIN(0,0)*(1+DEBT!$K$33)+MAX(0,0)*DEBT!$N$33*DEBT!$P$33</f>
        <v>0</v>
      </c>
      <c r="GA26" t="n">
        <f>MIN(0,0)*(1+DEBT!$K$33)+MAX(0,0)*DEBT!$N$33*DEBT!$P$33</f>
        <v>0</v>
      </c>
      <c r="GB26" t="n">
        <f>MIN(0,0)*(1+DEBT!$K$33)+MAX(0,0)*DEBT!$N$33*DEBT!$P$33</f>
        <v>0</v>
      </c>
      <c r="GC26" t="n">
        <f>MIN(0,0)*(1+DEBT!$K$33)+MAX(0,0)*DEBT!$N$33*DEBT!$P$33</f>
        <v>0</v>
      </c>
    </row>
    <row r="27" ht="65">
      <c r="A27" s="311"/>
      <c r="B27" s="949" t="str">
        <f>'FUNDING &amp; CAP TABLE'!$A$8</f>
        <v>Mayabay Investments Pte Ltd</v>
      </c>
      <c r="C27" s="949" t="str">
        <f>'FUNDING &amp; CAP TABLE'!$H$8</f>
        <v>Mapped — provisional</v>
      </c>
      <c r="D27" s="951" t="n">
        <f>'FUNDING &amp; CAP TABLE'!$D$8</f>
        <v>15.001</v>
      </c>
      <c r="E27" s="951" t="n">
        <f>0</f>
        <v>0</v>
      </c>
      <c r="F27" s="951" t="n">
        <f>0</f>
        <v>0</v>
      </c>
      <c r="G27" s="951">
        <f t="shared" si="0"/>
        <v>15.000999999999999</v>
      </c>
      <c r="H27" s="950">
        <v>7.2912513885936114E-2</v>
      </c>
      <c r="I27" s="951">
        <f t="shared" si="1"/>
        <v>29.63041365095976</v>
      </c>
      <c r="J27" s="951">
        <f t="shared" si="2"/>
        <v>33.002507391963519</v>
      </c>
      <c r="K27" s="951">
        <f t="shared" si="3"/>
        <v>36.918415325171445</v>
      </c>
      <c r="L27" s="951">
        <f t="shared" si="4"/>
        <v>18.001507391963521</v>
      </c>
      <c r="M27" s="953">
        <f t="shared" si="5"/>
        <v>2.2000204914314727</v>
      </c>
      <c r="N27" s="950">
        <f t="shared" si="6"/>
        <v>0.25243591969602264</v>
      </c>
      <c r="O27" s="955" t="s">
        <v>854</v>
      </c>
      <c r="P27" s="955" t="s">
        <v>856</v>
      </c>
      <c r="CQ27" s="311" t="str">
        <f>Underwriting!$B$94</f>
        <v>Student Accommodation</v>
      </c>
      <c r="CR27" s="312" t="str">
        <f>IF(Underwriting!$I$94&gt;0,"NOI / cap rate","EBITDA multiple")</f>
        <v>EBITDA multiple</v>
      </c>
      <c r="CS27" s="315" t="n">
        <f>Underwriting!$E$94</f>
        <v>20000</v>
      </c>
      <c r="CT27" s="315" t="n">
        <f>Underwriting!$I$94/1000000</f>
        <v>0</v>
      </c>
      <c r="CU27" s="313" t="n">
        <f>IF(Underwriting!$I$94=0,0,$DA$10*Underwriting!$I$94/Underwriting!$I$105)</f>
        <v>0</v>
      </c>
      <c r="CV27" s="316" t="str">
        <f>IF(Underwriting!$I$94=0,"",$DA$11)</f>
      </c>
      <c r="CW27" s="313" t="n">
        <f>IF($CV27="",0,$CU27/$CV27)</f>
        <v>0</v>
      </c>
      <c r="CX27" s="315" t="n">
        <f>IF(Underwriting!$I$94=0,'Tenant Report'!$O$35,0)</f>
        <v>7.262535</v>
      </c>
      <c r="CY27" s="316" t="n">
        <f>IF($CX27=0,"",$CR$10)</f>
        <v>0.2</v>
      </c>
      <c r="CZ27" s="313" t="n">
        <f>$CX27*N($CY27)</f>
        <v>1.452507</v>
      </c>
      <c r="DA27" s="318" t="n">
        <f>IF($CX27=0,"",$CR$11)</f>
        <v>8</v>
      </c>
      <c r="DB27" s="313" t="n">
        <f>$CZ27*N($DA27)</f>
        <v>11.620056</v>
      </c>
      <c r="DC27" s="313" t="n">
        <f>SUM($CW27,$DB27)</f>
        <v>11.620056</v>
      </c>
      <c r="DD27" s="701" t="str">
        <f>IF(Underwriting!$I$94&gt;0,"Model rent allocation; property-only value.","Revenue linked to Tenant Report; margin and multiple illustrative.")</f>
        <v>Revenue linked to Tenant Report; margin and multiple illustrative.</v>
      </c>
      <c r="DE27" s="699"/>
      <c r="DF27" s="699"/>
      <c r="DG27" s="699"/>
      <c r="DH27" s="699"/>
      <c r="DI27" s="699"/>
      <c r="DJ27" s="699"/>
      <c r="DK27" s="699"/>
      <c r="DL27" s="699"/>
      <c r="DN27" s="313" t="n">
        <f>MIN(0,N(Underwriting!L212))*(DEBT!$M$37/DEBT!$M$38)+MAX(0,0)*DEBT!$N$31</f>
        <v>0</v>
      </c>
      <c r="DO27" s="313" t="n">
        <f>MIN(0,N(Underwriting!M212))*(DEBT!$M$37/DEBT!$M$38)+MAX(0,0)*DEBT!$N$31</f>
        <v>0</v>
      </c>
      <c r="DP27" s="313" t="n">
        <f>MIN(0,N(Underwriting!N212))*(DEBT!$M$37/DEBT!$M$38)+MAX(0,0)*DEBT!$N$31</f>
        <v>0</v>
      </c>
      <c r="DQ27" s="313" t="n">
        <f>MIN(0,N(Underwriting!O212))*(DEBT!$M$37/DEBT!$M$38)+MAX(0,0)*DEBT!$N$31</f>
        <v>-295960.0692991819</v>
      </c>
      <c r="DR27" s="313" t="n">
        <f>MIN(0,N(Underwriting!P212))*(DEBT!$M$37/DEBT!$M$38)+MAX(0,0)*DEBT!$N$31</f>
        <v>-945290.6339534152</v>
      </c>
      <c r="DS27" s="313" t="n">
        <f>MIN(0,N(Underwriting!Q212))*(DEBT!$M$37/DEBT!$M$38)+MAX(0,0)*DEBT!$N$31</f>
        <v>-1955849.2099329948</v>
      </c>
      <c r="DT27" s="313" t="n">
        <f>MIN(0,N(Underwriting!R212))*(DEBT!$M$37/DEBT!$M$38)+MAX(0,N(Underwriting!L212))*DEBT!$N$31</f>
        <v>-2244758.8506025462</v>
      </c>
      <c r="DU27" s="313" t="n">
        <f>MIN(0,N(Underwriting!S212))*(DEBT!$M$37/DEBT!$M$38)+MAX(0,N(Underwriting!M212))*DEBT!$N$31</f>
        <v>-3343322.6847250825</v>
      </c>
      <c r="DV27" s="313" t="n">
        <f>MIN(0,N(Underwriting!T212))*(DEBT!$M$37/DEBT!$M$38)+MAX(0,N(Underwriting!N212))*DEBT!$N$31</f>
        <v>-5301372.8584822025</v>
      </c>
      <c r="DW27" s="313" t="n">
        <f>MIN(0,N(Underwriting!U212))*(DEBT!$M$37/DEBT!$M$38)+MAX(0,N(Underwriting!O212))*DEBT!$N$31</f>
        <v>-7462285.410392462</v>
      </c>
      <c r="DX27" s="313" t="n">
        <f>MIN(0,N(Underwriting!V212))*(DEBT!$M$37/DEBT!$M$38)+MAX(0,N(Underwriting!P212))*DEBT!$N$31</f>
        <v>-9780155.226213904</v>
      </c>
      <c r="DY27" s="313" t="n">
        <f>MIN(0,N(Underwriting!W212))*(DEBT!$M$37/DEBT!$M$38)+MAX(0,N(Underwriting!Q212))*DEBT!$N$31</f>
        <v>-12301868.15152128</v>
      </c>
      <c r="DZ27" s="313" t="n">
        <f>MIN(0,N(Underwriting!X212))*(DEBT!$M$37/DEBT!$M$38)+MAX(0,N(Underwriting!R212))*DEBT!$N$31</f>
        <v>-14926941.624286162</v>
      </c>
      <c r="EA27" s="313" t="n">
        <f>MIN(0,N(Underwriting!Y212))*(DEBT!$M$37/DEBT!$M$38)+MAX(0,N(Underwriting!S212))*DEBT!$N$31</f>
        <v>-17525987.86673059</v>
      </c>
      <c r="EB27" s="313" t="n">
        <f>MIN(0,N(Underwriting!Z212))*(DEBT!$M$37/DEBT!$M$38)+MAX(0,N(Underwriting!T212))*DEBT!$N$31</f>
        <v>-19949898.27968832</v>
      </c>
      <c r="EC27" s="313" t="n">
        <f>MIN(0,N(Underwriting!AA212))*(DEBT!$M$37/DEBT!$M$38)+MAX(0,N(Underwriting!U212))*DEBT!$N$31</f>
        <v>-22043308.878157996</v>
      </c>
      <c r="ED27" s="313" t="n">
        <f>MIN(0,N(Underwriting!AB212))*(DEBT!$M$37/DEBT!$M$38)+MAX(0,N(Underwriting!V212))*DEBT!$N$31</f>
        <v>-4119689.310721721</v>
      </c>
      <c r="EE27" s="313" t="n">
        <f>MIN(0,N(Underwriting!AC212))*(DEBT!$M$37/DEBT!$M$38)+MAX(0,N(Underwriting!W212))*DEBT!$N$31</f>
        <v>0</v>
      </c>
      <c r="EF27" s="313" t="n">
        <f>MIN(0,N(Underwriting!AD212))*(DEBT!$M$37/DEBT!$M$38)+MAX(0,N(Underwriting!X212))*DEBT!$N$31</f>
        <v>0</v>
      </c>
      <c r="EG27" s="313" t="n">
        <f>MIN(0,N(Underwriting!AE212))*(DEBT!$M$37/DEBT!$M$38)+MAX(0,N(Underwriting!Y212))*DEBT!$N$31</f>
        <v>0</v>
      </c>
      <c r="EH27" s="313" t="n">
        <f>MIN(0,N(Underwriting!AF212))*(DEBT!$M$37/DEBT!$M$38)+MAX(0,N(Underwriting!Z212))*DEBT!$N$31</f>
        <v>0</v>
      </c>
      <c r="EI27" s="313" t="n">
        <f>MIN(0,N(Underwriting!AG212))*(DEBT!$M$37/DEBT!$M$38)+MAX(0,N(Underwriting!AA212))*DEBT!$N$31</f>
        <v>0</v>
      </c>
      <c r="EJ27" s="313" t="n">
        <f>MIN(0,N(Underwriting!AH212))*(DEBT!$M$37/DEBT!$M$38)+MAX(0,N(Underwriting!AB212))*DEBT!$N$31</f>
        <v>0</v>
      </c>
      <c r="EK27" s="313" t="n">
        <f>MIN(0,N(Underwriting!AI212))*(DEBT!$M$37/DEBT!$M$38)+MAX(0,N(Underwriting!AC212))*DEBT!$N$31</f>
        <v>682495.6422481938</v>
      </c>
      <c r="EL27" s="313" t="n">
        <f>MIN(0,N(Underwriting!AJ212))*(DEBT!$M$37/DEBT!$M$38)+MAX(0,N(Underwriting!AD212))*DEBT!$N$31</f>
        <v>2932042.8433106747</v>
      </c>
      <c r="EM27" s="313" t="n">
        <f>MIN(0,N(Underwriting!AK212))*(DEBT!$M$37/DEBT!$M$38)+MAX(0,N(Underwriting!AE212))*DEBT!$N$31</f>
        <v>2728529.681262138</v>
      </c>
      <c r="EN27" s="313" t="n">
        <f>MIN(0,N(Underwriting!AL212))*(DEBT!$M$37/DEBT!$M$38)+MAX(0,N(Underwriting!AF212))*DEBT!$N$31</f>
        <v>2598369.1513674464</v>
      </c>
      <c r="EO27" s="313" t="n">
        <f>MIN(0,N(Underwriting!AM212))*(DEBT!$M$37/DEBT!$M$38)+MAX(0,N(Underwriting!AG212))*DEBT!$N$31</f>
        <v>3103313.2665624954</v>
      </c>
      <c r="EP27" s="313" t="n">
        <f>MIN(0,N(Underwriting!AN212))*(DEBT!$M$37/DEBT!$M$38)+MAX(0,N(Underwriting!AH212))*DEBT!$N$31</f>
        <v>2984322.560711304</v>
      </c>
      <c r="EQ27" s="313" t="n">
        <f>MIN(0,N(Underwriting!AO212))*(DEBT!$M$37/DEBT!$M$38)+MAX(0,N(Underwriting!AI212))*DEBT!$N$31</f>
        <v>2874819.932021972</v>
      </c>
      <c r="ER27" s="313" t="n">
        <f>MIN(0,N(Underwriting!AP212))*(DEBT!$M$37/DEBT!$M$38)+MAX(0,N(Underwriting!AJ212))*DEBT!$N$31</f>
        <v>3020938.364727358</v>
      </c>
      <c r="ES27" s="313" t="n">
        <f>MIN(0,N(Underwriting!AQ212))*(DEBT!$M$37/DEBT!$M$38)+MAX(0,N(Underwriting!AK212))*DEBT!$N$31</f>
        <v>2934784.3242728226</v>
      </c>
      <c r="ET27" s="313" t="n">
        <f>MIN(0,N(Underwriting!AR212))*(DEBT!$M$37/DEBT!$M$38)+MAX(0,N(Underwriting!AL212))*DEBT!$N$31</f>
        <v>2861000.9817099073</v>
      </c>
      <c r="EU27" s="313" t="n">
        <f>MIN(0,N(Underwriting!AS212))*(DEBT!$M$37/DEBT!$M$38)+MAX(0,N(Underwriting!AM212))*DEBT!$N$31</f>
        <v>2949634.826397502</v>
      </c>
      <c r="EV27" s="313" t="n">
        <f>MIN(0,N(Underwriting!AT212))*(DEBT!$M$37/DEBT!$M$38)+MAX(0,N(Underwriting!AN212))*DEBT!$N$31</f>
        <v>2396296.293472948</v>
      </c>
      <c r="EW27" s="313" t="n">
        <f>MIN(0,N(Underwriting!AU212))*(DEBT!$M$37/DEBT!$M$38)+MAX(0,N(Underwriting!AO212))*DEBT!$N$31</f>
        <v>1261250.7223414355</v>
      </c>
      <c r="EX27" s="313" t="n">
        <f>MIN(0,N(Underwriting!AV212))*(DEBT!$M$37/DEBT!$M$38)+MAX(0,N(Underwriting!AP212))*DEBT!$N$31</f>
        <v>2112980.0959664593</v>
      </c>
      <c r="EY27" s="313" t="n">
        <f>MIN(0,N(Underwriting!AW212))*(DEBT!$M$37/DEBT!$M$38)+MAX(0,N(Underwriting!AQ212))*DEBT!$N$31</f>
        <v>2429703.300869842</v>
      </c>
      <c r="EZ27" s="313" t="n">
        <f>MIN(0,N(Underwriting!AX212))*(DEBT!$M$37/DEBT!$M$38)+MAX(0,N(Underwriting!AR212))*DEBT!$N$31</f>
        <v>2342624.569540504</v>
      </c>
      <c r="FA27" s="313" t="n">
        <f>MIN(0,N(Underwriting!AY212))*(DEBT!$M$37/DEBT!$M$38)+MAX(0,N(Underwriting!AS212))*DEBT!$N$31</f>
        <v>2834460.160248101</v>
      </c>
      <c r="FB27" s="313" t="n">
        <f>MIN(0,N(Underwriting!AZ212))*(DEBT!$M$37/DEBT!$M$38)+MAX(0,N(Underwriting!AT212))*DEBT!$N$31</f>
        <v>3152812.417900582</v>
      </c>
      <c r="FC27" s="313" t="n">
        <f>MIN(0,N(Underwriting!BA212))*(DEBT!$M$37/DEBT!$M$38)+MAX(0,N(Underwriting!AU212))*DEBT!$N$31</f>
        <v>3226942.5021720715</v>
      </c>
      <c r="FD27" s="313" t="n">
        <f>MIN(0,N(Underwriting!BB212))*(DEBT!$M$37/DEBT!$M$38)+MAX(0,N(Underwriting!AV212))*DEBT!$N$31</f>
        <v>3281546.2611671197</v>
      </c>
      <c r="FE27" s="313" t="n">
        <f>MIN(0,N(Underwriting!BC212))*(DEBT!$M$37/DEBT!$M$38)+MAX(0,N(Underwriting!AW212))*DEBT!$N$31</f>
        <v>2942796.535564277</v>
      </c>
      <c r="FF27" t="n">
        <f>MIN(0,N(Underwriting!BD212))*(DEBT!$M$37/DEBT!$M$38)+MAX(0,N(Underwriting!AX212))*DEBT!$N$31</f>
        <v>2932650.4396039867</v>
      </c>
      <c r="FG27" t="n">
        <f>MIN(0,N(Underwriting!BE212))*(DEBT!$M$37/DEBT!$M$38)+MAX(0,N(Underwriting!AY212))*DEBT!$N$31</f>
        <v>2922428.247923995</v>
      </c>
      <c r="FH27" t="n">
        <f>MIN(0,N(Underwriting!BF212))*(DEBT!$M$37/DEBT!$M$38)+MAX(0,N(Underwriting!AZ212))*DEBT!$N$31</f>
        <v>2917185.210634678</v>
      </c>
      <c r="FI27" t="n">
        <f>MIN(0,N(Underwriting!BG212))*(DEBT!$M$37/DEBT!$M$38)+MAX(0,N(Underwriting!BA212))*DEBT!$N$31</f>
        <v>2906809.111081204</v>
      </c>
      <c r="FJ27" t="n">
        <f>MIN(0,N(Underwriting!BH212))*(DEBT!$M$37/DEBT!$M$38)+MAX(0,N(Underwriting!BB212))*DEBT!$N$31</f>
        <v>2896355.190781079</v>
      </c>
      <c r="FK27" t="n">
        <f>MIN(0,N(Underwriting!BI212))*(DEBT!$M$37/DEBT!$M$38)+MAX(0,N(Underwriting!BC212))*DEBT!$N$31</f>
        <v>3017120.4725446776</v>
      </c>
      <c r="FL27" t="n">
        <f>MIN(0,N(Underwriting!BJ212))*(DEBT!$M$37/DEBT!$M$38)+MAX(0,N(Underwriting!BD212))*DEBT!$N$31</f>
        <v>3006509.155407034</v>
      </c>
      <c r="FM27" t="n">
        <f>MIN(0,N(Underwriting!BK212))*(DEBT!$M$37/DEBT!$M$38)+MAX(0,N(Underwriting!BE212))*DEBT!$N$31</f>
        <v>2995818.2533908584</v>
      </c>
      <c r="FN27" t="n">
        <f>MIN(0,N(Underwriting!BL212))*(DEBT!$M$37/DEBT!$M$38)+MAX(0,N(Underwriting!BF212))*DEBT!$N$31</f>
        <v>3008359.5029428946</v>
      </c>
      <c r="FO27" t="n">
        <f>MIN(0,N(Underwriting!BM212))*(DEBT!$M$37/DEBT!$M$38)+MAX(0,N(Underwriting!BG212))*DEBT!$N$31</f>
        <v>2997507.636033238</v>
      </c>
      <c r="FP27" t="n">
        <f>MIN(0,N(Underwriting!BN212))*(DEBT!$M$37/DEBT!$M$38)+MAX(0,N(Underwriting!BH212))*DEBT!$N$31</f>
        <v>2986574.380121758</v>
      </c>
      <c r="FQ27" t="n">
        <f>MIN(0,N(Underwriting!BO212))*(DEBT!$M$37/DEBT!$M$38)+MAX(0,N(Underwriting!BI212))*DEBT!$N$31</f>
        <v>2980420.3146342766</v>
      </c>
      <c r="FR27" t="n">
        <f>MIN(0,N(Underwriting!BP212))*(DEBT!$M$37/DEBT!$M$38)+MAX(0,N(Underwriting!BJ212))*DEBT!$N$31</f>
        <v>2969322.4448884795</v>
      </c>
      <c r="FS27" t="n">
        <f>MIN(0,N(Underwriting!BQ212))*(DEBT!$M$37/DEBT!$M$38)+MAX(0,N(Underwriting!BK212))*DEBT!$N$31</f>
        <v>2958141.3411195897</v>
      </c>
      <c r="FT27" t="n">
        <f>MIN(0,N(Underwriting!BR212))*(DEBT!$M$37/DEBT!$M$38)+MAX(0,N(Underwriting!BL212))*DEBT!$N$31</f>
        <v>2951923.729072433</v>
      </c>
      <c r="FU27" t="n">
        <f>MIN(0,N(Underwriting!BS212))*(DEBT!$M$37/DEBT!$M$38)+MAX(0,N(Underwriting!BM212))*DEBT!$N$31</f>
        <v>2940574.279809922</v>
      </c>
      <c r="FV27" t="n">
        <f>MIN(0,N(Underwriting!BT212))*(DEBT!$M$37/DEBT!$M$38)+MAX(0,N(Underwriting!BN212))*DEBT!$N$31</f>
        <v>2929139.709677943</v>
      </c>
      <c r="FW27" t="n">
        <f>MIN(0,N(Underwriting!BU212))*(DEBT!$M$37/DEBT!$M$38)+MAX(0,N(Underwriting!BO212))*DEBT!$N$31</f>
        <v>3036455.584967783</v>
      </c>
      <c r="FX27" t="n">
        <f>MIN(0,0)*(DEBT!$M$37/DEBT!$M$38)+MAX(0,N(Underwriting!BP212))*DEBT!$N$31</f>
        <v>3024848.8530892543</v>
      </c>
      <c r="FY27" t="n">
        <f>MIN(0,0)*(DEBT!$M$37/DEBT!$M$38)+MAX(0,N(Underwriting!BQ212))*DEBT!$N$31</f>
        <v>3013155.070721637</v>
      </c>
      <c r="FZ27" t="n">
        <f>MIN(0,0)*(DEBT!$M$37/DEBT!$M$38)+MAX(0,N(Underwriting!BR212))*DEBT!$N$31</f>
        <v>3025501.849986261</v>
      </c>
      <c r="GA27" t="n">
        <f>MIN(0,0)*(DEBT!$M$37/DEBT!$M$38)+MAX(0,N(Underwriting!BS212))*DEBT!$N$31</f>
        <v>3013632.0031078714</v>
      </c>
      <c r="GB27" t="n">
        <f>MIN(0,0)*(DEBT!$M$37/DEBT!$M$38)+MAX(0,N(Underwriting!BT212))*DEBT!$N$31</f>
        <v>3001673.1323778927</v>
      </c>
      <c r="GC27" t="n">
        <f>MIN(0,0)*(DEBT!$M$37/DEBT!$M$38)+MAX(0,N(Underwriting!BU212))*DEBT!$N$31</f>
        <v>661092661.32932</v>
      </c>
    </row>
    <row r="28" ht="65">
      <c r="A28" s="311"/>
      <c r="B28" s="949" t="str">
        <f>'FUNDING &amp; CAP TABLE'!$A$10</f>
        <v>Brian Mirnoff</v>
      </c>
      <c r="C28" s="949" t="str">
        <f>'FUNDING &amp; CAP TABLE'!$H$10</f>
        <v>Mapped — provisional</v>
      </c>
      <c r="D28" s="951" t="n">
        <f>'FUNDING &amp; CAP TABLE'!$D$10</f>
        <v>5</v>
      </c>
      <c r="E28" s="951" t="n">
        <f>0</f>
        <v>0</v>
      </c>
      <c r="F28" s="951" t="n">
        <f>0</f>
        <v>0</v>
      </c>
      <c r="G28" s="951">
        <f t="shared" si="0"/>
        <v>5</v>
      </c>
      <c r="H28" s="950">
        <v>2.4302551125237021E-2</v>
      </c>
      <c r="I28" s="951">
        <f t="shared" si="1"/>
        <v>9.8761461405772142</v>
      </c>
      <c r="J28" s="951">
        <f t="shared" si="2"/>
        <v>11.000102457157363</v>
      </c>
      <c r="K28" s="951">
        <f t="shared" si="3"/>
        <v>12.30531808718467</v>
      </c>
      <c r="L28" s="951">
        <f t="shared" si="4"/>
        <v>6.0001024571573627</v>
      </c>
      <c r="M28" s="953">
        <f t="shared" si="5"/>
        <v>2.2000204914314727</v>
      </c>
      <c r="N28" s="950">
        <f t="shared" si="6"/>
        <v>0.25243591969602264</v>
      </c>
      <c r="O28" s="955" t="s">
        <v>854</v>
      </c>
      <c r="P28" s="955" t="s">
        <v>857</v>
      </c>
      <c r="CQ28" s="311" t="str">
        <f>Underwriting!$B$95</f>
        <v>LiveHouse</v>
      </c>
      <c r="CR28" s="312" t="str">
        <f>IF(Underwriting!$I$95&gt;0,"NOI / cap rate","EBITDA multiple")</f>
        <v>NOI / cap rate</v>
      </c>
      <c r="CS28" s="315" t="n">
        <f>Underwriting!$E$95</f>
        <v>6500</v>
      </c>
      <c r="CT28" s="315" t="n">
        <f>Underwriting!$I$95/1000000</f>
        <v>2.6</v>
      </c>
      <c r="CU28" s="313" t="n">
        <f>IF(Underwriting!$I$95=0,0,$DA$10*Underwriting!$I$95/Underwriting!$I$105)</f>
        <v>7.273279885947735</v>
      </c>
      <c r="CV28" s="316" t="n">
        <f>IF(Underwriting!$I$95=0,"",$DA$11)</f>
        <v>0.06700819672131147</v>
      </c>
      <c r="CW28" s="313" t="n">
        <f>IF($CV28="",0,$CU28/$CV28)</f>
        <v>108.54313713585611</v>
      </c>
      <c r="CX28" s="315" t="n">
        <f>IF(Underwriting!$I$95=0,'Tenant Report'!$O$36,0)</f>
        <v>0</v>
      </c>
      <c r="CY28" s="316" t="str">
        <f>IF($CX28=0,"",$CR$10)</f>
      </c>
      <c r="CZ28" s="313" t="n">
        <f>$CX28*N($CY28)</f>
        <v>0</v>
      </c>
      <c r="DA28" s="318" t="str">
        <f>IF($CX28=0,"",$CR$11)</f>
      </c>
      <c r="DB28" s="313" t="n">
        <f>$CZ28*N($DA28)</f>
        <v>0</v>
      </c>
      <c r="DC28" s="313" t="n">
        <f>SUM($CW28,$DB28)</f>
        <v>108.54313713585611</v>
      </c>
      <c r="DD28" s="701" t="str">
        <f>IF(Underwriting!$I$95&gt;0,"Model rent allocation; property-only value.","Revenue linked to Tenant Report; margin and multiple illustrative.")</f>
        <v>Model rent allocation; property-only value.</v>
      </c>
      <c r="DE28" s="699"/>
      <c r="DF28" s="699"/>
      <c r="DG28" s="699"/>
      <c r="DH28" s="699"/>
      <c r="DI28" s="699"/>
      <c r="DJ28" s="699"/>
      <c r="DK28" s="699"/>
      <c r="DL28" s="699"/>
      <c r="DN28" s="313" t="n">
        <f>N(Underwriting!L212)</f>
        <v>0</v>
      </c>
      <c r="DO28" s="313" t="n">
        <f>N(Underwriting!M212)</f>
        <v>413948.37929137197</v>
      </c>
      <c r="DP28" s="313" t="n">
        <f>N(Underwriting!N212)</f>
        <v>142737.9822033968</v>
      </c>
      <c r="DQ28" s="313" t="n">
        <f>N(Underwriting!O212)</f>
        <v>-244595.09859436523</v>
      </c>
      <c r="DR28" s="313" t="n">
        <f>N(Underwriting!P212)</f>
        <v>-781231.92888712</v>
      </c>
      <c r="DS28" s="313" t="n">
        <f>N(Underwriting!Q212)</f>
        <v>-1616404.3057297477</v>
      </c>
      <c r="DT28" s="313" t="n">
        <f>N(Underwriting!R212)</f>
        <v>-1855172.603803757</v>
      </c>
      <c r="DU28" s="313" t="n">
        <f>N(Underwriting!S212)</f>
        <v>-3036761.477816678</v>
      </c>
      <c r="DV28" s="313" t="n">
        <f>N(Underwriting!T212)</f>
        <v>-4475672.102681752</v>
      </c>
      <c r="DW28" s="313" t="n">
        <f>N(Underwriting!U212)</f>
        <v>-6167178.025117737</v>
      </c>
      <c r="DX28" s="313" t="n">
        <f>N(Underwriting!V212)</f>
        <v>-8082772.914226367</v>
      </c>
      <c r="DY28" s="313" t="n">
        <f>N(Underwriting!W212)</f>
        <v>-10166833.18307544</v>
      </c>
      <c r="DZ28" s="313" t="n">
        <f>N(Underwriting!X212)</f>
        <v>-12336315.391972035</v>
      </c>
      <c r="EA28" s="313" t="n">
        <f>N(Underwriting!Y212)</f>
        <v>-14484287.493165776</v>
      </c>
      <c r="EB28" s="313" t="n">
        <f>N(Underwriting!Z212)</f>
        <v>-16487519.239411835</v>
      </c>
      <c r="EC28" s="313" t="n">
        <f>N(Underwriting!AA212)</f>
        <v>-18217610.643105783</v>
      </c>
      <c r="ED28" s="313" t="n">
        <f>N(Underwriting!AB212)</f>
        <v>-3404701.909687373</v>
      </c>
      <c r="EE28" s="313" t="n">
        <f>N(Underwriting!AC212)</f>
        <v>853119.5528102423</v>
      </c>
      <c r="EF28" s="313" t="n">
        <f>N(Underwriting!AD212)</f>
        <v>3665053.554138343</v>
      </c>
      <c r="EG28" s="313" t="n">
        <f>N(Underwriting!AE212)</f>
        <v>3410662.101577672</v>
      </c>
      <c r="EH28" s="313" t="n">
        <f>N(Underwriting!AF212)</f>
        <v>3247961.4392093075</v>
      </c>
      <c r="EI28" s="313" t="n">
        <f>N(Underwriting!AG212)</f>
        <v>3879141.583203119</v>
      </c>
      <c r="EJ28" s="313" t="n">
        <f>N(Underwriting!AH212)</f>
        <v>3730403.20088913</v>
      </c>
      <c r="EK28" s="313" t="n">
        <f>N(Underwriting!AI212)</f>
        <v>3593524.9150274647</v>
      </c>
      <c r="EL28" s="313" t="n">
        <f>N(Underwriting!AJ212)</f>
        <v>3776172.955909197</v>
      </c>
      <c r="EM28" s="313" t="n">
        <f>N(Underwriting!AK212)</f>
        <v>3668480.4053410282</v>
      </c>
      <c r="EN28" s="313" t="n">
        <f>N(Underwriting!AL212)</f>
        <v>3576251.227137384</v>
      </c>
      <c r="EO28" s="313" t="n">
        <f>N(Underwriting!AM212)</f>
        <v>3687043.532996877</v>
      </c>
      <c r="EP28" s="313" t="n">
        <f>N(Underwriting!AN212)</f>
        <v>2995370.366841185</v>
      </c>
      <c r="EQ28" s="313" t="n">
        <f>N(Underwriting!AO212)</f>
        <v>1576563.4029267943</v>
      </c>
      <c r="ER28" s="313" t="n">
        <f>N(Underwriting!AP212)</f>
        <v>2641225.119958074</v>
      </c>
      <c r="ES28" s="313" t="n">
        <f>N(Underwriting!AQ212)</f>
        <v>3037129.1260873023</v>
      </c>
      <c r="ET28" s="313" t="n">
        <f>N(Underwriting!AR212)</f>
        <v>2928280.71192563</v>
      </c>
      <c r="EU28" s="313" t="n">
        <f>N(Underwriting!AS212)</f>
        <v>3543075.2003101264</v>
      </c>
      <c r="EV28" s="313" t="n">
        <f>N(Underwriting!AT212)</f>
        <v>3941015.522375727</v>
      </c>
      <c r="EW28" s="313" t="n">
        <f>N(Underwriting!AU212)</f>
        <v>4033678.1277150894</v>
      </c>
      <c r="EX28" s="313" t="n">
        <f>N(Underwriting!AV212)</f>
        <v>4101932.8264588993</v>
      </c>
      <c r="EY28" s="313" t="n">
        <f>N(Underwriting!AW212)</f>
        <v>3678495.6694553457</v>
      </c>
      <c r="EZ28" s="313" t="n">
        <f>N(Underwriting!AX212)</f>
        <v>3665813.0495049832</v>
      </c>
      <c r="FA28" s="313" t="n">
        <f>N(Underwriting!AY212)</f>
        <v>3653035.3099049935</v>
      </c>
      <c r="FB28" s="313" t="n">
        <f>N(Underwriting!AZ212)</f>
        <v>3646481.5132933473</v>
      </c>
      <c r="FC28" s="313" t="n">
        <f>N(Underwriting!BA212)</f>
        <v>3633511.388851505</v>
      </c>
      <c r="FD28" s="313" t="n">
        <f>N(Underwriting!BB212)</f>
        <v>3620443.988476349</v>
      </c>
      <c r="FE28" s="313" t="n">
        <f>N(Underwriting!BC212)</f>
        <v>3771400.590680847</v>
      </c>
      <c r="FF28" t="n">
        <f>N(Underwriting!BD212)</f>
        <v>3758136.4442587923</v>
      </c>
      <c r="FG28" t="n">
        <f>N(Underwriting!BE212)</f>
        <v>3744772.816738573</v>
      </c>
      <c r="FH28" t="n">
        <f>N(Underwriting!BF212)</f>
        <v>3760449.378678618</v>
      </c>
      <c r="FI28" t="n">
        <f>N(Underwriting!BG212)</f>
        <v>3746884.545041547</v>
      </c>
      <c r="FJ28" t="n">
        <f>N(Underwriting!BH212)</f>
        <v>3733217.9751521973</v>
      </c>
      <c r="FK28" t="n">
        <f>N(Underwriting!BI212)</f>
        <v>3725525.393292845</v>
      </c>
      <c r="FL28" t="n">
        <f>N(Underwriting!BJ212)</f>
        <v>3711653.056110599</v>
      </c>
      <c r="FM28" t="n">
        <f>N(Underwriting!BK212)</f>
        <v>3697676.676399487</v>
      </c>
      <c r="FN28" t="n">
        <f>N(Underwriting!BL212)</f>
        <v>3689904.661340541</v>
      </c>
      <c r="FO28" t="n">
        <f>N(Underwriting!BM212)</f>
        <v>3675717.8497624025</v>
      </c>
      <c r="FP28" t="n">
        <f>N(Underwriting!BN212)</f>
        <v>3661424.6370974286</v>
      </c>
      <c r="FQ28" t="n">
        <f>N(Underwriting!BO212)</f>
        <v>3795569.481209729</v>
      </c>
      <c r="FR28" t="n">
        <f>N(Underwriting!BP212)</f>
        <v>3781061.066361568</v>
      </c>
      <c r="FS28" t="n">
        <f>N(Underwriting!BQ212)</f>
        <v>3766443.838402046</v>
      </c>
      <c r="FT28" t="n">
        <f>N(Underwriting!BR212)</f>
        <v>3781877.3124828264</v>
      </c>
      <c r="FU28" t="n">
        <f>N(Underwriting!BS212)</f>
        <v>3767040.003884839</v>
      </c>
      <c r="FV28" t="n">
        <f>N(Underwriting!BT212)</f>
        <v>3752091.415472366</v>
      </c>
      <c r="FW28" t="n">
        <f>N(Underwriting!BU212)</f>
        <v>826365826.6616498</v>
      </c>
      <c r="FX28" t="n">
        <f>0</f>
        <v>0</v>
      </c>
      <c r="FY28" t="n">
        <f>0</f>
        <v>0</v>
      </c>
      <c r="FZ28" t="n">
        <f>0</f>
        <v>0</v>
      </c>
      <c r="GA28" t="n">
        <f>0</f>
        <v>0</v>
      </c>
      <c r="GB28" t="n">
        <f>0</f>
        <v>0</v>
      </c>
      <c r="GC28" t="n">
        <f>0</f>
        <v>0</v>
      </c>
    </row>
    <row r="29" ht="65">
      <c r="A29" s="311"/>
      <c r="B29" s="949" t="str">
        <f>'FUNDING &amp; CAP TABLE'!$A$11</f>
        <v>Belgravia</v>
      </c>
      <c r="C29" s="949" t="str">
        <f>'FUNDING &amp; CAP TABLE'!$H$11</f>
        <v>Mapped — provisional</v>
      </c>
      <c r="D29" s="951" t="n">
        <f>'FUNDING &amp; CAP TABLE'!$D$11</f>
        <v>2</v>
      </c>
      <c r="E29" s="951" t="n">
        <f>0</f>
        <v>0</v>
      </c>
      <c r="F29" s="951" t="n">
        <f>0</f>
        <v>0</v>
      </c>
      <c r="G29" s="951">
        <f t="shared" si="0"/>
        <v>2</v>
      </c>
      <c r="H29" s="950">
        <v>9.721020450094809E-3</v>
      </c>
      <c r="I29" s="951">
        <f t="shared" si="1"/>
        <v>3.9504584562308862</v>
      </c>
      <c r="J29" s="951">
        <f t="shared" si="2"/>
        <v>4.4000409828629454</v>
      </c>
      <c r="K29" s="951">
        <f t="shared" si="3"/>
        <v>4.9221272348738676</v>
      </c>
      <c r="L29" s="951">
        <f t="shared" si="4"/>
        <v>2.4000409828629454</v>
      </c>
      <c r="M29" s="953">
        <f t="shared" si="5"/>
        <v>2.2000204914314727</v>
      </c>
      <c r="N29" s="950">
        <f t="shared" si="6"/>
        <v>0.25243591969602264</v>
      </c>
      <c r="O29" s="955" t="s">
        <v>854</v>
      </c>
      <c r="P29" s="955" t="s">
        <v>858</v>
      </c>
      <c r="CQ29" s="311" t="str">
        <f>Underwriting!$B$96</f>
        <v>Flexible Retail/F&amp;B</v>
      </c>
      <c r="CR29" s="312" t="str">
        <f>IF(Underwriting!$I$96&gt;0,"NOI / cap rate","EBITDA multiple")</f>
        <v>NOI / cap rate</v>
      </c>
      <c r="CS29" s="315" t="n">
        <f>Underwriting!$E$96</f>
        <v>150</v>
      </c>
      <c r="CT29" s="315" t="n">
        <f>Underwriting!$I$96/1000000</f>
        <v>0.09</v>
      </c>
      <c r="CU29" s="313" t="n">
        <f>IF(Underwriting!$I$96=0,0,$DA$10*Underwriting!$I$96/Underwriting!$I$105)</f>
        <v>0.2517673806674216</v>
      </c>
      <c r="CV29" s="316" t="n">
        <f>IF(Underwriting!$I$96=0,"",$DA$11)</f>
        <v>0.06700819672131147</v>
      </c>
      <c r="CW29" s="313" t="n">
        <f>IF($CV29="",0,$CU29/$CV29)</f>
        <v>3.757262439318096</v>
      </c>
      <c r="CX29" s="315" t="n">
        <f>IF(Underwriting!$I$96=0,'Tenant Report'!$O$37,0)</f>
        <v>0</v>
      </c>
      <c r="CY29" s="316" t="str">
        <f>IF($CX29=0,"",$CR$10)</f>
      </c>
      <c r="CZ29" s="313" t="n">
        <f>$CX29*N($CY29)</f>
        <v>0</v>
      </c>
      <c r="DA29" s="318" t="str">
        <f>IF($CX29=0,"",$CR$11)</f>
      </c>
      <c r="DB29" s="313" t="n">
        <f>$CZ29*N($DA29)</f>
        <v>0</v>
      </c>
      <c r="DC29" s="313" t="n">
        <f>SUM($CW29,$DB29)</f>
        <v>3.757262439318096</v>
      </c>
      <c r="DD29" s="701" t="str">
        <f>IF(Underwriting!$I$96&gt;0,"Model rent allocation; property-only value.","Revenue linked to Tenant Report; margin and multiple illustrative.")</f>
        <v>Model rent allocation; property-only value.</v>
      </c>
      <c r="DE29" s="699"/>
      <c r="DF29" s="699"/>
      <c r="DG29" s="699"/>
      <c r="DH29" s="699"/>
      <c r="DI29" s="699"/>
      <c r="DJ29" s="699"/>
      <c r="DK29" s="699"/>
      <c r="DL29" s="699"/>
      <c r="DN29" s="313" t="n">
        <f>MIN(0,N(Underwriting!L212))*(DEBT!$M$39/DEBT!$M$38)+MAX(0,N(Underwriting!L212))*DEBT!$N$33</f>
        <v>0</v>
      </c>
      <c r="DO29" s="313" t="n">
        <f>MIN(0,N(Underwriting!M212))*(DEBT!$M$39/DEBT!$M$38)+MAX(0,N(Underwriting!M212))*DEBT!$N$33</f>
        <v>434645.7982559406</v>
      </c>
      <c r="DP29" s="313" t="n">
        <f>MIN(0,N(Underwriting!N212))*(DEBT!$M$39/DEBT!$M$38)+MAX(0,N(Underwriting!N212))*DEBT!$N$33</f>
        <v>149874.88131356664</v>
      </c>
      <c r="DQ29" s="313" t="n">
        <f>MIN(0,N(Underwriting!O212))*(DEBT!$M$39/DEBT!$M$38)+MAX(0,N(Underwriting!O212))*DEBT!$N$33</f>
        <v>-232365.34366464696</v>
      </c>
      <c r="DR29" s="313" t="n">
        <f>MIN(0,N(Underwriting!P212))*(DEBT!$M$39/DEBT!$M$38)+MAX(0,N(Underwriting!P212))*DEBT!$N$33</f>
        <v>-742170.332442764</v>
      </c>
      <c r="DS29" s="313" t="n">
        <f>MIN(0,N(Underwriting!Q212))*(DEBT!$M$39/DEBT!$M$38)+MAX(0,N(Underwriting!Q212))*DEBT!$N$33</f>
        <v>-1535584.0904432603</v>
      </c>
      <c r="DT29" s="313" t="n">
        <f>MIN(0,N(Underwriting!R212))*(DEBT!$M$39/DEBT!$M$38)+MAX(0,N(Underwriting!R212))*DEBT!$N$33</f>
        <v>-1762413.9736135693</v>
      </c>
      <c r="DU29" s="313" t="n">
        <f>MIN(0,N(Underwriting!S212))*(DEBT!$M$39/DEBT!$M$38)+MAX(0,N(Underwriting!S212))*DEBT!$N$33</f>
        <v>-2884923.403925844</v>
      </c>
      <c r="DV29" s="313" t="n">
        <f>MIN(0,N(Underwriting!T212))*(DEBT!$M$39/DEBT!$M$38)+MAX(0,N(Underwriting!T212))*DEBT!$N$33</f>
        <v>-4251888.497547665</v>
      </c>
      <c r="DW29" s="313" t="n">
        <f>MIN(0,N(Underwriting!U212))*(DEBT!$M$39/DEBT!$M$38)+MAX(0,N(Underwriting!U212))*DEBT!$N$33</f>
        <v>-5858819.12386185</v>
      </c>
      <c r="DX29" s="313" t="n">
        <f>MIN(0,N(Underwriting!V212))*(DEBT!$M$39/DEBT!$M$38)+MAX(0,N(Underwriting!V212))*DEBT!$N$33</f>
        <v>-7678634.268515049</v>
      </c>
      <c r="DY29" s="313" t="n">
        <f>MIN(0,N(Underwriting!W212))*(DEBT!$M$39/DEBT!$M$38)+MAX(0,N(Underwriting!W212))*DEBT!$N$33</f>
        <v>-9658491.523921667</v>
      </c>
      <c r="DZ29" s="313" t="n">
        <f>MIN(0,N(Underwriting!X212))*(DEBT!$M$39/DEBT!$M$38)+MAX(0,N(Underwriting!X212))*DEBT!$N$33</f>
        <v>-11719499.622373434</v>
      </c>
      <c r="EA29" s="313" t="n">
        <f>MIN(0,N(Underwriting!Y212))*(DEBT!$M$39/DEBT!$M$38)+MAX(0,N(Underwriting!Y212))*DEBT!$N$33</f>
        <v>-13760073.118507486</v>
      </c>
      <c r="EB29" s="313" t="n">
        <f>MIN(0,N(Underwriting!Z212))*(DEBT!$M$39/DEBT!$M$38)+MAX(0,N(Underwriting!Z212))*DEBT!$N$33</f>
        <v>-15663143.277441243</v>
      </c>
      <c r="EC29" s="313" t="n">
        <f>MIN(0,N(Underwriting!AA212))*(DEBT!$M$39/DEBT!$M$38)+MAX(0,N(Underwriting!AA212))*DEBT!$N$33</f>
        <v>-17306730.110950492</v>
      </c>
      <c r="ED29" s="313" t="n">
        <f>MIN(0,N(Underwriting!AB212))*(DEBT!$M$39/DEBT!$M$38)+MAX(0,N(Underwriting!AB212))*DEBT!$N$33</f>
        <v>-3234466.814203004</v>
      </c>
      <c r="EE29" s="313" t="n">
        <f>MIN(0,N(Underwriting!AC212))*(DEBT!$M$39/DEBT!$M$38)+MAX(0,N(Underwriting!AC212))*DEBT!$N$33</f>
        <v>895775.5304507544</v>
      </c>
      <c r="EF29" s="313" t="n">
        <f>MIN(0,N(Underwriting!AD212))*(DEBT!$M$39/DEBT!$M$38)+MAX(0,N(Underwriting!AD212))*DEBT!$N$33</f>
        <v>3848306.23184526</v>
      </c>
      <c r="EG29" s="313" t="n">
        <f>MIN(0,N(Underwriting!AE212))*(DEBT!$M$39/DEBT!$M$38)+MAX(0,N(Underwriting!AE212))*DEBT!$N$33</f>
        <v>3581195.206656556</v>
      </c>
      <c r="EH29" s="313" t="n">
        <f>MIN(0,N(Underwriting!AF212))*(DEBT!$M$39/DEBT!$M$38)+MAX(0,N(Underwriting!AF212))*DEBT!$N$33</f>
        <v>3410359.511169773</v>
      </c>
      <c r="EI29" s="313" t="n">
        <f>MIN(0,N(Underwriting!AG212))*(DEBT!$M$39/DEBT!$M$38)+MAX(0,N(Underwriting!AG212))*DEBT!$N$33</f>
        <v>4073098.6623632754</v>
      </c>
      <c r="EJ29" s="313" t="n">
        <f>MIN(0,N(Underwriting!AH212))*(DEBT!$M$39/DEBT!$M$38)+MAX(0,N(Underwriting!AH212))*DEBT!$N$33</f>
        <v>3916923.360933587</v>
      </c>
      <c r="EK29" s="313" t="n">
        <f>MIN(0,N(Underwriting!AI212))*(DEBT!$M$39/DEBT!$M$38)+MAX(0,N(Underwriting!AI212))*DEBT!$N$33</f>
        <v>3773201.160778838</v>
      </c>
      <c r="EL29" s="313" t="n">
        <f>MIN(0,N(Underwriting!AJ212))*(DEBT!$M$39/DEBT!$M$38)+MAX(0,N(Underwriting!AJ212))*DEBT!$N$33</f>
        <v>3964981.6037046574</v>
      </c>
      <c r="EM29" s="313" t="n">
        <f>MIN(0,N(Underwriting!AK212))*(DEBT!$M$39/DEBT!$M$38)+MAX(0,N(Underwriting!AK212))*DEBT!$N$33</f>
        <v>3851904.42560808</v>
      </c>
      <c r="EN29" s="313" t="n">
        <f>MIN(0,N(Underwriting!AL212))*(DEBT!$M$39/DEBT!$M$38)+MAX(0,N(Underwriting!AL212))*DEBT!$N$33</f>
        <v>3755063.7884942535</v>
      </c>
      <c r="EO29" s="313" t="n">
        <f>MIN(0,N(Underwriting!AM212))*(DEBT!$M$39/DEBT!$M$38)+MAX(0,N(Underwriting!AM212))*DEBT!$N$33</f>
        <v>3871395.709646721</v>
      </c>
      <c r="EP29" s="313" t="n">
        <f>MIN(0,N(Underwriting!AN212))*(DEBT!$M$39/DEBT!$M$38)+MAX(0,N(Underwriting!AN212))*DEBT!$N$33</f>
        <v>3145138.8851832445</v>
      </c>
      <c r="EQ29" s="313" t="n">
        <f>MIN(0,N(Underwriting!AO212))*(DEBT!$M$39/DEBT!$M$38)+MAX(0,N(Underwriting!AO212))*DEBT!$N$33</f>
        <v>1655391.573073134</v>
      </c>
      <c r="ER29" s="313" t="n">
        <f>MIN(0,N(Underwriting!AP212))*(DEBT!$M$39/DEBT!$M$38)+MAX(0,N(Underwriting!AP212))*DEBT!$N$33</f>
        <v>2773286.3759559775</v>
      </c>
      <c r="ES29" s="313" t="n">
        <f>MIN(0,N(Underwriting!AQ212))*(DEBT!$M$39/DEBT!$M$38)+MAX(0,N(Underwriting!AQ212))*DEBT!$N$33</f>
        <v>3188985.5823916676</v>
      </c>
      <c r="ET29" s="313" t="n">
        <f>MIN(0,N(Underwriting!AR212))*(DEBT!$M$39/DEBT!$M$38)+MAX(0,N(Underwriting!AR212))*DEBT!$N$33</f>
        <v>3074694.7475219117</v>
      </c>
      <c r="EU29" s="313" t="n">
        <f>MIN(0,N(Underwriting!AS212))*(DEBT!$M$39/DEBT!$M$38)+MAX(0,N(Underwriting!AS212))*DEBT!$N$33</f>
        <v>3720228.9603256327</v>
      </c>
      <c r="EV29" s="313" t="n">
        <f>MIN(0,N(Underwriting!AT212))*(DEBT!$M$39/DEBT!$M$38)+MAX(0,N(Underwriting!AT212))*DEBT!$N$33</f>
        <v>4138066.2984945136</v>
      </c>
      <c r="EW29" s="313" t="n">
        <f>MIN(0,N(Underwriting!AU212))*(DEBT!$M$39/DEBT!$M$38)+MAX(0,N(Underwriting!AU212))*DEBT!$N$33</f>
        <v>4235362.034100844</v>
      </c>
      <c r="EX29" s="313" t="n">
        <f>MIN(0,N(Underwriting!AV212))*(DEBT!$M$39/DEBT!$M$38)+MAX(0,N(Underwriting!AV212))*DEBT!$N$33</f>
        <v>4307029.467781845</v>
      </c>
      <c r="EY29" s="313" t="n">
        <f>MIN(0,N(Underwriting!AW212))*(DEBT!$M$39/DEBT!$M$38)+MAX(0,N(Underwriting!AW212))*DEBT!$N$33</f>
        <v>3862420.4529281133</v>
      </c>
      <c r="EZ29" s="313" t="n">
        <f>MIN(0,N(Underwriting!AX212))*(DEBT!$M$39/DEBT!$M$38)+MAX(0,N(Underwriting!AX212))*DEBT!$N$33</f>
        <v>3849103.7019802327</v>
      </c>
      <c r="FA29" s="313" t="n">
        <f>MIN(0,N(Underwriting!AY212))*(DEBT!$M$39/DEBT!$M$38)+MAX(0,N(Underwriting!AY212))*DEBT!$N$33</f>
        <v>3835687.0754002435</v>
      </c>
      <c r="FB29" s="313" t="n">
        <f>MIN(0,N(Underwriting!AZ212))*(DEBT!$M$39/DEBT!$M$38)+MAX(0,N(Underwriting!AZ212))*DEBT!$N$33</f>
        <v>3828805.5889580147</v>
      </c>
      <c r="FC29" s="313" t="n">
        <f>MIN(0,N(Underwriting!BA212))*(DEBT!$M$39/DEBT!$M$38)+MAX(0,N(Underwriting!BA212))*DEBT!$N$33</f>
        <v>3815186.95829408</v>
      </c>
      <c r="FD29" s="313" t="n">
        <f>MIN(0,N(Underwriting!BB212))*(DEBT!$M$39/DEBT!$M$38)+MAX(0,N(Underwriting!BB212))*DEBT!$N$33</f>
        <v>3801466.1879001665</v>
      </c>
      <c r="FE29" s="313" t="n">
        <f>MIN(0,N(Underwriting!BC212))*(DEBT!$M$39/DEBT!$M$38)+MAX(0,N(Underwriting!BC212))*DEBT!$N$33</f>
        <v>3959970.6202148893</v>
      </c>
      <c r="FF29" t="n">
        <f>MIN(0,N(Underwriting!BD212))*(DEBT!$M$39/DEBT!$M$38)+MAX(0,N(Underwriting!BD212))*DEBT!$N$33</f>
        <v>3946043.266471732</v>
      </c>
      <c r="FG29" t="n">
        <f>MIN(0,N(Underwriting!BE212))*(DEBT!$M$39/DEBT!$M$38)+MAX(0,N(Underwriting!BE212))*DEBT!$N$33</f>
        <v>3932011.457575502</v>
      </c>
      <c r="FH29" t="n">
        <f>MIN(0,N(Underwriting!BF212))*(DEBT!$M$39/DEBT!$M$38)+MAX(0,N(Underwriting!BF212))*DEBT!$N$33</f>
        <v>3948471.847612549</v>
      </c>
      <c r="FI29" t="n">
        <f>MIN(0,N(Underwriting!BG212))*(DEBT!$M$39/DEBT!$M$38)+MAX(0,N(Underwriting!BG212))*DEBT!$N$33</f>
        <v>3934228.7722936245</v>
      </c>
      <c r="FJ29" t="n">
        <f>MIN(0,N(Underwriting!BH212))*(DEBT!$M$39/DEBT!$M$38)+MAX(0,N(Underwriting!BH212))*DEBT!$N$33</f>
        <v>3919878.8739098073</v>
      </c>
      <c r="FK29" t="n">
        <f>MIN(0,N(Underwriting!BI212))*(DEBT!$M$39/DEBT!$M$38)+MAX(0,N(Underwriting!BI212))*DEBT!$N$33</f>
        <v>3911801.6629574876</v>
      </c>
      <c r="FL29" t="n">
        <f>MIN(0,N(Underwriting!BJ212))*(DEBT!$M$39/DEBT!$M$38)+MAX(0,N(Underwriting!BJ212))*DEBT!$N$33</f>
        <v>3897235.708916129</v>
      </c>
      <c r="FM29" t="n">
        <f>MIN(0,N(Underwriting!BK212))*(DEBT!$M$39/DEBT!$M$38)+MAX(0,N(Underwriting!BK212))*DEBT!$N$33</f>
        <v>3882560.5102194618</v>
      </c>
      <c r="FN29" t="n">
        <f>MIN(0,N(Underwriting!BL212))*(DEBT!$M$39/DEBT!$M$38)+MAX(0,N(Underwriting!BL212))*DEBT!$N$33</f>
        <v>3874399.8944075685</v>
      </c>
      <c r="FO29" t="n">
        <f>MIN(0,N(Underwriting!BM212))*(DEBT!$M$39/DEBT!$M$38)+MAX(0,N(Underwriting!BM212))*DEBT!$N$33</f>
        <v>3859503.7422505226</v>
      </c>
      <c r="FP29" t="n">
        <f>MIN(0,N(Underwriting!BN212))*(DEBT!$M$39/DEBT!$M$38)+MAX(0,N(Underwriting!BN212))*DEBT!$N$33</f>
        <v>3844495.8689523</v>
      </c>
      <c r="FQ29" t="n">
        <f>MIN(0,N(Underwriting!BO212))*(DEBT!$M$39/DEBT!$M$38)+MAX(0,N(Underwriting!BO212))*DEBT!$N$33</f>
        <v>3985347.9552702154</v>
      </c>
      <c r="FR29" t="n">
        <f>MIN(0,N(Underwriting!BP212))*(DEBT!$M$39/DEBT!$M$38)+MAX(0,N(Underwriting!BP212))*DEBT!$N$33</f>
        <v>3970114.1196796466</v>
      </c>
      <c r="FS29" t="n">
        <f>MIN(0,N(Underwriting!BQ212))*(DEBT!$M$39/DEBT!$M$38)+MAX(0,N(Underwriting!BQ212))*DEBT!$N$33</f>
        <v>3954766.0303221485</v>
      </c>
      <c r="FT29" t="n">
        <f>MIN(0,N(Underwriting!BR212))*(DEBT!$M$39/DEBT!$M$38)+MAX(0,N(Underwriting!BR212))*DEBT!$N$33</f>
        <v>3970971.178106968</v>
      </c>
      <c r="FU29" t="n">
        <f>MIN(0,N(Underwriting!BS212))*(DEBT!$M$39/DEBT!$M$38)+MAX(0,N(Underwriting!BS212))*DEBT!$N$33</f>
        <v>3955392.004079081</v>
      </c>
      <c r="FV29" t="n">
        <f>MIN(0,N(Underwriting!BT212))*(DEBT!$M$39/DEBT!$M$38)+MAX(0,N(Underwriting!BT212))*DEBT!$N$33</f>
        <v>3939695.986245984</v>
      </c>
      <c r="FW29" t="n">
        <f>MIN(0,N(Underwriting!BU212))*(DEBT!$M$39/DEBT!$M$38)+MAX(0,N(Underwriting!BU212))*DEBT!$N$33</f>
        <v>867684117.9947324</v>
      </c>
      <c r="FX29" t="n">
        <f>MIN(0,0)*(DEBT!$M$39/DEBT!$M$38)+MAX(0,0)*DEBT!$N$33</f>
        <v>0</v>
      </c>
      <c r="FY29" t="n">
        <f>MIN(0,0)*(DEBT!$M$39/DEBT!$M$38)+MAX(0,0)*DEBT!$N$33</f>
        <v>0</v>
      </c>
      <c r="FZ29" t="n">
        <f>MIN(0,0)*(DEBT!$M$39/DEBT!$M$38)+MAX(0,0)*DEBT!$N$33</f>
        <v>0</v>
      </c>
      <c r="GA29" t="n">
        <f>MIN(0,0)*(DEBT!$M$39/DEBT!$M$38)+MAX(0,0)*DEBT!$N$33</f>
        <v>0</v>
      </c>
      <c r="GB29" t="n">
        <f>MIN(0,0)*(DEBT!$M$39/DEBT!$M$38)+MAX(0,0)*DEBT!$N$33</f>
        <v>0</v>
      </c>
      <c r="GC29" t="n">
        <f>MIN(0,0)*(DEBT!$M$39/DEBT!$M$38)+MAX(0,0)*DEBT!$N$33</f>
        <v>0</v>
      </c>
    </row>
    <row r="30" ht="65">
      <c r="A30" s="311"/>
      <c r="B30" s="949" t="str">
        <f>'FUNDING &amp; CAP TABLE'!$A$12</f>
        <v>Other Investors</v>
      </c>
      <c r="C30" s="949" t="str">
        <f>'FUNDING &amp; CAP TABLE'!$H$12</f>
        <v>Mapped — provisional</v>
      </c>
      <c r="D30" s="951" t="n">
        <f>'FUNDING &amp; CAP TABLE'!$D$12</f>
        <v>1</v>
      </c>
      <c r="E30" s="951" t="n">
        <f>0</f>
        <v>0</v>
      </c>
      <c r="F30" s="951" t="n">
        <f>0</f>
        <v>0</v>
      </c>
      <c r="G30" s="951">
        <f t="shared" si="0"/>
        <v>1</v>
      </c>
      <c r="H30" s="950">
        <v>4.8605102250474045E-3</v>
      </c>
      <c r="I30" s="951">
        <f t="shared" si="1"/>
        <v>1.9752292281154431</v>
      </c>
      <c r="J30" s="951">
        <f t="shared" si="2"/>
        <v>2.2000204914314727</v>
      </c>
      <c r="K30" s="951">
        <f t="shared" si="3"/>
        <v>2.4610636174369338</v>
      </c>
      <c r="L30" s="951">
        <f t="shared" si="4"/>
        <v>1.2000204914314727</v>
      </c>
      <c r="M30" s="953">
        <f t="shared" si="5"/>
        <v>2.2000204914314727</v>
      </c>
      <c r="N30" s="950">
        <f t="shared" si="6"/>
        <v>0.25243591969602264</v>
      </c>
      <c r="O30" s="955" t="s">
        <v>854</v>
      </c>
      <c r="P30" s="955" t="s">
        <v>859</v>
      </c>
      <c r="CQ30" s="311" t="str">
        <f>Underwriting!$B$97</f>
        <v>Genesis Health &amp; Fitness</v>
      </c>
      <c r="CR30" s="312" t="str">
        <f>IF(Underwriting!$I$97&gt;0,"NOI / cap rate","EBITDA multiple")</f>
        <v>NOI / cap rate</v>
      </c>
      <c r="CS30" s="315" t="n">
        <f>Underwriting!$E$97</f>
        <v>4000</v>
      </c>
      <c r="CT30" s="315" t="n">
        <f>Underwriting!$I$97/1000000</f>
        <v>2</v>
      </c>
      <c r="CU30" s="313" t="n">
        <f>IF(Underwriting!$I$97=0,0,$DA$10*Underwriting!$I$97/Underwriting!$I$105)</f>
        <v>5.594830681498258</v>
      </c>
      <c r="CV30" s="316" t="n">
        <f>IF(Underwriting!$I$97=0,"",$DA$11)</f>
        <v>0.06700819672131147</v>
      </c>
      <c r="CW30" s="313" t="n">
        <f>IF($CV30="",0,$CU30/$CV30)</f>
        <v>83.49472087373547</v>
      </c>
      <c r="CX30" s="315" t="n">
        <f>IF(Underwriting!$I$97=0,'Tenant Report'!$O$38,0)</f>
        <v>0</v>
      </c>
      <c r="CY30" s="316" t="str">
        <f>IF($CX30=0,"",$CR$10)</f>
      </c>
      <c r="CZ30" s="313" t="n">
        <f>$CX30*N($CY30)</f>
        <v>0</v>
      </c>
      <c r="DA30" s="318" t="str">
        <f>IF($CX30=0,"",$CR$11)</f>
      </c>
      <c r="DB30" s="313" t="n">
        <f>$CZ30*N($DA30)</f>
        <v>0</v>
      </c>
      <c r="DC30" s="313" t="n">
        <f>SUM($CW30,$DB30)</f>
        <v>83.49472087373547</v>
      </c>
      <c r="DD30" s="701" t="str">
        <f>IF(Underwriting!$I$97&gt;0,"Model rent allocation; property-only value.","Revenue linked to Tenant Report; margin and multiple illustrative.")</f>
        <v>Model rent allocation; property-only value.</v>
      </c>
      <c r="DE30" s="699"/>
      <c r="DF30" s="699"/>
      <c r="DG30" s="699"/>
      <c r="DH30" s="699"/>
      <c r="DI30" s="699"/>
      <c r="DJ30" s="699"/>
      <c r="DK30" s="699"/>
      <c r="DL30" s="699"/>
      <c r="DN30" s="313" t="n">
        <f>MIN(0,N(IF($CR$17=$CQ$62,Underwriting!L244,Underwriting!L245)))*(DEBT!$M$37/DEBT!$M$38)+MAX(0,0)*DEBT!$N$31</f>
        <v>0</v>
      </c>
      <c r="DO30" s="313" t="n">
        <f>MIN(0,N(IF($CR$17=$CQ$62,Underwriting!M244,Underwriting!M245)))*(DEBT!$M$37/DEBT!$M$38)+MAX(0,0)*DEBT!$N$31</f>
        <v>0</v>
      </c>
      <c r="DP30" s="313" t="n">
        <f>MIN(0,N(IF($CR$17=$CQ$62,Underwriting!N244,Underwriting!N245)))*(DEBT!$M$37/DEBT!$M$38)+MAX(0,0)*DEBT!$N$31</f>
        <v>0</v>
      </c>
      <c r="DQ30" s="313" t="n">
        <f>MIN(0,N(IF($CR$17=$CQ$62,Underwriting!O244,Underwriting!O245)))*(DEBT!$M$37/DEBT!$M$38)+MAX(0,0)*DEBT!$N$31</f>
        <v>-14798.003464959098</v>
      </c>
      <c r="DR30" s="313" t="n">
        <f>MIN(0,N(IF($CR$17=$CQ$62,Underwriting!P244,Underwriting!P245)))*(DEBT!$M$37/DEBT!$M$38)+MAX(0,0)*DEBT!$N$31</f>
        <v>-47264.53169767076</v>
      </c>
      <c r="DS30" s="313" t="n">
        <f>MIN(0,N(IF($CR$17=$CQ$62,Underwriting!Q244,Underwriting!Q245)))*(DEBT!$M$37/DEBT!$M$38)+MAX(0,0)*DEBT!$N$31</f>
        <v>-97792.46049664974</v>
      </c>
      <c r="DT30" s="313" t="n">
        <f>MIN(0,N(IF($CR$17=$CQ$62,Underwriting!R244,Underwriting!R245)))*(DEBT!$M$37/DEBT!$M$38)+MAX(0,N(IF($CR$17=$CQ$62,Underwriting!L244,Underwriting!L245)))*DEBT!$N$31</f>
        <v>-112237.94253012731</v>
      </c>
      <c r="DU30" s="313" t="n">
        <f>MIN(0,N(IF($CR$17=$CQ$62,Underwriting!S244,Underwriting!S245)))*(DEBT!$M$37/DEBT!$M$38)+MAX(0,N(IF($CR$17=$CQ$62,Underwriting!M244,Underwriting!M245)))*DEBT!$N$31</f>
        <v>-167166.13423625415</v>
      </c>
      <c r="DV30" s="313" t="n">
        <f>MIN(0,N(IF($CR$17=$CQ$62,Underwriting!T244,Underwriting!T245)))*(DEBT!$M$37/DEBT!$M$38)+MAX(0,N(IF($CR$17=$CQ$62,Underwriting!N244,Underwriting!N245)))*DEBT!$N$31</f>
        <v>-265068.6429241101</v>
      </c>
      <c r="DW30" s="313" t="n">
        <f>MIN(0,N(IF($CR$17=$CQ$62,Underwriting!U244,Underwriting!U245)))*(DEBT!$M$37/DEBT!$M$38)+MAX(0,N(IF($CR$17=$CQ$62,Underwriting!O244,Underwriting!O245)))*DEBT!$N$31</f>
        <v>-373114.2705196231</v>
      </c>
      <c r="DX30" s="313" t="n">
        <f>MIN(0,N(IF($CR$17=$CQ$62,Underwriting!V244,Underwriting!V245)))*(DEBT!$M$37/DEBT!$M$38)+MAX(0,N(IF($CR$17=$CQ$62,Underwriting!P244,Underwriting!P245)))*DEBT!$N$31</f>
        <v>-489007.7613106952</v>
      </c>
      <c r="DY30" s="313" t="n">
        <f>MIN(0,N(IF($CR$17=$CQ$62,Underwriting!W244,Underwriting!W245)))*(DEBT!$M$37/DEBT!$M$38)+MAX(0,N(IF($CR$17=$CQ$62,Underwriting!Q244,Underwriting!Q245)))*DEBT!$N$31</f>
        <v>-615093.4075760641</v>
      </c>
      <c r="DZ30" s="313" t="n">
        <f>MIN(0,N(IF($CR$17=$CQ$62,Underwriting!X244,Underwriting!X245)))*(DEBT!$M$37/DEBT!$M$38)+MAX(0,N(IF($CR$17=$CQ$62,Underwriting!R244,Underwriting!R245)))*DEBT!$N$31</f>
        <v>-746347.081214308</v>
      </c>
      <c r="EA30" s="313" t="n">
        <f>MIN(0,N(IF($CR$17=$CQ$62,Underwriting!Y244,Underwriting!Y245)))*(DEBT!$M$37/DEBT!$M$38)+MAX(0,N(IF($CR$17=$CQ$62,Underwriting!S244,Underwriting!S245)))*DEBT!$N$31</f>
        <v>-876299.3933365295</v>
      </c>
      <c r="EB30" s="313" t="n">
        <f>MIN(0,N(IF($CR$17=$CQ$62,Underwriting!Z244,Underwriting!Z245)))*(DEBT!$M$37/DEBT!$M$38)+MAX(0,N(IF($CR$17=$CQ$62,Underwriting!T244,Underwriting!T245)))*DEBT!$N$31</f>
        <v>-997494.913984416</v>
      </c>
      <c r="EC30" s="313" t="n">
        <f>MIN(0,N(IF($CR$17=$CQ$62,Underwriting!AA244,Underwriting!AA245)))*(DEBT!$M$37/DEBT!$M$38)+MAX(0,N(IF($CR$17=$CQ$62,Underwriting!U244,Underwriting!U245)))*DEBT!$N$31</f>
        <v>-1102165.4439078998</v>
      </c>
      <c r="ED30" s="313" t="n">
        <f>MIN(0,N(IF($CR$17=$CQ$62,Underwriting!AB244,Underwriting!AB245)))*(DEBT!$M$37/DEBT!$M$38)+MAX(0,N(IF($CR$17=$CQ$62,Underwriting!V244,Underwriting!V245)))*DEBT!$N$31</f>
        <v>-205984.46553608606</v>
      </c>
      <c r="EE30" s="313" t="n">
        <f>MIN(0,N(IF($CR$17=$CQ$62,Underwriting!AC244,Underwriting!AC245)))*(DEBT!$M$37/DEBT!$M$38)+MAX(0,N(IF($CR$17=$CQ$62,Underwriting!W244,Underwriting!W245)))*DEBT!$N$31</f>
        <v>0</v>
      </c>
      <c r="EF30" s="313" t="n">
        <f>MIN(0,N(IF($CR$17=$CQ$62,Underwriting!AD244,Underwriting!AD245)))*(DEBT!$M$37/DEBT!$M$38)+MAX(0,N(IF($CR$17=$CQ$62,Underwriting!X244,Underwriting!X245)))*DEBT!$N$31</f>
        <v>0</v>
      </c>
      <c r="EG30" s="313" t="n">
        <f>MIN(0,N(IF($CR$17=$CQ$62,Underwriting!AE244,Underwriting!AE245)))*(DEBT!$M$37/DEBT!$M$38)+MAX(0,N(IF($CR$17=$CQ$62,Underwriting!Y244,Underwriting!Y245)))*DEBT!$N$31</f>
        <v>0</v>
      </c>
      <c r="EH30" s="313" t="n">
        <f>MIN(0,N(IF($CR$17=$CQ$62,Underwriting!AF244,Underwriting!AF245)))*(DEBT!$M$37/DEBT!$M$38)+MAX(0,N(IF($CR$17=$CQ$62,Underwriting!Z244,Underwriting!Z245)))*DEBT!$N$31</f>
        <v>0</v>
      </c>
      <c r="EI30" s="313" t="n">
        <f>MIN(0,N(IF($CR$17=$CQ$62,Underwriting!AG244,Underwriting!AG245)))*(DEBT!$M$37/DEBT!$M$38)+MAX(0,N(IF($CR$17=$CQ$62,Underwriting!AA244,Underwriting!AA245)))*DEBT!$N$31</f>
        <v>0</v>
      </c>
      <c r="EJ30" s="313" t="n">
        <f>MIN(0,N(IF($CR$17=$CQ$62,Underwriting!AH244,Underwriting!AH245)))*(DEBT!$M$37/DEBT!$M$38)+MAX(0,N(IF($CR$17=$CQ$62,Underwriting!AB244,Underwriting!AB245)))*DEBT!$N$31</f>
        <v>0</v>
      </c>
      <c r="EK30" s="313" t="n">
        <f>MIN(0,N(IF($CR$17=$CQ$62,Underwriting!AI244,Underwriting!AI245)))*(DEBT!$M$37/DEBT!$M$38)+MAX(0,N(IF($CR$17=$CQ$62,Underwriting!AC244,Underwriting!AC245)))*DEBT!$N$31</f>
        <v>34124.782112409695</v>
      </c>
      <c r="EL30" s="313" t="n">
        <f>MIN(0,N(IF($CR$17=$CQ$62,Underwriting!AJ244,Underwriting!AJ245)))*(DEBT!$M$37/DEBT!$M$38)+MAX(0,N(IF($CR$17=$CQ$62,Underwriting!AD244,Underwriting!AD245)))*DEBT!$N$31</f>
        <v>146602.14216553373</v>
      </c>
      <c r="EM30" s="313" t="n">
        <f>MIN(0,N(IF($CR$17=$CQ$62,Underwriting!AK244,Underwriting!AK245)))*(DEBT!$M$37/DEBT!$M$38)+MAX(0,N(IF($CR$17=$CQ$62,Underwriting!AE244,Underwriting!AE245)))*DEBT!$N$31</f>
        <v>136426.48406310697</v>
      </c>
      <c r="EN30" s="313" t="n">
        <f>MIN(0,N(IF($CR$17=$CQ$62,Underwriting!AL244,Underwriting!AL245)))*(DEBT!$M$37/DEBT!$M$38)+MAX(0,N(IF($CR$17=$CQ$62,Underwriting!AF244,Underwriting!AF245)))*DEBT!$N$31</f>
        <v>129918.45756837232</v>
      </c>
      <c r="EO30" s="313" t="n">
        <f>MIN(0,N(IF($CR$17=$CQ$62,Underwriting!AM244,Underwriting!AM245)))*(DEBT!$M$37/DEBT!$M$38)+MAX(0,N(IF($CR$17=$CQ$62,Underwriting!AG244,Underwriting!AG245)))*DEBT!$N$31</f>
        <v>155165.66332812476</v>
      </c>
      <c r="EP30" s="313" t="n">
        <f>MIN(0,N(IF($CR$17=$CQ$62,Underwriting!AN244,Underwriting!AN245)))*(DEBT!$M$37/DEBT!$M$38)+MAX(0,N(IF($CR$17=$CQ$62,Underwriting!AH244,Underwriting!AH245)))*DEBT!$N$31</f>
        <v>149216.12803556529</v>
      </c>
      <c r="EQ30" s="313" t="n">
        <f>MIN(0,N(IF($CR$17=$CQ$62,Underwriting!AO244,Underwriting!AO245)))*(DEBT!$M$37/DEBT!$M$38)+MAX(0,N(IF($CR$17=$CQ$62,Underwriting!AI244,Underwriting!AI245)))*DEBT!$N$31</f>
        <v>143740.9966010986</v>
      </c>
      <c r="ER30" s="313" t="n">
        <f>MIN(0,N(IF($CR$17=$CQ$62,Underwriting!AP244,Underwriting!AP245)))*(DEBT!$M$37/DEBT!$M$38)+MAX(0,N(IF($CR$17=$CQ$62,Underwriting!AJ244,Underwriting!AJ245)))*DEBT!$N$31</f>
        <v>151046.91823636796</v>
      </c>
      <c r="ES30" s="313" t="n">
        <f>MIN(0,N(IF($CR$17=$CQ$62,Underwriting!AQ244,Underwriting!AQ245)))*(DEBT!$M$37/DEBT!$M$38)+MAX(0,N(IF($CR$17=$CQ$62,Underwriting!AK244,Underwriting!AK245)))*DEBT!$N$31</f>
        <v>146739.21621364114</v>
      </c>
      <c r="ET30" s="313" t="n">
        <f>MIN(0,N(IF($CR$17=$CQ$62,Underwriting!AR244,Underwriting!AR245)))*(DEBT!$M$37/DEBT!$M$38)+MAX(0,N(IF($CR$17=$CQ$62,Underwriting!AL244,Underwriting!AL245)))*DEBT!$N$31</f>
        <v>143050.04908549544</v>
      </c>
      <c r="EU30" s="313" t="n">
        <f>MIN(0,N(IF($CR$17=$CQ$62,Underwriting!AS244,Underwriting!AS245)))*(DEBT!$M$37/DEBT!$M$38)+MAX(0,N(IF($CR$17=$CQ$62,Underwriting!AM244,Underwriting!AM245)))*DEBT!$N$31</f>
        <v>147481.7413198751</v>
      </c>
      <c r="EV30" s="313" t="n">
        <f>MIN(0,N(IF($CR$17=$CQ$62,Underwriting!AT244,Underwriting!AT245)))*(DEBT!$M$37/DEBT!$M$38)+MAX(0,N(IF($CR$17=$CQ$62,Underwriting!AN244,Underwriting!AN245)))*DEBT!$N$31</f>
        <v>119814.81467364747</v>
      </c>
      <c r="EW30" s="313" t="n">
        <f>MIN(0,N(IF($CR$17=$CQ$62,Underwriting!AU244,Underwriting!AU245)))*(DEBT!$M$37/DEBT!$M$38)+MAX(0,N(IF($CR$17=$CQ$62,Underwriting!AO244,Underwriting!AO245)))*DEBT!$N$31</f>
        <v>63062.53611707178</v>
      </c>
      <c r="EX30" s="313" t="n">
        <f>MIN(0,N(IF($CR$17=$CQ$62,Underwriting!AV244,Underwriting!AV245)))*(DEBT!$M$37/DEBT!$M$38)+MAX(0,N(IF($CR$17=$CQ$62,Underwriting!AP244,Underwriting!AP245)))*DEBT!$N$31</f>
        <v>105649.00479832297</v>
      </c>
      <c r="EY30" s="313" t="n">
        <f>MIN(0,N(IF($CR$17=$CQ$62,Underwriting!AW244,Underwriting!AW245)))*(DEBT!$M$37/DEBT!$M$38)+MAX(0,N(IF($CR$17=$CQ$62,Underwriting!AQ244,Underwriting!AQ245)))*DEBT!$N$31</f>
        <v>121485.1650434921</v>
      </c>
      <c r="EZ30" s="313" t="n">
        <f>MIN(0,N(IF($CR$17=$CQ$62,Underwriting!AX244,Underwriting!AX245)))*(DEBT!$M$37/DEBT!$M$38)+MAX(0,N(IF($CR$17=$CQ$62,Underwriting!AR244,Underwriting!AR245)))*DEBT!$N$31</f>
        <v>133277.601194315</v>
      </c>
      <c r="FA30" s="313" t="n">
        <f>MIN(0,N(IF($CR$17=$CQ$62,Underwriting!AY244,Underwriting!AY245)))*(DEBT!$M$37/DEBT!$M$38)+MAX(0,N(IF($CR$17=$CQ$62,Underwriting!AS244,Underwriting!AS245)))*DEBT!$N$31</f>
        <v>141723.00801240507</v>
      </c>
      <c r="FB30" s="313" t="n">
        <f>MIN(0,N(IF($CR$17=$CQ$62,Underwriting!AZ244,Underwriting!AZ245)))*(DEBT!$M$37/DEBT!$M$38)+MAX(0,N(IF($CR$17=$CQ$62,Underwriting!AT244,Underwriting!AT245)))*DEBT!$N$31</f>
        <v>157640.6208950291</v>
      </c>
      <c r="FC30" s="313" t="n">
        <f>MIN(0,N(IF($CR$17=$CQ$62,Underwriting!BA244,Underwriting!BA245)))*(DEBT!$M$37/DEBT!$M$38)+MAX(0,N(IF($CR$17=$CQ$62,Underwriting!AU244,Underwriting!AU245)))*DEBT!$N$31</f>
        <v>161347.1251086036</v>
      </c>
      <c r="FD30" s="313" t="n">
        <f>MIN(0,N(IF($CR$17=$CQ$62,Underwriting!BB244,Underwriting!BB245)))*(DEBT!$M$37/DEBT!$M$38)+MAX(0,N(IF($CR$17=$CQ$62,Underwriting!AV244,Underwriting!AV245)))*DEBT!$N$31</f>
        <v>164077.31305835606</v>
      </c>
      <c r="FE30" s="313" t="n">
        <f>MIN(0,N(IF($CR$17=$CQ$62,Underwriting!BC244,Underwriting!BC245)))*(DEBT!$M$37/DEBT!$M$38)+MAX(0,N(IF($CR$17=$CQ$62,Underwriting!AW244,Underwriting!AW245)))*DEBT!$N$31</f>
        <v>147139.82677821393</v>
      </c>
      <c r="FF30" t="n">
        <f>MIN(0,N(IF($CR$17=$CQ$62,Underwriting!BD244,Underwriting!BD245)))*(DEBT!$M$37/DEBT!$M$38)+MAX(0,N(IF($CR$17=$CQ$62,Underwriting!AX244,Underwriting!AX245)))*DEBT!$N$31</f>
        <v>146632.5219801994</v>
      </c>
      <c r="FG30" t="n">
        <f>MIN(0,N(IF($CR$17=$CQ$62,Underwriting!BE244,Underwriting!BE245)))*(DEBT!$M$37/DEBT!$M$38)+MAX(0,N(IF($CR$17=$CQ$62,Underwriting!AY244,Underwriting!AY245)))*DEBT!$N$31</f>
        <v>146121.41239619983</v>
      </c>
      <c r="FH30" t="n">
        <f>MIN(0,N(IF($CR$17=$CQ$62,Underwriting!BF244,Underwriting!BF245)))*(DEBT!$M$37/DEBT!$M$38)+MAX(0,N(IF($CR$17=$CQ$62,Underwriting!AZ244,Underwriting!AZ245)))*DEBT!$N$31</f>
        <v>145859.26053173392</v>
      </c>
      <c r="FI30" t="n">
        <f>MIN(0,N(IF($CR$17=$CQ$62,Underwriting!BG244,Underwriting!BG245)))*(DEBT!$M$37/DEBT!$M$38)+MAX(0,N(IF($CR$17=$CQ$62,Underwriting!BA244,Underwriting!BA245)))*DEBT!$N$31</f>
        <v>145340.4555540602</v>
      </c>
      <c r="FJ30" t="n">
        <f>MIN(0,N(IF($CR$17=$CQ$62,Underwriting!BH244,Underwriting!BH245)))*(DEBT!$M$37/DEBT!$M$38)+MAX(0,N(IF($CR$17=$CQ$62,Underwriting!BB244,Underwriting!BB245)))*DEBT!$N$31</f>
        <v>144817.75953905398</v>
      </c>
      <c r="FK30" t="n">
        <f>MIN(0,N(IF($CR$17=$CQ$62,Underwriting!BI244,Underwriting!BI245)))*(DEBT!$M$37/DEBT!$M$38)+MAX(0,N(IF($CR$17=$CQ$62,Underwriting!BC244,Underwriting!BC245)))*DEBT!$N$31</f>
        <v>150856.0236272339</v>
      </c>
      <c r="FL30" t="n">
        <f>MIN(0,N(IF($CR$17=$CQ$62,Underwriting!BJ244,Underwriting!BJ245)))*(DEBT!$M$37/DEBT!$M$38)+MAX(0,N(IF($CR$17=$CQ$62,Underwriting!BD244,Underwriting!BD245)))*DEBT!$N$31</f>
        <v>150325.4577703517</v>
      </c>
      <c r="FM30" t="n">
        <f>MIN(0,N(IF($CR$17=$CQ$62,Underwriting!BK244,Underwriting!BK245)))*(DEBT!$M$37/DEBT!$M$38)+MAX(0,N(IF($CR$17=$CQ$62,Underwriting!BE244,Underwriting!BE245)))*DEBT!$N$31</f>
        <v>149790.912669543</v>
      </c>
      <c r="FN30" t="n">
        <f>MIN(0,N(IF($CR$17=$CQ$62,Underwriting!BL244,Underwriting!BL245)))*(DEBT!$M$37/DEBT!$M$38)+MAX(0,N(IF($CR$17=$CQ$62,Underwriting!BF244,Underwriting!BF245)))*DEBT!$N$31</f>
        <v>150417.97514714472</v>
      </c>
      <c r="FO30" t="n">
        <f>MIN(0,N(IF($CR$17=$CQ$62,Underwriting!BM244,Underwriting!BM245)))*(DEBT!$M$37/DEBT!$M$38)+MAX(0,N(IF($CR$17=$CQ$62,Underwriting!BG244,Underwriting!BG245)))*DEBT!$N$31</f>
        <v>149875.3818016619</v>
      </c>
      <c r="FP30" t="n">
        <f>MIN(0,N(IF($CR$17=$CQ$62,Underwriting!BN244,Underwriting!BN245)))*(DEBT!$M$37/DEBT!$M$38)+MAX(0,N(IF($CR$17=$CQ$62,Underwriting!BH244,Underwriting!BH245)))*DEBT!$N$31</f>
        <v>149328.71900608792</v>
      </c>
      <c r="FQ30" t="n">
        <f>MIN(0,N(IF($CR$17=$CQ$62,Underwriting!BO244,Underwriting!BO245)))*(DEBT!$M$37/DEBT!$M$38)+MAX(0,N(IF($CR$17=$CQ$62,Underwriting!BI244,Underwriting!BI245)))*DEBT!$N$31</f>
        <v>255106.5153904792</v>
      </c>
      <c r="FR30" t="n">
        <f>MIN(0,N(IF($CR$17=$CQ$62,Underwriting!BP244,Underwriting!BP245)))*(DEBT!$M$37/DEBT!$M$38)+MAX(0,N(IF($CR$17=$CQ$62,Underwriting!BJ244,Underwriting!BJ245)))*DEBT!$N$31</f>
        <v>254551.62190318937</v>
      </c>
      <c r="FS30" t="n">
        <f>MIN(0,N(IF($CR$17=$CQ$62,Underwriting!BQ244,Underwriting!BQ245)))*(DEBT!$M$37/DEBT!$M$38)+MAX(0,N(IF($CR$17=$CQ$62,Underwriting!BK244,Underwriting!BK245)))*DEBT!$N$31</f>
        <v>253992.56671474484</v>
      </c>
      <c r="FT30" t="n">
        <f>MIN(0,N(IF($CR$17=$CQ$62,Underwriting!BR244,Underwriting!BR245)))*(DEBT!$M$37/DEBT!$M$38)+MAX(0,N(IF($CR$17=$CQ$62,Underwriting!BL244,Underwriting!BL245)))*DEBT!$N$31</f>
        <v>253681.68611238702</v>
      </c>
      <c r="FU30" t="n">
        <f>MIN(0,N(IF($CR$17=$CQ$62,Underwriting!BS244,Underwriting!BS245)))*(DEBT!$M$37/DEBT!$M$38)+MAX(0,N(IF($CR$17=$CQ$62,Underwriting!BM244,Underwriting!BM245)))*DEBT!$N$31</f>
        <v>253114.21364926157</v>
      </c>
      <c r="FV30" t="n">
        <f>MIN(0,N(IF($CR$17=$CQ$62,Underwriting!BT244,Underwriting!BT245)))*(DEBT!$M$37/DEBT!$M$38)+MAX(0,N(IF($CR$17=$CQ$62,Underwriting!BN244,Underwriting!BN245)))*DEBT!$N$31</f>
        <v>252542.48514266263</v>
      </c>
      <c r="FW30" t="n">
        <f>MIN(0,N(IF($CR$17=$CQ$62,Underwriting!BU244,Underwriting!BU245)))*(DEBT!$M$37/DEBT!$M$38)+MAX(0,N(IF($CR$17=$CQ$62,Underwriting!BO244,Underwriting!BO245)))*DEBT!$N$31</f>
        <v>257908.2789071545</v>
      </c>
      <c r="FX30" t="n">
        <f>MIN(0,0)*(DEBT!$M$37/DEBT!$M$38)+MAX(0,N(IF($CR$17=$CQ$62,Underwriting!BP244,Underwriting!BP245)))*DEBT!$N$31</f>
        <v>257327.9423132281</v>
      </c>
      <c r="FY30" t="n">
        <f>MIN(0,0)*(DEBT!$M$37/DEBT!$M$38)+MAX(0,N(IF($CR$17=$CQ$62,Underwriting!BQ244,Underwriting!BQ245)))*DEBT!$N$31</f>
        <v>256743.25319484726</v>
      </c>
      <c r="FZ30" t="n">
        <f>MIN(0,0)*(DEBT!$M$37/DEBT!$M$38)+MAX(0,N(IF($CR$17=$CQ$62,Underwriting!BR244,Underwriting!BR245)))*DEBT!$N$31</f>
        <v>257360.59215807842</v>
      </c>
      <c r="GA30" t="n">
        <f>MIN(0,0)*(DEBT!$M$37/DEBT!$M$38)+MAX(0,N(IF($CR$17=$CQ$62,Underwriting!BS244,Underwriting!BS245)))*DEBT!$N$31</f>
        <v>256767.09981415898</v>
      </c>
      <c r="GB30" t="n">
        <f>MIN(0,0)*(DEBT!$M$37/DEBT!$M$38)+MAX(0,N(IF($CR$17=$CQ$62,Underwriting!BT244,Underwriting!BT245)))*DEBT!$N$31</f>
        <v>256169.1562776601</v>
      </c>
      <c r="GC30" t="n">
        <f>MIN(0,0)*(DEBT!$M$37/DEBT!$M$38)+MAX(0,N(IF($CR$17=$CQ$62,Underwriting!BU244,Underwriting!BU245)))*DEBT!$N$31</f>
        <v>245394764.08790347</v>
      </c>
    </row>
    <row r="31" ht="65">
      <c r="A31" s="311"/>
      <c r="B31" s="949" t="str">
        <f>'FUNDING &amp; CAP TABLE'!$A$13</f>
        <v>Andrew Norton &amp; others</v>
      </c>
      <c r="C31" s="949" t="str">
        <f>'FUNDING &amp; CAP TABLE'!$H$13</f>
        <v>Mapped — provisional</v>
      </c>
      <c r="D31" s="951" t="n">
        <f>'FUNDING &amp; CAP TABLE'!$D$13</f>
        <v>0.83</v>
      </c>
      <c r="E31" s="951" t="n">
        <f>0</f>
        <v>0</v>
      </c>
      <c r="F31" s="951" t="n">
        <f>0</f>
        <v>0</v>
      </c>
      <c r="G31" s="951">
        <f t="shared" si="0"/>
        <v>0.83</v>
      </c>
      <c r="H31" s="950">
        <v>4.0342234867893458E-3</v>
      </c>
      <c r="I31" s="951">
        <f t="shared" si="1"/>
        <v>1.6394402593358177</v>
      </c>
      <c r="J31" s="951">
        <f t="shared" si="2"/>
        <v>1.8260170078881222</v>
      </c>
      <c r="K31" s="951">
        <f t="shared" si="3"/>
        <v>2.0426828024726551</v>
      </c>
      <c r="L31" s="951">
        <f t="shared" si="4"/>
        <v>0.9960170078881222</v>
      </c>
      <c r="M31" s="953">
        <f t="shared" si="5"/>
        <v>2.2000204914314727</v>
      </c>
      <c r="N31" s="950">
        <f t="shared" si="6"/>
        <v>0.25243591969602264</v>
      </c>
      <c r="O31" s="955" t="s">
        <v>854</v>
      </c>
      <c r="P31" s="955" t="s">
        <v>860</v>
      </c>
      <c r="CQ31" s="311" t="str">
        <f>Underwriting!$B$98</f>
        <v>Car Park</v>
      </c>
      <c r="CR31" s="312" t="str">
        <f>IF(Underwriting!$I$98&gt;0,"NOI / cap rate","EBITDA multiple")</f>
        <v>EBITDA multiple</v>
      </c>
      <c r="CS31" s="315" t="n">
        <f>Underwriting!$E$98</f>
        <v>19500.38</v>
      </c>
      <c r="CT31" s="315" t="n">
        <f>Underwriting!$I$98/1000000</f>
        <v>0</v>
      </c>
      <c r="CU31" s="313" t="n">
        <f>IF(Underwriting!$I$98=0,0,$DA$10*Underwriting!$I$98/Underwriting!$I$105)</f>
        <v>0</v>
      </c>
      <c r="CV31" s="316" t="str">
        <f>IF(Underwriting!$I$98=0,"",$DA$11)</f>
      </c>
      <c r="CW31" s="313" t="n">
        <f>IF($CV31="",0,$CU31/$CV31)</f>
        <v>0</v>
      </c>
      <c r="CX31" s="315" t="n">
        <f>IF(Underwriting!$I$98=0,'Tenant Report'!$O$39,0)</f>
        <v>5.96703677015407</v>
      </c>
      <c r="CY31" s="316" t="n">
        <f>IF($CX31=0,"",$CR$10)</f>
        <v>0.2</v>
      </c>
      <c r="CZ31" s="313" t="n">
        <f>$CX31*N($CY31)</f>
        <v>1.1934073540308139</v>
      </c>
      <c r="DA31" s="318" t="n">
        <f>IF($CX31=0,"",$CR$11)</f>
        <v>8</v>
      </c>
      <c r="DB31" s="313" t="n">
        <f>$CZ31*N($DA31)</f>
        <v>9.547258832246511</v>
      </c>
      <c r="DC31" s="313" t="n">
        <f>SUM($CW31,$DB31)</f>
        <v>9.547258832246511</v>
      </c>
      <c r="DD31" s="701" t="str">
        <f>IF(Underwriting!$I$98&gt;0,"Model rent allocation; property-only value.","Revenue linked to Tenant Report; margin and multiple illustrative.")</f>
        <v>Revenue linked to Tenant Report; margin and multiple illustrative.</v>
      </c>
      <c r="DE31" s="699"/>
      <c r="DF31" s="699"/>
      <c r="DG31" s="699"/>
      <c r="DH31" s="699"/>
      <c r="DI31" s="699"/>
      <c r="DJ31" s="699"/>
      <c r="DK31" s="699"/>
      <c r="DL31" s="699"/>
      <c r="DN31" s="313" t="n">
        <f>N(IF($CR$17=$CQ$62,Underwriting!L244,Underwriting!L245))</f>
        <v>0</v>
      </c>
      <c r="DO31" s="313" t="n">
        <f>N(IF($CR$17=$CQ$62,Underwriting!M244,Underwriting!M245))</f>
        <v>20697.41896456861</v>
      </c>
      <c r="DP31" s="313" t="n">
        <f>N(IF($CR$17=$CQ$62,Underwriting!N244,Underwriting!N245))</f>
        <v>7136.89911016984</v>
      </c>
      <c r="DQ31" s="313" t="n">
        <f>N(IF($CR$17=$CQ$62,Underwriting!O244,Underwriting!O245))</f>
        <v>-12229.754929718263</v>
      </c>
      <c r="DR31" s="313" t="n">
        <f>N(IF($CR$17=$CQ$62,Underwriting!P244,Underwriting!P245))</f>
        <v>-39061.596444356</v>
      </c>
      <c r="DS31" s="313" t="n">
        <f>N(IF($CR$17=$CQ$62,Underwriting!Q244,Underwriting!Q245))</f>
        <v>-80820.2152864874</v>
      </c>
      <c r="DT31" s="313" t="n">
        <f>N(IF($CR$17=$CQ$62,Underwriting!R244,Underwriting!R245))</f>
        <v>-92758.63019018786</v>
      </c>
      <c r="DU31" s="313" t="n">
        <f>N(IF($CR$17=$CQ$62,Underwriting!S244,Underwriting!S245))</f>
        <v>-151838.0738908339</v>
      </c>
      <c r="DV31" s="313" t="n">
        <f>N(IF($CR$17=$CQ$62,Underwriting!T244,Underwriting!T245))</f>
        <v>-223783.60513408761</v>
      </c>
      <c r="DW31" s="313" t="n">
        <f>N(IF($CR$17=$CQ$62,Underwriting!U244,Underwriting!U245))</f>
        <v>-308358.9012558869</v>
      </c>
      <c r="DX31" s="313" t="n">
        <f>N(IF($CR$17=$CQ$62,Underwriting!V244,Underwriting!V245))</f>
        <v>-404138.64571131836</v>
      </c>
      <c r="DY31" s="313" t="n">
        <f>N(IF($CR$17=$CQ$62,Underwriting!W244,Underwriting!W245))</f>
        <v>-508341.659153772</v>
      </c>
      <c r="DZ31" s="313" t="n">
        <f>N(IF($CR$17=$CQ$62,Underwriting!X244,Underwriting!X245))</f>
        <v>-616815.7695986017</v>
      </c>
      <c r="EA31" s="313" t="n">
        <f>N(IF($CR$17=$CQ$62,Underwriting!Y244,Underwriting!Y245))</f>
        <v>-724214.3746582889</v>
      </c>
      <c r="EB31" s="313" t="n">
        <f>N(IF($CR$17=$CQ$62,Underwriting!Z244,Underwriting!Z245))</f>
        <v>-824375.9619705918</v>
      </c>
      <c r="EC31" s="313" t="n">
        <f>N(IF($CR$17=$CQ$62,Underwriting!AA244,Underwriting!AA245))</f>
        <v>-910880.5321552892</v>
      </c>
      <c r="ED31" s="313" t="n">
        <f>N(IF($CR$17=$CQ$62,Underwriting!AB244,Underwriting!AB245))</f>
        <v>-170235.09548436865</v>
      </c>
      <c r="EE31" s="313" t="n">
        <f>N(IF($CR$17=$CQ$62,Underwriting!AC244,Underwriting!AC245))</f>
        <v>42655.977640512116</v>
      </c>
      <c r="EF31" s="313" t="n">
        <f>N(IF($CR$17=$CQ$62,Underwriting!AD244,Underwriting!AD245))</f>
        <v>183252.67770691717</v>
      </c>
      <c r="EG31" s="313" t="n">
        <f>N(IF($CR$17=$CQ$62,Underwriting!AE244,Underwriting!AE245))</f>
        <v>170533.1050788837</v>
      </c>
      <c r="EH31" s="313" t="n">
        <f>N(IF($CR$17=$CQ$62,Underwriting!AF244,Underwriting!AF245))</f>
        <v>162398.0719604654</v>
      </c>
      <c r="EI31" s="313" t="n">
        <f>N(IF($CR$17=$CQ$62,Underwriting!AG244,Underwriting!AG245))</f>
        <v>193957.07916015596</v>
      </c>
      <c r="EJ31" s="313" t="n">
        <f>N(IF($CR$17=$CQ$62,Underwriting!AH244,Underwriting!AH245))</f>
        <v>186520.1600444566</v>
      </c>
      <c r="EK31" s="313" t="n">
        <f>N(IF($CR$17=$CQ$62,Underwriting!AI244,Underwriting!AI245))</f>
        <v>179676.24575137324</v>
      </c>
      <c r="EL31" s="313" t="n">
        <f>N(IF($CR$17=$CQ$62,Underwriting!AJ244,Underwriting!AJ245))</f>
        <v>188808.64779545995</v>
      </c>
      <c r="EM31" s="313" t="n">
        <f>N(IF($CR$17=$CQ$62,Underwriting!AK244,Underwriting!AK245))</f>
        <v>183424.0202670514</v>
      </c>
      <c r="EN31" s="313" t="n">
        <f>N(IF($CR$17=$CQ$62,Underwriting!AL244,Underwriting!AL245))</f>
        <v>178812.5613568693</v>
      </c>
      <c r="EO31" s="313" t="n">
        <f>N(IF($CR$17=$CQ$62,Underwriting!AM244,Underwriting!AM245))</f>
        <v>184352.17664984387</v>
      </c>
      <c r="EP31" s="313" t="n">
        <f>N(IF($CR$17=$CQ$62,Underwriting!AN244,Underwriting!AN245))</f>
        <v>149768.51834205934</v>
      </c>
      <c r="EQ31" s="313" t="n">
        <f>N(IF($CR$17=$CQ$62,Underwriting!AO244,Underwriting!AO245))</f>
        <v>78828.17014633972</v>
      </c>
      <c r="ER31" s="313" t="n">
        <f>N(IF($CR$17=$CQ$62,Underwriting!AP244,Underwriting!AP245))</f>
        <v>132061.2559979037</v>
      </c>
      <c r="ES31" s="313" t="n">
        <f>N(IF($CR$17=$CQ$62,Underwriting!AQ244,Underwriting!AQ245))</f>
        <v>151856.45630436513</v>
      </c>
      <c r="ET31" s="313" t="n">
        <f>N(IF($CR$17=$CQ$62,Underwriting!AR244,Underwriting!AR245))</f>
        <v>166597.00149289376</v>
      </c>
      <c r="EU31" s="313" t="n">
        <f>N(IF($CR$17=$CQ$62,Underwriting!AS244,Underwriting!AS245))</f>
        <v>177153.76001550633</v>
      </c>
      <c r="EV31" s="313" t="n">
        <f>N(IF($CR$17=$CQ$62,Underwriting!AT244,Underwriting!AT245))</f>
        <v>197050.77611878637</v>
      </c>
      <c r="EW31" s="313" t="n">
        <f>N(IF($CR$17=$CQ$62,Underwriting!AU244,Underwriting!AU245))</f>
        <v>201683.90638575447</v>
      </c>
      <c r="EX31" s="313" t="n">
        <f>N(IF($CR$17=$CQ$62,Underwriting!AV244,Underwriting!AV245))</f>
        <v>205096.64132294507</v>
      </c>
      <c r="EY31" s="313" t="n">
        <f>N(IF($CR$17=$CQ$62,Underwriting!AW244,Underwriting!AW245))</f>
        <v>183924.7834727674</v>
      </c>
      <c r="EZ31" s="313" t="n">
        <f>N(IF($CR$17=$CQ$62,Underwriting!AX244,Underwriting!AX245))</f>
        <v>183290.65247524926</v>
      </c>
      <c r="FA31" s="313" t="n">
        <f>N(IF($CR$17=$CQ$62,Underwriting!AY244,Underwriting!AY245))</f>
        <v>182651.76549524977</v>
      </c>
      <c r="FB31" s="313" t="n">
        <f>N(IF($CR$17=$CQ$62,Underwriting!AZ244,Underwriting!AZ245))</f>
        <v>182324.07566466738</v>
      </c>
      <c r="FC31" s="313" t="n">
        <f>N(IF($CR$17=$CQ$62,Underwriting!BA244,Underwriting!BA245))</f>
        <v>181675.56944257524</v>
      </c>
      <c r="FD31" s="313" t="n">
        <f>N(IF($CR$17=$CQ$62,Underwriting!BB244,Underwriting!BB245))</f>
        <v>181022.19942381745</v>
      </c>
      <c r="FE31" s="313" t="n">
        <f>N(IF($CR$17=$CQ$62,Underwriting!BC244,Underwriting!BC245))</f>
        <v>188570.02953404235</v>
      </c>
      <c r="FF31" t="n">
        <f>N(IF($CR$17=$CQ$62,Underwriting!BD244,Underwriting!BD245))</f>
        <v>187906.82221293962</v>
      </c>
      <c r="FG31" t="n">
        <f>N(IF($CR$17=$CQ$62,Underwriting!BE244,Underwriting!BE245))</f>
        <v>187238.64083692874</v>
      </c>
      <c r="FH31" t="n">
        <f>N(IF($CR$17=$CQ$62,Underwriting!BF244,Underwriting!BF245))</f>
        <v>188022.4689339309</v>
      </c>
      <c r="FI31" t="n">
        <f>N(IF($CR$17=$CQ$62,Underwriting!BG244,Underwriting!BG245))</f>
        <v>187344.22725207737</v>
      </c>
      <c r="FJ31" t="n">
        <f>N(IF($CR$17=$CQ$62,Underwriting!BH244,Underwriting!BH245))</f>
        <v>186660.8987576099</v>
      </c>
      <c r="FK31" t="n">
        <f>N(IF($CR$17=$CQ$62,Underwriting!BI244,Underwriting!BI245))</f>
        <v>318883.144238099</v>
      </c>
      <c r="FL31" t="n">
        <f>N(IF($CR$17=$CQ$62,Underwriting!BJ244,Underwriting!BJ245))</f>
        <v>318189.5273789867</v>
      </c>
      <c r="FM31" t="n">
        <f>N(IF($CR$17=$CQ$62,Underwriting!BK244,Underwriting!BK245))</f>
        <v>317490.70839343104</v>
      </c>
      <c r="FN31" t="n">
        <f>N(IF($CR$17=$CQ$62,Underwriting!BL244,Underwriting!BL245))</f>
        <v>317102.10764048377</v>
      </c>
      <c r="FO31" t="n">
        <f>N(IF($CR$17=$CQ$62,Underwriting!BM244,Underwriting!BM245))</f>
        <v>316392.76706157695</v>
      </c>
      <c r="FP31" t="n">
        <f>N(IF($CR$17=$CQ$62,Underwriting!BN244,Underwriting!BN245))</f>
        <v>315678.10642832826</v>
      </c>
      <c r="FQ31" t="n">
        <f>N(IF($CR$17=$CQ$62,Underwriting!BO244,Underwriting!BO245))</f>
        <v>322385.3486339431</v>
      </c>
      <c r="FR31" t="n">
        <f>N(IF($CR$17=$CQ$62,Underwriting!BP244,Underwriting!BP245))</f>
        <v>321659.9278915351</v>
      </c>
      <c r="FS31" t="n">
        <f>N(IF($CR$17=$CQ$62,Underwriting!BQ244,Underwriting!BQ245))</f>
        <v>320929.06649355905</v>
      </c>
      <c r="FT31" t="n">
        <f>N(IF($CR$17=$CQ$62,Underwriting!BR244,Underwriting!BR245))</f>
        <v>321700.740197598</v>
      </c>
      <c r="FU31" t="n">
        <f>N(IF($CR$17=$CQ$62,Underwriting!BS244,Underwriting!BS245))</f>
        <v>320958.8747676987</v>
      </c>
      <c r="FV31" t="n">
        <f>N(IF($CR$17=$CQ$62,Underwriting!BT244,Underwriting!BT245))</f>
        <v>320211.4453470751</v>
      </c>
      <c r="FW31" t="n">
        <f>N(IF($CR$17=$CQ$62,Underwriting!BU244,Underwriting!BU245))</f>
        <v>306743455.1098793</v>
      </c>
      <c r="FX31" t="n">
        <f>0</f>
        <v>0</v>
      </c>
      <c r="FY31" t="n">
        <f>0</f>
        <v>0</v>
      </c>
      <c r="FZ31" t="n">
        <f>0</f>
        <v>0</v>
      </c>
      <c r="GA31" t="n">
        <f>0</f>
        <v>0</v>
      </c>
      <c r="GB31" t="n">
        <f>0</f>
        <v>0</v>
      </c>
      <c r="GC31" t="n">
        <f>0</f>
        <v>0</v>
      </c>
    </row>
    <row r="32" ht="65">
      <c r="A32" s="311"/>
      <c r="B32" s="949" t="str">
        <f>'FUNDING &amp; CAP TABLE'!$A$14</f>
        <v>Australian Institutional Investors</v>
      </c>
      <c r="C32" s="949" t="str">
        <f>'FUNDING &amp; CAP TABLE'!$H$14</f>
        <v>Mapped — provisional</v>
      </c>
      <c r="D32" s="951" t="n">
        <f>'FUNDING &amp; CAP TABLE'!$D$14</f>
        <v>50</v>
      </c>
      <c r="E32" s="951" t="n">
        <f>0</f>
        <v>0</v>
      </c>
      <c r="F32" s="951" t="n">
        <f>0</f>
        <v>0</v>
      </c>
      <c r="G32" s="951">
        <f t="shared" si="0"/>
        <v>50</v>
      </c>
      <c r="H32" s="950">
        <v>0.24302551125237021</v>
      </c>
      <c r="I32" s="951">
        <f t="shared" si="1"/>
        <v>98.761461405772138</v>
      </c>
      <c r="J32" s="951">
        <f t="shared" si="2"/>
        <v>110.00102457157362</v>
      </c>
      <c r="K32" s="951">
        <f t="shared" si="3"/>
        <v>123.05318087184669</v>
      </c>
      <c r="L32" s="951">
        <f t="shared" si="4"/>
        <v>60.001024571573623</v>
      </c>
      <c r="M32" s="953">
        <f t="shared" si="5"/>
        <v>2.2000204914314723</v>
      </c>
      <c r="N32" s="950">
        <f t="shared" si="6"/>
        <v>0.25243591969602264</v>
      </c>
      <c r="O32" s="955" t="s">
        <v>854</v>
      </c>
      <c r="P32" s="955" t="s">
        <v>861</v>
      </c>
      <c r="CQ32" s="311" t="str">
        <f>Underwriting!$B$99</f>
        <v>Snowtunnel</v>
      </c>
      <c r="CR32" s="312" t="str">
        <f>IF(Underwriting!$I$99&gt;0,"NOI / cap rate","EBITDA multiple")</f>
        <v>NOI / cap rate</v>
      </c>
      <c r="CS32" s="315" t="n">
        <f>Underwriting!$E$99</f>
        <v>3800</v>
      </c>
      <c r="CT32" s="315" t="n">
        <f>Underwriting!$I$99/1000000</f>
        <v>1.9</v>
      </c>
      <c r="CU32" s="313" t="n">
        <f>IF(Underwriting!$I$99=0,0,$DA$10*Underwriting!$I$99/Underwriting!$I$105)</f>
        <v>5.315089147423345</v>
      </c>
      <c r="CV32" s="316" t="n">
        <f>IF(Underwriting!$I$99=0,"",$DA$11)</f>
        <v>0.06700819672131147</v>
      </c>
      <c r="CW32" s="313" t="n">
        <f>IF($CV32="",0,$CU32/$CV32)</f>
        <v>79.3199848300487</v>
      </c>
      <c r="CX32" s="315" t="n">
        <f>IF(Underwriting!$I$99=0,'Tenant Report'!$O$40,0)</f>
        <v>0</v>
      </c>
      <c r="CY32" s="316" t="str">
        <f>IF($CX32=0,"",$CR$10)</f>
      </c>
      <c r="CZ32" s="313" t="n">
        <f>$CX32*N($CY32)</f>
        <v>0</v>
      </c>
      <c r="DA32" s="318" t="str">
        <f>IF($CX32=0,"",$CR$11)</f>
      </c>
      <c r="DB32" s="313" t="n">
        <f>$CZ32*N($DA32)</f>
        <v>0</v>
      </c>
      <c r="DC32" s="313" t="n">
        <f>SUM($CW32,$DB32)</f>
        <v>79.3199848300487</v>
      </c>
      <c r="DD32" s="701" t="str">
        <f>IF(Underwriting!$I$99&gt;0,"Model rent allocation; property-only value.","Revenue linked to Tenant Report; margin and multiple illustrative.")</f>
        <v>Model rent allocation; property-only value.</v>
      </c>
      <c r="DE32" s="699"/>
      <c r="DF32" s="699"/>
      <c r="DG32" s="699"/>
      <c r="DH32" s="699"/>
      <c r="DI32" s="699"/>
      <c r="DJ32" s="699"/>
      <c r="DK32" s="699"/>
      <c r="DL32" s="699"/>
      <c r="DN32" s="313" t="n">
        <f>MIN(0,N(IF($CR$17=$CQ$62,Underwriting!L244,Underwriting!L245)))*(DEBT!$M$39/DEBT!$M$38)+MAX(0,N(IF($CR$17=$CQ$62,Underwriting!L244,Underwriting!L245)))*DEBT!$N$33</f>
        <v>0</v>
      </c>
      <c r="DO32" s="313" t="n">
        <f>MIN(0,N(IF($CR$17=$CQ$62,Underwriting!M244,Underwriting!M245)))*(DEBT!$M$39/DEBT!$M$38)+MAX(0,N(IF($CR$17=$CQ$62,Underwriting!M244,Underwriting!M245)))*DEBT!$N$33</f>
        <v>21732.28991279704</v>
      </c>
      <c r="DP32" s="313" t="n">
        <f>MIN(0,N(IF($CR$17=$CQ$62,Underwriting!N244,Underwriting!N245)))*(DEBT!$M$39/DEBT!$M$38)+MAX(0,N(IF($CR$17=$CQ$62,Underwriting!N244,Underwriting!N245)))*DEBT!$N$33</f>
        <v>7493.744065678333</v>
      </c>
      <c r="DQ32" s="313" t="n">
        <f>MIN(0,N(IF($CR$17=$CQ$62,Underwriting!O244,Underwriting!O245)))*(DEBT!$M$39/DEBT!$M$38)+MAX(0,N(IF($CR$17=$CQ$62,Underwriting!O244,Underwriting!O245)))*DEBT!$N$33</f>
        <v>-11618.26718323235</v>
      </c>
      <c r="DR32" s="313" t="n">
        <f>MIN(0,N(IF($CR$17=$CQ$62,Underwriting!P244,Underwriting!P245)))*(DEBT!$M$39/DEBT!$M$38)+MAX(0,N(IF($CR$17=$CQ$62,Underwriting!P244,Underwriting!P245)))*DEBT!$N$33</f>
        <v>-37108.5166221382</v>
      </c>
      <c r="DS32" s="313" t="n">
        <f>MIN(0,N(IF($CR$17=$CQ$62,Underwriting!Q244,Underwriting!Q245)))*(DEBT!$M$39/DEBT!$M$38)+MAX(0,N(IF($CR$17=$CQ$62,Underwriting!Q244,Underwriting!Q245)))*DEBT!$N$33</f>
        <v>-76779.20452216303</v>
      </c>
      <c r="DT32" s="313" t="n">
        <f>MIN(0,N(IF($CR$17=$CQ$62,Underwriting!R244,Underwriting!R245)))*(DEBT!$M$39/DEBT!$M$38)+MAX(0,N(IF($CR$17=$CQ$62,Underwriting!R244,Underwriting!R245)))*DEBT!$N$33</f>
        <v>-88120.69868067847</v>
      </c>
      <c r="DU32" s="313" t="n">
        <f>MIN(0,N(IF($CR$17=$CQ$62,Underwriting!S244,Underwriting!S245)))*(DEBT!$M$39/DEBT!$M$38)+MAX(0,N(IF($CR$17=$CQ$62,Underwriting!S244,Underwriting!S245)))*DEBT!$N$33</f>
        <v>-144246.17019629222</v>
      </c>
      <c r="DV32" s="313" t="n">
        <f>MIN(0,N(IF($CR$17=$CQ$62,Underwriting!T244,Underwriting!T245)))*(DEBT!$M$39/DEBT!$M$38)+MAX(0,N(IF($CR$17=$CQ$62,Underwriting!T244,Underwriting!T245)))*DEBT!$N$33</f>
        <v>-212594.42487738322</v>
      </c>
      <c r="DW32" s="313" t="n">
        <f>MIN(0,N(IF($CR$17=$CQ$62,Underwriting!U244,Underwriting!U245)))*(DEBT!$M$39/DEBT!$M$38)+MAX(0,N(IF($CR$17=$CQ$62,Underwriting!U244,Underwriting!U245)))*DEBT!$N$33</f>
        <v>-292940.9561930925</v>
      </c>
      <c r="DX32" s="313" t="n">
        <f>MIN(0,N(IF($CR$17=$CQ$62,Underwriting!V244,Underwriting!V245)))*(DEBT!$M$39/DEBT!$M$38)+MAX(0,N(IF($CR$17=$CQ$62,Underwriting!V244,Underwriting!V245)))*DEBT!$N$33</f>
        <v>-383931.7134257524</v>
      </c>
      <c r="DY32" s="313" t="n">
        <f>MIN(0,N(IF($CR$17=$CQ$62,Underwriting!W244,Underwriting!W245)))*(DEBT!$M$39/DEBT!$M$38)+MAX(0,N(IF($CR$17=$CQ$62,Underwriting!W244,Underwriting!W245)))*DEBT!$N$33</f>
        <v>-482924.5761960834</v>
      </c>
      <c r="DZ32" s="313" t="n">
        <f>MIN(0,N(IF($CR$17=$CQ$62,Underwriting!X244,Underwriting!X245)))*(DEBT!$M$39/DEBT!$M$38)+MAX(0,N(IF($CR$17=$CQ$62,Underwriting!X244,Underwriting!X245)))*DEBT!$N$33</f>
        <v>-585974.9811186716</v>
      </c>
      <c r="EA32" s="313" t="n">
        <f>MIN(0,N(IF($CR$17=$CQ$62,Underwriting!Y244,Underwriting!Y245)))*(DEBT!$M$39/DEBT!$M$38)+MAX(0,N(IF($CR$17=$CQ$62,Underwriting!Y244,Underwriting!Y245)))*DEBT!$N$33</f>
        <v>-688003.6559253745</v>
      </c>
      <c r="EB32" s="313" t="n">
        <f>MIN(0,N(IF($CR$17=$CQ$62,Underwriting!Z244,Underwriting!Z245)))*(DEBT!$M$39/DEBT!$M$38)+MAX(0,N(IF($CR$17=$CQ$62,Underwriting!Z244,Underwriting!Z245)))*DEBT!$N$33</f>
        <v>-783157.1638720622</v>
      </c>
      <c r="EC32" s="313" t="n">
        <f>MIN(0,N(IF($CR$17=$CQ$62,Underwriting!AA244,Underwriting!AA245)))*(DEBT!$M$39/DEBT!$M$38)+MAX(0,N(IF($CR$17=$CQ$62,Underwriting!AA244,Underwriting!AA245)))*DEBT!$N$33</f>
        <v>-865336.5055475247</v>
      </c>
      <c r="ED32" s="313" t="n">
        <f>MIN(0,N(IF($CR$17=$CQ$62,Underwriting!AB244,Underwriting!AB245)))*(DEBT!$M$39/DEBT!$M$38)+MAX(0,N(IF($CR$17=$CQ$62,Underwriting!AB244,Underwriting!AB245)))*DEBT!$N$33</f>
        <v>-161723.3407101502</v>
      </c>
      <c r="EE32" s="313" t="n">
        <f>MIN(0,N(IF($CR$17=$CQ$62,Underwriting!AC244,Underwriting!AC245)))*(DEBT!$M$39/DEBT!$M$38)+MAX(0,N(IF($CR$17=$CQ$62,Underwriting!AC244,Underwriting!AC245)))*DEBT!$N$33</f>
        <v>44788.77652253772</v>
      </c>
      <c r="EF32" s="313" t="n">
        <f>MIN(0,N(IF($CR$17=$CQ$62,Underwriting!AD244,Underwriting!AD245)))*(DEBT!$M$39/DEBT!$M$38)+MAX(0,N(IF($CR$17=$CQ$62,Underwriting!AD244,Underwriting!AD245)))*DEBT!$N$33</f>
        <v>192415.31159226302</v>
      </c>
      <c r="EG32" s="313" t="n">
        <f>MIN(0,N(IF($CR$17=$CQ$62,Underwriting!AE244,Underwriting!AE245)))*(DEBT!$M$39/DEBT!$M$38)+MAX(0,N(IF($CR$17=$CQ$62,Underwriting!AE244,Underwriting!AE245)))*DEBT!$N$33</f>
        <v>179059.7603328279</v>
      </c>
      <c r="EH32" s="313" t="n">
        <f>MIN(0,N(IF($CR$17=$CQ$62,Underwriting!AF244,Underwriting!AF245)))*(DEBT!$M$39/DEBT!$M$38)+MAX(0,N(IF($CR$17=$CQ$62,Underwriting!AF244,Underwriting!AF245)))*DEBT!$N$33</f>
        <v>170517.9755584887</v>
      </c>
      <c r="EI32" s="313" t="n">
        <f>MIN(0,N(IF($CR$17=$CQ$62,Underwriting!AG244,Underwriting!AG245)))*(DEBT!$M$39/DEBT!$M$38)+MAX(0,N(IF($CR$17=$CQ$62,Underwriting!AG244,Underwriting!AG245)))*DEBT!$N$33</f>
        <v>203654.93311816375</v>
      </c>
      <c r="EJ32" s="313" t="n">
        <f>MIN(0,N(IF($CR$17=$CQ$62,Underwriting!AH244,Underwriting!AH245)))*(DEBT!$M$39/DEBT!$M$38)+MAX(0,N(IF($CR$17=$CQ$62,Underwriting!AH244,Underwriting!AH245)))*DEBT!$N$33</f>
        <v>195846.16804667944</v>
      </c>
      <c r="EK32" s="313" t="n">
        <f>MIN(0,N(IF($CR$17=$CQ$62,Underwriting!AI244,Underwriting!AI245)))*(DEBT!$M$39/DEBT!$M$38)+MAX(0,N(IF($CR$17=$CQ$62,Underwriting!AI244,Underwriting!AI245)))*DEBT!$N$33</f>
        <v>188660.0580389419</v>
      </c>
      <c r="EL32" s="313" t="n">
        <f>MIN(0,N(IF($CR$17=$CQ$62,Underwriting!AJ244,Underwriting!AJ245)))*(DEBT!$M$39/DEBT!$M$38)+MAX(0,N(IF($CR$17=$CQ$62,Underwriting!AJ244,Underwriting!AJ245)))*DEBT!$N$33</f>
        <v>198249.08018523295</v>
      </c>
      <c r="EM32" s="313" t="n">
        <f>MIN(0,N(IF($CR$17=$CQ$62,Underwriting!AK244,Underwriting!AK245)))*(DEBT!$M$39/DEBT!$M$38)+MAX(0,N(IF($CR$17=$CQ$62,Underwriting!AK244,Underwriting!AK245)))*DEBT!$N$33</f>
        <v>192595.221280404</v>
      </c>
      <c r="EN32" s="313" t="n">
        <f>MIN(0,N(IF($CR$17=$CQ$62,Underwriting!AL244,Underwriting!AL245)))*(DEBT!$M$39/DEBT!$M$38)+MAX(0,N(IF($CR$17=$CQ$62,Underwriting!AL244,Underwriting!AL245)))*DEBT!$N$33</f>
        <v>187753.18942471276</v>
      </c>
      <c r="EO32" s="313" t="n">
        <f>MIN(0,N(IF($CR$17=$CQ$62,Underwriting!AM244,Underwriting!AM245)))*(DEBT!$M$39/DEBT!$M$38)+MAX(0,N(IF($CR$17=$CQ$62,Underwriting!AM244,Underwriting!AM245)))*DEBT!$N$33</f>
        <v>193569.78548233607</v>
      </c>
      <c r="EP32" s="313" t="n">
        <f>MIN(0,N(IF($CR$17=$CQ$62,Underwriting!AN244,Underwriting!AN245)))*(DEBT!$M$39/DEBT!$M$38)+MAX(0,N(IF($CR$17=$CQ$62,Underwriting!AN244,Underwriting!AN245)))*DEBT!$N$33</f>
        <v>157256.94425916232</v>
      </c>
      <c r="EQ32" s="313" t="n">
        <f>MIN(0,N(IF($CR$17=$CQ$62,Underwriting!AO244,Underwriting!AO245)))*(DEBT!$M$39/DEBT!$M$38)+MAX(0,N(IF($CR$17=$CQ$62,Underwriting!AO244,Underwriting!AO245)))*DEBT!$N$33</f>
        <v>82769.5786536567</v>
      </c>
      <c r="ER32" s="313" t="n">
        <f>MIN(0,N(IF($CR$17=$CQ$62,Underwriting!AP244,Underwriting!AP245)))*(DEBT!$M$39/DEBT!$M$38)+MAX(0,N(IF($CR$17=$CQ$62,Underwriting!AP244,Underwriting!AP245)))*DEBT!$N$33</f>
        <v>138664.3187977989</v>
      </c>
      <c r="ES32" s="313" t="n">
        <f>MIN(0,N(IF($CR$17=$CQ$62,Underwriting!AQ244,Underwriting!AQ245)))*(DEBT!$M$39/DEBT!$M$38)+MAX(0,N(IF($CR$17=$CQ$62,Underwriting!AQ244,Underwriting!AQ245)))*DEBT!$N$33</f>
        <v>159449.2791195834</v>
      </c>
      <c r="ET32" s="313" t="n">
        <f>MIN(0,N(IF($CR$17=$CQ$62,Underwriting!AR244,Underwriting!AR245)))*(DEBT!$M$39/DEBT!$M$38)+MAX(0,N(IF($CR$17=$CQ$62,Underwriting!AR244,Underwriting!AR245)))*DEBT!$N$33</f>
        <v>174926.85156753846</v>
      </c>
      <c r="EU32" s="313" t="n">
        <f>MIN(0,N(IF($CR$17=$CQ$62,Underwriting!AS244,Underwriting!AS245)))*(DEBT!$M$39/DEBT!$M$38)+MAX(0,N(IF($CR$17=$CQ$62,Underwriting!AS244,Underwriting!AS245)))*DEBT!$N$33</f>
        <v>186011.44801628165</v>
      </c>
      <c r="EV32" s="313" t="n">
        <f>MIN(0,N(IF($CR$17=$CQ$62,Underwriting!AT244,Underwriting!AT245)))*(DEBT!$M$39/DEBT!$M$38)+MAX(0,N(IF($CR$17=$CQ$62,Underwriting!AT244,Underwriting!AT245)))*DEBT!$N$33</f>
        <v>206903.31492472568</v>
      </c>
      <c r="EW32" s="313" t="n">
        <f>MIN(0,N(IF($CR$17=$CQ$62,Underwriting!AU244,Underwriting!AU245)))*(DEBT!$M$39/DEBT!$M$38)+MAX(0,N(IF($CR$17=$CQ$62,Underwriting!AU244,Underwriting!AU245)))*DEBT!$N$33</f>
        <v>211768.1017050422</v>
      </c>
      <c r="EX32" s="313" t="n">
        <f>MIN(0,N(IF($CR$17=$CQ$62,Underwriting!AV244,Underwriting!AV245)))*(DEBT!$M$39/DEBT!$M$38)+MAX(0,N(IF($CR$17=$CQ$62,Underwriting!AV244,Underwriting!AV245)))*DEBT!$N$33</f>
        <v>215351.47338909234</v>
      </c>
      <c r="EY32" s="313" t="n">
        <f>MIN(0,N(IF($CR$17=$CQ$62,Underwriting!AW244,Underwriting!AW245)))*(DEBT!$M$39/DEBT!$M$38)+MAX(0,N(IF($CR$17=$CQ$62,Underwriting!AW244,Underwriting!AW245)))*DEBT!$N$33</f>
        <v>193121.02264640576</v>
      </c>
      <c r="EZ32" s="313" t="n">
        <f>MIN(0,N(IF($CR$17=$CQ$62,Underwriting!AX244,Underwriting!AX245)))*(DEBT!$M$39/DEBT!$M$38)+MAX(0,N(IF($CR$17=$CQ$62,Underwriting!AX244,Underwriting!AX245)))*DEBT!$N$33</f>
        <v>192455.18509901172</v>
      </c>
      <c r="FA32" s="313" t="n">
        <f>MIN(0,N(IF($CR$17=$CQ$62,Underwriting!AY244,Underwriting!AY245)))*(DEBT!$M$39/DEBT!$M$38)+MAX(0,N(IF($CR$17=$CQ$62,Underwriting!AY244,Underwriting!AY245)))*DEBT!$N$33</f>
        <v>191784.35377001227</v>
      </c>
      <c r="FB32" s="313" t="n">
        <f>MIN(0,N(IF($CR$17=$CQ$62,Underwriting!AZ244,Underwriting!AZ245)))*(DEBT!$M$39/DEBT!$M$38)+MAX(0,N(IF($CR$17=$CQ$62,Underwriting!AZ244,Underwriting!AZ245)))*DEBT!$N$33</f>
        <v>191440.27944790077</v>
      </c>
      <c r="FC32" s="313" t="n">
        <f>MIN(0,N(IF($CR$17=$CQ$62,Underwriting!BA244,Underwriting!BA245)))*(DEBT!$M$39/DEBT!$M$38)+MAX(0,N(IF($CR$17=$CQ$62,Underwriting!BA244,Underwriting!BA245)))*DEBT!$N$33</f>
        <v>190759.347914704</v>
      </c>
      <c r="FD32" s="313" t="n">
        <f>MIN(0,N(IF($CR$17=$CQ$62,Underwriting!BB244,Underwriting!BB245)))*(DEBT!$M$39/DEBT!$M$38)+MAX(0,N(IF($CR$17=$CQ$62,Underwriting!BB244,Underwriting!BB245)))*DEBT!$N$33</f>
        <v>190073.30939500834</v>
      </c>
      <c r="FE32" s="313" t="n">
        <f>MIN(0,N(IF($CR$17=$CQ$62,Underwriting!BC244,Underwriting!BC245)))*(DEBT!$M$39/DEBT!$M$38)+MAX(0,N(IF($CR$17=$CQ$62,Underwriting!BC244,Underwriting!BC245)))*DEBT!$N$33</f>
        <v>197998.53101074448</v>
      </c>
      <c r="FF32" t="n">
        <f>MIN(0,N(IF($CR$17=$CQ$62,Underwriting!BD244,Underwriting!BD245)))*(DEBT!$M$39/DEBT!$M$38)+MAX(0,N(IF($CR$17=$CQ$62,Underwriting!BD244,Underwriting!BD245)))*DEBT!$N$33</f>
        <v>197302.1633235866</v>
      </c>
      <c r="FG32" t="n">
        <f>MIN(0,N(IF($CR$17=$CQ$62,Underwriting!BE244,Underwriting!BE245)))*(DEBT!$M$39/DEBT!$M$38)+MAX(0,N(IF($CR$17=$CQ$62,Underwriting!BE244,Underwriting!BE245)))*DEBT!$N$33</f>
        <v>196600.5728787752</v>
      </c>
      <c r="FH32" t="n">
        <f>MIN(0,N(IF($CR$17=$CQ$62,Underwriting!BF244,Underwriting!BF245)))*(DEBT!$M$39/DEBT!$M$38)+MAX(0,N(IF($CR$17=$CQ$62,Underwriting!BF244,Underwriting!BF245)))*DEBT!$N$33</f>
        <v>197423.59238062747</v>
      </c>
      <c r="FI32" t="n">
        <f>MIN(0,N(IF($CR$17=$CQ$62,Underwriting!BG244,Underwriting!BG245)))*(DEBT!$M$39/DEBT!$M$38)+MAX(0,N(IF($CR$17=$CQ$62,Underwriting!BG244,Underwriting!BG245)))*DEBT!$N$33</f>
        <v>196711.43861468125</v>
      </c>
      <c r="FJ32" t="n">
        <f>MIN(0,N(IF($CR$17=$CQ$62,Underwriting!BH244,Underwriting!BH245)))*(DEBT!$M$39/DEBT!$M$38)+MAX(0,N(IF($CR$17=$CQ$62,Underwriting!BH244,Underwriting!BH245)))*DEBT!$N$33</f>
        <v>195993.9436954904</v>
      </c>
      <c r="FK32" t="n">
        <f>MIN(0,N(IF($CR$17=$CQ$62,Underwriting!BI244,Underwriting!BI245)))*(DEBT!$M$39/DEBT!$M$38)+MAX(0,N(IF($CR$17=$CQ$62,Underwriting!BI244,Underwriting!BI245)))*DEBT!$N$33</f>
        <v>334827.3014500039</v>
      </c>
      <c r="FL32" t="n">
        <f>MIN(0,N(IF($CR$17=$CQ$62,Underwriting!BJ244,Underwriting!BJ245)))*(DEBT!$M$39/DEBT!$M$38)+MAX(0,N(IF($CR$17=$CQ$62,Underwriting!BJ244,Underwriting!BJ245)))*DEBT!$N$33</f>
        <v>334099.00374793605</v>
      </c>
      <c r="FM32" t="n">
        <f>MIN(0,N(IF($CR$17=$CQ$62,Underwriting!BK244,Underwriting!BK245)))*(DEBT!$M$39/DEBT!$M$38)+MAX(0,N(IF($CR$17=$CQ$62,Underwriting!BK244,Underwriting!BK245)))*DEBT!$N$33</f>
        <v>333365.2438131026</v>
      </c>
      <c r="FN32" t="n">
        <f>MIN(0,N(IF($CR$17=$CQ$62,Underwriting!BL244,Underwriting!BL245)))*(DEBT!$M$39/DEBT!$M$38)+MAX(0,N(IF($CR$17=$CQ$62,Underwriting!BL244,Underwriting!BL245)))*DEBT!$N$33</f>
        <v>332957.21302250796</v>
      </c>
      <c r="FO32" t="n">
        <f>MIN(0,N(IF($CR$17=$CQ$62,Underwriting!BM244,Underwriting!BM245)))*(DEBT!$M$39/DEBT!$M$38)+MAX(0,N(IF($CR$17=$CQ$62,Underwriting!BM244,Underwriting!BM245)))*DEBT!$N$33</f>
        <v>332212.4054146558</v>
      </c>
      <c r="FP32" t="n">
        <f>MIN(0,N(IF($CR$17=$CQ$62,Underwriting!BN244,Underwriting!BN245)))*(DEBT!$M$39/DEBT!$M$38)+MAX(0,N(IF($CR$17=$CQ$62,Underwriting!BN244,Underwriting!BN245)))*DEBT!$N$33</f>
        <v>331462.0117497447</v>
      </c>
      <c r="FQ32" t="n">
        <f>MIN(0,N(IF($CR$17=$CQ$62,Underwriting!BO244,Underwriting!BO245)))*(DEBT!$M$39/DEBT!$M$38)+MAX(0,N(IF($CR$17=$CQ$62,Underwriting!BO244,Underwriting!BO245)))*DEBT!$N$33</f>
        <v>338504.6160656403</v>
      </c>
      <c r="FR32" t="n">
        <f>MIN(0,N(IF($CR$17=$CQ$62,Underwriting!BP244,Underwriting!BP245)))*(DEBT!$M$39/DEBT!$M$38)+MAX(0,N(IF($CR$17=$CQ$62,Underwriting!BP244,Underwriting!BP245)))*DEBT!$N$33</f>
        <v>337742.9242861119</v>
      </c>
      <c r="FS32" t="n">
        <f>MIN(0,N(IF($CR$17=$CQ$62,Underwriting!BQ244,Underwriting!BQ245)))*(DEBT!$M$39/DEBT!$M$38)+MAX(0,N(IF($CR$17=$CQ$62,Underwriting!BQ244,Underwriting!BQ245)))*DEBT!$N$33</f>
        <v>336975.519818237</v>
      </c>
      <c r="FT32" t="n">
        <f>MIN(0,N(IF($CR$17=$CQ$62,Underwriting!BR244,Underwriting!BR245)))*(DEBT!$M$39/DEBT!$M$38)+MAX(0,N(IF($CR$17=$CQ$62,Underwriting!BR244,Underwriting!BR245)))*DEBT!$N$33</f>
        <v>337785.7772074779</v>
      </c>
      <c r="FU32" t="n">
        <f>MIN(0,N(IF($CR$17=$CQ$62,Underwriting!BS244,Underwriting!BS245)))*(DEBT!$M$39/DEBT!$M$38)+MAX(0,N(IF($CR$17=$CQ$62,Underwriting!BS244,Underwriting!BS245)))*DEBT!$N$33</f>
        <v>337006.8185060836</v>
      </c>
      <c r="FV32" t="n">
        <f>MIN(0,N(IF($CR$17=$CQ$62,Underwriting!BT244,Underwriting!BT245)))*(DEBT!$M$39/DEBT!$M$38)+MAX(0,N(IF($CR$17=$CQ$62,Underwriting!BT244,Underwriting!BT245)))*DEBT!$N$33</f>
        <v>336222.0176144289</v>
      </c>
      <c r="FW32" t="n">
        <f>MIN(0,N(IF($CR$17=$CQ$62,Underwriting!BU244,Underwriting!BU245)))*(DEBT!$M$39/DEBT!$M$38)+MAX(0,N(IF($CR$17=$CQ$62,Underwriting!BU244,Underwriting!BU245)))*DEBT!$N$33</f>
        <v>322080627.8653733</v>
      </c>
      <c r="FX32" t="n">
        <f>MIN(0,0)*(DEBT!$M$39/DEBT!$M$38)+MAX(0,0)*DEBT!$N$33</f>
        <v>0</v>
      </c>
      <c r="FY32" t="n">
        <f>MIN(0,0)*(DEBT!$M$39/DEBT!$M$38)+MAX(0,0)*DEBT!$N$33</f>
        <v>0</v>
      </c>
      <c r="FZ32" t="n">
        <f>MIN(0,0)*(DEBT!$M$39/DEBT!$M$38)+MAX(0,0)*DEBT!$N$33</f>
        <v>0</v>
      </c>
      <c r="GA32" t="n">
        <f>MIN(0,0)*(DEBT!$M$39/DEBT!$M$38)+MAX(0,0)*DEBT!$N$33</f>
        <v>0</v>
      </c>
      <c r="GB32" t="n">
        <f>MIN(0,0)*(DEBT!$M$39/DEBT!$M$38)+MAX(0,0)*DEBT!$N$33</f>
        <v>0</v>
      </c>
      <c r="GC32" t="n">
        <f>MIN(0,0)*(DEBT!$M$39/DEBT!$M$38)+MAX(0,0)*DEBT!$N$33</f>
        <v>0</v>
      </c>
    </row>
    <row r="33" ht="78">
      <c r="A33" s="311"/>
      <c r="B33" s="949" t="str">
        <f>'FUNDING &amp; CAP TABLE'!$A$15</f>
        <v>MASTER DEVELOPER</v>
      </c>
      <c r="C33" s="949" t="str">
        <f>'FUNDING &amp; CAP TABLE'!$H$15</f>
        <v>Mapped — provisional</v>
      </c>
      <c r="D33" s="951" t="n">
        <f>'FUNDING &amp; CAP TABLE'!$D$15</f>
        <v>121.90871737509292</v>
      </c>
      <c r="E33" s="951" t="n">
        <f>0</f>
        <v>0</v>
      </c>
      <c r="F33" s="951" t="n">
        <f>0</f>
        <v>0</v>
      </c>
      <c r="G33" s="951">
        <f t="shared" si="0"/>
        <v>121.90871737509246</v>
      </c>
      <c r="H33" s="950">
        <v>0.59253856732405108</v>
      </c>
      <c r="I33" s="951">
        <f t="shared" si="1"/>
        <v>240.79766172134757</v>
      </c>
      <c r="J33" s="951">
        <f t="shared" si="2"/>
        <v>268.20167630933139</v>
      </c>
      <c r="K33" s="951">
        <f t="shared" si="3"/>
        <v>300.02510898024184</v>
      </c>
      <c r="L33" s="951">
        <f t="shared" si="4"/>
        <v>146.29295893423892</v>
      </c>
      <c r="M33" s="953">
        <f t="shared" si="5"/>
        <v>2.2000204914314723</v>
      </c>
      <c r="N33" s="950">
        <f t="shared" si="6"/>
        <v>0.25243591969602264</v>
      </c>
      <c r="O33" s="955" t="s">
        <v>854</v>
      </c>
      <c r="P33" s="955" t="s">
        <v>862</v>
      </c>
      <c r="CQ33" s="311" t="str">
        <f>Underwriting!$B$100</f>
        <v>Go Kart</v>
      </c>
      <c r="CR33" s="312" t="str">
        <f>IF(Underwriting!$I$100&gt;0,"NOI / cap rate","EBITDA multiple")</f>
        <v>NOI / cap rate</v>
      </c>
      <c r="CS33" s="315" t="n">
        <f>Underwriting!$E$100</f>
        <v>2000</v>
      </c>
      <c r="CT33" s="315" t="n">
        <f>Underwriting!$I$100/1000000</f>
        <v>1</v>
      </c>
      <c r="CU33" s="313" t="n">
        <f>IF(Underwriting!$I$100=0,0,$DA$10*Underwriting!$I$100/Underwriting!$I$105)</f>
        <v>2.797415340749129</v>
      </c>
      <c r="CV33" s="316" t="n">
        <f>IF(Underwriting!$I$100=0,"",$DA$11)</f>
        <v>0.06700819672131147</v>
      </c>
      <c r="CW33" s="313" t="n">
        <f>IF($CV33="",0,$CU33/$CV33)</f>
        <v>41.74736043686774</v>
      </c>
      <c r="CX33" s="315" t="n">
        <f>IF(Underwriting!$I$100=0,'Tenant Report'!$O$41,0)</f>
        <v>0</v>
      </c>
      <c r="CY33" s="316" t="str">
        <f>IF($CX33=0,"",$CR$10)</f>
      </c>
      <c r="CZ33" s="313" t="n">
        <f>$CX33*N($CY33)</f>
        <v>0</v>
      </c>
      <c r="DA33" s="318" t="str">
        <f>IF($CX33=0,"",$CR$11)</f>
      </c>
      <c r="DB33" s="313" t="n">
        <f>$CZ33*N($DA33)</f>
        <v>0</v>
      </c>
      <c r="DC33" s="313" t="n">
        <f>SUM($CW33,$DB33)</f>
        <v>41.74736043686774</v>
      </c>
      <c r="DD33" s="701" t="str">
        <f>IF(Underwriting!$I$100&gt;0,"Model rent allocation; property-only value.","Revenue linked to Tenant Report; margin and multiple illustrative.")</f>
        <v>Model rent allocation; property-only value.</v>
      </c>
      <c r="DE33" s="699"/>
      <c r="DF33" s="699"/>
      <c r="DG33" s="699"/>
      <c r="DH33" s="699"/>
      <c r="DI33" s="699"/>
      <c r="DJ33" s="699"/>
      <c r="DK33" s="699"/>
      <c r="DL33" s="699"/>
    </row>
    <row r="34" ht="52">
      <c r="A34" s="311"/>
      <c r="B34" s="1001"/>
      <c r="C34" s="1001" t="str">
        <f>"TOTAL"</f>
        <v>TOTAL</v>
      </c>
      <c r="D34" s="1002" t="n">
        <f t="shared" ref="D34:L34" si="7">SUM(D26:D33)</f>
        <v>205.7397173750929</v>
      </c>
      <c r="E34" s="1002">
        <f t="shared" si="7"/>
        <v>0</v>
      </c>
      <c r="F34" s="1002">
        <f t="shared" si="7"/>
        <v>0</v>
      </c>
      <c r="G34" s="1002">
        <f t="shared" si="7"/>
        <v>205.73971737509245</v>
      </c>
      <c r="H34" s="1003">
        <f t="shared" si="7"/>
        <v>1</v>
      </c>
      <c r="I34" s="1002">
        <f t="shared" si="7"/>
        <v>406.38310314349326</v>
      </c>
      <c r="J34" s="1002">
        <f t="shared" si="7"/>
        <v>452.63159412652317</v>
      </c>
      <c r="K34" s="1002">
        <f t="shared" si="7"/>
        <v>506.33853309359745</v>
      </c>
      <c r="L34" s="1002">
        <f t="shared" si="7"/>
        <v>246.89187675143069</v>
      </c>
      <c r="M34" s="1004">
        <f t="shared" si="5"/>
        <v>2.2000204914314727</v>
      </c>
      <c r="N34" s="1003" t="n">
        <f>IF(AND(COUNTIF($AA$66:$AC$66,"&lt;0")&gt;0,COUNTIF($AA$66:$AC$66,"&gt;0")&gt;0),XIRR($AA$66:$AC$66,$AA$57:$AC$57),"N/M")</f>
        <v>0.17070598748065408</v>
      </c>
      <c r="O34" s="1001" t="s">
        <v>863</v>
      </c>
      <c r="P34" s="1005" t="s">
        <v>864</v>
      </c>
      <c r="CQ34" s="311" t="str">
        <f>Underwriting!$B$101</f>
        <v>Landscape-Based Attraction</v>
      </c>
      <c r="CR34" s="312" t="str">
        <f>IF(Underwriting!$I$101&gt;0,"NOI / cap rate","EBITDA multiple")</f>
        <v>NOI / cap rate</v>
      </c>
      <c r="CS34" s="315" t="n">
        <f>Underwriting!$E$101</f>
        <v>150</v>
      </c>
      <c r="CT34" s="315" t="n">
        <f>Underwriting!$I$101/1000000</f>
        <v>0.09</v>
      </c>
      <c r="CU34" s="313" t="n">
        <f>IF(Underwriting!$I$101=0,0,$DA$10*Underwriting!$I$101/Underwriting!$I$105)</f>
        <v>0.2517673806674216</v>
      </c>
      <c r="CV34" s="316" t="n">
        <f>IF(Underwriting!$I$101=0,"",$DA$11)</f>
        <v>0.06700819672131147</v>
      </c>
      <c r="CW34" s="313" t="n">
        <f>IF($CV34="",0,$CU34/$CV34)</f>
        <v>3.757262439318096</v>
      </c>
      <c r="CX34" s="315" t="n">
        <f>IF(Underwriting!$I$101=0,'Tenant Report'!$O$42,0)</f>
        <v>0</v>
      </c>
      <c r="CY34" s="316" t="str">
        <f>IF($CX34=0,"",$CR$10)</f>
      </c>
      <c r="CZ34" s="313" t="n">
        <f>$CX34*N($CY34)</f>
        <v>0</v>
      </c>
      <c r="DA34" s="318" t="str">
        <f>IF($CX34=0,"",$CR$11)</f>
      </c>
      <c r="DB34" s="313" t="n">
        <f>$CZ34*N($DA34)</f>
        <v>0</v>
      </c>
      <c r="DC34" s="313" t="n">
        <f>SUM($CW34,$DB34)</f>
        <v>3.757262439318096</v>
      </c>
      <c r="DD34" s="701" t="str">
        <f>IF(Underwriting!$I$101&gt;0,"Model rent allocation; property-only value.","Revenue linked to Tenant Report; margin and multiple illustrative.")</f>
        <v>Model rent allocation; property-only value.</v>
      </c>
      <c r="DE34" s="699"/>
      <c r="DF34" s="699"/>
      <c r="DG34" s="699"/>
      <c r="DH34" s="699"/>
      <c r="DI34" s="699"/>
      <c r="DJ34" s="699"/>
      <c r="DK34" s="699"/>
      <c r="DL34" s="699"/>
      <c r="DN34" s="313" t="str">
        <f>IF($CR$17=$CQ$62,Underwriting!$L$244,Underwriting!$L$245)</f>
      </c>
      <c r="DO34" s="313" t="n">
        <f>IF($CR$17=$CQ$62,Underwriting!$M$244,Underwriting!$M$245)</f>
        <v>20697.41896456861</v>
      </c>
      <c r="DP34" s="313" t="n">
        <f>IF($CR$17=$CQ$62,Underwriting!$N$244,Underwriting!$N$245)</f>
        <v>7136.89911016984</v>
      </c>
      <c r="DQ34" s="313" t="n">
        <f>IF($CR$17=$CQ$62,Underwriting!$O$244,Underwriting!$O$245)</f>
        <v>-12229.754929718263</v>
      </c>
      <c r="DR34" s="313" t="n">
        <f>IF($CR$17=$CQ$62,Underwriting!$P$244,Underwriting!$P$245)</f>
        <v>-39061.596444356</v>
      </c>
      <c r="DS34" s="313" t="n">
        <f>IF($CR$17=$CQ$62,Underwriting!$Q$244,Underwriting!$Q$245)</f>
        <v>-80820.2152864874</v>
      </c>
      <c r="DT34" s="313" t="n">
        <f>IF($CR$17=$CQ$62,Underwriting!$R$244,Underwriting!$R$245)</f>
        <v>-92758.63019018786</v>
      </c>
      <c r="DU34" s="313" t="n">
        <f>IF($CR$17=$CQ$62,Underwriting!$S$244,Underwriting!$S$245)</f>
        <v>-151838.0738908339</v>
      </c>
      <c r="DV34" s="313" t="n">
        <f>IF($CR$17=$CQ$62,Underwriting!$T$244,Underwriting!$T$245)</f>
        <v>-223783.60513408761</v>
      </c>
      <c r="DW34" s="313" t="n">
        <f>IF($CR$17=$CQ$62,Underwriting!$U$244,Underwriting!$U$245)</f>
        <v>-308358.9012558869</v>
      </c>
      <c r="DX34" s="313" t="n">
        <f>IF($CR$17=$CQ$62,Underwriting!$V$244,Underwriting!$V$245)</f>
        <v>-404138.64571131836</v>
      </c>
      <c r="DY34" s="313" t="n">
        <f>IF($CR$17=$CQ$62,Underwriting!$W$244,Underwriting!$W$245)</f>
        <v>-508341.659153772</v>
      </c>
      <c r="DZ34" s="313" t="n">
        <f>IF($CR$17=$CQ$62,Underwriting!$X$244,Underwriting!$X$245)</f>
        <v>-616815.7695986017</v>
      </c>
      <c r="EA34" s="313" t="n">
        <f>IF($CR$17=$CQ$62,Underwriting!$Y$244,Underwriting!$Y$245)</f>
        <v>-724214.3746582889</v>
      </c>
      <c r="EB34" s="313" t="n">
        <f>IF($CR$17=$CQ$62,Underwriting!$Z$244,Underwriting!$Z$245)</f>
        <v>-824375.9619705918</v>
      </c>
      <c r="EC34" s="313" t="n">
        <f>IF($CR$17=$CQ$62,Underwriting!$AA$244,Underwriting!$AA$245)</f>
        <v>-910880.5321552892</v>
      </c>
      <c r="ED34" s="313" t="n">
        <f>IF($CR$17=$CQ$62,Underwriting!$AB$244,Underwriting!$AB$245)</f>
        <v>-170235.09548436865</v>
      </c>
      <c r="EE34" s="313" t="n">
        <f>IF($CR$17=$CQ$62,Underwriting!$AC$244,Underwriting!$AC$245)</f>
        <v>42655.977640512116</v>
      </c>
      <c r="EF34" s="313" t="n">
        <f>IF($CR$17=$CQ$62,Underwriting!$AD$244,Underwriting!$AD$245)</f>
        <v>183252.67770691717</v>
      </c>
      <c r="EG34" s="313" t="n">
        <f>IF($CR$17=$CQ$62,Underwriting!$AE$244,Underwriting!$AE$245)</f>
        <v>170533.1050788837</v>
      </c>
      <c r="EH34" s="313" t="n">
        <f>IF($CR$17=$CQ$62,Underwriting!$AF$244,Underwriting!$AF$245)</f>
        <v>162398.0719604654</v>
      </c>
      <c r="EI34" s="313" t="n">
        <f>IF($CR$17=$CQ$62,Underwriting!$AG$244,Underwriting!$AG$245)</f>
        <v>193957.07916015596</v>
      </c>
      <c r="EJ34" s="313" t="n">
        <f>IF($CR$17=$CQ$62,Underwriting!$AH$244,Underwriting!$AH$245)</f>
        <v>186520.1600444566</v>
      </c>
      <c r="EK34" s="313" t="n">
        <f>IF($CR$17=$CQ$62,Underwriting!$AI$244,Underwriting!$AI$245)</f>
        <v>179676.24575137324</v>
      </c>
      <c r="EL34" s="313" t="n">
        <f>IF($CR$17=$CQ$62,Underwriting!$AJ$244,Underwriting!$AJ$245)</f>
        <v>188808.64779545995</v>
      </c>
      <c r="EM34" s="313" t="n">
        <f>IF($CR$17=$CQ$62,Underwriting!$AK$244,Underwriting!$AK$245)</f>
        <v>183424.0202670514</v>
      </c>
      <c r="EN34" s="313" t="n">
        <f>IF($CR$17=$CQ$62,Underwriting!$AL$244,Underwriting!$AL$245)</f>
        <v>178812.5613568693</v>
      </c>
      <c r="EO34" s="313" t="n">
        <f>IF($CR$17=$CQ$62,Underwriting!$AM$244,Underwriting!$AM$245)</f>
        <v>184352.17664984387</v>
      </c>
      <c r="EP34" s="313" t="n">
        <f>IF($CR$17=$CQ$62,Underwriting!$AN$244,Underwriting!$AN$245)</f>
        <v>149768.51834205934</v>
      </c>
      <c r="EQ34" s="313" t="n">
        <f>IF($CR$17=$CQ$62,Underwriting!$AO$244,Underwriting!$AO$245)</f>
        <v>78828.17014633972</v>
      </c>
      <c r="ER34" s="313" t="n">
        <f>IF($CR$17=$CQ$62,Underwriting!$AP$244,Underwriting!$AP$245)</f>
        <v>132061.2559979037</v>
      </c>
      <c r="ES34" s="313" t="n">
        <f>IF($CR$17=$CQ$62,Underwriting!$AQ$244,Underwriting!$AQ$245)</f>
        <v>151856.45630436513</v>
      </c>
      <c r="ET34" s="313" t="n">
        <f>IF($CR$17=$CQ$62,Underwriting!$AR$244,Underwriting!$AR$245)</f>
        <v>166597.00149289376</v>
      </c>
      <c r="EU34" s="313" t="n">
        <f>IF($CR$17=$CQ$62,Underwriting!$AS$244,Underwriting!$AS$245)</f>
        <v>177153.76001550633</v>
      </c>
      <c r="EV34" s="313" t="n">
        <f>IF($CR$17=$CQ$62,Underwriting!$AT$244,Underwriting!$AT$245)</f>
        <v>197050.77611878637</v>
      </c>
      <c r="EW34" s="313" t="n">
        <f>IF($CR$17=$CQ$62,Underwriting!$AU$244,Underwriting!$AU$245)</f>
        <v>201683.90638575447</v>
      </c>
      <c r="EX34" s="313" t="n">
        <f>IF($CR$17=$CQ$62,Underwriting!$AV$244,Underwriting!$AV$245)</f>
        <v>205096.64132294507</v>
      </c>
      <c r="EY34" s="313" t="n">
        <f>IF($CR$17=$CQ$62,Underwriting!$AW$244,Underwriting!$AW$245)</f>
        <v>183924.7834727674</v>
      </c>
      <c r="EZ34" s="313" t="n">
        <f>IF($CR$17=$CQ$62,Underwriting!$AX$244,Underwriting!$AX$245)</f>
        <v>183290.65247524926</v>
      </c>
      <c r="FA34" s="313" t="n">
        <f>IF($CR$17=$CQ$62,Underwriting!$AY$244,Underwriting!$AY$245)</f>
        <v>182651.76549524977</v>
      </c>
      <c r="FB34" s="313" t="n">
        <f>IF($CR$17=$CQ$62,Underwriting!$AZ$244,Underwriting!$AZ$245)</f>
        <v>182324.07566466738</v>
      </c>
      <c r="FC34" s="313" t="n">
        <f>IF($CR$17=$CQ$62,Underwriting!$BA$244,Underwriting!$BA$245)</f>
        <v>181675.56944257524</v>
      </c>
      <c r="FD34" s="313" t="n">
        <f>IF($CR$17=$CQ$62,Underwriting!$BB$244,Underwriting!$BB$245)</f>
        <v>181022.19942381745</v>
      </c>
      <c r="FE34" s="313" t="n">
        <f>$FE$15+($CQ$102-1)*$CR$52*1000000*IF($CR$17=$CQ$62,Underwriting!$BC$239,Underwriting!$BC$240)/SUM(Underwriting!$BC$239:$BC$240)</f>
        <v>19237422.795764916</v>
      </c>
    </row>
    <row r="35">
      <c r="A35" s="311"/>
      <c r="B35" s="922"/>
      <c r="C35" s="922"/>
      <c r="D35" s="922"/>
      <c r="E35" s="922"/>
      <c r="F35" s="922"/>
      <c r="G35" s="922"/>
      <c r="H35" s="922"/>
      <c r="I35" s="922"/>
      <c r="J35" s="922"/>
      <c r="K35" s="922"/>
      <c r="L35" s="922"/>
      <c r="M35" s="922"/>
      <c r="N35" s="922"/>
      <c r="O35" s="922"/>
      <c r="P35" s="923"/>
      <c r="CQ35" s="311" t="str">
        <f>Underwriting!$B$102</f>
        <v>Self-Storage Facility</v>
      </c>
      <c r="CR35" s="312" t="str">
        <f>IF(Underwriting!$I$102&gt;0,"NOI / cap rate","EBITDA multiple")</f>
        <v>EBITDA multiple</v>
      </c>
      <c r="CS35" s="315" t="n">
        <f>Underwriting!$E$102</f>
        <v>600</v>
      </c>
      <c r="CT35" s="315" t="n">
        <f>Underwriting!$I$102/1000000</f>
        <v>0</v>
      </c>
      <c r="CU35" s="313" t="n">
        <f>IF(Underwriting!$I$102=0,0,$DA$10*Underwriting!$I$102/Underwriting!$I$105)</f>
        <v>0</v>
      </c>
      <c r="CV35" s="316" t="str">
        <f>IF(Underwriting!$I$102=0,"",$DA$11)</f>
      </c>
      <c r="CW35" s="313" t="n">
        <f>IF($CV35="",0,$CU35/$CV35)</f>
        <v>0</v>
      </c>
      <c r="CX35" s="315" t="n">
        <f>IF(Underwriting!$I$102=0,'Tenant Report'!$O$43,0)</f>
        <v>0.5</v>
      </c>
      <c r="CY35" s="316" t="n">
        <f>IF($CX35=0,"",$CR$10)</f>
        <v>0.2</v>
      </c>
      <c r="CZ35" s="313" t="n">
        <f>$CX35*N($CY35)</f>
        <v>0.1</v>
      </c>
      <c r="DA35" s="318" t="n">
        <f>IF($CX35=0,"",$CR$11)</f>
        <v>8</v>
      </c>
      <c r="DB35" s="313" t="n">
        <f>$CZ35*N($DA35)</f>
        <v>0.8</v>
      </c>
      <c r="DC35" s="313" t="n">
        <f>SUM($CW35,$DB35)</f>
        <v>0.8</v>
      </c>
      <c r="DD35" s="701" t="str">
        <f>IF(Underwriting!$I$102&gt;0,"Model rent allocation; property-only value.","Revenue linked to Tenant Report; margin and multiple illustrative.")</f>
        <v>Revenue linked to Tenant Report; margin and multiple illustrative.</v>
      </c>
      <c r="DE35" s="699"/>
      <c r="DF35" s="699"/>
      <c r="DG35" s="699"/>
      <c r="DH35" s="699"/>
      <c r="DI35" s="699"/>
      <c r="DJ35" s="699"/>
      <c r="DK35" s="699"/>
      <c r="DL35" s="699"/>
      <c r="DN35" s="313" t="str">
        <f>IF($CR$17=$CQ$62,Underwriting!$L$244,Underwriting!$L$245)</f>
      </c>
      <c r="DO35" s="313" t="n">
        <f>IF($CR$17=$CQ$62,Underwriting!$M$244,Underwriting!$M$245)</f>
        <v>20697.41896456861</v>
      </c>
      <c r="DP35" s="313" t="n">
        <f>IF($CR$17=$CQ$62,Underwriting!$N$244,Underwriting!$N$245)</f>
        <v>7136.89911016984</v>
      </c>
      <c r="DQ35" s="313" t="n">
        <f>IF($CR$17=$CQ$62,Underwriting!$O$244,Underwriting!$O$245)</f>
        <v>-12229.754929718263</v>
      </c>
      <c r="DR35" s="313" t="n">
        <f>IF($CR$17=$CQ$62,Underwriting!$P$244,Underwriting!$P$245)</f>
        <v>-39061.596444356</v>
      </c>
      <c r="DS35" s="313" t="n">
        <f>IF($CR$17=$CQ$62,Underwriting!$Q$244,Underwriting!$Q$245)</f>
        <v>-80820.2152864874</v>
      </c>
      <c r="DT35" s="313" t="n">
        <f>IF($CR$17=$CQ$62,Underwriting!$R$244,Underwriting!$R$245)</f>
        <v>-92758.63019018786</v>
      </c>
      <c r="DU35" s="313" t="n">
        <f>IF($CR$17=$CQ$62,Underwriting!$S$244,Underwriting!$S$245)</f>
        <v>-151838.0738908339</v>
      </c>
      <c r="DV35" s="313" t="n">
        <f>IF($CR$17=$CQ$62,Underwriting!$T$244,Underwriting!$T$245)</f>
        <v>-223783.60513408761</v>
      </c>
      <c r="DW35" s="313" t="n">
        <f>IF($CR$17=$CQ$62,Underwriting!$U$244,Underwriting!$U$245)</f>
        <v>-308358.9012558869</v>
      </c>
      <c r="DX35" s="313" t="n">
        <f>IF($CR$17=$CQ$62,Underwriting!$V$244,Underwriting!$V$245)</f>
        <v>-404138.64571131836</v>
      </c>
      <c r="DY35" s="313" t="n">
        <f>IF($CR$17=$CQ$62,Underwriting!$W$244,Underwriting!$W$245)</f>
        <v>-508341.659153772</v>
      </c>
      <c r="DZ35" s="313" t="n">
        <f>IF($CR$17=$CQ$62,Underwriting!$X$244,Underwriting!$X$245)</f>
        <v>-616815.7695986017</v>
      </c>
      <c r="EA35" s="313" t="n">
        <f>IF($CR$17=$CQ$62,Underwriting!$Y$244,Underwriting!$Y$245)</f>
        <v>-724214.3746582889</v>
      </c>
      <c r="EB35" s="313" t="n">
        <f>IF($CR$17=$CQ$62,Underwriting!$Z$244,Underwriting!$Z$245)</f>
        <v>-824375.9619705918</v>
      </c>
      <c r="EC35" s="313" t="n">
        <f>IF($CR$17=$CQ$62,Underwriting!$AA$244,Underwriting!$AA$245)</f>
        <v>-910880.5321552892</v>
      </c>
      <c r="ED35" s="313" t="n">
        <f>IF($CR$17=$CQ$62,Underwriting!$AB$244,Underwriting!$AB$245)</f>
        <v>-170235.09548436865</v>
      </c>
      <c r="EE35" s="313" t="n">
        <f>IF($CR$17=$CQ$62,Underwriting!$AC$244,Underwriting!$AC$245)</f>
        <v>42655.977640512116</v>
      </c>
      <c r="EF35" s="313" t="n">
        <f>IF($CR$17=$CQ$62,Underwriting!$AD$244,Underwriting!$AD$245)</f>
        <v>183252.67770691717</v>
      </c>
      <c r="EG35" s="313" t="n">
        <f>IF($CR$17=$CQ$62,Underwriting!$AE$244,Underwriting!$AE$245)</f>
        <v>170533.1050788837</v>
      </c>
      <c r="EH35" s="313" t="n">
        <f>IF($CR$17=$CQ$62,Underwriting!$AF$244,Underwriting!$AF$245)</f>
        <v>162398.0719604654</v>
      </c>
      <c r="EI35" s="313" t="n">
        <f>IF($CR$17=$CQ$62,Underwriting!$AG$244,Underwriting!$AG$245)</f>
        <v>193957.07916015596</v>
      </c>
      <c r="EJ35" s="313" t="n">
        <f>IF($CR$17=$CQ$62,Underwriting!$AH$244,Underwriting!$AH$245)</f>
        <v>186520.1600444566</v>
      </c>
      <c r="EK35" s="313" t="n">
        <f>IF($CR$17=$CQ$62,Underwriting!$AI$244,Underwriting!$AI$245)</f>
        <v>179676.24575137324</v>
      </c>
      <c r="EL35" s="313" t="n">
        <f>IF($CR$17=$CQ$62,Underwriting!$AJ$244,Underwriting!$AJ$245)</f>
        <v>188808.64779545995</v>
      </c>
      <c r="EM35" s="313" t="n">
        <f>IF($CR$17=$CQ$62,Underwriting!$AK$244,Underwriting!$AK$245)</f>
        <v>183424.0202670514</v>
      </c>
      <c r="EN35" s="313" t="n">
        <f>IF($CR$17=$CQ$62,Underwriting!$AL$244,Underwriting!$AL$245)</f>
        <v>178812.5613568693</v>
      </c>
      <c r="EO35" s="313" t="n">
        <f>IF($CR$17=$CQ$62,Underwriting!$AM$244,Underwriting!$AM$245)</f>
        <v>184352.17664984387</v>
      </c>
      <c r="EP35" s="313" t="n">
        <f>IF($CR$17=$CQ$62,Underwriting!$AN$244,Underwriting!$AN$245)</f>
        <v>149768.51834205934</v>
      </c>
      <c r="EQ35" s="313" t="n">
        <f>IF($CR$17=$CQ$62,Underwriting!$AO$244,Underwriting!$AO$245)</f>
        <v>78828.17014633972</v>
      </c>
      <c r="ER35" s="313" t="n">
        <f>IF($CR$17=$CQ$62,Underwriting!$AP$244,Underwriting!$AP$245)</f>
        <v>132061.2559979037</v>
      </c>
      <c r="ES35" s="313" t="n">
        <f>IF($CR$17=$CQ$62,Underwriting!$AQ$244,Underwriting!$AQ$245)</f>
        <v>151856.45630436513</v>
      </c>
      <c r="ET35" s="313" t="n">
        <f>IF($CR$17=$CQ$62,Underwriting!$AR$244,Underwriting!$AR$245)</f>
        <v>166597.00149289376</v>
      </c>
      <c r="EU35" s="313" t="n">
        <f>IF($CR$17=$CQ$62,Underwriting!$AS$244,Underwriting!$AS$245)</f>
        <v>177153.76001550633</v>
      </c>
      <c r="EV35" s="313" t="n">
        <f>IF($CR$17=$CQ$62,Underwriting!$AT$244,Underwriting!$AT$245)</f>
        <v>197050.77611878637</v>
      </c>
      <c r="EW35" s="313" t="n">
        <f>IF($CR$17=$CQ$62,Underwriting!$AU$244,Underwriting!$AU$245)</f>
        <v>201683.90638575447</v>
      </c>
      <c r="EX35" s="313" t="n">
        <f>IF($CR$17=$CQ$62,Underwriting!$AV$244,Underwriting!$AV$245)</f>
        <v>205096.64132294507</v>
      </c>
      <c r="EY35" s="313" t="n">
        <f>IF($CR$17=$CQ$62,Underwriting!$AW$244,Underwriting!$AW$245)</f>
        <v>183924.7834727674</v>
      </c>
      <c r="EZ35" s="313" t="n">
        <f>IF($CR$17=$CQ$62,Underwriting!$AX$244,Underwriting!$AX$245)</f>
        <v>183290.65247524926</v>
      </c>
      <c r="FA35" s="313" t="n">
        <f>IF($CR$17=$CQ$62,Underwriting!$AY$244,Underwriting!$AY$245)</f>
        <v>182651.76549524977</v>
      </c>
      <c r="FB35" s="313" t="n">
        <f>IF($CR$17=$CQ$62,Underwriting!$AZ$244,Underwriting!$AZ$245)</f>
        <v>182324.07566466738</v>
      </c>
      <c r="FC35" s="313" t="n">
        <f>IF($CR$17=$CQ$62,Underwriting!$BA$244,Underwriting!$BA$245)</f>
        <v>181675.56944257524</v>
      </c>
      <c r="FD35" s="313" t="n">
        <f>IF($CR$17=$CQ$62,Underwriting!$BB$244,Underwriting!$BB$245)</f>
        <v>181022.19942381745</v>
      </c>
      <c r="FE35" s="313" t="n">
        <f>$FE$15+($CQ$103-1)*$CR$52*1000000*IF($CR$17=$CQ$62,Underwriting!$BC$239,Underwriting!$BC$240)/SUM(Underwriting!$BC$239:$BC$240)</f>
        <v>21618529.391543776</v>
      </c>
    </row>
    <row r="36">
      <c r="A36" s="311"/>
      <c r="B36" s="922"/>
      <c r="C36" s="922"/>
      <c r="D36" s="922"/>
      <c r="E36" s="922"/>
      <c r="F36" s="922"/>
      <c r="G36" s="922"/>
      <c r="H36" s="922"/>
      <c r="I36" s="922"/>
      <c r="J36" s="922"/>
      <c r="K36" s="922"/>
      <c r="L36" s="922"/>
      <c r="M36" s="922"/>
      <c r="N36" s="922"/>
      <c r="O36" s="922"/>
      <c r="P36" s="923"/>
      <c r="CQ36" s="311" t="str">
        <f>Underwriting!$B$103</f>
        <v>Convenience Store / Laundromat</v>
      </c>
      <c r="CR36" s="312" t="str">
        <f>IF(Underwriting!$I$103&gt;0,"NOI / cap rate","EBITDA multiple")</f>
        <v>EBITDA multiple</v>
      </c>
      <c r="CS36" s="315" t="n">
        <f>Underwriting!$E$103</f>
        <v>64</v>
      </c>
      <c r="CT36" s="315" t="n">
        <f>Underwriting!$I$103/1000000</f>
        <v>0</v>
      </c>
      <c r="CU36" s="313" t="n">
        <f>IF(Underwriting!$I$103=0,0,$DA$10*Underwriting!$I$103/Underwriting!$I$105)</f>
        <v>0</v>
      </c>
      <c r="CV36" s="316" t="str">
        <f>IF(Underwriting!$I$103=0,"",$DA$11)</f>
      </c>
      <c r="CW36" s="313" t="n">
        <f>IF($CV36="",0,$CU36/$CV36)</f>
        <v>0</v>
      </c>
      <c r="CX36" s="315" t="n">
        <f>IF(Underwriting!$I$103=0,'Tenant Report'!$O$44,0)</f>
        <v>0.611719299418605</v>
      </c>
      <c r="CY36" s="316" t="n">
        <f>IF($CX36=0,"",$CR$10)</f>
        <v>0.2</v>
      </c>
      <c r="CZ36" s="313" t="n">
        <f>$CX36*N($CY36)</f>
        <v>0.12234385988372101</v>
      </c>
      <c r="DA36" s="318" t="n">
        <f>IF($CX36=0,"",$CR$11)</f>
        <v>8</v>
      </c>
      <c r="DB36" s="313" t="n">
        <f>$CZ36*N($DA36)</f>
        <v>0.9787508790697681</v>
      </c>
      <c r="DC36" s="313" t="n">
        <f>SUM($CW36,$DB36)</f>
        <v>0.9787508790697681</v>
      </c>
      <c r="DD36" s="701" t="str">
        <f>IF(Underwriting!$I$103&gt;0,"Model rent allocation; property-only value.","Revenue linked to Tenant Report; margin and multiple illustrative.")</f>
        <v>Revenue linked to Tenant Report; margin and multiple illustrative.</v>
      </c>
      <c r="DE36" s="699"/>
      <c r="DF36" s="699"/>
      <c r="DG36" s="699"/>
      <c r="DH36" s="699"/>
      <c r="DI36" s="699"/>
      <c r="DJ36" s="699"/>
      <c r="DK36" s="699"/>
      <c r="DL36" s="699"/>
      <c r="DN36" s="313" t="str">
        <f>IF($CR$17=$CQ$62,Underwriting!$L$244,Underwriting!$L$245)</f>
      </c>
      <c r="DO36" s="313" t="n">
        <f>IF($CR$17=$CQ$62,Underwriting!$M$244,Underwriting!$M$245)</f>
        <v>20697.41896456861</v>
      </c>
      <c r="DP36" s="313" t="n">
        <f>IF($CR$17=$CQ$62,Underwriting!$N$244,Underwriting!$N$245)</f>
        <v>7136.89911016984</v>
      </c>
      <c r="DQ36" s="313" t="n">
        <f>IF($CR$17=$CQ$62,Underwriting!$O$244,Underwriting!$O$245)</f>
        <v>-12229.754929718263</v>
      </c>
      <c r="DR36" s="313" t="n">
        <f>IF($CR$17=$CQ$62,Underwriting!$P$244,Underwriting!$P$245)</f>
        <v>-39061.596444356</v>
      </c>
      <c r="DS36" s="313" t="n">
        <f>IF($CR$17=$CQ$62,Underwriting!$Q$244,Underwriting!$Q$245)</f>
        <v>-80820.2152864874</v>
      </c>
      <c r="DT36" s="313" t="n">
        <f>IF($CR$17=$CQ$62,Underwriting!$R$244,Underwriting!$R$245)</f>
        <v>-92758.63019018786</v>
      </c>
      <c r="DU36" s="313" t="n">
        <f>IF($CR$17=$CQ$62,Underwriting!$S$244,Underwriting!$S$245)</f>
        <v>-151838.0738908339</v>
      </c>
      <c r="DV36" s="313" t="n">
        <f>IF($CR$17=$CQ$62,Underwriting!$T$244,Underwriting!$T$245)</f>
        <v>-223783.60513408761</v>
      </c>
      <c r="DW36" s="313" t="n">
        <f>IF($CR$17=$CQ$62,Underwriting!$U$244,Underwriting!$U$245)</f>
        <v>-308358.9012558869</v>
      </c>
      <c r="DX36" s="313" t="n">
        <f>IF($CR$17=$CQ$62,Underwriting!$V$244,Underwriting!$V$245)</f>
        <v>-404138.64571131836</v>
      </c>
      <c r="DY36" s="313" t="n">
        <f>IF($CR$17=$CQ$62,Underwriting!$W$244,Underwriting!$W$245)</f>
        <v>-508341.659153772</v>
      </c>
      <c r="DZ36" s="313" t="n">
        <f>IF($CR$17=$CQ$62,Underwriting!$X$244,Underwriting!$X$245)</f>
        <v>-616815.7695986017</v>
      </c>
      <c r="EA36" s="313" t="n">
        <f>IF($CR$17=$CQ$62,Underwriting!$Y$244,Underwriting!$Y$245)</f>
        <v>-724214.3746582889</v>
      </c>
      <c r="EB36" s="313" t="n">
        <f>IF($CR$17=$CQ$62,Underwriting!$Z$244,Underwriting!$Z$245)</f>
        <v>-824375.9619705918</v>
      </c>
      <c r="EC36" s="313" t="n">
        <f>IF($CR$17=$CQ$62,Underwriting!$AA$244,Underwriting!$AA$245)</f>
        <v>-910880.5321552892</v>
      </c>
      <c r="ED36" s="313" t="n">
        <f>IF($CR$17=$CQ$62,Underwriting!$AB$244,Underwriting!$AB$245)</f>
        <v>-170235.09548436865</v>
      </c>
      <c r="EE36" s="313" t="n">
        <f>IF($CR$17=$CQ$62,Underwriting!$AC$244,Underwriting!$AC$245)</f>
        <v>42655.977640512116</v>
      </c>
      <c r="EF36" s="313" t="n">
        <f>IF($CR$17=$CQ$62,Underwriting!$AD$244,Underwriting!$AD$245)</f>
        <v>183252.67770691717</v>
      </c>
      <c r="EG36" s="313" t="n">
        <f>IF($CR$17=$CQ$62,Underwriting!$AE$244,Underwriting!$AE$245)</f>
        <v>170533.1050788837</v>
      </c>
      <c r="EH36" s="313" t="n">
        <f>IF($CR$17=$CQ$62,Underwriting!$AF$244,Underwriting!$AF$245)</f>
        <v>162398.0719604654</v>
      </c>
      <c r="EI36" s="313" t="n">
        <f>IF($CR$17=$CQ$62,Underwriting!$AG$244,Underwriting!$AG$245)</f>
        <v>193957.07916015596</v>
      </c>
      <c r="EJ36" s="313" t="n">
        <f>IF($CR$17=$CQ$62,Underwriting!$AH$244,Underwriting!$AH$245)</f>
        <v>186520.1600444566</v>
      </c>
      <c r="EK36" s="313" t="n">
        <f>IF($CR$17=$CQ$62,Underwriting!$AI$244,Underwriting!$AI$245)</f>
        <v>179676.24575137324</v>
      </c>
      <c r="EL36" s="313" t="n">
        <f>IF($CR$17=$CQ$62,Underwriting!$AJ$244,Underwriting!$AJ$245)</f>
        <v>188808.64779545995</v>
      </c>
      <c r="EM36" s="313" t="n">
        <f>IF($CR$17=$CQ$62,Underwriting!$AK$244,Underwriting!$AK$245)</f>
        <v>183424.0202670514</v>
      </c>
      <c r="EN36" s="313" t="n">
        <f>IF($CR$17=$CQ$62,Underwriting!$AL$244,Underwriting!$AL$245)</f>
        <v>178812.5613568693</v>
      </c>
      <c r="EO36" s="313" t="n">
        <f>IF($CR$17=$CQ$62,Underwriting!$AM$244,Underwriting!$AM$245)</f>
        <v>184352.17664984387</v>
      </c>
      <c r="EP36" s="313" t="n">
        <f>IF($CR$17=$CQ$62,Underwriting!$AN$244,Underwriting!$AN$245)</f>
        <v>149768.51834205934</v>
      </c>
      <c r="EQ36" s="313" t="n">
        <f>IF($CR$17=$CQ$62,Underwriting!$AO$244,Underwriting!$AO$245)</f>
        <v>78828.17014633972</v>
      </c>
      <c r="ER36" s="313" t="n">
        <f>IF($CR$17=$CQ$62,Underwriting!$AP$244,Underwriting!$AP$245)</f>
        <v>132061.2559979037</v>
      </c>
      <c r="ES36" s="313" t="n">
        <f>IF($CR$17=$CQ$62,Underwriting!$AQ$244,Underwriting!$AQ$245)</f>
        <v>151856.45630436513</v>
      </c>
      <c r="ET36" s="313" t="n">
        <f>IF($CR$17=$CQ$62,Underwriting!$AR$244,Underwriting!$AR$245)</f>
        <v>166597.00149289376</v>
      </c>
      <c r="EU36" s="313" t="n">
        <f>IF($CR$17=$CQ$62,Underwriting!$AS$244,Underwriting!$AS$245)</f>
        <v>177153.76001550633</v>
      </c>
      <c r="EV36" s="313" t="n">
        <f>IF($CR$17=$CQ$62,Underwriting!$AT$244,Underwriting!$AT$245)</f>
        <v>197050.77611878637</v>
      </c>
      <c r="EW36" s="313" t="n">
        <f>IF($CR$17=$CQ$62,Underwriting!$AU$244,Underwriting!$AU$245)</f>
        <v>201683.90638575447</v>
      </c>
      <c r="EX36" s="313" t="n">
        <f>IF($CR$17=$CQ$62,Underwriting!$AV$244,Underwriting!$AV$245)</f>
        <v>205096.64132294507</v>
      </c>
      <c r="EY36" s="313" t="n">
        <f>IF($CR$17=$CQ$62,Underwriting!$AW$244,Underwriting!$AW$245)</f>
        <v>183924.7834727674</v>
      </c>
      <c r="EZ36" s="313" t="n">
        <f>IF($CR$17=$CQ$62,Underwriting!$AX$244,Underwriting!$AX$245)</f>
        <v>183290.65247524926</v>
      </c>
      <c r="FA36" s="313" t="n">
        <f>IF($CR$17=$CQ$62,Underwriting!$AY$244,Underwriting!$AY$245)</f>
        <v>182651.76549524977</v>
      </c>
      <c r="FB36" s="313" t="n">
        <f>IF($CR$17=$CQ$62,Underwriting!$AZ$244,Underwriting!$AZ$245)</f>
        <v>182324.07566466738</v>
      </c>
      <c r="FC36" s="313" t="n">
        <f>IF($CR$17=$CQ$62,Underwriting!$BA$244,Underwriting!$BA$245)</f>
        <v>181675.56944257524</v>
      </c>
      <c r="FD36" s="313" t="n">
        <f>IF($CR$17=$CQ$62,Underwriting!$BB$244,Underwriting!$BB$245)</f>
        <v>181022.19942381745</v>
      </c>
      <c r="FE36" s="313" t="n">
        <f>$FE$15+($CQ$104-1)*$CR$52*1000000*IF($CR$17=$CQ$62,Underwriting!$BC$239,Underwriting!$BC$240)/SUM(Underwriting!$BC$239:$BC$240)</f>
        <v>23999635.987322632</v>
      </c>
    </row>
    <row r="37">
      <c r="A37" s="311"/>
      <c r="B37" s="933" t="s">
        <v>865</v>
      </c>
      <c r="C37" s="933"/>
      <c r="D37" s="933"/>
      <c r="E37" s="933"/>
      <c r="F37" s="933"/>
      <c r="G37" s="933"/>
      <c r="H37" s="933"/>
      <c r="I37" s="933"/>
      <c r="J37" s="933"/>
      <c r="K37" s="933"/>
      <c r="L37" s="933"/>
      <c r="M37" s="933"/>
      <c r="N37" s="933"/>
      <c r="O37" s="933"/>
      <c r="P37" s="934"/>
      <c r="CQ37" s="311" t="str">
        <f>Underwriting!$B$104</f>
        <v>eBike / eScooter Storage</v>
      </c>
      <c r="CR37" s="312" t="str">
        <f>IF(Underwriting!$I$104&gt;0,"NOI / cap rate","EBITDA multiple")</f>
        <v>EBITDA multiple</v>
      </c>
      <c r="CS37" s="315" t="n">
        <f>Underwriting!$E$104</f>
        <v>48</v>
      </c>
      <c r="CT37" s="315" t="n">
        <f>Underwriting!$I$104/1000000</f>
        <v>0</v>
      </c>
      <c r="CU37" s="313" t="n">
        <f>IF(Underwriting!$I$104=0,0,$DA$10*Underwriting!$I$104/Underwriting!$I$105)</f>
        <v>0</v>
      </c>
      <c r="CV37" s="316" t="str">
        <f>IF(Underwriting!$I$104=0,"",$DA$11)</f>
      </c>
      <c r="CW37" s="313" t="n">
        <f>IF($CV37="",0,$CU37/$CV37)</f>
        <v>0</v>
      </c>
      <c r="CX37" s="315" t="n">
        <f>IF(Underwriting!$I$104=0,'Tenant Report'!$O$45,0)</f>
        <v>0.15</v>
      </c>
      <c r="CY37" s="316" t="n">
        <f>IF($CX37=0,"",$CR$10)</f>
        <v>0.2</v>
      </c>
      <c r="CZ37" s="313" t="n">
        <f>$CX37*N($CY37)</f>
        <v>0.03</v>
      </c>
      <c r="DA37" s="318" t="n">
        <f>IF($CX37=0,"",$CR$11)</f>
        <v>8</v>
      </c>
      <c r="DB37" s="313" t="n">
        <f>$CZ37*N($DA37)</f>
        <v>0.24</v>
      </c>
      <c r="DC37" s="313" t="n">
        <f>SUM($CW37,$DB37)</f>
        <v>0.24</v>
      </c>
      <c r="DD37" s="701" t="str">
        <f>IF(Underwriting!$I$104&gt;0,"Model rent allocation; property-only value.","Revenue linked to Tenant Report; margin and multiple illustrative.")</f>
        <v>Revenue linked to Tenant Report; margin and multiple illustrative.</v>
      </c>
      <c r="DE37" s="699"/>
      <c r="DF37" s="699"/>
      <c r="DG37" s="699"/>
      <c r="DH37" s="699"/>
      <c r="DI37" s="699"/>
      <c r="DJ37" s="699"/>
      <c r="DK37" s="699"/>
      <c r="DL37" s="699"/>
      <c r="DN37" s="313" t="str">
        <f>IF($CR$17=$CQ$62,Underwriting!$L$244,Underwriting!$L$245)</f>
      </c>
      <c r="DO37" s="313" t="n">
        <f>IF($CR$17=$CQ$62,Underwriting!$M$244,Underwriting!$M$245)</f>
        <v>20697.41896456861</v>
      </c>
      <c r="DP37" s="313" t="n">
        <f>IF($CR$17=$CQ$62,Underwriting!$N$244,Underwriting!$N$245)</f>
        <v>7136.89911016984</v>
      </c>
      <c r="DQ37" s="313" t="n">
        <f>IF($CR$17=$CQ$62,Underwriting!$O$244,Underwriting!$O$245)</f>
        <v>-12229.754929718263</v>
      </c>
      <c r="DR37" s="313" t="n">
        <f>IF($CR$17=$CQ$62,Underwriting!$P$244,Underwriting!$P$245)</f>
        <v>-39061.596444356</v>
      </c>
      <c r="DS37" s="313" t="n">
        <f>IF($CR$17=$CQ$62,Underwriting!$Q$244,Underwriting!$Q$245)</f>
        <v>-80820.2152864874</v>
      </c>
      <c r="DT37" s="313" t="n">
        <f>IF($CR$17=$CQ$62,Underwriting!$R$244,Underwriting!$R$245)</f>
        <v>-92758.63019018786</v>
      </c>
      <c r="DU37" s="313" t="n">
        <f>IF($CR$17=$CQ$62,Underwriting!$S$244,Underwriting!$S$245)</f>
        <v>-151838.0738908339</v>
      </c>
      <c r="DV37" s="313" t="n">
        <f>IF($CR$17=$CQ$62,Underwriting!$T$244,Underwriting!$T$245)</f>
        <v>-223783.60513408761</v>
      </c>
      <c r="DW37" s="313" t="n">
        <f>IF($CR$17=$CQ$62,Underwriting!$U$244,Underwriting!$U$245)</f>
        <v>-308358.9012558869</v>
      </c>
      <c r="DX37" s="313" t="n">
        <f>IF($CR$17=$CQ$62,Underwriting!$V$244,Underwriting!$V$245)</f>
        <v>-404138.64571131836</v>
      </c>
      <c r="DY37" s="313" t="n">
        <f>IF($CR$17=$CQ$62,Underwriting!$W$244,Underwriting!$W$245)</f>
        <v>-508341.659153772</v>
      </c>
      <c r="DZ37" s="313" t="n">
        <f>IF($CR$17=$CQ$62,Underwriting!$X$244,Underwriting!$X$245)</f>
        <v>-616815.7695986017</v>
      </c>
      <c r="EA37" s="313" t="n">
        <f>IF($CR$17=$CQ$62,Underwriting!$Y$244,Underwriting!$Y$245)</f>
        <v>-724214.3746582889</v>
      </c>
      <c r="EB37" s="313" t="n">
        <f>IF($CR$17=$CQ$62,Underwriting!$Z$244,Underwriting!$Z$245)</f>
        <v>-824375.9619705918</v>
      </c>
      <c r="EC37" s="313" t="n">
        <f>IF($CR$17=$CQ$62,Underwriting!$AA$244,Underwriting!$AA$245)</f>
        <v>-910880.5321552892</v>
      </c>
      <c r="ED37" s="313" t="n">
        <f>IF($CR$17=$CQ$62,Underwriting!$AB$244,Underwriting!$AB$245)</f>
        <v>-170235.09548436865</v>
      </c>
      <c r="EE37" s="313" t="n">
        <f>IF($CR$17=$CQ$62,Underwriting!$AC$244,Underwriting!$AC$245)</f>
        <v>42655.977640512116</v>
      </c>
      <c r="EF37" s="313" t="n">
        <f>IF($CR$17=$CQ$62,Underwriting!$AD$244,Underwriting!$AD$245)</f>
        <v>183252.67770691717</v>
      </c>
      <c r="EG37" s="313" t="n">
        <f>IF($CR$17=$CQ$62,Underwriting!$AE$244,Underwriting!$AE$245)</f>
        <v>170533.1050788837</v>
      </c>
      <c r="EH37" s="313" t="n">
        <f>IF($CR$17=$CQ$62,Underwriting!$AF$244,Underwriting!$AF$245)</f>
        <v>162398.0719604654</v>
      </c>
      <c r="EI37" s="313" t="n">
        <f>IF($CR$17=$CQ$62,Underwriting!$AG$244,Underwriting!$AG$245)</f>
        <v>193957.07916015596</v>
      </c>
      <c r="EJ37" s="313" t="n">
        <f>IF($CR$17=$CQ$62,Underwriting!$AH$244,Underwriting!$AH$245)</f>
        <v>186520.1600444566</v>
      </c>
      <c r="EK37" s="313" t="n">
        <f>IF($CR$17=$CQ$62,Underwriting!$AI$244,Underwriting!$AI$245)</f>
        <v>179676.24575137324</v>
      </c>
      <c r="EL37" s="313" t="n">
        <f>IF($CR$17=$CQ$62,Underwriting!$AJ$244,Underwriting!$AJ$245)</f>
        <v>188808.64779545995</v>
      </c>
      <c r="EM37" s="313" t="n">
        <f>IF($CR$17=$CQ$62,Underwriting!$AK$244,Underwriting!$AK$245)</f>
        <v>183424.0202670514</v>
      </c>
      <c r="EN37" s="313" t="n">
        <f>IF($CR$17=$CQ$62,Underwriting!$AL$244,Underwriting!$AL$245)</f>
        <v>178812.5613568693</v>
      </c>
      <c r="EO37" s="313" t="n">
        <f>IF($CR$17=$CQ$62,Underwriting!$AM$244,Underwriting!$AM$245)</f>
        <v>184352.17664984387</v>
      </c>
      <c r="EP37" s="313" t="n">
        <f>IF($CR$17=$CQ$62,Underwriting!$AN$244,Underwriting!$AN$245)</f>
        <v>149768.51834205934</v>
      </c>
      <c r="EQ37" s="313" t="n">
        <f>IF($CR$17=$CQ$62,Underwriting!$AO$244,Underwriting!$AO$245)</f>
        <v>78828.17014633972</v>
      </c>
      <c r="ER37" s="313" t="n">
        <f>IF($CR$17=$CQ$62,Underwriting!$AP$244,Underwriting!$AP$245)</f>
        <v>132061.2559979037</v>
      </c>
      <c r="ES37" s="313" t="n">
        <f>IF($CR$17=$CQ$62,Underwriting!$AQ$244,Underwriting!$AQ$245)</f>
        <v>151856.45630436513</v>
      </c>
      <c r="ET37" s="313" t="n">
        <f>IF($CR$17=$CQ$62,Underwriting!$AR$244,Underwriting!$AR$245)</f>
        <v>166597.00149289376</v>
      </c>
      <c r="EU37" s="313" t="n">
        <f>IF($CR$17=$CQ$62,Underwriting!$AS$244,Underwriting!$AS$245)</f>
        <v>177153.76001550633</v>
      </c>
      <c r="EV37" s="313" t="n">
        <f>IF($CR$17=$CQ$62,Underwriting!$AT$244,Underwriting!$AT$245)</f>
        <v>197050.77611878637</v>
      </c>
      <c r="EW37" s="313" t="n">
        <f>IF($CR$17=$CQ$62,Underwriting!$AU$244,Underwriting!$AU$245)</f>
        <v>201683.90638575447</v>
      </c>
      <c r="EX37" s="313" t="n">
        <f>IF($CR$17=$CQ$62,Underwriting!$AV$244,Underwriting!$AV$245)</f>
        <v>205096.64132294507</v>
      </c>
      <c r="EY37" s="313" t="n">
        <f>IF($CR$17=$CQ$62,Underwriting!$AW$244,Underwriting!$AW$245)</f>
        <v>183924.7834727674</v>
      </c>
      <c r="EZ37" s="313" t="n">
        <f>IF($CR$17=$CQ$62,Underwriting!$AX$244,Underwriting!$AX$245)</f>
        <v>183290.65247524926</v>
      </c>
      <c r="FA37" s="313" t="n">
        <f>IF($CR$17=$CQ$62,Underwriting!$AY$244,Underwriting!$AY$245)</f>
        <v>182651.76549524977</v>
      </c>
      <c r="FB37" s="313" t="n">
        <f>IF($CR$17=$CQ$62,Underwriting!$AZ$244,Underwriting!$AZ$245)</f>
        <v>182324.07566466738</v>
      </c>
      <c r="FC37" s="313" t="n">
        <f>IF($CR$17=$CQ$62,Underwriting!$BA$244,Underwriting!$BA$245)</f>
        <v>181675.56944257524</v>
      </c>
      <c r="FD37" s="313" t="n">
        <f>IF($CR$17=$CQ$62,Underwriting!$BB$244,Underwriting!$BB$245)</f>
        <v>181022.19942381745</v>
      </c>
      <c r="FE37" s="313" t="n">
        <f>$FE$15+($CQ$105-1)*$CR$52*1000000*IF($CR$17=$CQ$62,Underwriting!$BC$239,Underwriting!$BC$240)/SUM(Underwriting!$BC$239:$BC$240)</f>
        <v>26380742.583101492</v>
      </c>
    </row>
    <row r="38">
      <c r="A38" s="311"/>
      <c r="B38" s="970" t="s">
        <v>758</v>
      </c>
      <c r="C38" s="971" t="n">
        <f>$C$12</f>
        <v>119.20222252470232</v>
      </c>
      <c r="D38" s="972" t="s">
        <v>515</v>
      </c>
      <c r="E38" s="973" t="s">
        <v>866</v>
      </c>
      <c r="F38" s="973"/>
      <c r="G38" s="973"/>
      <c r="H38" s="973"/>
      <c r="I38" s="970"/>
      <c r="J38" s="974" t="s">
        <v>867</v>
      </c>
      <c r="K38" s="973" t="s">
        <v>868</v>
      </c>
      <c r="L38" s="973"/>
      <c r="M38" s="973"/>
      <c r="N38" s="973"/>
      <c r="O38" s="973"/>
      <c r="P38" s="973"/>
      <c r="CQ38" s="692" t="s">
        <v>869</v>
      </c>
      <c r="CR38" s="699"/>
      <c r="CS38" s="323" t="n">
        <f>SUM(CS26:CS37)</f>
        <v>78312.38</v>
      </c>
      <c r="CT38" s="323" t="n">
        <f>SUM(CT26:CT37)</f>
        <v>16.279999999999998</v>
      </c>
      <c r="CU38" s="323" t="n">
        <f>SUM(CU26:CU37)</f>
        <v>45.54192174739581</v>
      </c>
      <c r="CW38" s="323" t="n">
        <f>SUM(CW26:CW37)</f>
        <v>679.6470279122068</v>
      </c>
      <c r="CX38" s="323" t="n">
        <f>SUM(CX26:CX37)</f>
        <v>14.491291069572675</v>
      </c>
      <c r="CZ38" s="323" t="n">
        <f>SUM(CZ26:CZ37)</f>
        <v>2.8982582139145348</v>
      </c>
      <c r="DB38" s="323" t="n">
        <f>SUM(DB26:DB37)</f>
        <v>23.186065711316278</v>
      </c>
      <c r="DC38" s="323" t="n">
        <f>SUM(DC26:DC37)</f>
        <v>702.833093623523</v>
      </c>
      <c r="DD38" s="694" t="s">
        <v>870</v>
      </c>
      <c r="DE38" s="699"/>
      <c r="DF38" s="699"/>
      <c r="DG38" s="699"/>
      <c r="DH38" s="699"/>
      <c r="DI38" s="699"/>
      <c r="DJ38" s="699"/>
      <c r="DK38" s="699"/>
      <c r="DL38" s="699"/>
      <c r="DN38" s="313" t="str">
        <f>IF($CR$17=$CQ$62,Underwriting!$L$244,Underwriting!$L$245)</f>
      </c>
      <c r="DO38" s="313" t="n">
        <f>IF($CR$17=$CQ$62,Underwriting!$M$244,Underwriting!$M$245)</f>
        <v>20697.41896456861</v>
      </c>
      <c r="DP38" s="313" t="n">
        <f>IF($CR$17=$CQ$62,Underwriting!$N$244,Underwriting!$N$245)</f>
        <v>7136.89911016984</v>
      </c>
      <c r="DQ38" s="313" t="n">
        <f>IF($CR$17=$CQ$62,Underwriting!$O$244,Underwriting!$O$245)</f>
        <v>-12229.754929718263</v>
      </c>
      <c r="DR38" s="313" t="n">
        <f>IF($CR$17=$CQ$62,Underwriting!$P$244,Underwriting!$P$245)</f>
        <v>-39061.596444356</v>
      </c>
      <c r="DS38" s="313" t="n">
        <f>IF($CR$17=$CQ$62,Underwriting!$Q$244,Underwriting!$Q$245)</f>
        <v>-80820.2152864874</v>
      </c>
      <c r="DT38" s="313" t="n">
        <f>IF($CR$17=$CQ$62,Underwriting!$R$244,Underwriting!$R$245)</f>
        <v>-92758.63019018786</v>
      </c>
      <c r="DU38" s="313" t="n">
        <f>IF($CR$17=$CQ$62,Underwriting!$S$244,Underwriting!$S$245)</f>
        <v>-151838.0738908339</v>
      </c>
      <c r="DV38" s="313" t="n">
        <f>IF($CR$17=$CQ$62,Underwriting!$T$244,Underwriting!$T$245)</f>
        <v>-223783.60513408761</v>
      </c>
      <c r="DW38" s="313" t="n">
        <f>IF($CR$17=$CQ$62,Underwriting!$U$244,Underwriting!$U$245)</f>
        <v>-308358.9012558869</v>
      </c>
      <c r="DX38" s="313" t="n">
        <f>IF($CR$17=$CQ$62,Underwriting!$V$244,Underwriting!$V$245)</f>
        <v>-404138.64571131836</v>
      </c>
      <c r="DY38" s="313" t="n">
        <f>IF($CR$17=$CQ$62,Underwriting!$W$244,Underwriting!$W$245)</f>
        <v>-508341.659153772</v>
      </c>
      <c r="DZ38" s="313" t="n">
        <f>IF($CR$17=$CQ$62,Underwriting!$X$244,Underwriting!$X$245)</f>
        <v>-616815.7695986017</v>
      </c>
      <c r="EA38" s="313" t="n">
        <f>IF($CR$17=$CQ$62,Underwriting!$Y$244,Underwriting!$Y$245)</f>
        <v>-724214.3746582889</v>
      </c>
      <c r="EB38" s="313" t="n">
        <f>IF($CR$17=$CQ$62,Underwriting!$Z$244,Underwriting!$Z$245)</f>
        <v>-824375.9619705918</v>
      </c>
      <c r="EC38" s="313" t="n">
        <f>IF($CR$17=$CQ$62,Underwriting!$AA$244,Underwriting!$AA$245)</f>
        <v>-910880.5321552892</v>
      </c>
      <c r="ED38" s="313" t="n">
        <f>IF($CR$17=$CQ$62,Underwriting!$AB$244,Underwriting!$AB$245)</f>
        <v>-170235.09548436865</v>
      </c>
      <c r="EE38" s="313" t="n">
        <f>IF($CR$17=$CQ$62,Underwriting!$AC$244,Underwriting!$AC$245)</f>
        <v>42655.977640512116</v>
      </c>
      <c r="EF38" s="313" t="n">
        <f>IF($CR$17=$CQ$62,Underwriting!$AD$244,Underwriting!$AD$245)</f>
        <v>183252.67770691717</v>
      </c>
      <c r="EG38" s="313" t="n">
        <f>IF($CR$17=$CQ$62,Underwriting!$AE$244,Underwriting!$AE$245)</f>
        <v>170533.1050788837</v>
      </c>
      <c r="EH38" s="313" t="n">
        <f>IF($CR$17=$CQ$62,Underwriting!$AF$244,Underwriting!$AF$245)</f>
        <v>162398.0719604654</v>
      </c>
      <c r="EI38" s="313" t="n">
        <f>IF($CR$17=$CQ$62,Underwriting!$AG$244,Underwriting!$AG$245)</f>
        <v>193957.07916015596</v>
      </c>
      <c r="EJ38" s="313" t="n">
        <f>IF($CR$17=$CQ$62,Underwriting!$AH$244,Underwriting!$AH$245)</f>
        <v>186520.1600444566</v>
      </c>
      <c r="EK38" s="313" t="n">
        <f>IF($CR$17=$CQ$62,Underwriting!$AI$244,Underwriting!$AI$245)</f>
        <v>179676.24575137324</v>
      </c>
      <c r="EL38" s="313" t="n">
        <f>IF($CR$17=$CQ$62,Underwriting!$AJ$244,Underwriting!$AJ$245)</f>
        <v>188808.64779545995</v>
      </c>
      <c r="EM38" s="313" t="n">
        <f>IF($CR$17=$CQ$62,Underwriting!$AK$244,Underwriting!$AK$245)</f>
        <v>183424.0202670514</v>
      </c>
      <c r="EN38" s="313" t="n">
        <f>IF($CR$17=$CQ$62,Underwriting!$AL$244,Underwriting!$AL$245)</f>
        <v>178812.5613568693</v>
      </c>
      <c r="EO38" s="313" t="n">
        <f>IF($CR$17=$CQ$62,Underwriting!$AM$244,Underwriting!$AM$245)</f>
        <v>184352.17664984387</v>
      </c>
      <c r="EP38" s="313" t="n">
        <f>IF($CR$17=$CQ$62,Underwriting!$AN$244,Underwriting!$AN$245)</f>
        <v>149768.51834205934</v>
      </c>
      <c r="EQ38" s="313" t="n">
        <f>IF($CR$17=$CQ$62,Underwriting!$AO$244,Underwriting!$AO$245)</f>
        <v>78828.17014633972</v>
      </c>
      <c r="ER38" s="313" t="n">
        <f>IF($CR$17=$CQ$62,Underwriting!$AP$244,Underwriting!$AP$245)</f>
        <v>132061.2559979037</v>
      </c>
      <c r="ES38" s="313" t="n">
        <f>IF($CR$17=$CQ$62,Underwriting!$AQ$244,Underwriting!$AQ$245)</f>
        <v>151856.45630436513</v>
      </c>
      <c r="ET38" s="313" t="n">
        <f>IF($CR$17=$CQ$62,Underwriting!$AR$244,Underwriting!$AR$245)</f>
        <v>166597.00149289376</v>
      </c>
      <c r="EU38" s="313" t="n">
        <f>IF($CR$17=$CQ$62,Underwriting!$AS$244,Underwriting!$AS$245)</f>
        <v>177153.76001550633</v>
      </c>
      <c r="EV38" s="313" t="n">
        <f>IF($CR$17=$CQ$62,Underwriting!$AT$244,Underwriting!$AT$245)</f>
        <v>197050.77611878637</v>
      </c>
      <c r="EW38" s="313" t="n">
        <f>IF($CR$17=$CQ$62,Underwriting!$AU$244,Underwriting!$AU$245)</f>
        <v>201683.90638575447</v>
      </c>
      <c r="EX38" s="313" t="n">
        <f>IF($CR$17=$CQ$62,Underwriting!$AV$244,Underwriting!$AV$245)</f>
        <v>205096.64132294507</v>
      </c>
      <c r="EY38" s="313" t="n">
        <f>IF($CR$17=$CQ$62,Underwriting!$AW$244,Underwriting!$AW$245)</f>
        <v>183924.7834727674</v>
      </c>
      <c r="EZ38" s="313" t="n">
        <f>IF($CR$17=$CQ$62,Underwriting!$AX$244,Underwriting!$AX$245)</f>
        <v>183290.65247524926</v>
      </c>
      <c r="FA38" s="313" t="n">
        <f>IF($CR$17=$CQ$62,Underwriting!$AY$244,Underwriting!$AY$245)</f>
        <v>182651.76549524977</v>
      </c>
      <c r="FB38" s="313" t="n">
        <f>IF($CR$17=$CQ$62,Underwriting!$AZ$244,Underwriting!$AZ$245)</f>
        <v>182324.07566466738</v>
      </c>
      <c r="FC38" s="313" t="n">
        <f>IF($CR$17=$CQ$62,Underwriting!$BA$244,Underwriting!$BA$245)</f>
        <v>181675.56944257524</v>
      </c>
      <c r="FD38" s="313" t="n">
        <f>IF($CR$17=$CQ$62,Underwriting!$BB$244,Underwriting!$BB$245)</f>
        <v>181022.19942381745</v>
      </c>
      <c r="FE38" s="313" t="n">
        <f>$FE$15+($CQ$106-1)*$CR$52*1000000*IF($CR$17=$CQ$62,Underwriting!$BC$239,Underwriting!$BC$240)/SUM(Underwriting!$BC$239:$BC$240)</f>
        <v>28761849.17888035</v>
      </c>
    </row>
    <row r="39">
      <c r="A39" s="311"/>
      <c r="B39" s="949" t="s">
        <v>871</v>
      </c>
      <c r="C39" s="951" t="n">
        <f>'FUNDING &amp; CAP TABLE'!$D$18</f>
        <v>205.7397173750929</v>
      </c>
      <c r="D39" s="955" t="s">
        <v>515</v>
      </c>
      <c r="E39" s="975" t="s">
        <v>872</v>
      </c>
      <c r="F39" s="975"/>
      <c r="G39" s="975"/>
      <c r="H39" s="975"/>
      <c r="I39" s="949"/>
      <c r="J39" s="956" t="s">
        <v>873</v>
      </c>
      <c r="K39" s="975" t="s">
        <v>874</v>
      </c>
      <c r="L39" s="975"/>
      <c r="M39" s="975"/>
      <c r="N39" s="975"/>
      <c r="O39" s="975"/>
      <c r="P39" s="975"/>
      <c r="CQ39" s="695" t="s">
        <v>875</v>
      </c>
      <c r="CR39" s="699"/>
      <c r="CS39" s="699"/>
      <c r="CT39" s="699"/>
      <c r="CU39" s="699"/>
      <c r="CV39" s="699"/>
      <c r="CW39" s="699"/>
      <c r="CX39" s="699"/>
      <c r="CY39" s="699"/>
      <c r="CZ39" s="699"/>
      <c r="DA39" s="699"/>
      <c r="DB39" s="699"/>
      <c r="DC39" s="699"/>
      <c r="DD39" s="699"/>
      <c r="DE39" s="699"/>
      <c r="DF39" s="699"/>
      <c r="DG39" s="699"/>
      <c r="DH39" s="699"/>
      <c r="DI39" s="699"/>
      <c r="DJ39" s="699"/>
      <c r="DK39" s="699"/>
      <c r="DL39" s="699"/>
    </row>
    <row r="40">
      <c r="A40" s="311"/>
      <c r="B40" s="949" t="s">
        <v>876</v>
      </c>
      <c r="C40" s="951" t="n">
        <f>C39-C38</f>
        <v>86.53749485039059</v>
      </c>
      <c r="D40" s="955" t="s">
        <v>515</v>
      </c>
      <c r="E40" s="975" t="s">
        <v>877</v>
      </c>
      <c r="F40" s="975"/>
      <c r="G40" s="975"/>
      <c r="H40" s="975"/>
      <c r="I40" s="949"/>
      <c r="J40" s="956" t="s">
        <v>878</v>
      </c>
      <c r="K40" s="975" t="s">
        <v>879</v>
      </c>
      <c r="L40" s="975"/>
      <c r="M40" s="975"/>
      <c r="N40" s="975"/>
      <c r="O40" s="975"/>
      <c r="P40" s="975"/>
    </row>
    <row r="41">
      <c r="A41" s="311"/>
      <c r="B41" s="949" t="s">
        <v>880</v>
      </c>
      <c r="C41" s="950" t="n">
        <f>$H$34</f>
        <v>1</v>
      </c>
      <c r="D41" s="955" t="s">
        <v>78</v>
      </c>
      <c r="E41" s="975" t="s">
        <v>881</v>
      </c>
      <c r="F41" s="975"/>
      <c r="G41" s="975"/>
      <c r="H41" s="975"/>
      <c r="I41" s="949"/>
      <c r="J41" s="956" t="s">
        <v>882</v>
      </c>
      <c r="K41" s="975" t="s">
        <v>883</v>
      </c>
      <c r="L41" s="975"/>
      <c r="M41" s="975"/>
      <c r="N41" s="975"/>
      <c r="O41" s="975"/>
      <c r="P41" s="975"/>
      <c r="CQ41" s="692" t="s">
        <v>884</v>
      </c>
      <c r="CR41" s="699"/>
      <c r="CS41" s="699"/>
      <c r="CT41" s="699"/>
      <c r="CU41" s="699"/>
      <c r="CV41" s="699"/>
      <c r="CW41" s="699"/>
      <c r="CX41" s="699"/>
      <c r="CZ41" s="692" t="s">
        <v>885</v>
      </c>
      <c r="DA41" s="699"/>
      <c r="DB41" s="699"/>
      <c r="DC41" s="699"/>
      <c r="DD41" s="699"/>
      <c r="DE41" s="699"/>
      <c r="DF41" s="699"/>
      <c r="DG41" s="699"/>
      <c r="DH41" s="699"/>
      <c r="DI41" s="699"/>
      <c r="DJ41" s="699"/>
      <c r="DK41" s="699"/>
      <c r="DL41" s="699"/>
    </row>
    <row r="42">
      <c r="A42" s="311"/>
      <c r="B42" s="949" t="s">
        <v>886</v>
      </c>
      <c r="C42" s="1019" t="str">
        <f>IF(AND(ABS(C40)&lt;0.01,ABS(C41-1)&lt;0.000001),"PASS","RECONCILIATION REQUIRED")</f>
        <v>RECONCILIATION REQUIRED</v>
      </c>
      <c r="D42" s="955" t="s">
        <v>887</v>
      </c>
      <c r="E42" s="975" t="s">
        <v>888</v>
      </c>
      <c r="F42" s="975"/>
      <c r="G42" s="975"/>
      <c r="H42" s="975"/>
      <c r="I42" s="949"/>
      <c r="J42" s="956" t="s">
        <v>889</v>
      </c>
      <c r="K42" s="975" t="s">
        <v>890</v>
      </c>
      <c r="L42" s="975"/>
      <c r="M42" s="975"/>
      <c r="N42" s="975"/>
      <c r="O42" s="975"/>
      <c r="P42" s="975"/>
      <c r="CQ42" s="311" t="s">
        <v>891</v>
      </c>
      <c r="CR42" s="313" t="n">
        <f>$CW$38</f>
        <v>679.6470279122068</v>
      </c>
      <c r="CS42" s="312" t="s">
        <v>515</v>
      </c>
      <c r="CT42" s="699"/>
      <c r="CU42" s="699"/>
      <c r="CV42" s="699"/>
      <c r="CW42" s="699"/>
      <c r="CX42" s="699"/>
      <c r="CZ42" s="311" t="s">
        <v>892</v>
      </c>
      <c r="DA42" s="316" t="n">
        <f>(1+IRR(Underwriting!$M$211:$BU$211,5%))^12-1</f>
        <v>0.5604412765782036</v>
      </c>
      <c r="DB42" s="312" t="s">
        <v>78</v>
      </c>
      <c r="DC42" s="695" t="s">
        <v>893</v>
      </c>
      <c r="DD42" s="699"/>
      <c r="DE42" s="699"/>
      <c r="DF42" s="699"/>
      <c r="DG42" s="699"/>
      <c r="DH42" s="699"/>
      <c r="DI42" s="699"/>
      <c r="DJ42" s="699"/>
      <c r="DK42" s="699"/>
      <c r="DL42" s="699"/>
    </row>
    <row r="43">
      <c r="A43" s="311"/>
      <c r="B43" s="949" t="s">
        <v>894</v>
      </c>
      <c r="C43" s="976" t="n">
        <f>Underwriting!$E$13</f>
        <v>46204</v>
      </c>
      <c r="D43" s="955" t="s">
        <v>772</v>
      </c>
      <c r="E43" s="975" t="s">
        <v>895</v>
      </c>
      <c r="F43" s="975"/>
      <c r="G43" s="975"/>
      <c r="H43" s="975"/>
      <c r="I43" s="949"/>
      <c r="J43" s="956" t="s">
        <v>896</v>
      </c>
      <c r="K43" s="975" t="s">
        <v>897</v>
      </c>
      <c r="L43" s="975"/>
      <c r="M43" s="975"/>
      <c r="N43" s="975"/>
      <c r="O43" s="975"/>
      <c r="P43" s="975"/>
      <c r="CQ43" s="311" t="s">
        <v>898</v>
      </c>
      <c r="CR43" s="313" t="n">
        <f>$DB$38</f>
        <v>23.186065711316278</v>
      </c>
      <c r="CS43" s="312" t="s">
        <v>515</v>
      </c>
      <c r="CT43" s="699"/>
      <c r="CU43" s="699"/>
      <c r="CV43" s="699"/>
      <c r="CW43" s="699"/>
      <c r="CX43" s="699"/>
      <c r="CZ43" s="311" t="s">
        <v>899</v>
      </c>
      <c r="DA43" s="316" t="n">
        <f>Underwriting!$H$211</f>
        <v>0.5600807876754031</v>
      </c>
      <c r="DB43" s="312" t="s">
        <v>78</v>
      </c>
      <c r="DC43" s="699"/>
      <c r="DD43" s="699"/>
      <c r="DE43" s="699"/>
      <c r="DF43" s="699"/>
      <c r="DG43" s="699"/>
      <c r="DH43" s="699"/>
      <c r="DI43" s="699"/>
      <c r="DJ43" s="699"/>
      <c r="DK43" s="699"/>
      <c r="DL43" s="699"/>
    </row>
    <row r="44">
      <c r="A44" s="311"/>
      <c r="B44" s="949" t="s">
        <v>900</v>
      </c>
      <c r="C44" s="976" t="n">
        <f>EDATE(Underwriting!$E$13,9)</f>
        <v>46478</v>
      </c>
      <c r="D44" s="955" t="s">
        <v>772</v>
      </c>
      <c r="E44" s="975" t="s">
        <v>901</v>
      </c>
      <c r="F44" s="975"/>
      <c r="G44" s="975"/>
      <c r="H44" s="975"/>
      <c r="I44" s="949"/>
      <c r="J44" s="956" t="s">
        <v>902</v>
      </c>
      <c r="K44" s="975" t="s">
        <v>903</v>
      </c>
      <c r="L44" s="975"/>
      <c r="M44" s="975"/>
      <c r="N44" s="975"/>
      <c r="O44" s="975"/>
      <c r="P44" s="975"/>
      <c r="CQ44" s="309" t="s">
        <v>904</v>
      </c>
      <c r="CR44" s="323" t="n">
        <f>SUM(CR42:CR43)</f>
        <v>702.833093623523</v>
      </c>
      <c r="CS44" s="312" t="s">
        <v>515</v>
      </c>
      <c r="CT44" s="695" t="s">
        <v>905</v>
      </c>
      <c r="CU44" s="699"/>
      <c r="CV44" s="699"/>
      <c r="CW44" s="699"/>
      <c r="CX44" s="699"/>
      <c r="CZ44" s="311" t="s">
        <v>906</v>
      </c>
      <c r="DA44" s="313" t="n">
        <f>Underwriting!$M$211/1000000+NPV((1+$CR$8)^(1/12)-1,Underwriting!$N$211:$BU$211)/1000000</f>
        <v>601.3165857639721</v>
      </c>
      <c r="DB44" s="312" t="s">
        <v>515</v>
      </c>
      <c r="DC44" s="699" t="s">
        <v>907</v>
      </c>
      <c r="DD44" s="699"/>
      <c r="DE44" s="699"/>
      <c r="DF44" s="699"/>
      <c r="DG44" s="699"/>
      <c r="DH44" s="699"/>
      <c r="DI44" s="699"/>
      <c r="DJ44" s="699"/>
      <c r="DK44" s="699"/>
      <c r="DL44" s="699"/>
    </row>
    <row r="45">
      <c r="A45" s="311"/>
      <c r="B45" s="949" t="s">
        <v>771</v>
      </c>
      <c r="C45" s="976" t="n">
        <f>$C$14</f>
        <v>48030</v>
      </c>
      <c r="D45" s="955" t="s">
        <v>772</v>
      </c>
      <c r="E45" s="975" t="s">
        <v>908</v>
      </c>
      <c r="F45" s="975"/>
      <c r="G45" s="975"/>
      <c r="H45" s="975"/>
      <c r="I45" s="949"/>
      <c r="J45" s="956" t="s">
        <v>909</v>
      </c>
      <c r="K45" s="975" t="s">
        <v>910</v>
      </c>
      <c r="L45" s="975"/>
      <c r="M45" s="975"/>
      <c r="N45" s="975"/>
      <c r="O45" s="975"/>
      <c r="P45" s="975"/>
      <c r="CQ45" s="311" t="s">
        <v>678</v>
      </c>
      <c r="CR45" s="313" t="n">
        <f>$CR$16</f>
        <v>0</v>
      </c>
      <c r="CS45" s="312" t="s">
        <v>515</v>
      </c>
      <c r="CT45" s="699"/>
      <c r="CU45" s="699"/>
      <c r="CV45" s="699"/>
      <c r="CW45" s="699"/>
      <c r="CX45" s="699"/>
      <c r="CZ45" s="311" t="s">
        <v>911</v>
      </c>
      <c r="DA45" s="313" t="n">
        <f>XNPV($CR$8,Underwriting!$M$211:$BU$211,Underwriting!$M$195:$BU$195)/1000000</f>
        <v>601.1594637623551</v>
      </c>
      <c r="DB45" s="312" t="s">
        <v>515</v>
      </c>
      <c r="DC45" s="699" t="s">
        <v>912</v>
      </c>
      <c r="DD45" s="699"/>
      <c r="DE45" s="699"/>
      <c r="DF45" s="699"/>
      <c r="DG45" s="699"/>
      <c r="DH45" s="699"/>
      <c r="DI45" s="699"/>
      <c r="DJ45" s="699"/>
      <c r="DK45" s="699"/>
      <c r="DL45" s="699"/>
    </row>
    <row r="46">
      <c r="A46" s="311"/>
      <c r="B46" s="962" t="s">
        <v>913</v>
      </c>
      <c r="C46" s="977" t="n">
        <f>IFERROR((C45-C43)/365,0)</f>
        <v>5.002739726027397</v>
      </c>
      <c r="D46" s="968" t="s">
        <v>914</v>
      </c>
      <c r="E46" s="978" t="s">
        <v>915</v>
      </c>
      <c r="F46" s="978"/>
      <c r="G46" s="978"/>
      <c r="H46" s="978"/>
      <c r="I46" s="962"/>
      <c r="J46" s="969" t="s">
        <v>916</v>
      </c>
      <c r="K46" s="978" t="s">
        <v>917</v>
      </c>
      <c r="L46" s="978"/>
      <c r="M46" s="978"/>
      <c r="N46" s="978"/>
      <c r="O46" s="978"/>
      <c r="P46" s="978"/>
      <c r="CQ46" s="309" t="s">
        <v>918</v>
      </c>
      <c r="CR46" s="323" t="n">
        <f>SUM(CR44:CR45)</f>
        <v>702.833093623523</v>
      </c>
      <c r="CS46" s="312" t="s">
        <v>515</v>
      </c>
      <c r="CT46" s="699"/>
      <c r="CU46" s="699"/>
      <c r="CV46" s="699"/>
      <c r="CW46" s="699"/>
      <c r="CX46" s="699"/>
      <c r="CZ46" s="311" t="s">
        <v>919</v>
      </c>
      <c r="DA46" s="316" t="n">
        <f>(1+IRR(Underwriting!$M$212:$BU$212,5%))^12-1</f>
        <v>0.9225737903999729</v>
      </c>
      <c r="DB46" s="312" t="s">
        <v>78</v>
      </c>
      <c r="DC46" s="695" t="s">
        <v>920</v>
      </c>
      <c r="DD46" s="699"/>
      <c r="DE46" s="699"/>
      <c r="DF46" s="699"/>
      <c r="DG46" s="699"/>
      <c r="DH46" s="699"/>
      <c r="DI46" s="699"/>
      <c r="DJ46" s="699"/>
      <c r="DK46" s="699"/>
      <c r="DL46" s="699"/>
    </row>
    <row r="47">
      <c r="A47" s="311"/>
      <c r="B47" s="922"/>
      <c r="C47" s="922"/>
      <c r="D47" s="922"/>
      <c r="E47" s="922"/>
      <c r="F47" s="922"/>
      <c r="G47" s="922"/>
      <c r="H47" s="922"/>
      <c r="I47" s="922"/>
      <c r="J47" s="922"/>
      <c r="K47" s="922"/>
      <c r="L47" s="922"/>
      <c r="M47" s="922"/>
      <c r="N47" s="922"/>
      <c r="O47" s="922"/>
      <c r="P47" s="923"/>
      <c r="CQ47" s="311" t="s">
        <v>921</v>
      </c>
      <c r="CR47" s="313" t="n">
        <f>-Underwriting!$I$75/1000000</f>
        <v>-213.01883390950715</v>
      </c>
      <c r="CS47" s="312" t="s">
        <v>515</v>
      </c>
      <c r="CT47" s="699"/>
      <c r="CU47" s="699"/>
      <c r="CV47" s="699"/>
      <c r="CW47" s="699"/>
      <c r="CX47" s="699"/>
      <c r="CZ47" s="311" t="s">
        <v>922</v>
      </c>
      <c r="DA47" s="316" t="n">
        <f>Underwriting!$H$212</f>
        <v>0.9214507461435774</v>
      </c>
      <c r="DB47" s="312" t="s">
        <v>78</v>
      </c>
      <c r="DC47" s="699"/>
      <c r="DD47" s="699"/>
      <c r="DE47" s="699"/>
      <c r="DF47" s="699"/>
      <c r="DG47" s="699"/>
      <c r="DH47" s="699"/>
      <c r="DI47" s="699"/>
      <c r="DJ47" s="699"/>
      <c r="DK47" s="699"/>
      <c r="DL47" s="699"/>
    </row>
    <row r="48">
      <c r="A48" s="311"/>
      <c r="B48" s="922"/>
      <c r="C48" s="922"/>
      <c r="D48" s="922"/>
      <c r="E48" s="922"/>
      <c r="F48" s="922"/>
      <c r="G48" s="922"/>
      <c r="H48" s="922"/>
      <c r="I48" s="922"/>
      <c r="J48" s="922"/>
      <c r="K48" s="922"/>
      <c r="L48" s="922"/>
      <c r="M48" s="922"/>
      <c r="N48" s="922"/>
      <c r="O48" s="922"/>
      <c r="P48" s="923"/>
      <c r="CQ48" s="311" t="s">
        <v>923</v>
      </c>
      <c r="CR48" s="313" t="n">
        <f>-$CR$14</f>
        <v>0</v>
      </c>
      <c r="CS48" s="312" t="s">
        <v>515</v>
      </c>
      <c r="CT48" s="699"/>
      <c r="CU48" s="699"/>
      <c r="CV48" s="699"/>
      <c r="CW48" s="699"/>
      <c r="CX48" s="699"/>
      <c r="CZ48" s="311" t="s">
        <v>924</v>
      </c>
      <c r="DA48" s="313" t="n">
        <f>Underwriting!$M$212/1000000+NPV((1+$CR$8)^(1/12)-1,Underwriting!$N$212:$BU$212)/1000000</f>
        <v>590.2354898754252</v>
      </c>
      <c r="DB48" s="312" t="s">
        <v>515</v>
      </c>
      <c r="DC48" s="699"/>
      <c r="DD48" s="699"/>
      <c r="DE48" s="699"/>
      <c r="DF48" s="699"/>
      <c r="DG48" s="699"/>
      <c r="DH48" s="699"/>
      <c r="DI48" s="699"/>
      <c r="DJ48" s="699"/>
      <c r="DK48" s="699"/>
      <c r="DL48" s="699"/>
    </row>
    <row r="49">
      <c r="A49" s="311"/>
      <c r="B49" s="933" t="s">
        <v>925</v>
      </c>
      <c r="C49" s="933"/>
      <c r="D49" s="933"/>
      <c r="E49" s="933"/>
      <c r="F49" s="933"/>
      <c r="G49" s="933"/>
      <c r="H49" s="933"/>
      <c r="I49" s="933"/>
      <c r="J49" s="933"/>
      <c r="K49" s="933"/>
      <c r="L49" s="933"/>
      <c r="M49" s="933"/>
      <c r="N49" s="933"/>
      <c r="O49" s="933"/>
      <c r="P49" s="934"/>
      <c r="CQ49" s="311" t="s">
        <v>926</v>
      </c>
      <c r="CR49" s="313" t="n">
        <f>-$CR$15</f>
        <v>0</v>
      </c>
      <c r="CS49" s="312" t="s">
        <v>515</v>
      </c>
      <c r="CT49" s="699"/>
      <c r="CU49" s="699"/>
      <c r="CV49" s="699"/>
      <c r="CW49" s="699"/>
      <c r="CX49" s="699"/>
      <c r="CZ49" s="311" t="s">
        <v>927</v>
      </c>
      <c r="DA49" s="313" t="n">
        <f>XNPV($CR$8,Underwriting!$M$212:$BU$212,Underwriting!$M$195:$BU$195)/1000000</f>
        <v>590.0908797306317</v>
      </c>
      <c r="DB49" s="312" t="s">
        <v>515</v>
      </c>
      <c r="DC49" s="699"/>
      <c r="DD49" s="699"/>
      <c r="DE49" s="699"/>
      <c r="DF49" s="699"/>
      <c r="DG49" s="699"/>
      <c r="DH49" s="699"/>
      <c r="DI49" s="699"/>
      <c r="DJ49" s="699"/>
      <c r="DK49" s="699"/>
      <c r="DL49" s="699"/>
    </row>
    <row r="50">
      <c r="A50" s="311"/>
      <c r="B50" s="939" t="s">
        <v>928</v>
      </c>
      <c r="C50" s="939"/>
      <c r="D50" s="939"/>
      <c r="E50" s="939"/>
      <c r="F50" s="939"/>
      <c r="G50" s="939"/>
      <c r="H50" s="939"/>
      <c r="I50" s="939"/>
      <c r="J50" s="939"/>
      <c r="K50" s="939"/>
      <c r="L50" s="939"/>
      <c r="M50" s="939"/>
      <c r="N50" s="939"/>
      <c r="O50" s="939"/>
      <c r="P50" s="939"/>
      <c r="CQ50" s="311" t="s">
        <v>929</v>
      </c>
      <c r="CR50" s="313" t="n">
        <f>-$CR$42*Underwriting!$I$163</f>
        <v>-13.592940558244136</v>
      </c>
      <c r="CS50" s="312" t="s">
        <v>515</v>
      </c>
      <c r="CT50" s="699"/>
      <c r="CU50" s="699"/>
      <c r="CV50" s="699"/>
      <c r="CW50" s="699"/>
      <c r="CX50" s="699"/>
      <c r="CZ50" s="311" t="s">
        <v>930</v>
      </c>
      <c r="DA50" s="318" t="n">
        <f>Underwriting!$G$212</f>
        <v>9.688789923849196</v>
      </c>
      <c r="DB50" s="312" t="s">
        <v>780</v>
      </c>
      <c r="DC50" s="699"/>
      <c r="DD50" s="699"/>
      <c r="DE50" s="699"/>
      <c r="DF50" s="699"/>
      <c r="DG50" s="699"/>
      <c r="DH50" s="699"/>
      <c r="DI50" s="699"/>
      <c r="DJ50" s="699"/>
      <c r="DK50" s="699"/>
      <c r="DL50" s="699"/>
    </row>
    <row r="51">
      <c r="A51" s="311"/>
      <c r="B51" s="939" t="s">
        <v>931</v>
      </c>
      <c r="C51" s="939"/>
      <c r="D51" s="939"/>
      <c r="E51" s="939"/>
      <c r="F51" s="939"/>
      <c r="G51" s="939"/>
      <c r="H51" s="939"/>
      <c r="I51" s="939"/>
      <c r="J51" s="939"/>
      <c r="K51" s="939"/>
      <c r="L51" s="939"/>
      <c r="M51" s="939"/>
      <c r="N51" s="939"/>
      <c r="O51" s="939"/>
      <c r="P51" s="939"/>
      <c r="CQ51" s="309" t="s">
        <v>932</v>
      </c>
      <c r="CR51" s="323" t="n">
        <f>SUM(CR44:CR45,CR47:CR50)</f>
        <v>476.22131915577177</v>
      </c>
      <c r="CS51" s="312" t="s">
        <v>515</v>
      </c>
      <c r="CT51" s="699"/>
      <c r="CU51" s="699"/>
      <c r="CV51" s="699"/>
      <c r="CW51" s="699"/>
      <c r="CX51" s="699"/>
      <c r="CZ51" s="311" t="s">
        <v>933</v>
      </c>
      <c r="DA51" s="316" t="n">
        <f>IF($DA$54=0,"",SUM(Underwriting!$AQ$212:$BB$212)/($DA$54*1000000))</f>
        <v>0.4313763178987769</v>
      </c>
      <c r="DB51" s="312" t="s">
        <v>78</v>
      </c>
      <c r="DC51" s="699"/>
      <c r="DD51" s="699"/>
      <c r="DE51" s="699"/>
      <c r="DF51" s="699"/>
      <c r="DG51" s="699"/>
      <c r="DH51" s="699"/>
      <c r="DI51" s="699"/>
      <c r="DJ51" s="699"/>
      <c r="DK51" s="699"/>
      <c r="DL51" s="699"/>
    </row>
    <row r="52">
      <c r="A52" s="311"/>
      <c r="B52" s="939" t="s">
        <v>934</v>
      </c>
      <c r="C52" s="939"/>
      <c r="D52" s="939"/>
      <c r="E52" s="939"/>
      <c r="F52" s="939"/>
      <c r="G52" s="939"/>
      <c r="H52" s="939"/>
      <c r="I52" s="939"/>
      <c r="J52" s="939"/>
      <c r="K52" s="939"/>
      <c r="L52" s="939"/>
      <c r="M52" s="939"/>
      <c r="N52" s="939"/>
      <c r="O52" s="939"/>
      <c r="P52" s="939"/>
      <c r="CQ52" s="309" t="s">
        <v>935</v>
      </c>
      <c r="CR52" s="323" t="n">
        <f>CR51</f>
        <v>476.22131915577177</v>
      </c>
      <c r="CS52" s="312" t="s">
        <v>515</v>
      </c>
      <c r="CT52" s="695" t="s">
        <v>936</v>
      </c>
      <c r="CU52" s="699"/>
      <c r="CV52" s="699"/>
      <c r="CW52" s="699"/>
      <c r="CX52" s="699"/>
      <c r="CZ52" s="311" t="s">
        <v>937</v>
      </c>
      <c r="DA52" s="322" t="n">
        <f>COUNTIF($DN$16:$FE$16,"&lt;0")</f>
        <v>41</v>
      </c>
      <c r="DB52" s="312" t="s">
        <v>938</v>
      </c>
      <c r="DC52" s="695" t="s">
        <v>939</v>
      </c>
      <c r="DD52" s="699"/>
      <c r="DE52" s="699"/>
      <c r="DF52" s="699"/>
      <c r="DG52" s="699"/>
      <c r="DH52" s="699"/>
      <c r="DI52" s="699"/>
      <c r="DJ52" s="699"/>
      <c r="DK52" s="699"/>
      <c r="DL52" s="699"/>
    </row>
    <row r="53">
      <c r="A53" s="311"/>
      <c r="B53" s="939" t="s">
        <v>940</v>
      </c>
      <c r="C53" s="939"/>
      <c r="D53" s="939"/>
      <c r="E53" s="939"/>
      <c r="F53" s="939"/>
      <c r="G53" s="939"/>
      <c r="H53" s="939"/>
      <c r="I53" s="939"/>
      <c r="J53" s="939"/>
      <c r="K53" s="939"/>
      <c r="L53" s="939"/>
      <c r="M53" s="939"/>
      <c r="N53" s="939"/>
      <c r="O53" s="939"/>
      <c r="P53" s="939"/>
      <c r="CQ53" s="309" t="s">
        <v>941</v>
      </c>
      <c r="CR53" s="323" t="n">
        <f>CR52</f>
        <v>476.22131915577177</v>
      </c>
      <c r="CS53" s="312" t="s">
        <v>515</v>
      </c>
      <c r="CT53" s="699"/>
      <c r="CU53" s="699"/>
      <c r="CV53" s="699"/>
      <c r="CW53" s="699"/>
      <c r="CX53" s="699"/>
      <c r="CZ53" s="311" t="s">
        <v>942</v>
      </c>
      <c r="DA53" s="322" t="n">
        <f>COUNTIF($DN$19:$FE$19,"&lt;0")</f>
        <v>40</v>
      </c>
      <c r="DB53" s="312" t="s">
        <v>938</v>
      </c>
      <c r="DC53" s="699"/>
      <c r="DD53" s="699"/>
      <c r="DE53" s="699"/>
      <c r="DF53" s="699"/>
      <c r="DG53" s="699"/>
      <c r="DH53" s="699"/>
      <c r="DI53" s="699"/>
      <c r="DJ53" s="699"/>
      <c r="DK53" s="699"/>
      <c r="DL53" s="699"/>
    </row>
    <row r="54">
      <c r="A54" s="311"/>
      <c r="B54" s="939" t="s">
        <v>943</v>
      </c>
      <c r="C54" s="939"/>
      <c r="D54" s="939"/>
      <c r="E54" s="939"/>
      <c r="F54" s="939"/>
      <c r="G54" s="939"/>
      <c r="H54" s="939"/>
      <c r="I54" s="939"/>
      <c r="J54" s="939"/>
      <c r="K54" s="939"/>
      <c r="L54" s="939"/>
      <c r="M54" s="939"/>
      <c r="N54" s="939"/>
      <c r="O54" s="939"/>
      <c r="P54" s="939"/>
      <c r="CQ54" s="311" t="s">
        <v>944</v>
      </c>
      <c r="CR54" s="318" t="n">
        <f>IF($CR$13=0,"",$CR$52/$CR$13)</f>
        <v>476.22131915577177</v>
      </c>
      <c r="CS54" s="312" t="s">
        <v>945</v>
      </c>
      <c r="CT54" s="699"/>
      <c r="CU54" s="699"/>
      <c r="CV54" s="699"/>
      <c r="CW54" s="699"/>
      <c r="CX54" s="699"/>
      <c r="CZ54" s="311" t="s">
        <v>946</v>
      </c>
      <c r="DA54" s="313" t="n">
        <f>-MIN($DN$17:$FE$17)/1000000</f>
        <v>100.80036995578098</v>
      </c>
      <c r="DB54" s="312" t="s">
        <v>515</v>
      </c>
      <c r="DC54" s="699"/>
      <c r="DD54" s="699"/>
      <c r="DE54" s="699"/>
      <c r="DF54" s="699"/>
      <c r="DG54" s="699"/>
      <c r="DH54" s="699"/>
      <c r="DI54" s="699"/>
      <c r="DJ54" s="699"/>
      <c r="DK54" s="699"/>
      <c r="DL54" s="699"/>
    </row>
    <row r="55">
      <c r="A55" s="311"/>
      <c r="B55" s="923"/>
      <c r="C55" s="923"/>
      <c r="D55" s="923"/>
      <c r="E55" s="923"/>
      <c r="F55" s="923"/>
      <c r="G55" s="923"/>
      <c r="H55" s="923"/>
      <c r="I55" s="923"/>
      <c r="J55" s="923"/>
      <c r="K55" s="923"/>
      <c r="L55" s="923"/>
      <c r="M55" s="923"/>
      <c r="N55" s="923"/>
      <c r="O55" s="923"/>
      <c r="P55" s="923"/>
      <c r="CQ55" s="311" t="s">
        <v>947</v>
      </c>
      <c r="CR55" s="318" t="n">
        <f>IF(OR($CR$13=0,$CR$12=1),"",$CR$52/($CR$13/(1-$CR$12)))</f>
        <v>476.22131915577177</v>
      </c>
      <c r="CS55" s="312" t="s">
        <v>945</v>
      </c>
      <c r="CT55" s="699"/>
      <c r="CU55" s="699"/>
      <c r="CV55" s="699"/>
      <c r="CW55" s="699"/>
      <c r="CX55" s="699"/>
      <c r="CZ55" s="311" t="s">
        <v>948</v>
      </c>
      <c r="DA55" s="313" t="n">
        <f>MAX($DN$22:$FE$22)/1000000</f>
        <v>213.01883390950712</v>
      </c>
      <c r="DB55" s="312" t="s">
        <v>515</v>
      </c>
      <c r="DC55" s="699"/>
      <c r="DD55" s="699"/>
      <c r="DE55" s="699"/>
      <c r="DF55" s="699"/>
      <c r="DG55" s="699"/>
      <c r="DH55" s="699"/>
      <c r="DI55" s="699"/>
      <c r="DJ55" s="699"/>
      <c r="DK55" s="699"/>
      <c r="DL55" s="699"/>
    </row>
    <row r="56">
      <c r="A56" s="311"/>
      <c r="B56" s="933" t="s">
        <v>949</v>
      </c>
      <c r="C56" s="933"/>
      <c r="D56" s="933"/>
      <c r="E56" s="933"/>
      <c r="F56" s="933"/>
      <c r="G56" s="933"/>
      <c r="H56" s="933"/>
      <c r="I56" s="933"/>
      <c r="J56" s="933"/>
      <c r="K56" s="933"/>
      <c r="L56" s="933"/>
      <c r="M56" s="933"/>
      <c r="N56" s="933"/>
      <c r="O56" s="933"/>
      <c r="P56" s="934"/>
      <c r="CZ56" s="311" t="s">
        <v>950</v>
      </c>
      <c r="DA56" s="316" t="n">
        <f>Underwriting!$I$75/Underwriting!$I$57</f>
        <v>0.5086913049442029</v>
      </c>
      <c r="DB56" s="312" t="s">
        <v>78</v>
      </c>
      <c r="DC56" s="699"/>
      <c r="DD56" s="699"/>
      <c r="DE56" s="699"/>
      <c r="DF56" s="699"/>
      <c r="DG56" s="699"/>
      <c r="DH56" s="699"/>
      <c r="DI56" s="699"/>
      <c r="DJ56" s="699"/>
      <c r="DK56" s="699"/>
      <c r="DL56" s="699"/>
    </row>
    <row r="57" ht="143">
      <c r="A57" s="311"/>
      <c r="B57" s="941" t="s">
        <v>828</v>
      </c>
      <c r="C57" s="941" t="s">
        <v>951</v>
      </c>
      <c r="D57" s="941" t="s">
        <v>952</v>
      </c>
      <c r="E57" s="941" t="s">
        <v>953</v>
      </c>
      <c r="F57" s="941" t="s">
        <v>954</v>
      </c>
      <c r="G57" s="941" t="s">
        <v>955</v>
      </c>
      <c r="H57" s="941" t="s">
        <v>956</v>
      </c>
      <c r="I57" s="941" t="s">
        <v>957</v>
      </c>
      <c r="J57" s="941" t="s">
        <v>958</v>
      </c>
      <c r="K57" s="941" t="s">
        <v>838</v>
      </c>
      <c r="L57" s="941" t="s">
        <v>959</v>
      </c>
      <c r="M57" s="941" t="s">
        <v>839</v>
      </c>
      <c r="N57" s="941" t="s">
        <v>960</v>
      </c>
      <c r="O57" s="941" t="s">
        <v>961</v>
      </c>
      <c r="P57" s="941" t="s">
        <v>962</v>
      </c>
      <c r="X57" s="651" t="n">
        <f>$C$43</f>
        <v>46204</v>
      </c>
      <c r="Y57" s="651" t="n">
        <f>$C$44</f>
        <v>46478</v>
      </c>
      <c r="Z57" s="651" t="n">
        <f>$C$45</f>
        <v>48030</v>
      </c>
      <c r="AA57" s="651" t="n">
        <f>$C$43</f>
        <v>46204</v>
      </c>
      <c r="AB57" s="651" t="n">
        <f>$C$44</f>
        <v>46478</v>
      </c>
      <c r="AC57" s="651" t="n">
        <f>$C$45</f>
        <v>48030</v>
      </c>
      <c r="AD57" s="651" t="n">
        <f>$C$43</f>
        <v>46204</v>
      </c>
      <c r="AE57" s="651" t="n">
        <f>$C$44</f>
        <v>46478</v>
      </c>
      <c r="AF57" s="651" t="n">
        <f>$C$45</f>
        <v>48030</v>
      </c>
      <c r="AG57" s="651" t="n">
        <f>$C$43</f>
        <v>46204</v>
      </c>
      <c r="AH57" t="n">
        <f t="shared" ref="AH57:BM57" si="8">EDATE(AG57,1)</f>
        <v>46235</v>
      </c>
      <c r="AI57">
        <f t="shared" si="8"/>
        <v>46266</v>
      </c>
      <c r="AJ57">
        <f t="shared" si="8"/>
        <v>46296</v>
      </c>
      <c r="AK57">
        <f t="shared" si="8"/>
        <v>46327</v>
      </c>
      <c r="AL57">
        <f t="shared" si="8"/>
        <v>46357</v>
      </c>
      <c r="AM57">
        <f t="shared" si="8"/>
        <v>46388</v>
      </c>
      <c r="AN57">
        <f t="shared" si="8"/>
        <v>46419</v>
      </c>
      <c r="AO57">
        <f t="shared" si="8"/>
        <v>46447</v>
      </c>
      <c r="AP57">
        <f t="shared" si="8"/>
        <v>46478</v>
      </c>
      <c r="AQ57">
        <f t="shared" si="8"/>
        <v>46508</v>
      </c>
      <c r="AR57">
        <f t="shared" si="8"/>
        <v>46539</v>
      </c>
      <c r="AS57">
        <f t="shared" si="8"/>
        <v>46569</v>
      </c>
      <c r="AT57">
        <f t="shared" si="8"/>
        <v>46600</v>
      </c>
      <c r="AU57">
        <f t="shared" si="8"/>
        <v>46631</v>
      </c>
      <c r="AV57">
        <f t="shared" si="8"/>
        <v>46661</v>
      </c>
      <c r="AW57">
        <f t="shared" si="8"/>
        <v>46692</v>
      </c>
      <c r="AX57">
        <f t="shared" si="8"/>
        <v>46722</v>
      </c>
      <c r="AY57">
        <f t="shared" si="8"/>
        <v>46753</v>
      </c>
      <c r="AZ57">
        <f t="shared" si="8"/>
        <v>46784</v>
      </c>
      <c r="BA57">
        <f t="shared" si="8"/>
        <v>46813</v>
      </c>
      <c r="BB57">
        <f t="shared" si="8"/>
        <v>46844</v>
      </c>
      <c r="BC57">
        <f t="shared" si="8"/>
        <v>46874</v>
      </c>
      <c r="BD57">
        <f t="shared" si="8"/>
        <v>46905</v>
      </c>
      <c r="BE57">
        <f t="shared" si="8"/>
        <v>46935</v>
      </c>
      <c r="BF57">
        <f t="shared" si="8"/>
        <v>46966</v>
      </c>
      <c r="BG57">
        <f t="shared" si="8"/>
        <v>46997</v>
      </c>
      <c r="BH57">
        <f t="shared" si="8"/>
        <v>47027</v>
      </c>
      <c r="BI57">
        <f t="shared" si="8"/>
        <v>47058</v>
      </c>
      <c r="BJ57">
        <f t="shared" si="8"/>
        <v>47088</v>
      </c>
      <c r="BK57">
        <f t="shared" si="8"/>
        <v>47119</v>
      </c>
      <c r="BL57">
        <f t="shared" si="8"/>
        <v>47150</v>
      </c>
      <c r="BM57">
        <f t="shared" si="8"/>
        <v>47178</v>
      </c>
      <c r="BN57" t="n">
        <f t="shared" ref="BN57:CO57" si="9">EDATE(BM57,1)</f>
        <v>47209</v>
      </c>
      <c r="BO57">
        <f t="shared" si="9"/>
        <v>47239</v>
      </c>
      <c r="BP57">
        <f t="shared" si="9"/>
        <v>47270</v>
      </c>
      <c r="BQ57">
        <f t="shared" si="9"/>
        <v>47300</v>
      </c>
      <c r="BR57">
        <f t="shared" si="9"/>
        <v>47331</v>
      </c>
      <c r="BS57">
        <f t="shared" si="9"/>
        <v>47362</v>
      </c>
      <c r="BT57">
        <f t="shared" si="9"/>
        <v>47392</v>
      </c>
      <c r="BU57">
        <f t="shared" si="9"/>
        <v>47423</v>
      </c>
      <c r="BV57">
        <f t="shared" si="9"/>
        <v>47453</v>
      </c>
      <c r="BW57">
        <f t="shared" si="9"/>
        <v>47484</v>
      </c>
      <c r="BX57">
        <f t="shared" si="9"/>
        <v>47515</v>
      </c>
      <c r="BY57">
        <f t="shared" si="9"/>
        <v>47543</v>
      </c>
      <c r="BZ57">
        <f t="shared" si="9"/>
        <v>47574</v>
      </c>
      <c r="CA57">
        <f t="shared" si="9"/>
        <v>47604</v>
      </c>
      <c r="CB57">
        <f t="shared" si="9"/>
        <v>47635</v>
      </c>
      <c r="CC57">
        <f t="shared" si="9"/>
        <v>47665</v>
      </c>
      <c r="CD57">
        <f t="shared" si="9"/>
        <v>47696</v>
      </c>
      <c r="CE57">
        <f t="shared" si="9"/>
        <v>47727</v>
      </c>
      <c r="CF57">
        <f t="shared" si="9"/>
        <v>47757</v>
      </c>
      <c r="CG57">
        <f t="shared" si="9"/>
        <v>47788</v>
      </c>
      <c r="CH57">
        <f t="shared" si="9"/>
        <v>47818</v>
      </c>
      <c r="CI57">
        <f t="shared" si="9"/>
        <v>47849</v>
      </c>
      <c r="CJ57">
        <f t="shared" si="9"/>
        <v>47880</v>
      </c>
      <c r="CK57">
        <f t="shared" si="9"/>
        <v>47908</v>
      </c>
      <c r="CL57">
        <f t="shared" si="9"/>
        <v>47939</v>
      </c>
      <c r="CM57">
        <f t="shared" si="9"/>
        <v>47969</v>
      </c>
      <c r="CN57">
        <f t="shared" si="9"/>
        <v>48000</v>
      </c>
      <c r="CO57">
        <f t="shared" si="9"/>
        <v>48030</v>
      </c>
      <c r="CZ57" s="311" t="s">
        <v>774</v>
      </c>
      <c r="DA57" s="316" t="n">
        <f>IF($CW$38=0,"",Underwriting!$I$75/1000000/$CW$38)</f>
        <v>0.31342568298117207</v>
      </c>
      <c r="DB57" s="312" t="s">
        <v>78</v>
      </c>
      <c r="DC57" s="699"/>
      <c r="DD57" s="699"/>
      <c r="DE57" s="699"/>
      <c r="DF57" s="699"/>
      <c r="DG57" s="699"/>
      <c r="DH57" s="699"/>
      <c r="DI57" s="699"/>
      <c r="DJ57" s="699"/>
      <c r="DK57" s="699"/>
      <c r="DL57" s="699"/>
    </row>
    <row r="58">
      <c r="A58" s="311"/>
      <c r="B58" s="942" t="str">
        <f t="shared" ref="B58:B65" si="10">B26</f>
        <v>David Gifford</v>
      </c>
      <c r="C58" s="980" t="n">
        <f t="shared" ref="C58:D65" si="11">G26</f>
        <v>10</v>
      </c>
      <c r="D58" s="979">
        <f t="shared" si="11"/>
        <v>4.8605102250474042E-2</v>
      </c>
      <c r="E58" s="979" t="n">
        <f t="shared" ref="E58:E65" si="12">H26</f>
        <v>0.04860510225047404</v>
      </c>
      <c r="F58" s="980" t="n">
        <f>'VALUATION &amp; RETURNS'!$DA$9*D58</f>
        <v>10.868417841884296</v>
      </c>
      <c r="G58" s="980" t="n">
        <f t="shared" ref="G58:I65" si="13">I26</f>
        <v>19.77191218357688</v>
      </c>
      <c r="H58" s="980">
        <f t="shared" si="13"/>
        <v>22.000204914314725</v>
      </c>
      <c r="I58" s="980">
        <f t="shared" si="13"/>
        <v>24.61063617436934</v>
      </c>
      <c r="J58" s="980" t="n">
        <f t="shared" ref="J58:J65" si="14">H58-C58</f>
        <v>12.000204914314725</v>
      </c>
      <c r="K58" s="981" t="n">
        <f t="shared" ref="K58:K65" si="15">IF(C58=0,"",H58/C58)</f>
        <v>2.2000204914314727</v>
      </c>
      <c r="L58" s="979">
        <v>0.21456323093675889</v>
      </c>
      <c r="M58" s="979">
        <v>0.25243591969602264</v>
      </c>
      <c r="N58" s="979">
        <v>0.29309315048974449</v>
      </c>
      <c r="O58" s="1020" t="n">
        <f>XNPV(PROJECTS!$AP$112,$AA58:$AC58,$AA$57:$AC$57)</f>
        <v>4.969813045662178</v>
      </c>
      <c r="P58" s="1021" t="n">
        <f>IF($H58&lt;$C58,"N/M",ROUND(($C$45-((SUM($D$26:$E$26)*$C$43+$F$26*$C$44)/$C58))*12/365,1))</f>
        <v>60</v>
      </c>
      <c r="X58" s="639" t="n">
        <f>-SUM($D$26:$E$26)</f>
        <v>-10</v>
      </c>
      <c r="Y58" s="639" t="n">
        <f>-$F$26</f>
        <v>0</v>
      </c>
      <c r="Z58" s="649" t="n">
        <f t="shared" ref="Z58:Z65" si="16">$G58</f>
        <v>19.77191218357688</v>
      </c>
      <c r="AA58" s="639" t="n">
        <f>-SUM($D$26:$E$26)</f>
        <v>-10</v>
      </c>
      <c r="AB58" s="639" t="n">
        <f>-$F$26</f>
        <v>0</v>
      </c>
      <c r="AC58" s="649" t="n">
        <f t="shared" ref="AC58:AC65" si="17">$H58</f>
        <v>22.000204914314725</v>
      </c>
      <c r="AD58" s="639" t="n">
        <f>-SUM($D$26:$E$26)</f>
        <v>-10</v>
      </c>
      <c r="AE58" s="639" t="n">
        <f>-$F$26</f>
        <v>0</v>
      </c>
      <c r="AF58" s="649" t="n">
        <f t="shared" ref="AF58:AF65" si="18">$I58</f>
        <v>24.61063617436934</v>
      </c>
      <c r="AG58" t="n">
        <f>IF(AG$57=$C$43,-SUM($D$26:$E$26),0)+IF(AG$57=$C$44,-$F$26,0)+IF(AG$57=$C$45,INDEX($G58:$I58,1,MATCH('INVESTOR REPORT'!$I$3,{"Downside","Base","Upside"},0)),0)</f>
        <v>-10</v>
      </c>
      <c r="AH58" t="n">
        <f>IF(AH$57=$C$43,-SUM($D$26:$E$26),0)+IF(AH$57=$C$44,-$F$26,0)+IF(AH$57=$C$45,INDEX($G58:$I58,1,MATCH('INVESTOR REPORT'!$I$3,{"Downside","Base","Upside"},0)),0)</f>
        <v>0</v>
      </c>
      <c r="AI58" t="n">
        <f>IF(AI$57=$C$43,-SUM($D$26:$E$26),0)+IF(AI$57=$C$44,-$F$26,0)+IF(AI$57=$C$45,INDEX($G58:$I58,1,MATCH('INVESTOR REPORT'!$I$3,{"Downside","Base","Upside"},0)),0)</f>
        <v>0</v>
      </c>
      <c r="AJ58" t="n">
        <f>IF(AJ$57=$C$43,-SUM($D$26:$E$26),0)+IF(AJ$57=$C$44,-$F$26,0)+IF(AJ$57=$C$45,INDEX($G58:$I58,1,MATCH('INVESTOR REPORT'!$I$3,{"Downside","Base","Upside"},0)),0)</f>
        <v>0</v>
      </c>
      <c r="AK58" t="n">
        <f>IF(AK$57=$C$43,-SUM($D$26:$E$26),0)+IF(AK$57=$C$44,-$F$26,0)+IF(AK$57=$C$45,INDEX($G58:$I58,1,MATCH('INVESTOR REPORT'!$I$3,{"Downside","Base","Upside"},0)),0)</f>
        <v>0</v>
      </c>
      <c r="AL58" t="n">
        <f>IF(AL$57=$C$43,-SUM($D$26:$E$26),0)+IF(AL$57=$C$44,-$F$26,0)+IF(AL$57=$C$45,INDEX($G58:$I58,1,MATCH('INVESTOR REPORT'!$I$3,{"Downside","Base","Upside"},0)),0)</f>
        <v>0</v>
      </c>
      <c r="AM58" t="n">
        <f>IF(AM$57=$C$43,-SUM($D$26:$E$26),0)+IF(AM$57=$C$44,-$F$26,0)+IF(AM$57=$C$45,INDEX($G58:$I58,1,MATCH('INVESTOR REPORT'!$I$3,{"Downside","Base","Upside"},0)),0)</f>
        <v>0</v>
      </c>
      <c r="AN58" t="n">
        <f>IF(AN$57=$C$43,-SUM($D$26:$E$26),0)+IF(AN$57=$C$44,-$F$26,0)+IF(AN$57=$C$45,INDEX($G58:$I58,1,MATCH('INVESTOR REPORT'!$I$3,{"Downside","Base","Upside"},0)),0)</f>
        <v>0</v>
      </c>
      <c r="AO58" t="n">
        <f>IF(AO$57=$C$43,-SUM($D$26:$E$26),0)+IF(AO$57=$C$44,-$F$26,0)+IF(AO$57=$C$45,INDEX($G58:$I58,1,MATCH('INVESTOR REPORT'!$I$3,{"Downside","Base","Upside"},0)),0)</f>
        <v>0</v>
      </c>
      <c r="AP58" t="n">
        <f>IF(AP$57=$C$43,-SUM($D$26:$E$26),0)+IF(AP$57=$C$44,-$F$26,0)+IF(AP$57=$C$45,INDEX($G58:$I58,1,MATCH('INVESTOR REPORT'!$I$3,{"Downside","Base","Upside"},0)),0)</f>
        <v>0</v>
      </c>
      <c r="AQ58" t="n">
        <f>IF(AQ$57=$C$43,-SUM($D$26:$E$26),0)+IF(AQ$57=$C$44,-$F$26,0)+IF(AQ$57=$C$45,INDEX($G58:$I58,1,MATCH('INVESTOR REPORT'!$I$3,{"Downside","Base","Upside"},0)),0)</f>
        <v>0</v>
      </c>
      <c r="AR58" t="n">
        <f>IF(AR$57=$C$43,-SUM($D$26:$E$26),0)+IF(AR$57=$C$44,-$F$26,0)+IF(AR$57=$C$45,INDEX($G58:$I58,1,MATCH('INVESTOR REPORT'!$I$3,{"Downside","Base","Upside"},0)),0)</f>
        <v>0</v>
      </c>
      <c r="AS58" t="n">
        <f>IF(AS$57=$C$43,-SUM($D$26:$E$26),0)+IF(AS$57=$C$44,-$F$26,0)+IF(AS$57=$C$45,INDEX($G58:$I58,1,MATCH('INVESTOR REPORT'!$I$3,{"Downside","Base","Upside"},0)),0)</f>
        <v>0</v>
      </c>
      <c r="AT58" t="n">
        <f>IF(AT$57=$C$43,-SUM($D$26:$E$26),0)+IF(AT$57=$C$44,-$F$26,0)+IF(AT$57=$C$45,INDEX($G58:$I58,1,MATCH('INVESTOR REPORT'!$I$3,{"Downside","Base","Upside"},0)),0)</f>
        <v>0</v>
      </c>
      <c r="AU58" t="n">
        <f>IF(AU$57=$C$43,-SUM($D$26:$E$26),0)+IF(AU$57=$C$44,-$F$26,0)+IF(AU$57=$C$45,INDEX($G58:$I58,1,MATCH('INVESTOR REPORT'!$I$3,{"Downside","Base","Upside"},0)),0)</f>
        <v>0</v>
      </c>
      <c r="AV58" t="n">
        <f>IF(AV$57=$C$43,-SUM($D$26:$E$26),0)+IF(AV$57=$C$44,-$F$26,0)+IF(AV$57=$C$45,INDEX($G58:$I58,1,MATCH('INVESTOR REPORT'!$I$3,{"Downside","Base","Upside"},0)),0)</f>
        <v>0</v>
      </c>
      <c r="AW58" t="n">
        <f>IF(AW$57=$C$43,-SUM($D$26:$E$26),0)+IF(AW$57=$C$44,-$F$26,0)+IF(AW$57=$C$45,INDEX($G58:$I58,1,MATCH('INVESTOR REPORT'!$I$3,{"Downside","Base","Upside"},0)),0)</f>
        <v>0</v>
      </c>
      <c r="AX58" t="n">
        <f>IF(AX$57=$C$43,-SUM($D$26:$E$26),0)+IF(AX$57=$C$44,-$F$26,0)+IF(AX$57=$C$45,INDEX($G58:$I58,1,MATCH('INVESTOR REPORT'!$I$3,{"Downside","Base","Upside"},0)),0)</f>
        <v>0</v>
      </c>
      <c r="AY58" t="n">
        <f>IF(AY$57=$C$43,-SUM($D$26:$E$26),0)+IF(AY$57=$C$44,-$F$26,0)+IF(AY$57=$C$45,INDEX($G58:$I58,1,MATCH('INVESTOR REPORT'!$I$3,{"Downside","Base","Upside"},0)),0)</f>
        <v>0</v>
      </c>
      <c r="AZ58" t="n">
        <f>IF(AZ$57=$C$43,-SUM($D$26:$E$26),0)+IF(AZ$57=$C$44,-$F$26,0)+IF(AZ$57=$C$45,INDEX($G58:$I58,1,MATCH('INVESTOR REPORT'!$I$3,{"Downside","Base","Upside"},0)),0)</f>
        <v>0</v>
      </c>
      <c r="BA58" t="n">
        <f>IF(BA$57=$C$43,-SUM($D$26:$E$26),0)+IF(BA$57=$C$44,-$F$26,0)+IF(BA$57=$C$45,INDEX($G58:$I58,1,MATCH('INVESTOR REPORT'!$I$3,{"Downside","Base","Upside"},0)),0)</f>
        <v>0</v>
      </c>
      <c r="BB58" t="n">
        <f>IF(BB$57=$C$43,-SUM($D$26:$E$26),0)+IF(BB$57=$C$44,-$F$26,0)+IF(BB$57=$C$45,INDEX($G58:$I58,1,MATCH('INVESTOR REPORT'!$I$3,{"Downside","Base","Upside"},0)),0)</f>
        <v>0</v>
      </c>
      <c r="BC58" t="n">
        <f>IF(BC$57=$C$43,-SUM($D$26:$E$26),0)+IF(BC$57=$C$44,-$F$26,0)+IF(BC$57=$C$45,INDEX($G58:$I58,1,MATCH('INVESTOR REPORT'!$I$3,{"Downside","Base","Upside"},0)),0)</f>
        <v>0</v>
      </c>
      <c r="BD58" t="n">
        <f>IF(BD$57=$C$43,-SUM($D$26:$E$26),0)+IF(BD$57=$C$44,-$F$26,0)+IF(BD$57=$C$45,INDEX($G58:$I58,1,MATCH('INVESTOR REPORT'!$I$3,{"Downside","Base","Upside"},0)),0)</f>
        <v>0</v>
      </c>
      <c r="BE58" t="n">
        <f>IF(BE$57=$C$43,-SUM($D$26:$E$26),0)+IF(BE$57=$C$44,-$F$26,0)+IF(BE$57=$C$45,INDEX($G58:$I58,1,MATCH('INVESTOR REPORT'!$I$3,{"Downside","Base","Upside"},0)),0)</f>
        <v>0</v>
      </c>
      <c r="BF58" t="n">
        <f>IF(BF$57=$C$43,-SUM($D$26:$E$26),0)+IF(BF$57=$C$44,-$F$26,0)+IF(BF$57=$C$45,INDEX($G58:$I58,1,MATCH('INVESTOR REPORT'!$I$3,{"Downside","Base","Upside"},0)),0)</f>
        <v>0</v>
      </c>
      <c r="BG58" t="n">
        <f>IF(BG$57=$C$43,-SUM($D$26:$E$26),0)+IF(BG$57=$C$44,-$F$26,0)+IF(BG$57=$C$45,INDEX($G58:$I58,1,MATCH('INVESTOR REPORT'!$I$3,{"Downside","Base","Upside"},0)),0)</f>
        <v>0</v>
      </c>
      <c r="BH58" t="n">
        <f>IF(BH$57=$C$43,-SUM($D$26:$E$26),0)+IF(BH$57=$C$44,-$F$26,0)+IF(BH$57=$C$45,INDEX($G58:$I58,1,MATCH('INVESTOR REPORT'!$I$3,{"Downside","Base","Upside"},0)),0)</f>
        <v>0</v>
      </c>
      <c r="BI58" t="n">
        <f>IF(BI$57=$C$43,-SUM($D$26:$E$26),0)+IF(BI$57=$C$44,-$F$26,0)+IF(BI$57=$C$45,INDEX($G58:$I58,1,MATCH('INVESTOR REPORT'!$I$3,{"Downside","Base","Upside"},0)),0)</f>
        <v>0</v>
      </c>
      <c r="BJ58" t="n">
        <f>IF(BJ$57=$C$43,-SUM($D$26:$E$26),0)+IF(BJ$57=$C$44,-$F$26,0)+IF(BJ$57=$C$45,INDEX($G58:$I58,1,MATCH('INVESTOR REPORT'!$I$3,{"Downside","Base","Upside"},0)),0)</f>
        <v>0</v>
      </c>
      <c r="BK58" t="n">
        <f>IF(BK$57=$C$43,-SUM($D$26:$E$26),0)+IF(BK$57=$C$44,-$F$26,0)+IF(BK$57=$C$45,INDEX($G58:$I58,1,MATCH('INVESTOR REPORT'!$I$3,{"Downside","Base","Upside"},0)),0)</f>
        <v>0</v>
      </c>
      <c r="BL58" t="n">
        <f>IF(BL$57=$C$43,-SUM($D$26:$E$26),0)+IF(BL$57=$C$44,-$F$26,0)+IF(BL$57=$C$45,INDEX($G58:$I58,1,MATCH('INVESTOR REPORT'!$I$3,{"Downside","Base","Upside"},0)),0)</f>
        <v>0</v>
      </c>
      <c r="BM58" t="n">
        <f>IF(BM$57=$C$43,-SUM($D$26:$E$26),0)+IF(BM$57=$C$44,-$F$26,0)+IF(BM$57=$C$45,INDEX($G58:$I58,1,MATCH('INVESTOR REPORT'!$I$3,{"Downside","Base","Upside"},0)),0)</f>
        <v>0</v>
      </c>
      <c r="BN58" t="n">
        <f>IF(BN$57=$C$43,-SUM($D$26:$E$26),0)+IF(BN$57=$C$44,-$F$26,0)+IF(BN$57=$C$45,INDEX($G58:$I58,1,MATCH('INVESTOR REPORT'!$I$3,{"Downside","Base","Upside"},0)),0)</f>
        <v>0</v>
      </c>
      <c r="BO58" t="n">
        <f>IF(BO$57=$C$43,-SUM($D$26:$E$26),0)+IF(BO$57=$C$44,-$F$26,0)+IF(BO$57=$C$45,INDEX($G58:$I58,1,MATCH('INVESTOR REPORT'!$I$3,{"Downside","Base","Upside"},0)),0)</f>
        <v>0</v>
      </c>
      <c r="BP58" t="n">
        <f>IF(BP$57=$C$43,-SUM($D$26:$E$26),0)+IF(BP$57=$C$44,-$F$26,0)+IF(BP$57=$C$45,INDEX($G58:$I58,1,MATCH('INVESTOR REPORT'!$I$3,{"Downside","Base","Upside"},0)),0)</f>
        <v>0</v>
      </c>
      <c r="BQ58" t="n">
        <f>IF(BQ$57=$C$43,-SUM($D$26:$E$26),0)+IF(BQ$57=$C$44,-$F$26,0)+IF(BQ$57=$C$45,INDEX($G58:$I58,1,MATCH('INVESTOR REPORT'!$I$3,{"Downside","Base","Upside"},0)),0)</f>
        <v>0</v>
      </c>
      <c r="BR58" t="n">
        <f>IF(BR$57=$C$43,-SUM($D$26:$E$26),0)+IF(BR$57=$C$44,-$F$26,0)+IF(BR$57=$C$45,INDEX($G58:$I58,1,MATCH('INVESTOR REPORT'!$I$3,{"Downside","Base","Upside"},0)),0)</f>
        <v>0</v>
      </c>
      <c r="BS58" t="n">
        <f>IF(BS$57=$C$43,-SUM($D$26:$E$26),0)+IF(BS$57=$C$44,-$F$26,0)+IF(BS$57=$C$45,INDEX($G58:$I58,1,MATCH('INVESTOR REPORT'!$I$3,{"Downside","Base","Upside"},0)),0)</f>
        <v>0</v>
      </c>
      <c r="BT58" t="n">
        <f>IF(BT$57=$C$43,-SUM($D$26:$E$26),0)+IF(BT$57=$C$44,-$F$26,0)+IF(BT$57=$C$45,INDEX($G58:$I58,1,MATCH('INVESTOR REPORT'!$I$3,{"Downside","Base","Upside"},0)),0)</f>
        <v>0</v>
      </c>
      <c r="BU58" t="n">
        <f>IF(BU$57=$C$43,-SUM($D$26:$E$26),0)+IF(BU$57=$C$44,-$F$26,0)+IF(BU$57=$C$45,INDEX($G58:$I58,1,MATCH('INVESTOR REPORT'!$I$3,{"Downside","Base","Upside"},0)),0)</f>
        <v>0</v>
      </c>
      <c r="BV58" t="n">
        <f>IF(BV$57=$C$43,-SUM($D$26:$E$26),0)+IF(BV$57=$C$44,-$F$26,0)+IF(BV$57=$C$45,INDEX($G58:$I58,1,MATCH('INVESTOR REPORT'!$I$3,{"Downside","Base","Upside"},0)),0)</f>
        <v>0</v>
      </c>
      <c r="BW58" t="n">
        <f>IF(BW$57=$C$43,-SUM($D$26:$E$26),0)+IF(BW$57=$C$44,-$F$26,0)+IF(BW$57=$C$45,INDEX($G58:$I58,1,MATCH('INVESTOR REPORT'!$I$3,{"Downside","Base","Upside"},0)),0)</f>
        <v>0</v>
      </c>
      <c r="BX58" t="n">
        <f>IF(BX$57=$C$43,-SUM($D$26:$E$26),0)+IF(BX$57=$C$44,-$F$26,0)+IF(BX$57=$C$45,INDEX($G58:$I58,1,MATCH('INVESTOR REPORT'!$I$3,{"Downside","Base","Upside"},0)),0)</f>
        <v>0</v>
      </c>
      <c r="BY58" t="n">
        <f>IF(BY$57=$C$43,-SUM($D$26:$E$26),0)+IF(BY$57=$C$44,-$F$26,0)+IF(BY$57=$C$45,INDEX($G58:$I58,1,MATCH('INVESTOR REPORT'!$I$3,{"Downside","Base","Upside"},0)),0)</f>
        <v>0</v>
      </c>
      <c r="BZ58" t="n">
        <f>IF(BZ$57=$C$43,-SUM($D$26:$E$26),0)+IF(BZ$57=$C$44,-$F$26,0)+IF(BZ$57=$C$45,INDEX($G58:$I58,1,MATCH('INVESTOR REPORT'!$I$3,{"Downside","Base","Upside"},0)),0)</f>
        <v>0</v>
      </c>
      <c r="CA58" t="n">
        <f>IF(CA$57=$C$43,-SUM($D$26:$E$26),0)+IF(CA$57=$C$44,-$F$26,0)+IF(CA$57=$C$45,INDEX($G58:$I58,1,MATCH('INVESTOR REPORT'!$I$3,{"Downside","Base","Upside"},0)),0)</f>
        <v>0</v>
      </c>
      <c r="CB58" t="n">
        <f>IF(CB$57=$C$43,-SUM($D$26:$E$26),0)+IF(CB$57=$C$44,-$F$26,0)+IF(CB$57=$C$45,INDEX($G58:$I58,1,MATCH('INVESTOR REPORT'!$I$3,{"Downside","Base","Upside"},0)),0)</f>
        <v>0</v>
      </c>
      <c r="CC58" t="n">
        <f>IF(CC$57=$C$43,-SUM($D$26:$E$26),0)+IF(CC$57=$C$44,-$F$26,0)+IF(CC$57=$C$45,INDEX($G58:$I58,1,MATCH('INVESTOR REPORT'!$I$3,{"Downside","Base","Upside"},0)),0)</f>
        <v>0</v>
      </c>
      <c r="CD58" t="n">
        <f>IF(CD$57=$C$43,-SUM($D$26:$E$26),0)+IF(CD$57=$C$44,-$F$26,0)+IF(CD$57=$C$45,INDEX($G58:$I58,1,MATCH('INVESTOR REPORT'!$I$3,{"Downside","Base","Upside"},0)),0)</f>
        <v>0</v>
      </c>
      <c r="CE58" t="n">
        <f>IF(CE$57=$C$43,-SUM($D$26:$E$26),0)+IF(CE$57=$C$44,-$F$26,0)+IF(CE$57=$C$45,INDEX($G58:$I58,1,MATCH('INVESTOR REPORT'!$I$3,{"Downside","Base","Upside"},0)),0)</f>
        <v>0</v>
      </c>
      <c r="CF58" t="n">
        <f>IF(CF$57=$C$43,-SUM($D$26:$E$26),0)+IF(CF$57=$C$44,-$F$26,0)+IF(CF$57=$C$45,INDEX($G58:$I58,1,MATCH('INVESTOR REPORT'!$I$3,{"Downside","Base","Upside"},0)),0)</f>
        <v>0</v>
      </c>
      <c r="CG58" t="n">
        <f>IF(CG$57=$C$43,-SUM($D$26:$E$26),0)+IF(CG$57=$C$44,-$F$26,0)+IF(CG$57=$C$45,INDEX($G58:$I58,1,MATCH('INVESTOR REPORT'!$I$3,{"Downside","Base","Upside"},0)),0)</f>
        <v>0</v>
      </c>
      <c r="CH58" t="n">
        <f>IF(CH$57=$C$43,-SUM($D$26:$E$26),0)+IF(CH$57=$C$44,-$F$26,0)+IF(CH$57=$C$45,INDEX($G58:$I58,1,MATCH('INVESTOR REPORT'!$I$3,{"Downside","Base","Upside"},0)),0)</f>
        <v>0</v>
      </c>
      <c r="CI58" t="n">
        <f>IF(CI$57=$C$43,-SUM($D$26:$E$26),0)+IF(CI$57=$C$44,-$F$26,0)+IF(CI$57=$C$45,INDEX($G58:$I58,1,MATCH('INVESTOR REPORT'!$I$3,{"Downside","Base","Upside"},0)),0)</f>
        <v>0</v>
      </c>
      <c r="CJ58" t="n">
        <f>IF(CJ$57=$C$43,-SUM($D$26:$E$26),0)+IF(CJ$57=$C$44,-$F$26,0)+IF(CJ$57=$C$45,INDEX($G58:$I58,1,MATCH('INVESTOR REPORT'!$I$3,{"Downside","Base","Upside"},0)),0)</f>
        <v>0</v>
      </c>
      <c r="CK58" t="n">
        <f>IF(CK$57=$C$43,-SUM($D$26:$E$26),0)+IF(CK$57=$C$44,-$F$26,0)+IF(CK$57=$C$45,INDEX($G58:$I58,1,MATCH('INVESTOR REPORT'!$I$3,{"Downside","Base","Upside"},0)),0)</f>
        <v>0</v>
      </c>
      <c r="CL58" t="n">
        <f>IF(CL$57=$C$43,-SUM($D$26:$E$26),0)+IF(CL$57=$C$44,-$F$26,0)+IF(CL$57=$C$45,INDEX($G58:$I58,1,MATCH('INVESTOR REPORT'!$I$3,{"Downside","Base","Upside"},0)),0)</f>
        <v>0</v>
      </c>
      <c r="CM58" t="n">
        <f>IF(CM$57=$C$43,-SUM($D$26:$E$26),0)+IF(CM$57=$C$44,-$F$26,0)+IF(CM$57=$C$45,INDEX($G58:$I58,1,MATCH('INVESTOR REPORT'!$I$3,{"Downside","Base","Upside"},0)),0)</f>
        <v>0</v>
      </c>
      <c r="CN58" t="n">
        <f>IF(CN$57=$C$43,-SUM($D$26:$E$26),0)+IF(CN$57=$C$44,-$F$26,0)+IF(CN$57=$C$45,INDEX($G58:$I58,1,MATCH('INVESTOR REPORT'!$I$3,{"Downside","Base","Upside"},0)),0)</f>
        <v>0</v>
      </c>
      <c r="CO58" t="n">
        <f>IF(CO$57=$C$43,-SUM($D$26:$E$26),0)+IF(CO$57=$C$44,-$F$26,0)+IF(CO$57=$C$45,INDEX($G58:$I58,1,MATCH('INVESTOR REPORT'!$I$3,{"Downside","Base","Upside"},0)),0)</f>
        <v>22.000204914314725</v>
      </c>
      <c r="CZ58" t="s">
        <v>963</v>
      </c>
      <c r="DA58" t="str">
        <f>IF(OR(SIGN($DA$44)&lt;&gt;SIGN($DA$45),ABS($DA$44-$DA$45)&gt;MAX(1,ABS($DA$45))*5%),"EXCEPTION","OK")</f>
        <v>OK</v>
      </c>
      <c r="DC58" t="s">
        <v>964</v>
      </c>
    </row>
    <row r="59">
      <c r="A59" s="311"/>
      <c r="B59" s="949" t="str">
        <f t="shared" si="10"/>
        <v>Mayabay Investments Pte Ltd</v>
      </c>
      <c r="C59" s="983">
        <f t="shared" si="11"/>
        <v>15.000999999999999</v>
      </c>
      <c r="D59" s="982">
        <f t="shared" si="11"/>
        <v>7.2912513885936114E-2</v>
      </c>
      <c r="E59" s="982">
        <f t="shared" si="12"/>
        <v>7.2912513885936114E-2</v>
      </c>
      <c r="F59" s="983" t="n">
        <f>'VALUATION &amp; RETURNS'!$DA$9*D59</f>
        <v>16.303713604610632</v>
      </c>
      <c r="G59" s="983">
        <f t="shared" si="13"/>
        <v>29.63041365095976</v>
      </c>
      <c r="H59" s="983">
        <f t="shared" si="13"/>
        <v>33.002507391963519</v>
      </c>
      <c r="I59" s="983">
        <f t="shared" si="13"/>
        <v>36.918415325171445</v>
      </c>
      <c r="J59" s="983">
        <f t="shared" si="14"/>
        <v>18.001507391963521</v>
      </c>
      <c r="K59" s="984">
        <f t="shared" si="15"/>
        <v>2.2000204914314727</v>
      </c>
      <c r="L59" s="982">
        <v>0.21456323093675889</v>
      </c>
      <c r="M59" s="982">
        <v>0.25243591969602264</v>
      </c>
      <c r="N59" s="982">
        <v>0.29309315048974449</v>
      </c>
      <c r="O59" s="1022" t="n">
        <f>XNPV(PROJECTS!$AP$112,$AA59:$AC59,$AA$57:$AC$57)</f>
        <v>7.455216549797834</v>
      </c>
      <c r="P59" s="1023" t="n">
        <f>IF($H59&lt;$C59,"N/M",ROUND(($C$45-((SUM($D$27:$E$27)*$C$43+$F$27*$C$44)/$C59))*12/365,1))</f>
        <v>60</v>
      </c>
      <c r="X59" s="639" t="n">
        <f>-SUM($D$27:$E$27)</f>
        <v>-15.001</v>
      </c>
      <c r="Y59" s="639" t="n">
        <f>-$F$27</f>
        <v>0</v>
      </c>
      <c r="Z59" s="649">
        <f t="shared" si="16"/>
        <v>29.63041365095976</v>
      </c>
      <c r="AA59" s="639" t="n">
        <f>-SUM($D$27:$E$27)</f>
        <v>-15.001</v>
      </c>
      <c r="AB59" s="639" t="n">
        <f>-$F$27</f>
        <v>0</v>
      </c>
      <c r="AC59" s="649">
        <f t="shared" si="17"/>
        <v>33.002507391963519</v>
      </c>
      <c r="AD59" s="639" t="n">
        <f>-SUM($D$27:$E$27)</f>
        <v>-15.001</v>
      </c>
      <c r="AE59" s="639" t="n">
        <f>-$F$27</f>
        <v>0</v>
      </c>
      <c r="AF59" s="649">
        <f t="shared" si="18"/>
        <v>36.918415325171445</v>
      </c>
      <c r="AG59" t="n">
        <f>IF(AG$57=$C$43,-SUM($D$27:$E$27),0)+IF(AG$57=$C$44,-$F$27,0)+IF(AG$57=$C$45,INDEX($G59:$I59,1,MATCH('INVESTOR REPORT'!$I$3,{"Downside","Base","Upside"},0)),0)</f>
        <v>-15.001</v>
      </c>
      <c r="AH59" t="n">
        <f>IF(AH$57=$C$43,-SUM($D$27:$E$27),0)+IF(AH$57=$C$44,-$F$27,0)+IF(AH$57=$C$45,INDEX($G59:$I59,1,MATCH('INVESTOR REPORT'!$I$3,{"Downside","Base","Upside"},0)),0)</f>
        <v>0</v>
      </c>
      <c r="AI59" t="n">
        <f>IF(AI$57=$C$43,-SUM($D$27:$E$27),0)+IF(AI$57=$C$44,-$F$27,0)+IF(AI$57=$C$45,INDEX($G59:$I59,1,MATCH('INVESTOR REPORT'!$I$3,{"Downside","Base","Upside"},0)),0)</f>
        <v>0</v>
      </c>
      <c r="AJ59" t="n">
        <f>IF(AJ$57=$C$43,-SUM($D$27:$E$27),0)+IF(AJ$57=$C$44,-$F$27,0)+IF(AJ$57=$C$45,INDEX($G59:$I59,1,MATCH('INVESTOR REPORT'!$I$3,{"Downside","Base","Upside"},0)),0)</f>
        <v>0</v>
      </c>
      <c r="AK59" t="n">
        <f>IF(AK$57=$C$43,-SUM($D$27:$E$27),0)+IF(AK$57=$C$44,-$F$27,0)+IF(AK$57=$C$45,INDEX($G59:$I59,1,MATCH('INVESTOR REPORT'!$I$3,{"Downside","Base","Upside"},0)),0)</f>
        <v>0</v>
      </c>
      <c r="AL59" t="n">
        <f>IF(AL$57=$C$43,-SUM($D$27:$E$27),0)+IF(AL$57=$C$44,-$F$27,0)+IF(AL$57=$C$45,INDEX($G59:$I59,1,MATCH('INVESTOR REPORT'!$I$3,{"Downside","Base","Upside"},0)),0)</f>
        <v>0</v>
      </c>
      <c r="AM59" t="n">
        <f>IF(AM$57=$C$43,-SUM($D$27:$E$27),0)+IF(AM$57=$C$44,-$F$27,0)+IF(AM$57=$C$45,INDEX($G59:$I59,1,MATCH('INVESTOR REPORT'!$I$3,{"Downside","Base","Upside"},0)),0)</f>
        <v>0</v>
      </c>
      <c r="AN59" t="n">
        <f>IF(AN$57=$C$43,-SUM($D$27:$E$27),0)+IF(AN$57=$C$44,-$F$27,0)+IF(AN$57=$C$45,INDEX($G59:$I59,1,MATCH('INVESTOR REPORT'!$I$3,{"Downside","Base","Upside"},0)),0)</f>
        <v>0</v>
      </c>
      <c r="AO59" t="n">
        <f>IF(AO$57=$C$43,-SUM($D$27:$E$27),0)+IF(AO$57=$C$44,-$F$27,0)+IF(AO$57=$C$45,INDEX($G59:$I59,1,MATCH('INVESTOR REPORT'!$I$3,{"Downside","Base","Upside"},0)),0)</f>
        <v>0</v>
      </c>
      <c r="AP59" t="n">
        <f>IF(AP$57=$C$43,-SUM($D$27:$E$27),0)+IF(AP$57=$C$44,-$F$27,0)+IF(AP$57=$C$45,INDEX($G59:$I59,1,MATCH('INVESTOR REPORT'!$I$3,{"Downside","Base","Upside"},0)),0)</f>
        <v>0</v>
      </c>
      <c r="AQ59" t="n">
        <f>IF(AQ$57=$C$43,-SUM($D$27:$E$27),0)+IF(AQ$57=$C$44,-$F$27,0)+IF(AQ$57=$C$45,INDEX($G59:$I59,1,MATCH('INVESTOR REPORT'!$I$3,{"Downside","Base","Upside"},0)),0)</f>
        <v>0</v>
      </c>
      <c r="AR59" t="n">
        <f>IF(AR$57=$C$43,-SUM($D$27:$E$27),0)+IF(AR$57=$C$44,-$F$27,0)+IF(AR$57=$C$45,INDEX($G59:$I59,1,MATCH('INVESTOR REPORT'!$I$3,{"Downside","Base","Upside"},0)),0)</f>
        <v>0</v>
      </c>
      <c r="AS59" t="n">
        <f>IF(AS$57=$C$43,-SUM($D$27:$E$27),0)+IF(AS$57=$C$44,-$F$27,0)+IF(AS$57=$C$45,INDEX($G59:$I59,1,MATCH('INVESTOR REPORT'!$I$3,{"Downside","Base","Upside"},0)),0)</f>
        <v>0</v>
      </c>
      <c r="AT59" t="n">
        <f>IF(AT$57=$C$43,-SUM($D$27:$E$27),0)+IF(AT$57=$C$44,-$F$27,0)+IF(AT$57=$C$45,INDEX($G59:$I59,1,MATCH('INVESTOR REPORT'!$I$3,{"Downside","Base","Upside"},0)),0)</f>
        <v>0</v>
      </c>
      <c r="AU59" t="n">
        <f>IF(AU$57=$C$43,-SUM($D$27:$E$27),0)+IF(AU$57=$C$44,-$F$27,0)+IF(AU$57=$C$45,INDEX($G59:$I59,1,MATCH('INVESTOR REPORT'!$I$3,{"Downside","Base","Upside"},0)),0)</f>
        <v>0</v>
      </c>
      <c r="AV59" t="n">
        <f>IF(AV$57=$C$43,-SUM($D$27:$E$27),0)+IF(AV$57=$C$44,-$F$27,0)+IF(AV$57=$C$45,INDEX($G59:$I59,1,MATCH('INVESTOR REPORT'!$I$3,{"Downside","Base","Upside"},0)),0)</f>
        <v>0</v>
      </c>
      <c r="AW59" t="n">
        <f>IF(AW$57=$C$43,-SUM($D$27:$E$27),0)+IF(AW$57=$C$44,-$F$27,0)+IF(AW$57=$C$45,INDEX($G59:$I59,1,MATCH('INVESTOR REPORT'!$I$3,{"Downside","Base","Upside"},0)),0)</f>
        <v>0</v>
      </c>
      <c r="AX59" t="n">
        <f>IF(AX$57=$C$43,-SUM($D$27:$E$27),0)+IF(AX$57=$C$44,-$F$27,0)+IF(AX$57=$C$45,INDEX($G59:$I59,1,MATCH('INVESTOR REPORT'!$I$3,{"Downside","Base","Upside"},0)),0)</f>
        <v>0</v>
      </c>
      <c r="AY59" t="n">
        <f>IF(AY$57=$C$43,-SUM($D$27:$E$27),0)+IF(AY$57=$C$44,-$F$27,0)+IF(AY$57=$C$45,INDEX($G59:$I59,1,MATCH('INVESTOR REPORT'!$I$3,{"Downside","Base","Upside"},0)),0)</f>
        <v>0</v>
      </c>
      <c r="AZ59" t="n">
        <f>IF(AZ$57=$C$43,-SUM($D$27:$E$27),0)+IF(AZ$57=$C$44,-$F$27,0)+IF(AZ$57=$C$45,INDEX($G59:$I59,1,MATCH('INVESTOR REPORT'!$I$3,{"Downside","Base","Upside"},0)),0)</f>
        <v>0</v>
      </c>
      <c r="BA59" t="n">
        <f>IF(BA$57=$C$43,-SUM($D$27:$E$27),0)+IF(BA$57=$C$44,-$F$27,0)+IF(BA$57=$C$45,INDEX($G59:$I59,1,MATCH('INVESTOR REPORT'!$I$3,{"Downside","Base","Upside"},0)),0)</f>
        <v>0</v>
      </c>
      <c r="BB59" t="n">
        <f>IF(BB$57=$C$43,-SUM($D$27:$E$27),0)+IF(BB$57=$C$44,-$F$27,0)+IF(BB$57=$C$45,INDEX($G59:$I59,1,MATCH('INVESTOR REPORT'!$I$3,{"Downside","Base","Upside"},0)),0)</f>
        <v>0</v>
      </c>
      <c r="BC59" t="n">
        <f>IF(BC$57=$C$43,-SUM($D$27:$E$27),0)+IF(BC$57=$C$44,-$F$27,0)+IF(BC$57=$C$45,INDEX($G59:$I59,1,MATCH('INVESTOR REPORT'!$I$3,{"Downside","Base","Upside"},0)),0)</f>
        <v>0</v>
      </c>
      <c r="BD59" t="n">
        <f>IF(BD$57=$C$43,-SUM($D$27:$E$27),0)+IF(BD$57=$C$44,-$F$27,0)+IF(BD$57=$C$45,INDEX($G59:$I59,1,MATCH('INVESTOR REPORT'!$I$3,{"Downside","Base","Upside"},0)),0)</f>
        <v>0</v>
      </c>
      <c r="BE59" t="n">
        <f>IF(BE$57=$C$43,-SUM($D$27:$E$27),0)+IF(BE$57=$C$44,-$F$27,0)+IF(BE$57=$C$45,INDEX($G59:$I59,1,MATCH('INVESTOR REPORT'!$I$3,{"Downside","Base","Upside"},0)),0)</f>
        <v>0</v>
      </c>
      <c r="BF59" t="n">
        <f>IF(BF$57=$C$43,-SUM($D$27:$E$27),0)+IF(BF$57=$C$44,-$F$27,0)+IF(BF$57=$C$45,INDEX($G59:$I59,1,MATCH('INVESTOR REPORT'!$I$3,{"Downside","Base","Upside"},0)),0)</f>
        <v>0</v>
      </c>
      <c r="BG59" t="n">
        <f>IF(BG$57=$C$43,-SUM($D$27:$E$27),0)+IF(BG$57=$C$44,-$F$27,0)+IF(BG$57=$C$45,INDEX($G59:$I59,1,MATCH('INVESTOR REPORT'!$I$3,{"Downside","Base","Upside"},0)),0)</f>
        <v>0</v>
      </c>
      <c r="BH59" t="n">
        <f>IF(BH$57=$C$43,-SUM($D$27:$E$27),0)+IF(BH$57=$C$44,-$F$27,0)+IF(BH$57=$C$45,INDEX($G59:$I59,1,MATCH('INVESTOR REPORT'!$I$3,{"Downside","Base","Upside"},0)),0)</f>
        <v>0</v>
      </c>
      <c r="BI59" t="n">
        <f>IF(BI$57=$C$43,-SUM($D$27:$E$27),0)+IF(BI$57=$C$44,-$F$27,0)+IF(BI$57=$C$45,INDEX($G59:$I59,1,MATCH('INVESTOR REPORT'!$I$3,{"Downside","Base","Upside"},0)),0)</f>
        <v>0</v>
      </c>
      <c r="BJ59" t="n">
        <f>IF(BJ$57=$C$43,-SUM($D$27:$E$27),0)+IF(BJ$57=$C$44,-$F$27,0)+IF(BJ$57=$C$45,INDEX($G59:$I59,1,MATCH('INVESTOR REPORT'!$I$3,{"Downside","Base","Upside"},0)),0)</f>
        <v>0</v>
      </c>
      <c r="BK59" t="n">
        <f>IF(BK$57=$C$43,-SUM($D$27:$E$27),0)+IF(BK$57=$C$44,-$F$27,0)+IF(BK$57=$C$45,INDEX($G59:$I59,1,MATCH('INVESTOR REPORT'!$I$3,{"Downside","Base","Upside"},0)),0)</f>
        <v>0</v>
      </c>
      <c r="BL59" t="n">
        <f>IF(BL$57=$C$43,-SUM($D$27:$E$27),0)+IF(BL$57=$C$44,-$F$27,0)+IF(BL$57=$C$45,INDEX($G59:$I59,1,MATCH('INVESTOR REPORT'!$I$3,{"Downside","Base","Upside"},0)),0)</f>
        <v>0</v>
      </c>
      <c r="BM59" t="n">
        <f>IF(BM$57=$C$43,-SUM($D$27:$E$27),0)+IF(BM$57=$C$44,-$F$27,0)+IF(BM$57=$C$45,INDEX($G59:$I59,1,MATCH('INVESTOR REPORT'!$I$3,{"Downside","Base","Upside"},0)),0)</f>
        <v>0</v>
      </c>
      <c r="BN59" t="n">
        <f>IF(BN$57=$C$43,-SUM($D$27:$E$27),0)+IF(BN$57=$C$44,-$F$27,0)+IF(BN$57=$C$45,INDEX($G59:$I59,1,MATCH('INVESTOR REPORT'!$I$3,{"Downside","Base","Upside"},0)),0)</f>
        <v>0</v>
      </c>
      <c r="BO59" t="n">
        <f>IF(BO$57=$C$43,-SUM($D$27:$E$27),0)+IF(BO$57=$C$44,-$F$27,0)+IF(BO$57=$C$45,INDEX($G59:$I59,1,MATCH('INVESTOR REPORT'!$I$3,{"Downside","Base","Upside"},0)),0)</f>
        <v>0</v>
      </c>
      <c r="BP59" t="n">
        <f>IF(BP$57=$C$43,-SUM($D$27:$E$27),0)+IF(BP$57=$C$44,-$F$27,0)+IF(BP$57=$C$45,INDEX($G59:$I59,1,MATCH('INVESTOR REPORT'!$I$3,{"Downside","Base","Upside"},0)),0)</f>
        <v>0</v>
      </c>
      <c r="BQ59" t="n">
        <f>IF(BQ$57=$C$43,-SUM($D$27:$E$27),0)+IF(BQ$57=$C$44,-$F$27,0)+IF(BQ$57=$C$45,INDEX($G59:$I59,1,MATCH('INVESTOR REPORT'!$I$3,{"Downside","Base","Upside"},0)),0)</f>
        <v>0</v>
      </c>
      <c r="BR59" t="n">
        <f>IF(BR$57=$C$43,-SUM($D$27:$E$27),0)+IF(BR$57=$C$44,-$F$27,0)+IF(BR$57=$C$45,INDEX($G59:$I59,1,MATCH('INVESTOR REPORT'!$I$3,{"Downside","Base","Upside"},0)),0)</f>
        <v>0</v>
      </c>
      <c r="BS59" t="n">
        <f>IF(BS$57=$C$43,-SUM($D$27:$E$27),0)+IF(BS$57=$C$44,-$F$27,0)+IF(BS$57=$C$45,INDEX($G59:$I59,1,MATCH('INVESTOR REPORT'!$I$3,{"Downside","Base","Upside"},0)),0)</f>
        <v>0</v>
      </c>
      <c r="BT59" t="n">
        <f>IF(BT$57=$C$43,-SUM($D$27:$E$27),0)+IF(BT$57=$C$44,-$F$27,0)+IF(BT$57=$C$45,INDEX($G59:$I59,1,MATCH('INVESTOR REPORT'!$I$3,{"Downside","Base","Upside"},0)),0)</f>
        <v>0</v>
      </c>
      <c r="BU59" t="n">
        <f>IF(BU$57=$C$43,-SUM($D$27:$E$27),0)+IF(BU$57=$C$44,-$F$27,0)+IF(BU$57=$C$45,INDEX($G59:$I59,1,MATCH('INVESTOR REPORT'!$I$3,{"Downside","Base","Upside"},0)),0)</f>
        <v>0</v>
      </c>
      <c r="BV59" t="n">
        <f>IF(BV$57=$C$43,-SUM($D$27:$E$27),0)+IF(BV$57=$C$44,-$F$27,0)+IF(BV$57=$C$45,INDEX($G59:$I59,1,MATCH('INVESTOR REPORT'!$I$3,{"Downside","Base","Upside"},0)),0)</f>
        <v>0</v>
      </c>
      <c r="BW59" t="n">
        <f>IF(BW$57=$C$43,-SUM($D$27:$E$27),0)+IF(BW$57=$C$44,-$F$27,0)+IF(BW$57=$C$45,INDEX($G59:$I59,1,MATCH('INVESTOR REPORT'!$I$3,{"Downside","Base","Upside"},0)),0)</f>
        <v>0</v>
      </c>
      <c r="BX59" t="n">
        <f>IF(BX$57=$C$43,-SUM($D$27:$E$27),0)+IF(BX$57=$C$44,-$F$27,0)+IF(BX$57=$C$45,INDEX($G59:$I59,1,MATCH('INVESTOR REPORT'!$I$3,{"Downside","Base","Upside"},0)),0)</f>
        <v>0</v>
      </c>
      <c r="BY59" t="n">
        <f>IF(BY$57=$C$43,-SUM($D$27:$E$27),0)+IF(BY$57=$C$44,-$F$27,0)+IF(BY$57=$C$45,INDEX($G59:$I59,1,MATCH('INVESTOR REPORT'!$I$3,{"Downside","Base","Upside"},0)),0)</f>
        <v>0</v>
      </c>
      <c r="BZ59" t="n">
        <f>IF(BZ$57=$C$43,-SUM($D$27:$E$27),0)+IF(BZ$57=$C$44,-$F$27,0)+IF(BZ$57=$C$45,INDEX($G59:$I59,1,MATCH('INVESTOR REPORT'!$I$3,{"Downside","Base","Upside"},0)),0)</f>
        <v>0</v>
      </c>
      <c r="CA59" t="n">
        <f>IF(CA$57=$C$43,-SUM($D$27:$E$27),0)+IF(CA$57=$C$44,-$F$27,0)+IF(CA$57=$C$45,INDEX($G59:$I59,1,MATCH('INVESTOR REPORT'!$I$3,{"Downside","Base","Upside"},0)),0)</f>
        <v>0</v>
      </c>
      <c r="CB59" t="n">
        <f>IF(CB$57=$C$43,-SUM($D$27:$E$27),0)+IF(CB$57=$C$44,-$F$27,0)+IF(CB$57=$C$45,INDEX($G59:$I59,1,MATCH('INVESTOR REPORT'!$I$3,{"Downside","Base","Upside"},0)),0)</f>
        <v>0</v>
      </c>
      <c r="CC59" t="n">
        <f>IF(CC$57=$C$43,-SUM($D$27:$E$27),0)+IF(CC$57=$C$44,-$F$27,0)+IF(CC$57=$C$45,INDEX($G59:$I59,1,MATCH('INVESTOR REPORT'!$I$3,{"Downside","Base","Upside"},0)),0)</f>
        <v>0</v>
      </c>
      <c r="CD59" t="n">
        <f>IF(CD$57=$C$43,-SUM($D$27:$E$27),0)+IF(CD$57=$C$44,-$F$27,0)+IF(CD$57=$C$45,INDEX($G59:$I59,1,MATCH('INVESTOR REPORT'!$I$3,{"Downside","Base","Upside"},0)),0)</f>
        <v>0</v>
      </c>
      <c r="CE59" t="n">
        <f>IF(CE$57=$C$43,-SUM($D$27:$E$27),0)+IF(CE$57=$C$44,-$F$27,0)+IF(CE$57=$C$45,INDEX($G59:$I59,1,MATCH('INVESTOR REPORT'!$I$3,{"Downside","Base","Upside"},0)),0)</f>
        <v>0</v>
      </c>
      <c r="CF59" t="n">
        <f>IF(CF$57=$C$43,-SUM($D$27:$E$27),0)+IF(CF$57=$C$44,-$F$27,0)+IF(CF$57=$C$45,INDEX($G59:$I59,1,MATCH('INVESTOR REPORT'!$I$3,{"Downside","Base","Upside"},0)),0)</f>
        <v>0</v>
      </c>
      <c r="CG59" t="n">
        <f>IF(CG$57=$C$43,-SUM($D$27:$E$27),0)+IF(CG$57=$C$44,-$F$27,0)+IF(CG$57=$C$45,INDEX($G59:$I59,1,MATCH('INVESTOR REPORT'!$I$3,{"Downside","Base","Upside"},0)),0)</f>
        <v>0</v>
      </c>
      <c r="CH59" t="n">
        <f>IF(CH$57=$C$43,-SUM($D$27:$E$27),0)+IF(CH$57=$C$44,-$F$27,0)+IF(CH$57=$C$45,INDEX($G59:$I59,1,MATCH('INVESTOR REPORT'!$I$3,{"Downside","Base","Upside"},0)),0)</f>
        <v>0</v>
      </c>
      <c r="CI59" t="n">
        <f>IF(CI$57=$C$43,-SUM($D$27:$E$27),0)+IF(CI$57=$C$44,-$F$27,0)+IF(CI$57=$C$45,INDEX($G59:$I59,1,MATCH('INVESTOR REPORT'!$I$3,{"Downside","Base","Upside"},0)),0)</f>
        <v>0</v>
      </c>
      <c r="CJ59" t="n">
        <f>IF(CJ$57=$C$43,-SUM($D$27:$E$27),0)+IF(CJ$57=$C$44,-$F$27,0)+IF(CJ$57=$C$45,INDEX($G59:$I59,1,MATCH('INVESTOR REPORT'!$I$3,{"Downside","Base","Upside"},0)),0)</f>
        <v>0</v>
      </c>
      <c r="CK59" t="n">
        <f>IF(CK$57=$C$43,-SUM($D$27:$E$27),0)+IF(CK$57=$C$44,-$F$27,0)+IF(CK$57=$C$45,INDEX($G59:$I59,1,MATCH('INVESTOR REPORT'!$I$3,{"Downside","Base","Upside"},0)),0)</f>
        <v>0</v>
      </c>
      <c r="CL59" t="n">
        <f>IF(CL$57=$C$43,-SUM($D$27:$E$27),0)+IF(CL$57=$C$44,-$F$27,0)+IF(CL$57=$C$45,INDEX($G59:$I59,1,MATCH('INVESTOR REPORT'!$I$3,{"Downside","Base","Upside"},0)),0)</f>
        <v>0</v>
      </c>
      <c r="CM59" t="n">
        <f>IF(CM$57=$C$43,-SUM($D$27:$E$27),0)+IF(CM$57=$C$44,-$F$27,0)+IF(CM$57=$C$45,INDEX($G59:$I59,1,MATCH('INVESTOR REPORT'!$I$3,{"Downside","Base","Upside"},0)),0)</f>
        <v>0</v>
      </c>
      <c r="CN59" t="n">
        <f>IF(CN$57=$C$43,-SUM($D$27:$E$27),0)+IF(CN$57=$C$44,-$F$27,0)+IF(CN$57=$C$45,INDEX($G59:$I59,1,MATCH('INVESTOR REPORT'!$I$3,{"Downside","Base","Upside"},0)),0)</f>
        <v>0</v>
      </c>
      <c r="CO59" t="n">
        <f>IF(CO$57=$C$43,-SUM($D$27:$E$27),0)+IF(CO$57=$C$44,-$F$27,0)+IF(CO$57=$C$45,INDEX($G59:$I59,1,MATCH('INVESTOR REPORT'!$I$3,{"Downside","Base","Upside"},0)),0)</f>
        <v>33.00250739196352</v>
      </c>
    </row>
    <row r="60">
      <c r="A60" s="311"/>
      <c r="B60" s="949" t="str">
        <f t="shared" si="10"/>
        <v>Brian Mirnoff</v>
      </c>
      <c r="C60" s="983">
        <f t="shared" si="11"/>
        <v>5</v>
      </c>
      <c r="D60" s="982">
        <f t="shared" si="11"/>
        <v>2.4302551125237021E-2</v>
      </c>
      <c r="E60" s="982">
        <f t="shared" si="12"/>
        <v>2.4302551125237021E-2</v>
      </c>
      <c r="F60" s="983" t="n">
        <f>'VALUATION &amp; RETURNS'!$DA$9*D60</f>
        <v>5.434208920942148</v>
      </c>
      <c r="G60" s="983">
        <f t="shared" si="13"/>
        <v>9.8761461405772142</v>
      </c>
      <c r="H60" s="983">
        <f t="shared" si="13"/>
        <v>11.000102457157363</v>
      </c>
      <c r="I60" s="983">
        <f t="shared" si="13"/>
        <v>12.30531808718467</v>
      </c>
      <c r="J60" s="983">
        <f t="shared" si="14"/>
        <v>6.0001024571573627</v>
      </c>
      <c r="K60" s="984">
        <f t="shared" si="15"/>
        <v>2.2000204914314727</v>
      </c>
      <c r="L60" s="982">
        <v>0.21456323093675889</v>
      </c>
      <c r="M60" s="982">
        <v>0.25243591969602264</v>
      </c>
      <c r="N60" s="982">
        <v>0.29309315048974449</v>
      </c>
      <c r="O60" s="1022" t="n">
        <f>XNPV(PROJECTS!$AP$112,$AA60:$AC60,$AA$57:$AC$57)</f>
        <v>2.484906522831089</v>
      </c>
      <c r="P60" s="1023" t="n">
        <f>IF($H60&lt;$C60,"N/M",ROUND(($C$45-((SUM($D$28:$E$28)*$C$43+$F$28*$C$44)/$C60))*12/365,1))</f>
        <v>60</v>
      </c>
      <c r="X60" s="639" t="n">
        <f>-SUM($D$28:$E$28)</f>
        <v>-5</v>
      </c>
      <c r="Y60" s="639" t="n">
        <f>-$F$28</f>
        <v>0</v>
      </c>
      <c r="Z60" s="649">
        <f t="shared" si="16"/>
        <v>9.8761461405772142</v>
      </c>
      <c r="AA60" s="639" t="n">
        <f>-SUM($D$28:$E$28)</f>
        <v>-5</v>
      </c>
      <c r="AB60" s="639" t="n">
        <f>-$F$28</f>
        <v>0</v>
      </c>
      <c r="AC60" s="649">
        <f t="shared" si="17"/>
        <v>11.000102457157363</v>
      </c>
      <c r="AD60" s="639" t="n">
        <f>-SUM($D$28:$E$28)</f>
        <v>-5</v>
      </c>
      <c r="AE60" s="639" t="n">
        <f>-$F$28</f>
        <v>0</v>
      </c>
      <c r="AF60" s="649">
        <f t="shared" si="18"/>
        <v>12.30531808718467</v>
      </c>
      <c r="AG60" t="n">
        <f>IF(AG$57=$C$43,-SUM($D$28:$E$28),0)+IF(AG$57=$C$44,-$F$28,0)+IF(AG$57=$C$45,INDEX($G60:$I60,1,MATCH('INVESTOR REPORT'!$I$3,{"Downside","Base","Upside"},0)),0)</f>
        <v>-5</v>
      </c>
      <c r="AH60" t="n">
        <f>IF(AH$57=$C$43,-SUM($D$28:$E$28),0)+IF(AH$57=$C$44,-$F$28,0)+IF(AH$57=$C$45,INDEX($G60:$I60,1,MATCH('INVESTOR REPORT'!$I$3,{"Downside","Base","Upside"},0)),0)</f>
        <v>0</v>
      </c>
      <c r="AI60" t="n">
        <f>IF(AI$57=$C$43,-SUM($D$28:$E$28),0)+IF(AI$57=$C$44,-$F$28,0)+IF(AI$57=$C$45,INDEX($G60:$I60,1,MATCH('INVESTOR REPORT'!$I$3,{"Downside","Base","Upside"},0)),0)</f>
        <v>0</v>
      </c>
      <c r="AJ60" t="n">
        <f>IF(AJ$57=$C$43,-SUM($D$28:$E$28),0)+IF(AJ$57=$C$44,-$F$28,0)+IF(AJ$57=$C$45,INDEX($G60:$I60,1,MATCH('INVESTOR REPORT'!$I$3,{"Downside","Base","Upside"},0)),0)</f>
        <v>0</v>
      </c>
      <c r="AK60" t="n">
        <f>IF(AK$57=$C$43,-SUM($D$28:$E$28),0)+IF(AK$57=$C$44,-$F$28,0)+IF(AK$57=$C$45,INDEX($G60:$I60,1,MATCH('INVESTOR REPORT'!$I$3,{"Downside","Base","Upside"},0)),0)</f>
        <v>0</v>
      </c>
      <c r="AL60" t="n">
        <f>IF(AL$57=$C$43,-SUM($D$28:$E$28),0)+IF(AL$57=$C$44,-$F$28,0)+IF(AL$57=$C$45,INDEX($G60:$I60,1,MATCH('INVESTOR REPORT'!$I$3,{"Downside","Base","Upside"},0)),0)</f>
        <v>0</v>
      </c>
      <c r="AM60" t="n">
        <f>IF(AM$57=$C$43,-SUM($D$28:$E$28),0)+IF(AM$57=$C$44,-$F$28,0)+IF(AM$57=$C$45,INDEX($G60:$I60,1,MATCH('INVESTOR REPORT'!$I$3,{"Downside","Base","Upside"},0)),0)</f>
        <v>0</v>
      </c>
      <c r="AN60" t="n">
        <f>IF(AN$57=$C$43,-SUM($D$28:$E$28),0)+IF(AN$57=$C$44,-$F$28,0)+IF(AN$57=$C$45,INDEX($G60:$I60,1,MATCH('INVESTOR REPORT'!$I$3,{"Downside","Base","Upside"},0)),0)</f>
        <v>0</v>
      </c>
      <c r="AO60" t="n">
        <f>IF(AO$57=$C$43,-SUM($D$28:$E$28),0)+IF(AO$57=$C$44,-$F$28,0)+IF(AO$57=$C$45,INDEX($G60:$I60,1,MATCH('INVESTOR REPORT'!$I$3,{"Downside","Base","Upside"},0)),0)</f>
        <v>0</v>
      </c>
      <c r="AP60" t="n">
        <f>IF(AP$57=$C$43,-SUM($D$28:$E$28),0)+IF(AP$57=$C$44,-$F$28,0)+IF(AP$57=$C$45,INDEX($G60:$I60,1,MATCH('INVESTOR REPORT'!$I$3,{"Downside","Base","Upside"},0)),0)</f>
        <v>0</v>
      </c>
      <c r="AQ60" t="n">
        <f>IF(AQ$57=$C$43,-SUM($D$28:$E$28),0)+IF(AQ$57=$C$44,-$F$28,0)+IF(AQ$57=$C$45,INDEX($G60:$I60,1,MATCH('INVESTOR REPORT'!$I$3,{"Downside","Base","Upside"},0)),0)</f>
        <v>0</v>
      </c>
      <c r="AR60" t="n">
        <f>IF(AR$57=$C$43,-SUM($D$28:$E$28),0)+IF(AR$57=$C$44,-$F$28,0)+IF(AR$57=$C$45,INDEX($G60:$I60,1,MATCH('INVESTOR REPORT'!$I$3,{"Downside","Base","Upside"},0)),0)</f>
        <v>0</v>
      </c>
      <c r="AS60" t="n">
        <f>IF(AS$57=$C$43,-SUM($D$28:$E$28),0)+IF(AS$57=$C$44,-$F$28,0)+IF(AS$57=$C$45,INDEX($G60:$I60,1,MATCH('INVESTOR REPORT'!$I$3,{"Downside","Base","Upside"},0)),0)</f>
        <v>0</v>
      </c>
      <c r="AT60" t="n">
        <f>IF(AT$57=$C$43,-SUM($D$28:$E$28),0)+IF(AT$57=$C$44,-$F$28,0)+IF(AT$57=$C$45,INDEX($G60:$I60,1,MATCH('INVESTOR REPORT'!$I$3,{"Downside","Base","Upside"},0)),0)</f>
        <v>0</v>
      </c>
      <c r="AU60" t="n">
        <f>IF(AU$57=$C$43,-SUM($D$28:$E$28),0)+IF(AU$57=$C$44,-$F$28,0)+IF(AU$57=$C$45,INDEX($G60:$I60,1,MATCH('INVESTOR REPORT'!$I$3,{"Downside","Base","Upside"},0)),0)</f>
        <v>0</v>
      </c>
      <c r="AV60" t="n">
        <f>IF(AV$57=$C$43,-SUM($D$28:$E$28),0)+IF(AV$57=$C$44,-$F$28,0)+IF(AV$57=$C$45,INDEX($G60:$I60,1,MATCH('INVESTOR REPORT'!$I$3,{"Downside","Base","Upside"},0)),0)</f>
        <v>0</v>
      </c>
      <c r="AW60" t="n">
        <f>IF(AW$57=$C$43,-SUM($D$28:$E$28),0)+IF(AW$57=$C$44,-$F$28,0)+IF(AW$57=$C$45,INDEX($G60:$I60,1,MATCH('INVESTOR REPORT'!$I$3,{"Downside","Base","Upside"},0)),0)</f>
        <v>0</v>
      </c>
      <c r="AX60" t="n">
        <f>IF(AX$57=$C$43,-SUM($D$28:$E$28),0)+IF(AX$57=$C$44,-$F$28,0)+IF(AX$57=$C$45,INDEX($G60:$I60,1,MATCH('INVESTOR REPORT'!$I$3,{"Downside","Base","Upside"},0)),0)</f>
        <v>0</v>
      </c>
      <c r="AY60" t="n">
        <f>IF(AY$57=$C$43,-SUM($D$28:$E$28),0)+IF(AY$57=$C$44,-$F$28,0)+IF(AY$57=$C$45,INDEX($G60:$I60,1,MATCH('INVESTOR REPORT'!$I$3,{"Downside","Base","Upside"},0)),0)</f>
        <v>0</v>
      </c>
      <c r="AZ60" t="n">
        <f>IF(AZ$57=$C$43,-SUM($D$28:$E$28),0)+IF(AZ$57=$C$44,-$F$28,0)+IF(AZ$57=$C$45,INDEX($G60:$I60,1,MATCH('INVESTOR REPORT'!$I$3,{"Downside","Base","Upside"},0)),0)</f>
        <v>0</v>
      </c>
      <c r="BA60" t="n">
        <f>IF(BA$57=$C$43,-SUM($D$28:$E$28),0)+IF(BA$57=$C$44,-$F$28,0)+IF(BA$57=$C$45,INDEX($G60:$I60,1,MATCH('INVESTOR REPORT'!$I$3,{"Downside","Base","Upside"},0)),0)</f>
        <v>0</v>
      </c>
      <c r="BB60" t="n">
        <f>IF(BB$57=$C$43,-SUM($D$28:$E$28),0)+IF(BB$57=$C$44,-$F$28,0)+IF(BB$57=$C$45,INDEX($G60:$I60,1,MATCH('INVESTOR REPORT'!$I$3,{"Downside","Base","Upside"},0)),0)</f>
        <v>0</v>
      </c>
      <c r="BC60" t="n">
        <f>IF(BC$57=$C$43,-SUM($D$28:$E$28),0)+IF(BC$57=$C$44,-$F$28,0)+IF(BC$57=$C$45,INDEX($G60:$I60,1,MATCH('INVESTOR REPORT'!$I$3,{"Downside","Base","Upside"},0)),0)</f>
        <v>0</v>
      </c>
      <c r="BD60" t="n">
        <f>IF(BD$57=$C$43,-SUM($D$28:$E$28),0)+IF(BD$57=$C$44,-$F$28,0)+IF(BD$57=$C$45,INDEX($G60:$I60,1,MATCH('INVESTOR REPORT'!$I$3,{"Downside","Base","Upside"},0)),0)</f>
        <v>0</v>
      </c>
      <c r="BE60" t="n">
        <f>IF(BE$57=$C$43,-SUM($D$28:$E$28),0)+IF(BE$57=$C$44,-$F$28,0)+IF(BE$57=$C$45,INDEX($G60:$I60,1,MATCH('INVESTOR REPORT'!$I$3,{"Downside","Base","Upside"},0)),0)</f>
        <v>0</v>
      </c>
      <c r="BF60" t="n">
        <f>IF(BF$57=$C$43,-SUM($D$28:$E$28),0)+IF(BF$57=$C$44,-$F$28,0)+IF(BF$57=$C$45,INDEX($G60:$I60,1,MATCH('INVESTOR REPORT'!$I$3,{"Downside","Base","Upside"},0)),0)</f>
        <v>0</v>
      </c>
      <c r="BG60" t="n">
        <f>IF(BG$57=$C$43,-SUM($D$28:$E$28),0)+IF(BG$57=$C$44,-$F$28,0)+IF(BG$57=$C$45,INDEX($G60:$I60,1,MATCH('INVESTOR REPORT'!$I$3,{"Downside","Base","Upside"},0)),0)</f>
        <v>0</v>
      </c>
      <c r="BH60" t="n">
        <f>IF(BH$57=$C$43,-SUM($D$28:$E$28),0)+IF(BH$57=$C$44,-$F$28,0)+IF(BH$57=$C$45,INDEX($G60:$I60,1,MATCH('INVESTOR REPORT'!$I$3,{"Downside","Base","Upside"},0)),0)</f>
        <v>0</v>
      </c>
      <c r="BI60" t="n">
        <f>IF(BI$57=$C$43,-SUM($D$28:$E$28),0)+IF(BI$57=$C$44,-$F$28,0)+IF(BI$57=$C$45,INDEX($G60:$I60,1,MATCH('INVESTOR REPORT'!$I$3,{"Downside","Base","Upside"},0)),0)</f>
        <v>0</v>
      </c>
      <c r="BJ60" t="n">
        <f>IF(BJ$57=$C$43,-SUM($D$28:$E$28),0)+IF(BJ$57=$C$44,-$F$28,0)+IF(BJ$57=$C$45,INDEX($G60:$I60,1,MATCH('INVESTOR REPORT'!$I$3,{"Downside","Base","Upside"},0)),0)</f>
        <v>0</v>
      </c>
      <c r="BK60" t="n">
        <f>IF(BK$57=$C$43,-SUM($D$28:$E$28),0)+IF(BK$57=$C$44,-$F$28,0)+IF(BK$57=$C$45,INDEX($G60:$I60,1,MATCH('INVESTOR REPORT'!$I$3,{"Downside","Base","Upside"},0)),0)</f>
        <v>0</v>
      </c>
      <c r="BL60" t="n">
        <f>IF(BL$57=$C$43,-SUM($D$28:$E$28),0)+IF(BL$57=$C$44,-$F$28,0)+IF(BL$57=$C$45,INDEX($G60:$I60,1,MATCH('INVESTOR REPORT'!$I$3,{"Downside","Base","Upside"},0)),0)</f>
        <v>0</v>
      </c>
      <c r="BM60" t="n">
        <f>IF(BM$57=$C$43,-SUM($D$28:$E$28),0)+IF(BM$57=$C$44,-$F$28,0)+IF(BM$57=$C$45,INDEX($G60:$I60,1,MATCH('INVESTOR REPORT'!$I$3,{"Downside","Base","Upside"},0)),0)</f>
        <v>0</v>
      </c>
      <c r="BN60" t="n">
        <f>IF(BN$57=$C$43,-SUM($D$28:$E$28),0)+IF(BN$57=$C$44,-$F$28,0)+IF(BN$57=$C$45,INDEX($G60:$I60,1,MATCH('INVESTOR REPORT'!$I$3,{"Downside","Base","Upside"},0)),0)</f>
        <v>0</v>
      </c>
      <c r="BO60" t="n">
        <f>IF(BO$57=$C$43,-SUM($D$28:$E$28),0)+IF(BO$57=$C$44,-$F$28,0)+IF(BO$57=$C$45,INDEX($G60:$I60,1,MATCH('INVESTOR REPORT'!$I$3,{"Downside","Base","Upside"},0)),0)</f>
        <v>0</v>
      </c>
      <c r="BP60" t="n">
        <f>IF(BP$57=$C$43,-SUM($D$28:$E$28),0)+IF(BP$57=$C$44,-$F$28,0)+IF(BP$57=$C$45,INDEX($G60:$I60,1,MATCH('INVESTOR REPORT'!$I$3,{"Downside","Base","Upside"},0)),0)</f>
        <v>0</v>
      </c>
      <c r="BQ60" t="n">
        <f>IF(BQ$57=$C$43,-SUM($D$28:$E$28),0)+IF(BQ$57=$C$44,-$F$28,0)+IF(BQ$57=$C$45,INDEX($G60:$I60,1,MATCH('INVESTOR REPORT'!$I$3,{"Downside","Base","Upside"},0)),0)</f>
        <v>0</v>
      </c>
      <c r="BR60" t="n">
        <f>IF(BR$57=$C$43,-SUM($D$28:$E$28),0)+IF(BR$57=$C$44,-$F$28,0)+IF(BR$57=$C$45,INDEX($G60:$I60,1,MATCH('INVESTOR REPORT'!$I$3,{"Downside","Base","Upside"},0)),0)</f>
        <v>0</v>
      </c>
      <c r="BS60" t="n">
        <f>IF(BS$57=$C$43,-SUM($D$28:$E$28),0)+IF(BS$57=$C$44,-$F$28,0)+IF(BS$57=$C$45,INDEX($G60:$I60,1,MATCH('INVESTOR REPORT'!$I$3,{"Downside","Base","Upside"},0)),0)</f>
        <v>0</v>
      </c>
      <c r="BT60" t="n">
        <f>IF(BT$57=$C$43,-SUM($D$28:$E$28),0)+IF(BT$57=$C$44,-$F$28,0)+IF(BT$57=$C$45,INDEX($G60:$I60,1,MATCH('INVESTOR REPORT'!$I$3,{"Downside","Base","Upside"},0)),0)</f>
        <v>0</v>
      </c>
      <c r="BU60" t="n">
        <f>IF(BU$57=$C$43,-SUM($D$28:$E$28),0)+IF(BU$57=$C$44,-$F$28,0)+IF(BU$57=$C$45,INDEX($G60:$I60,1,MATCH('INVESTOR REPORT'!$I$3,{"Downside","Base","Upside"},0)),0)</f>
        <v>0</v>
      </c>
      <c r="BV60" t="n">
        <f>IF(BV$57=$C$43,-SUM($D$28:$E$28),0)+IF(BV$57=$C$44,-$F$28,0)+IF(BV$57=$C$45,INDEX($G60:$I60,1,MATCH('INVESTOR REPORT'!$I$3,{"Downside","Base","Upside"},0)),0)</f>
        <v>0</v>
      </c>
      <c r="BW60" t="n">
        <f>IF(BW$57=$C$43,-SUM($D$28:$E$28),0)+IF(BW$57=$C$44,-$F$28,0)+IF(BW$57=$C$45,INDEX($G60:$I60,1,MATCH('INVESTOR REPORT'!$I$3,{"Downside","Base","Upside"},0)),0)</f>
        <v>0</v>
      </c>
      <c r="BX60" t="n">
        <f>IF(BX$57=$C$43,-SUM($D$28:$E$28),0)+IF(BX$57=$C$44,-$F$28,0)+IF(BX$57=$C$45,INDEX($G60:$I60,1,MATCH('INVESTOR REPORT'!$I$3,{"Downside","Base","Upside"},0)),0)</f>
        <v>0</v>
      </c>
      <c r="BY60" t="n">
        <f>IF(BY$57=$C$43,-SUM($D$28:$E$28),0)+IF(BY$57=$C$44,-$F$28,0)+IF(BY$57=$C$45,INDEX($G60:$I60,1,MATCH('INVESTOR REPORT'!$I$3,{"Downside","Base","Upside"},0)),0)</f>
        <v>0</v>
      </c>
      <c r="BZ60" t="n">
        <f>IF(BZ$57=$C$43,-SUM($D$28:$E$28),0)+IF(BZ$57=$C$44,-$F$28,0)+IF(BZ$57=$C$45,INDEX($G60:$I60,1,MATCH('INVESTOR REPORT'!$I$3,{"Downside","Base","Upside"},0)),0)</f>
        <v>0</v>
      </c>
      <c r="CA60" t="n">
        <f>IF(CA$57=$C$43,-SUM($D$28:$E$28),0)+IF(CA$57=$C$44,-$F$28,0)+IF(CA$57=$C$45,INDEX($G60:$I60,1,MATCH('INVESTOR REPORT'!$I$3,{"Downside","Base","Upside"},0)),0)</f>
        <v>0</v>
      </c>
      <c r="CB60" t="n">
        <f>IF(CB$57=$C$43,-SUM($D$28:$E$28),0)+IF(CB$57=$C$44,-$F$28,0)+IF(CB$57=$C$45,INDEX($G60:$I60,1,MATCH('INVESTOR REPORT'!$I$3,{"Downside","Base","Upside"},0)),0)</f>
        <v>0</v>
      </c>
      <c r="CC60" t="n">
        <f>IF(CC$57=$C$43,-SUM($D$28:$E$28),0)+IF(CC$57=$C$44,-$F$28,0)+IF(CC$57=$C$45,INDEX($G60:$I60,1,MATCH('INVESTOR REPORT'!$I$3,{"Downside","Base","Upside"},0)),0)</f>
        <v>0</v>
      </c>
      <c r="CD60" t="n">
        <f>IF(CD$57=$C$43,-SUM($D$28:$E$28),0)+IF(CD$57=$C$44,-$F$28,0)+IF(CD$57=$C$45,INDEX($G60:$I60,1,MATCH('INVESTOR REPORT'!$I$3,{"Downside","Base","Upside"},0)),0)</f>
        <v>0</v>
      </c>
      <c r="CE60" t="n">
        <f>IF(CE$57=$C$43,-SUM($D$28:$E$28),0)+IF(CE$57=$C$44,-$F$28,0)+IF(CE$57=$C$45,INDEX($G60:$I60,1,MATCH('INVESTOR REPORT'!$I$3,{"Downside","Base","Upside"},0)),0)</f>
        <v>0</v>
      </c>
      <c r="CF60" t="n">
        <f>IF(CF$57=$C$43,-SUM($D$28:$E$28),0)+IF(CF$57=$C$44,-$F$28,0)+IF(CF$57=$C$45,INDEX($G60:$I60,1,MATCH('INVESTOR REPORT'!$I$3,{"Downside","Base","Upside"},0)),0)</f>
        <v>0</v>
      </c>
      <c r="CG60" t="n">
        <f>IF(CG$57=$C$43,-SUM($D$28:$E$28),0)+IF(CG$57=$C$44,-$F$28,0)+IF(CG$57=$C$45,INDEX($G60:$I60,1,MATCH('INVESTOR REPORT'!$I$3,{"Downside","Base","Upside"},0)),0)</f>
        <v>0</v>
      </c>
      <c r="CH60" t="n">
        <f>IF(CH$57=$C$43,-SUM($D$28:$E$28),0)+IF(CH$57=$C$44,-$F$28,0)+IF(CH$57=$C$45,INDEX($G60:$I60,1,MATCH('INVESTOR REPORT'!$I$3,{"Downside","Base","Upside"},0)),0)</f>
        <v>0</v>
      </c>
      <c r="CI60" t="n">
        <f>IF(CI$57=$C$43,-SUM($D$28:$E$28),0)+IF(CI$57=$C$44,-$F$28,0)+IF(CI$57=$C$45,INDEX($G60:$I60,1,MATCH('INVESTOR REPORT'!$I$3,{"Downside","Base","Upside"},0)),0)</f>
        <v>0</v>
      </c>
      <c r="CJ60" t="n">
        <f>IF(CJ$57=$C$43,-SUM($D$28:$E$28),0)+IF(CJ$57=$C$44,-$F$28,0)+IF(CJ$57=$C$45,INDEX($G60:$I60,1,MATCH('INVESTOR REPORT'!$I$3,{"Downside","Base","Upside"},0)),0)</f>
        <v>0</v>
      </c>
      <c r="CK60" t="n">
        <f>IF(CK$57=$C$43,-SUM($D$28:$E$28),0)+IF(CK$57=$C$44,-$F$28,0)+IF(CK$57=$C$45,INDEX($G60:$I60,1,MATCH('INVESTOR REPORT'!$I$3,{"Downside","Base","Upside"},0)),0)</f>
        <v>0</v>
      </c>
      <c r="CL60" t="n">
        <f>IF(CL$57=$C$43,-SUM($D$28:$E$28),0)+IF(CL$57=$C$44,-$F$28,0)+IF(CL$57=$C$45,INDEX($G60:$I60,1,MATCH('INVESTOR REPORT'!$I$3,{"Downside","Base","Upside"},0)),0)</f>
        <v>0</v>
      </c>
      <c r="CM60" t="n">
        <f>IF(CM$57=$C$43,-SUM($D$28:$E$28),0)+IF(CM$57=$C$44,-$F$28,0)+IF(CM$57=$C$45,INDEX($G60:$I60,1,MATCH('INVESTOR REPORT'!$I$3,{"Downside","Base","Upside"},0)),0)</f>
        <v>0</v>
      </c>
      <c r="CN60" t="n">
        <f>IF(CN$57=$C$43,-SUM($D$28:$E$28),0)+IF(CN$57=$C$44,-$F$28,0)+IF(CN$57=$C$45,INDEX($G60:$I60,1,MATCH('INVESTOR REPORT'!$I$3,{"Downside","Base","Upside"},0)),0)</f>
        <v>0</v>
      </c>
      <c r="CO60" t="n">
        <f>IF(CO$57=$C$43,-SUM($D$28:$E$28),0)+IF(CO$57=$C$44,-$F$28,0)+IF(CO$57=$C$45,INDEX($G60:$I60,1,MATCH('INVESTOR REPORT'!$I$3,{"Downside","Base","Upside"},0)),0)</f>
        <v>11.000102457157363</v>
      </c>
      <c r="CQ60" s="692" t="s">
        <v>965</v>
      </c>
      <c r="CR60" s="699"/>
      <c r="CS60" s="699"/>
      <c r="CT60" s="699"/>
      <c r="CU60" s="699"/>
      <c r="CV60" s="699"/>
      <c r="CW60" s="699"/>
      <c r="CX60" s="699"/>
      <c r="CY60" s="699"/>
      <c r="CZ60" s="699"/>
      <c r="DA60" s="699"/>
      <c r="DB60" s="699"/>
      <c r="DC60" s="699"/>
      <c r="DD60" s="699"/>
      <c r="DE60" s="699"/>
      <c r="DF60" s="699"/>
      <c r="DG60" s="699"/>
      <c r="DH60" s="699"/>
      <c r="DI60" s="699"/>
      <c r="DJ60" s="699"/>
      <c r="DK60" s="699"/>
      <c r="DL60" s="699"/>
    </row>
    <row r="61" ht="27">
      <c r="A61" s="311"/>
      <c r="B61" s="949" t="str">
        <f t="shared" si="10"/>
        <v>Belgravia</v>
      </c>
      <c r="C61" s="983">
        <f t="shared" si="11"/>
        <v>2</v>
      </c>
      <c r="D61" s="982">
        <f t="shared" si="11"/>
        <v>9.721020450094809E-3</v>
      </c>
      <c r="E61" s="982">
        <f t="shared" si="12"/>
        <v>9.721020450094809E-3</v>
      </c>
      <c r="F61" s="983" t="n">
        <f>'VALUATION &amp; RETURNS'!$DA$9*D61</f>
        <v>2.1736835683768594</v>
      </c>
      <c r="G61" s="983">
        <f t="shared" si="13"/>
        <v>3.9504584562308862</v>
      </c>
      <c r="H61" s="983">
        <f t="shared" si="13"/>
        <v>4.4000409828629454</v>
      </c>
      <c r="I61" s="983">
        <f t="shared" si="13"/>
        <v>4.9221272348738676</v>
      </c>
      <c r="J61" s="983">
        <f t="shared" si="14"/>
        <v>2.4000409828629454</v>
      </c>
      <c r="K61" s="984">
        <f t="shared" si="15"/>
        <v>2.2000204914314727</v>
      </c>
      <c r="L61" s="982">
        <v>0.21456323093675889</v>
      </c>
      <c r="M61" s="982">
        <v>0.25243591969602264</v>
      </c>
      <c r="N61" s="982">
        <v>0.29309315048974449</v>
      </c>
      <c r="O61" s="1022" t="n">
        <f>XNPV(PROJECTS!$AP$112,$AA61:$AC61,$AA$57:$AC$57)</f>
        <v>0.9939626091324358</v>
      </c>
      <c r="P61" s="1023" t="n">
        <f>IF($H61&lt;$C61,"N/M",ROUND(($C$45-((SUM($D$29:$E$29)*$C$43+$F$29*$C$44)/$C61))*12/365,1))</f>
        <v>60</v>
      </c>
      <c r="X61" s="639" t="n">
        <f>-SUM($D$29:$E$29)</f>
        <v>-2</v>
      </c>
      <c r="Y61" s="639" t="n">
        <f>-$F$29</f>
        <v>0</v>
      </c>
      <c r="Z61" s="649">
        <f t="shared" si="16"/>
        <v>3.9504584562308862</v>
      </c>
      <c r="AA61" s="639" t="n">
        <f>-SUM($D$29:$E$29)</f>
        <v>-2</v>
      </c>
      <c r="AB61" s="639" t="n">
        <f>-$F$29</f>
        <v>0</v>
      </c>
      <c r="AC61" s="649">
        <f t="shared" si="17"/>
        <v>4.4000409828629454</v>
      </c>
      <c r="AD61" s="639" t="n">
        <f>-SUM($D$29:$E$29)</f>
        <v>-2</v>
      </c>
      <c r="AE61" s="639" t="n">
        <f>-$F$29</f>
        <v>0</v>
      </c>
      <c r="AF61" s="649">
        <f t="shared" si="18"/>
        <v>4.9221272348738676</v>
      </c>
      <c r="AG61" t="n">
        <f>IF(AG$57=$C$43,-SUM($D$29:$E$29),0)+IF(AG$57=$C$44,-$F$29,0)+IF(AG$57=$C$45,INDEX($G61:$I61,1,MATCH('INVESTOR REPORT'!$I$3,{"Downside","Base","Upside"},0)),0)</f>
        <v>-2</v>
      </c>
      <c r="AH61" t="n">
        <f>IF(AH$57=$C$43,-SUM($D$29:$E$29),0)+IF(AH$57=$C$44,-$F$29,0)+IF(AH$57=$C$45,INDEX($G61:$I61,1,MATCH('INVESTOR REPORT'!$I$3,{"Downside","Base","Upside"},0)),0)</f>
        <v>0</v>
      </c>
      <c r="AI61" t="n">
        <f>IF(AI$57=$C$43,-SUM($D$29:$E$29),0)+IF(AI$57=$C$44,-$F$29,0)+IF(AI$57=$C$45,INDEX($G61:$I61,1,MATCH('INVESTOR REPORT'!$I$3,{"Downside","Base","Upside"},0)),0)</f>
        <v>0</v>
      </c>
      <c r="AJ61" t="n">
        <f>IF(AJ$57=$C$43,-SUM($D$29:$E$29),0)+IF(AJ$57=$C$44,-$F$29,0)+IF(AJ$57=$C$45,INDEX($G61:$I61,1,MATCH('INVESTOR REPORT'!$I$3,{"Downside","Base","Upside"},0)),0)</f>
        <v>0</v>
      </c>
      <c r="AK61" t="n">
        <f>IF(AK$57=$C$43,-SUM($D$29:$E$29),0)+IF(AK$57=$C$44,-$F$29,0)+IF(AK$57=$C$45,INDEX($G61:$I61,1,MATCH('INVESTOR REPORT'!$I$3,{"Downside","Base","Upside"},0)),0)</f>
        <v>0</v>
      </c>
      <c r="AL61" t="n">
        <f>IF(AL$57=$C$43,-SUM($D$29:$E$29),0)+IF(AL$57=$C$44,-$F$29,0)+IF(AL$57=$C$45,INDEX($G61:$I61,1,MATCH('INVESTOR REPORT'!$I$3,{"Downside","Base","Upside"},0)),0)</f>
        <v>0</v>
      </c>
      <c r="AM61" t="n">
        <f>IF(AM$57=$C$43,-SUM($D$29:$E$29),0)+IF(AM$57=$C$44,-$F$29,0)+IF(AM$57=$C$45,INDEX($G61:$I61,1,MATCH('INVESTOR REPORT'!$I$3,{"Downside","Base","Upside"},0)),0)</f>
        <v>0</v>
      </c>
      <c r="AN61" t="n">
        <f>IF(AN$57=$C$43,-SUM($D$29:$E$29),0)+IF(AN$57=$C$44,-$F$29,0)+IF(AN$57=$C$45,INDEX($G61:$I61,1,MATCH('INVESTOR REPORT'!$I$3,{"Downside","Base","Upside"},0)),0)</f>
        <v>0</v>
      </c>
      <c r="AO61" t="n">
        <f>IF(AO$57=$C$43,-SUM($D$29:$E$29),0)+IF(AO$57=$C$44,-$F$29,0)+IF(AO$57=$C$45,INDEX($G61:$I61,1,MATCH('INVESTOR REPORT'!$I$3,{"Downside","Base","Upside"},0)),0)</f>
        <v>0</v>
      </c>
      <c r="AP61" t="n">
        <f>IF(AP$57=$C$43,-SUM($D$29:$E$29),0)+IF(AP$57=$C$44,-$F$29,0)+IF(AP$57=$C$45,INDEX($G61:$I61,1,MATCH('INVESTOR REPORT'!$I$3,{"Downside","Base","Upside"},0)),0)</f>
        <v>0</v>
      </c>
      <c r="AQ61" t="n">
        <f>IF(AQ$57=$C$43,-SUM($D$29:$E$29),0)+IF(AQ$57=$C$44,-$F$29,0)+IF(AQ$57=$C$45,INDEX($G61:$I61,1,MATCH('INVESTOR REPORT'!$I$3,{"Downside","Base","Upside"},0)),0)</f>
        <v>0</v>
      </c>
      <c r="AR61" t="n">
        <f>IF(AR$57=$C$43,-SUM($D$29:$E$29),0)+IF(AR$57=$C$44,-$F$29,0)+IF(AR$57=$C$45,INDEX($G61:$I61,1,MATCH('INVESTOR REPORT'!$I$3,{"Downside","Base","Upside"},0)),0)</f>
        <v>0</v>
      </c>
      <c r="AS61" t="n">
        <f>IF(AS$57=$C$43,-SUM($D$29:$E$29),0)+IF(AS$57=$C$44,-$F$29,0)+IF(AS$57=$C$45,INDEX($G61:$I61,1,MATCH('INVESTOR REPORT'!$I$3,{"Downside","Base","Upside"},0)),0)</f>
        <v>0</v>
      </c>
      <c r="AT61" t="n">
        <f>IF(AT$57=$C$43,-SUM($D$29:$E$29),0)+IF(AT$57=$C$44,-$F$29,0)+IF(AT$57=$C$45,INDEX($G61:$I61,1,MATCH('INVESTOR REPORT'!$I$3,{"Downside","Base","Upside"},0)),0)</f>
        <v>0</v>
      </c>
      <c r="AU61" t="n">
        <f>IF(AU$57=$C$43,-SUM($D$29:$E$29),0)+IF(AU$57=$C$44,-$F$29,0)+IF(AU$57=$C$45,INDEX($G61:$I61,1,MATCH('INVESTOR REPORT'!$I$3,{"Downside","Base","Upside"},0)),0)</f>
        <v>0</v>
      </c>
      <c r="AV61" t="n">
        <f>IF(AV$57=$C$43,-SUM($D$29:$E$29),0)+IF(AV$57=$C$44,-$F$29,0)+IF(AV$57=$C$45,INDEX($G61:$I61,1,MATCH('INVESTOR REPORT'!$I$3,{"Downside","Base","Upside"},0)),0)</f>
        <v>0</v>
      </c>
      <c r="AW61" t="n">
        <f>IF(AW$57=$C$43,-SUM($D$29:$E$29),0)+IF(AW$57=$C$44,-$F$29,0)+IF(AW$57=$C$45,INDEX($G61:$I61,1,MATCH('INVESTOR REPORT'!$I$3,{"Downside","Base","Upside"},0)),0)</f>
        <v>0</v>
      </c>
      <c r="AX61" t="n">
        <f>IF(AX$57=$C$43,-SUM($D$29:$E$29),0)+IF(AX$57=$C$44,-$F$29,0)+IF(AX$57=$C$45,INDEX($G61:$I61,1,MATCH('INVESTOR REPORT'!$I$3,{"Downside","Base","Upside"},0)),0)</f>
        <v>0</v>
      </c>
      <c r="AY61" t="n">
        <f>IF(AY$57=$C$43,-SUM($D$29:$E$29),0)+IF(AY$57=$C$44,-$F$29,0)+IF(AY$57=$C$45,INDEX($G61:$I61,1,MATCH('INVESTOR REPORT'!$I$3,{"Downside","Base","Upside"},0)),0)</f>
        <v>0</v>
      </c>
      <c r="AZ61" t="n">
        <f>IF(AZ$57=$C$43,-SUM($D$29:$E$29),0)+IF(AZ$57=$C$44,-$F$29,0)+IF(AZ$57=$C$45,INDEX($G61:$I61,1,MATCH('INVESTOR REPORT'!$I$3,{"Downside","Base","Upside"},0)),0)</f>
        <v>0</v>
      </c>
      <c r="BA61" t="n">
        <f>IF(BA$57=$C$43,-SUM($D$29:$E$29),0)+IF(BA$57=$C$44,-$F$29,0)+IF(BA$57=$C$45,INDEX($G61:$I61,1,MATCH('INVESTOR REPORT'!$I$3,{"Downside","Base","Upside"},0)),0)</f>
        <v>0</v>
      </c>
      <c r="BB61" t="n">
        <f>IF(BB$57=$C$43,-SUM($D$29:$E$29),0)+IF(BB$57=$C$44,-$F$29,0)+IF(BB$57=$C$45,INDEX($G61:$I61,1,MATCH('INVESTOR REPORT'!$I$3,{"Downside","Base","Upside"},0)),0)</f>
        <v>0</v>
      </c>
      <c r="BC61" t="n">
        <f>IF(BC$57=$C$43,-SUM($D$29:$E$29),0)+IF(BC$57=$C$44,-$F$29,0)+IF(BC$57=$C$45,INDEX($G61:$I61,1,MATCH('INVESTOR REPORT'!$I$3,{"Downside","Base","Upside"},0)),0)</f>
        <v>0</v>
      </c>
      <c r="BD61" t="n">
        <f>IF(BD$57=$C$43,-SUM($D$29:$E$29),0)+IF(BD$57=$C$44,-$F$29,0)+IF(BD$57=$C$45,INDEX($G61:$I61,1,MATCH('INVESTOR REPORT'!$I$3,{"Downside","Base","Upside"},0)),0)</f>
        <v>0</v>
      </c>
      <c r="BE61" t="n">
        <f>IF(BE$57=$C$43,-SUM($D$29:$E$29),0)+IF(BE$57=$C$44,-$F$29,0)+IF(BE$57=$C$45,INDEX($G61:$I61,1,MATCH('INVESTOR REPORT'!$I$3,{"Downside","Base","Upside"},0)),0)</f>
        <v>0</v>
      </c>
      <c r="BF61" t="n">
        <f>IF(BF$57=$C$43,-SUM($D$29:$E$29),0)+IF(BF$57=$C$44,-$F$29,0)+IF(BF$57=$C$45,INDEX($G61:$I61,1,MATCH('INVESTOR REPORT'!$I$3,{"Downside","Base","Upside"},0)),0)</f>
        <v>0</v>
      </c>
      <c r="BG61" t="n">
        <f>IF(BG$57=$C$43,-SUM($D$29:$E$29),0)+IF(BG$57=$C$44,-$F$29,0)+IF(BG$57=$C$45,INDEX($G61:$I61,1,MATCH('INVESTOR REPORT'!$I$3,{"Downside","Base","Upside"},0)),0)</f>
        <v>0</v>
      </c>
      <c r="BH61" t="n">
        <f>IF(BH$57=$C$43,-SUM($D$29:$E$29),0)+IF(BH$57=$C$44,-$F$29,0)+IF(BH$57=$C$45,INDEX($G61:$I61,1,MATCH('INVESTOR REPORT'!$I$3,{"Downside","Base","Upside"},0)),0)</f>
        <v>0</v>
      </c>
      <c r="BI61" t="n">
        <f>IF(BI$57=$C$43,-SUM($D$29:$E$29),0)+IF(BI$57=$C$44,-$F$29,0)+IF(BI$57=$C$45,INDEX($G61:$I61,1,MATCH('INVESTOR REPORT'!$I$3,{"Downside","Base","Upside"},0)),0)</f>
        <v>0</v>
      </c>
      <c r="BJ61" t="n">
        <f>IF(BJ$57=$C$43,-SUM($D$29:$E$29),0)+IF(BJ$57=$C$44,-$F$29,0)+IF(BJ$57=$C$45,INDEX($G61:$I61,1,MATCH('INVESTOR REPORT'!$I$3,{"Downside","Base","Upside"},0)),0)</f>
        <v>0</v>
      </c>
      <c r="BK61" t="n">
        <f>IF(BK$57=$C$43,-SUM($D$29:$E$29),0)+IF(BK$57=$C$44,-$F$29,0)+IF(BK$57=$C$45,INDEX($G61:$I61,1,MATCH('INVESTOR REPORT'!$I$3,{"Downside","Base","Upside"},0)),0)</f>
        <v>0</v>
      </c>
      <c r="BL61" t="n">
        <f>IF(BL$57=$C$43,-SUM($D$29:$E$29),0)+IF(BL$57=$C$44,-$F$29,0)+IF(BL$57=$C$45,INDEX($G61:$I61,1,MATCH('INVESTOR REPORT'!$I$3,{"Downside","Base","Upside"},0)),0)</f>
        <v>0</v>
      </c>
      <c r="BM61" t="n">
        <f>IF(BM$57=$C$43,-SUM($D$29:$E$29),0)+IF(BM$57=$C$44,-$F$29,0)+IF(BM$57=$C$45,INDEX($G61:$I61,1,MATCH('INVESTOR REPORT'!$I$3,{"Downside","Base","Upside"},0)),0)</f>
        <v>0</v>
      </c>
      <c r="BN61" t="n">
        <f>IF(BN$57=$C$43,-SUM($D$29:$E$29),0)+IF(BN$57=$C$44,-$F$29,0)+IF(BN$57=$C$45,INDEX($G61:$I61,1,MATCH('INVESTOR REPORT'!$I$3,{"Downside","Base","Upside"},0)),0)</f>
        <v>0</v>
      </c>
      <c r="BO61" t="n">
        <f>IF(BO$57=$C$43,-SUM($D$29:$E$29),0)+IF(BO$57=$C$44,-$F$29,0)+IF(BO$57=$C$45,INDEX($G61:$I61,1,MATCH('INVESTOR REPORT'!$I$3,{"Downside","Base","Upside"},0)),0)</f>
        <v>0</v>
      </c>
      <c r="BP61" t="n">
        <f>IF(BP$57=$C$43,-SUM($D$29:$E$29),0)+IF(BP$57=$C$44,-$F$29,0)+IF(BP$57=$C$45,INDEX($G61:$I61,1,MATCH('INVESTOR REPORT'!$I$3,{"Downside","Base","Upside"},0)),0)</f>
        <v>0</v>
      </c>
      <c r="BQ61" t="n">
        <f>IF(BQ$57=$C$43,-SUM($D$29:$E$29),0)+IF(BQ$57=$C$44,-$F$29,0)+IF(BQ$57=$C$45,INDEX($G61:$I61,1,MATCH('INVESTOR REPORT'!$I$3,{"Downside","Base","Upside"},0)),0)</f>
        <v>0</v>
      </c>
      <c r="BR61" t="n">
        <f>IF(BR$57=$C$43,-SUM($D$29:$E$29),0)+IF(BR$57=$C$44,-$F$29,0)+IF(BR$57=$C$45,INDEX($G61:$I61,1,MATCH('INVESTOR REPORT'!$I$3,{"Downside","Base","Upside"},0)),0)</f>
        <v>0</v>
      </c>
      <c r="BS61" t="n">
        <f>IF(BS$57=$C$43,-SUM($D$29:$E$29),0)+IF(BS$57=$C$44,-$F$29,0)+IF(BS$57=$C$45,INDEX($G61:$I61,1,MATCH('INVESTOR REPORT'!$I$3,{"Downside","Base","Upside"},0)),0)</f>
        <v>0</v>
      </c>
      <c r="BT61" t="n">
        <f>IF(BT$57=$C$43,-SUM($D$29:$E$29),0)+IF(BT$57=$C$44,-$F$29,0)+IF(BT$57=$C$45,INDEX($G61:$I61,1,MATCH('INVESTOR REPORT'!$I$3,{"Downside","Base","Upside"},0)),0)</f>
        <v>0</v>
      </c>
      <c r="BU61" t="n">
        <f>IF(BU$57=$C$43,-SUM($D$29:$E$29),0)+IF(BU$57=$C$44,-$F$29,0)+IF(BU$57=$C$45,INDEX($G61:$I61,1,MATCH('INVESTOR REPORT'!$I$3,{"Downside","Base","Upside"},0)),0)</f>
        <v>0</v>
      </c>
      <c r="BV61" t="n">
        <f>IF(BV$57=$C$43,-SUM($D$29:$E$29),0)+IF(BV$57=$C$44,-$F$29,0)+IF(BV$57=$C$45,INDEX($G61:$I61,1,MATCH('INVESTOR REPORT'!$I$3,{"Downside","Base","Upside"},0)),0)</f>
        <v>0</v>
      </c>
      <c r="BW61" t="n">
        <f>IF(BW$57=$C$43,-SUM($D$29:$E$29),0)+IF(BW$57=$C$44,-$F$29,0)+IF(BW$57=$C$45,INDEX($G61:$I61,1,MATCH('INVESTOR REPORT'!$I$3,{"Downside","Base","Upside"},0)),0)</f>
        <v>0</v>
      </c>
      <c r="BX61" t="n">
        <f>IF(BX$57=$C$43,-SUM($D$29:$E$29),0)+IF(BX$57=$C$44,-$F$29,0)+IF(BX$57=$C$45,INDEX($G61:$I61,1,MATCH('INVESTOR REPORT'!$I$3,{"Downside","Base","Upside"},0)),0)</f>
        <v>0</v>
      </c>
      <c r="BY61" t="n">
        <f>IF(BY$57=$C$43,-SUM($D$29:$E$29),0)+IF(BY$57=$C$44,-$F$29,0)+IF(BY$57=$C$45,INDEX($G61:$I61,1,MATCH('INVESTOR REPORT'!$I$3,{"Downside","Base","Upside"},0)),0)</f>
        <v>0</v>
      </c>
      <c r="BZ61" t="n">
        <f>IF(BZ$57=$C$43,-SUM($D$29:$E$29),0)+IF(BZ$57=$C$44,-$F$29,0)+IF(BZ$57=$C$45,INDEX($G61:$I61,1,MATCH('INVESTOR REPORT'!$I$3,{"Downside","Base","Upside"},0)),0)</f>
        <v>0</v>
      </c>
      <c r="CA61" t="n">
        <f>IF(CA$57=$C$43,-SUM($D$29:$E$29),0)+IF(CA$57=$C$44,-$F$29,0)+IF(CA$57=$C$45,INDEX($G61:$I61,1,MATCH('INVESTOR REPORT'!$I$3,{"Downside","Base","Upside"},0)),0)</f>
        <v>0</v>
      </c>
      <c r="CB61" t="n">
        <f>IF(CB$57=$C$43,-SUM($D$29:$E$29),0)+IF(CB$57=$C$44,-$F$29,0)+IF(CB$57=$C$45,INDEX($G61:$I61,1,MATCH('INVESTOR REPORT'!$I$3,{"Downside","Base","Upside"},0)),0)</f>
        <v>0</v>
      </c>
      <c r="CC61" t="n">
        <f>IF(CC$57=$C$43,-SUM($D$29:$E$29),0)+IF(CC$57=$C$44,-$F$29,0)+IF(CC$57=$C$45,INDEX($G61:$I61,1,MATCH('INVESTOR REPORT'!$I$3,{"Downside","Base","Upside"},0)),0)</f>
        <v>0</v>
      </c>
      <c r="CD61" t="n">
        <f>IF(CD$57=$C$43,-SUM($D$29:$E$29),0)+IF(CD$57=$C$44,-$F$29,0)+IF(CD$57=$C$45,INDEX($G61:$I61,1,MATCH('INVESTOR REPORT'!$I$3,{"Downside","Base","Upside"},0)),0)</f>
        <v>0</v>
      </c>
      <c r="CE61" t="n">
        <f>IF(CE$57=$C$43,-SUM($D$29:$E$29),0)+IF(CE$57=$C$44,-$F$29,0)+IF(CE$57=$C$45,INDEX($G61:$I61,1,MATCH('INVESTOR REPORT'!$I$3,{"Downside","Base","Upside"},0)),0)</f>
        <v>0</v>
      </c>
      <c r="CF61" t="n">
        <f>IF(CF$57=$C$43,-SUM($D$29:$E$29),0)+IF(CF$57=$C$44,-$F$29,0)+IF(CF$57=$C$45,INDEX($G61:$I61,1,MATCH('INVESTOR REPORT'!$I$3,{"Downside","Base","Upside"},0)),0)</f>
        <v>0</v>
      </c>
      <c r="CG61" t="n">
        <f>IF(CG$57=$C$43,-SUM($D$29:$E$29),0)+IF(CG$57=$C$44,-$F$29,0)+IF(CG$57=$C$45,INDEX($G61:$I61,1,MATCH('INVESTOR REPORT'!$I$3,{"Downside","Base","Upside"},0)),0)</f>
        <v>0</v>
      </c>
      <c r="CH61" t="n">
        <f>IF(CH$57=$C$43,-SUM($D$29:$E$29),0)+IF(CH$57=$C$44,-$F$29,0)+IF(CH$57=$C$45,INDEX($G61:$I61,1,MATCH('INVESTOR REPORT'!$I$3,{"Downside","Base","Upside"},0)),0)</f>
        <v>0</v>
      </c>
      <c r="CI61" t="n">
        <f>IF(CI$57=$C$43,-SUM($D$29:$E$29),0)+IF(CI$57=$C$44,-$F$29,0)+IF(CI$57=$C$45,INDEX($G61:$I61,1,MATCH('INVESTOR REPORT'!$I$3,{"Downside","Base","Upside"},0)),0)</f>
        <v>0</v>
      </c>
      <c r="CJ61" t="n">
        <f>IF(CJ$57=$C$43,-SUM($D$29:$E$29),0)+IF(CJ$57=$C$44,-$F$29,0)+IF(CJ$57=$C$45,INDEX($G61:$I61,1,MATCH('INVESTOR REPORT'!$I$3,{"Downside","Base","Upside"},0)),0)</f>
        <v>0</v>
      </c>
      <c r="CK61" t="n">
        <f>IF(CK$57=$C$43,-SUM($D$29:$E$29),0)+IF(CK$57=$C$44,-$F$29,0)+IF(CK$57=$C$45,INDEX($G61:$I61,1,MATCH('INVESTOR REPORT'!$I$3,{"Downside","Base","Upside"},0)),0)</f>
        <v>0</v>
      </c>
      <c r="CL61" t="n">
        <f>IF(CL$57=$C$43,-SUM($D$29:$E$29),0)+IF(CL$57=$C$44,-$F$29,0)+IF(CL$57=$C$45,INDEX($G61:$I61,1,MATCH('INVESTOR REPORT'!$I$3,{"Downside","Base","Upside"},0)),0)</f>
        <v>0</v>
      </c>
      <c r="CM61" t="n">
        <f>IF(CM$57=$C$43,-SUM($D$29:$E$29),0)+IF(CM$57=$C$44,-$F$29,0)+IF(CM$57=$C$45,INDEX($G61:$I61,1,MATCH('INVESTOR REPORT'!$I$3,{"Downside","Base","Upside"},0)),0)</f>
        <v>0</v>
      </c>
      <c r="CN61" t="n">
        <f>IF(CN$57=$C$43,-SUM($D$29:$E$29),0)+IF(CN$57=$C$44,-$F$29,0)+IF(CN$57=$C$45,INDEX($G61:$I61,1,MATCH('INVESTOR REPORT'!$I$3,{"Downside","Base","Upside"},0)),0)</f>
        <v>0</v>
      </c>
      <c r="CO61" t="n">
        <f>IF(CO$57=$C$43,-SUM($D$29:$E$29),0)+IF(CO$57=$C$44,-$F$29,0)+IF(CO$57=$C$45,INDEX($G61:$I61,1,MATCH('INVESTOR REPORT'!$I$3,{"Downside","Base","Upside"},0)),0)</f>
        <v>4.400040982862945</v>
      </c>
      <c r="CQ61" s="310" t="s">
        <v>828</v>
      </c>
      <c r="CR61" s="310" t="s">
        <v>966</v>
      </c>
      <c r="CS61" s="310" t="s">
        <v>967</v>
      </c>
      <c r="CT61" s="310" t="s">
        <v>968</v>
      </c>
      <c r="CU61" s="310" t="s">
        <v>969</v>
      </c>
      <c r="CV61" s="310" t="s">
        <v>970</v>
      </c>
      <c r="CW61" s="310" t="s">
        <v>971</v>
      </c>
      <c r="CX61" s="310" t="s">
        <v>972</v>
      </c>
      <c r="CY61" s="310" t="s">
        <v>973</v>
      </c>
      <c r="CZ61" s="310" t="s">
        <v>57</v>
      </c>
      <c r="DA61" s="310" t="s">
        <v>974</v>
      </c>
      <c r="DB61" s="310" t="s">
        <v>975</v>
      </c>
      <c r="DC61" s="310" t="s">
        <v>976</v>
      </c>
      <c r="DD61" s="310" t="s">
        <v>977</v>
      </c>
      <c r="DE61" s="700" t="s">
        <v>978</v>
      </c>
      <c r="DF61" s="699"/>
      <c r="DG61" s="699"/>
      <c r="DH61" s="699"/>
      <c r="DI61" s="699"/>
      <c r="DJ61" s="699"/>
      <c r="DK61" s="699"/>
      <c r="DL61" s="699"/>
    </row>
    <row r="62">
      <c r="A62" s="311"/>
      <c r="B62" s="949" t="str">
        <f t="shared" si="10"/>
        <v>Other Investors</v>
      </c>
      <c r="C62" s="983">
        <f t="shared" si="11"/>
        <v>1</v>
      </c>
      <c r="D62" s="982">
        <f t="shared" si="11"/>
        <v>4.8605102250474045E-3</v>
      </c>
      <c r="E62" s="982">
        <f t="shared" si="12"/>
        <v>4.8605102250474045E-3</v>
      </c>
      <c r="F62" s="983" t="n">
        <f>'VALUATION &amp; RETURNS'!$DA$9*D62</f>
        <v>1.0868417841884297</v>
      </c>
      <c r="G62" s="983">
        <f t="shared" si="13"/>
        <v>1.9752292281154431</v>
      </c>
      <c r="H62" s="983">
        <f t="shared" si="13"/>
        <v>2.2000204914314727</v>
      </c>
      <c r="I62" s="983">
        <f t="shared" si="13"/>
        <v>2.4610636174369338</v>
      </c>
      <c r="J62" s="983">
        <f t="shared" si="14"/>
        <v>1.2000204914314727</v>
      </c>
      <c r="K62" s="984">
        <f t="shared" si="15"/>
        <v>2.2000204914314727</v>
      </c>
      <c r="L62" s="982">
        <v>0.21456323093675889</v>
      </c>
      <c r="M62" s="982">
        <v>0.25243591969602264</v>
      </c>
      <c r="N62" s="982">
        <v>0.29309315048974449</v>
      </c>
      <c r="O62" s="1022" t="n">
        <f>XNPV(PROJECTS!$AP$112,$AA62:$AC62,$AA$57:$AC$57)</f>
        <v>0.4969813045662179</v>
      </c>
      <c r="P62" s="1023" t="n">
        <f>IF($H62&lt;$C62,"N/M",ROUND(($C$45-((SUM($D$30:$E$30)*$C$43+$F$30*$C$44)/$C62))*12/365,1))</f>
        <v>60</v>
      </c>
      <c r="X62" s="639" t="n">
        <f>-SUM($D$30:$E$30)</f>
        <v>-1</v>
      </c>
      <c r="Y62" s="639" t="n">
        <f>-$F$30</f>
        <v>0</v>
      </c>
      <c r="Z62" s="649">
        <f t="shared" si="16"/>
        <v>1.9752292281154431</v>
      </c>
      <c r="AA62" s="639" t="n">
        <f>-SUM($D$30:$E$30)</f>
        <v>-1</v>
      </c>
      <c r="AB62" s="639" t="n">
        <f>-$F$30</f>
        <v>0</v>
      </c>
      <c r="AC62" s="649">
        <f t="shared" si="17"/>
        <v>2.2000204914314727</v>
      </c>
      <c r="AD62" s="639" t="n">
        <f>-SUM($D$30:$E$30)</f>
        <v>-1</v>
      </c>
      <c r="AE62" s="639" t="n">
        <f>-$F$30</f>
        <v>0</v>
      </c>
      <c r="AF62" s="649">
        <f t="shared" si="18"/>
        <v>2.4610636174369338</v>
      </c>
      <c r="AG62" t="n">
        <f>IF(AG$57=$C$43,-SUM($D$30:$E$30),0)+IF(AG$57=$C$44,-$F$30,0)+IF(AG$57=$C$45,INDEX($G62:$I62,1,MATCH('INVESTOR REPORT'!$I$3,{"Downside","Base","Upside"},0)),0)</f>
        <v>-1</v>
      </c>
      <c r="AH62" t="n">
        <f>IF(AH$57=$C$43,-SUM($D$30:$E$30),0)+IF(AH$57=$C$44,-$F$30,0)+IF(AH$57=$C$45,INDEX($G62:$I62,1,MATCH('INVESTOR REPORT'!$I$3,{"Downside","Base","Upside"},0)),0)</f>
        <v>0</v>
      </c>
      <c r="AI62" t="n">
        <f>IF(AI$57=$C$43,-SUM($D$30:$E$30),0)+IF(AI$57=$C$44,-$F$30,0)+IF(AI$57=$C$45,INDEX($G62:$I62,1,MATCH('INVESTOR REPORT'!$I$3,{"Downside","Base","Upside"},0)),0)</f>
        <v>0</v>
      </c>
      <c r="AJ62" t="n">
        <f>IF(AJ$57=$C$43,-SUM($D$30:$E$30),0)+IF(AJ$57=$C$44,-$F$30,0)+IF(AJ$57=$C$45,INDEX($G62:$I62,1,MATCH('INVESTOR REPORT'!$I$3,{"Downside","Base","Upside"},0)),0)</f>
        <v>0</v>
      </c>
      <c r="AK62" t="n">
        <f>IF(AK$57=$C$43,-SUM($D$30:$E$30),0)+IF(AK$57=$C$44,-$F$30,0)+IF(AK$57=$C$45,INDEX($G62:$I62,1,MATCH('INVESTOR REPORT'!$I$3,{"Downside","Base","Upside"},0)),0)</f>
        <v>0</v>
      </c>
      <c r="AL62" t="n">
        <f>IF(AL$57=$C$43,-SUM($D$30:$E$30),0)+IF(AL$57=$C$44,-$F$30,0)+IF(AL$57=$C$45,INDEX($G62:$I62,1,MATCH('INVESTOR REPORT'!$I$3,{"Downside","Base","Upside"},0)),0)</f>
        <v>0</v>
      </c>
      <c r="AM62" t="n">
        <f>IF(AM$57=$C$43,-SUM($D$30:$E$30),0)+IF(AM$57=$C$44,-$F$30,0)+IF(AM$57=$C$45,INDEX($G62:$I62,1,MATCH('INVESTOR REPORT'!$I$3,{"Downside","Base","Upside"},0)),0)</f>
        <v>0</v>
      </c>
      <c r="AN62" t="n">
        <f>IF(AN$57=$C$43,-SUM($D$30:$E$30),0)+IF(AN$57=$C$44,-$F$30,0)+IF(AN$57=$C$45,INDEX($G62:$I62,1,MATCH('INVESTOR REPORT'!$I$3,{"Downside","Base","Upside"},0)),0)</f>
        <v>0</v>
      </c>
      <c r="AO62" t="n">
        <f>IF(AO$57=$C$43,-SUM($D$30:$E$30),0)+IF(AO$57=$C$44,-$F$30,0)+IF(AO$57=$C$45,INDEX($G62:$I62,1,MATCH('INVESTOR REPORT'!$I$3,{"Downside","Base","Upside"},0)),0)</f>
        <v>0</v>
      </c>
      <c r="AP62" t="n">
        <f>IF(AP$57=$C$43,-SUM($D$30:$E$30),0)+IF(AP$57=$C$44,-$F$30,0)+IF(AP$57=$C$45,INDEX($G62:$I62,1,MATCH('INVESTOR REPORT'!$I$3,{"Downside","Base","Upside"},0)),0)</f>
        <v>0</v>
      </c>
      <c r="AQ62" t="n">
        <f>IF(AQ$57=$C$43,-SUM($D$30:$E$30),0)+IF(AQ$57=$C$44,-$F$30,0)+IF(AQ$57=$C$45,INDEX($G62:$I62,1,MATCH('INVESTOR REPORT'!$I$3,{"Downside","Base","Upside"},0)),0)</f>
        <v>0</v>
      </c>
      <c r="AR62" t="n">
        <f>IF(AR$57=$C$43,-SUM($D$30:$E$30),0)+IF(AR$57=$C$44,-$F$30,0)+IF(AR$57=$C$45,INDEX($G62:$I62,1,MATCH('INVESTOR REPORT'!$I$3,{"Downside","Base","Upside"},0)),0)</f>
        <v>0</v>
      </c>
      <c r="AS62" t="n">
        <f>IF(AS$57=$C$43,-SUM($D$30:$E$30),0)+IF(AS$57=$C$44,-$F$30,0)+IF(AS$57=$C$45,INDEX($G62:$I62,1,MATCH('INVESTOR REPORT'!$I$3,{"Downside","Base","Upside"},0)),0)</f>
        <v>0</v>
      </c>
      <c r="AT62" t="n">
        <f>IF(AT$57=$C$43,-SUM($D$30:$E$30),0)+IF(AT$57=$C$44,-$F$30,0)+IF(AT$57=$C$45,INDEX($G62:$I62,1,MATCH('INVESTOR REPORT'!$I$3,{"Downside","Base","Upside"},0)),0)</f>
        <v>0</v>
      </c>
      <c r="AU62" t="n">
        <f>IF(AU$57=$C$43,-SUM($D$30:$E$30),0)+IF(AU$57=$C$44,-$F$30,0)+IF(AU$57=$C$45,INDEX($G62:$I62,1,MATCH('INVESTOR REPORT'!$I$3,{"Downside","Base","Upside"},0)),0)</f>
        <v>0</v>
      </c>
      <c r="AV62" t="n">
        <f>IF(AV$57=$C$43,-SUM($D$30:$E$30),0)+IF(AV$57=$C$44,-$F$30,0)+IF(AV$57=$C$45,INDEX($G62:$I62,1,MATCH('INVESTOR REPORT'!$I$3,{"Downside","Base","Upside"},0)),0)</f>
        <v>0</v>
      </c>
      <c r="AW62" t="n">
        <f>IF(AW$57=$C$43,-SUM($D$30:$E$30),0)+IF(AW$57=$C$44,-$F$30,0)+IF(AW$57=$C$45,INDEX($G62:$I62,1,MATCH('INVESTOR REPORT'!$I$3,{"Downside","Base","Upside"},0)),0)</f>
        <v>0</v>
      </c>
      <c r="AX62" t="n">
        <f>IF(AX$57=$C$43,-SUM($D$30:$E$30),0)+IF(AX$57=$C$44,-$F$30,0)+IF(AX$57=$C$45,INDEX($G62:$I62,1,MATCH('INVESTOR REPORT'!$I$3,{"Downside","Base","Upside"},0)),0)</f>
        <v>0</v>
      </c>
      <c r="AY62" t="n">
        <f>IF(AY$57=$C$43,-SUM($D$30:$E$30),0)+IF(AY$57=$C$44,-$F$30,0)+IF(AY$57=$C$45,INDEX($G62:$I62,1,MATCH('INVESTOR REPORT'!$I$3,{"Downside","Base","Upside"},0)),0)</f>
        <v>0</v>
      </c>
      <c r="AZ62" t="n">
        <f>IF(AZ$57=$C$43,-SUM($D$30:$E$30),0)+IF(AZ$57=$C$44,-$F$30,0)+IF(AZ$57=$C$45,INDEX($G62:$I62,1,MATCH('INVESTOR REPORT'!$I$3,{"Downside","Base","Upside"},0)),0)</f>
        <v>0</v>
      </c>
      <c r="BA62" t="n">
        <f>IF(BA$57=$C$43,-SUM($D$30:$E$30),0)+IF(BA$57=$C$44,-$F$30,0)+IF(BA$57=$C$45,INDEX($G62:$I62,1,MATCH('INVESTOR REPORT'!$I$3,{"Downside","Base","Upside"},0)),0)</f>
        <v>0</v>
      </c>
      <c r="BB62" t="n">
        <f>IF(BB$57=$C$43,-SUM($D$30:$E$30),0)+IF(BB$57=$C$44,-$F$30,0)+IF(BB$57=$C$45,INDEX($G62:$I62,1,MATCH('INVESTOR REPORT'!$I$3,{"Downside","Base","Upside"},0)),0)</f>
        <v>0</v>
      </c>
      <c r="BC62" t="n">
        <f>IF(BC$57=$C$43,-SUM($D$30:$E$30),0)+IF(BC$57=$C$44,-$F$30,0)+IF(BC$57=$C$45,INDEX($G62:$I62,1,MATCH('INVESTOR REPORT'!$I$3,{"Downside","Base","Upside"},0)),0)</f>
        <v>0</v>
      </c>
      <c r="BD62" t="n">
        <f>IF(BD$57=$C$43,-SUM($D$30:$E$30),0)+IF(BD$57=$C$44,-$F$30,0)+IF(BD$57=$C$45,INDEX($G62:$I62,1,MATCH('INVESTOR REPORT'!$I$3,{"Downside","Base","Upside"},0)),0)</f>
        <v>0</v>
      </c>
      <c r="BE62" t="n">
        <f>IF(BE$57=$C$43,-SUM($D$30:$E$30),0)+IF(BE$57=$C$44,-$F$30,0)+IF(BE$57=$C$45,INDEX($G62:$I62,1,MATCH('INVESTOR REPORT'!$I$3,{"Downside","Base","Upside"},0)),0)</f>
        <v>0</v>
      </c>
      <c r="BF62" t="n">
        <f>IF(BF$57=$C$43,-SUM($D$30:$E$30),0)+IF(BF$57=$C$44,-$F$30,0)+IF(BF$57=$C$45,INDEX($G62:$I62,1,MATCH('INVESTOR REPORT'!$I$3,{"Downside","Base","Upside"},0)),0)</f>
        <v>0</v>
      </c>
      <c r="BG62" t="n">
        <f>IF(BG$57=$C$43,-SUM($D$30:$E$30),0)+IF(BG$57=$C$44,-$F$30,0)+IF(BG$57=$C$45,INDEX($G62:$I62,1,MATCH('INVESTOR REPORT'!$I$3,{"Downside","Base","Upside"},0)),0)</f>
        <v>0</v>
      </c>
      <c r="BH62" t="n">
        <f>IF(BH$57=$C$43,-SUM($D$30:$E$30),0)+IF(BH$57=$C$44,-$F$30,0)+IF(BH$57=$C$45,INDEX($G62:$I62,1,MATCH('INVESTOR REPORT'!$I$3,{"Downside","Base","Upside"},0)),0)</f>
        <v>0</v>
      </c>
      <c r="BI62" t="n">
        <f>IF(BI$57=$C$43,-SUM($D$30:$E$30),0)+IF(BI$57=$C$44,-$F$30,0)+IF(BI$57=$C$45,INDEX($G62:$I62,1,MATCH('INVESTOR REPORT'!$I$3,{"Downside","Base","Upside"},0)),0)</f>
        <v>0</v>
      </c>
      <c r="BJ62" t="n">
        <f>IF(BJ$57=$C$43,-SUM($D$30:$E$30),0)+IF(BJ$57=$C$44,-$F$30,0)+IF(BJ$57=$C$45,INDEX($G62:$I62,1,MATCH('INVESTOR REPORT'!$I$3,{"Downside","Base","Upside"},0)),0)</f>
        <v>0</v>
      </c>
      <c r="BK62" t="n">
        <f>IF(BK$57=$C$43,-SUM($D$30:$E$30),0)+IF(BK$57=$C$44,-$F$30,0)+IF(BK$57=$C$45,INDEX($G62:$I62,1,MATCH('INVESTOR REPORT'!$I$3,{"Downside","Base","Upside"},0)),0)</f>
        <v>0</v>
      </c>
      <c r="BL62" t="n">
        <f>IF(BL$57=$C$43,-SUM($D$30:$E$30),0)+IF(BL$57=$C$44,-$F$30,0)+IF(BL$57=$C$45,INDEX($G62:$I62,1,MATCH('INVESTOR REPORT'!$I$3,{"Downside","Base","Upside"},0)),0)</f>
        <v>0</v>
      </c>
      <c r="BM62" t="n">
        <f>IF(BM$57=$C$43,-SUM($D$30:$E$30),0)+IF(BM$57=$C$44,-$F$30,0)+IF(BM$57=$C$45,INDEX($G62:$I62,1,MATCH('INVESTOR REPORT'!$I$3,{"Downside","Base","Upside"},0)),0)</f>
        <v>0</v>
      </c>
      <c r="BN62" t="n">
        <f>IF(BN$57=$C$43,-SUM($D$30:$E$30),0)+IF(BN$57=$C$44,-$F$30,0)+IF(BN$57=$C$45,INDEX($G62:$I62,1,MATCH('INVESTOR REPORT'!$I$3,{"Downside","Base","Upside"},0)),0)</f>
        <v>0</v>
      </c>
      <c r="BO62" t="n">
        <f>IF(BO$57=$C$43,-SUM($D$30:$E$30),0)+IF(BO$57=$C$44,-$F$30,0)+IF(BO$57=$C$45,INDEX($G62:$I62,1,MATCH('INVESTOR REPORT'!$I$3,{"Downside","Base","Upside"},0)),0)</f>
        <v>0</v>
      </c>
      <c r="BP62" t="n">
        <f>IF(BP$57=$C$43,-SUM($D$30:$E$30),0)+IF(BP$57=$C$44,-$F$30,0)+IF(BP$57=$C$45,INDEX($G62:$I62,1,MATCH('INVESTOR REPORT'!$I$3,{"Downside","Base","Upside"},0)),0)</f>
        <v>0</v>
      </c>
      <c r="BQ62" t="n">
        <f>IF(BQ$57=$C$43,-SUM($D$30:$E$30),0)+IF(BQ$57=$C$44,-$F$30,0)+IF(BQ$57=$C$45,INDEX($G62:$I62,1,MATCH('INVESTOR REPORT'!$I$3,{"Downside","Base","Upside"},0)),0)</f>
        <v>0</v>
      </c>
      <c r="BR62" t="n">
        <f>IF(BR$57=$C$43,-SUM($D$30:$E$30),0)+IF(BR$57=$C$44,-$F$30,0)+IF(BR$57=$C$45,INDEX($G62:$I62,1,MATCH('INVESTOR REPORT'!$I$3,{"Downside","Base","Upside"},0)),0)</f>
        <v>0</v>
      </c>
      <c r="BS62" t="n">
        <f>IF(BS$57=$C$43,-SUM($D$30:$E$30),0)+IF(BS$57=$C$44,-$F$30,0)+IF(BS$57=$C$45,INDEX($G62:$I62,1,MATCH('INVESTOR REPORT'!$I$3,{"Downside","Base","Upside"},0)),0)</f>
        <v>0</v>
      </c>
      <c r="BT62" t="n">
        <f>IF(BT$57=$C$43,-SUM($D$30:$E$30),0)+IF(BT$57=$C$44,-$F$30,0)+IF(BT$57=$C$45,INDEX($G62:$I62,1,MATCH('INVESTOR REPORT'!$I$3,{"Downside","Base","Upside"},0)),0)</f>
        <v>0</v>
      </c>
      <c r="BU62" t="n">
        <f>IF(BU$57=$C$43,-SUM($D$30:$E$30),0)+IF(BU$57=$C$44,-$F$30,0)+IF(BU$57=$C$45,INDEX($G62:$I62,1,MATCH('INVESTOR REPORT'!$I$3,{"Downside","Base","Upside"},0)),0)</f>
        <v>0</v>
      </c>
      <c r="BV62" t="n">
        <f>IF(BV$57=$C$43,-SUM($D$30:$E$30),0)+IF(BV$57=$C$44,-$F$30,0)+IF(BV$57=$C$45,INDEX($G62:$I62,1,MATCH('INVESTOR REPORT'!$I$3,{"Downside","Base","Upside"},0)),0)</f>
        <v>0</v>
      </c>
      <c r="BW62" t="n">
        <f>IF(BW$57=$C$43,-SUM($D$30:$E$30),0)+IF(BW$57=$C$44,-$F$30,0)+IF(BW$57=$C$45,INDEX($G62:$I62,1,MATCH('INVESTOR REPORT'!$I$3,{"Downside","Base","Upside"},0)),0)</f>
        <v>0</v>
      </c>
      <c r="BX62" t="n">
        <f>IF(BX$57=$C$43,-SUM($D$30:$E$30),0)+IF(BX$57=$C$44,-$F$30,0)+IF(BX$57=$C$45,INDEX($G62:$I62,1,MATCH('INVESTOR REPORT'!$I$3,{"Downside","Base","Upside"},0)),0)</f>
        <v>0</v>
      </c>
      <c r="BY62" t="n">
        <f>IF(BY$57=$C$43,-SUM($D$30:$E$30),0)+IF(BY$57=$C$44,-$F$30,0)+IF(BY$57=$C$45,INDEX($G62:$I62,1,MATCH('INVESTOR REPORT'!$I$3,{"Downside","Base","Upside"},0)),0)</f>
        <v>0</v>
      </c>
      <c r="BZ62" t="n">
        <f>IF(BZ$57=$C$43,-SUM($D$30:$E$30),0)+IF(BZ$57=$C$44,-$F$30,0)+IF(BZ$57=$C$45,INDEX($G62:$I62,1,MATCH('INVESTOR REPORT'!$I$3,{"Downside","Base","Upside"},0)),0)</f>
        <v>0</v>
      </c>
      <c r="CA62" t="n">
        <f>IF(CA$57=$C$43,-SUM($D$30:$E$30),0)+IF(CA$57=$C$44,-$F$30,0)+IF(CA$57=$C$45,INDEX($G62:$I62,1,MATCH('INVESTOR REPORT'!$I$3,{"Downside","Base","Upside"},0)),0)</f>
        <v>0</v>
      </c>
      <c r="CB62" t="n">
        <f>IF(CB$57=$C$43,-SUM($D$30:$E$30),0)+IF(CB$57=$C$44,-$F$30,0)+IF(CB$57=$C$45,INDEX($G62:$I62,1,MATCH('INVESTOR REPORT'!$I$3,{"Downside","Base","Upside"},0)),0)</f>
        <v>0</v>
      </c>
      <c r="CC62" t="n">
        <f>IF(CC$57=$C$43,-SUM($D$30:$E$30),0)+IF(CC$57=$C$44,-$F$30,0)+IF(CC$57=$C$45,INDEX($G62:$I62,1,MATCH('INVESTOR REPORT'!$I$3,{"Downside","Base","Upside"},0)),0)</f>
        <v>0</v>
      </c>
      <c r="CD62" t="n">
        <f>IF(CD$57=$C$43,-SUM($D$30:$E$30),0)+IF(CD$57=$C$44,-$F$30,0)+IF(CD$57=$C$45,INDEX($G62:$I62,1,MATCH('INVESTOR REPORT'!$I$3,{"Downside","Base","Upside"},0)),0)</f>
        <v>0</v>
      </c>
      <c r="CE62" t="n">
        <f>IF(CE$57=$C$43,-SUM($D$30:$E$30),0)+IF(CE$57=$C$44,-$F$30,0)+IF(CE$57=$C$45,INDEX($G62:$I62,1,MATCH('INVESTOR REPORT'!$I$3,{"Downside","Base","Upside"},0)),0)</f>
        <v>0</v>
      </c>
      <c r="CF62" t="n">
        <f>IF(CF$57=$C$43,-SUM($D$30:$E$30),0)+IF(CF$57=$C$44,-$F$30,0)+IF(CF$57=$C$45,INDEX($G62:$I62,1,MATCH('INVESTOR REPORT'!$I$3,{"Downside","Base","Upside"},0)),0)</f>
        <v>0</v>
      </c>
      <c r="CG62" t="n">
        <f>IF(CG$57=$C$43,-SUM($D$30:$E$30),0)+IF(CG$57=$C$44,-$F$30,0)+IF(CG$57=$C$45,INDEX($G62:$I62,1,MATCH('INVESTOR REPORT'!$I$3,{"Downside","Base","Upside"},0)),0)</f>
        <v>0</v>
      </c>
      <c r="CH62" t="n">
        <f>IF(CH$57=$C$43,-SUM($D$30:$E$30),0)+IF(CH$57=$C$44,-$F$30,0)+IF(CH$57=$C$45,INDEX($G62:$I62,1,MATCH('INVESTOR REPORT'!$I$3,{"Downside","Base","Upside"},0)),0)</f>
        <v>0</v>
      </c>
      <c r="CI62" t="n">
        <f>IF(CI$57=$C$43,-SUM($D$30:$E$30),0)+IF(CI$57=$C$44,-$F$30,0)+IF(CI$57=$C$45,INDEX($G62:$I62,1,MATCH('INVESTOR REPORT'!$I$3,{"Downside","Base","Upside"},0)),0)</f>
        <v>0</v>
      </c>
      <c r="CJ62" t="n">
        <f>IF(CJ$57=$C$43,-SUM($D$30:$E$30),0)+IF(CJ$57=$C$44,-$F$30,0)+IF(CJ$57=$C$45,INDEX($G62:$I62,1,MATCH('INVESTOR REPORT'!$I$3,{"Downside","Base","Upside"},0)),0)</f>
        <v>0</v>
      </c>
      <c r="CK62" t="n">
        <f>IF(CK$57=$C$43,-SUM($D$30:$E$30),0)+IF(CK$57=$C$44,-$F$30,0)+IF(CK$57=$C$45,INDEX($G62:$I62,1,MATCH('INVESTOR REPORT'!$I$3,{"Downside","Base","Upside"},0)),0)</f>
        <v>0</v>
      </c>
      <c r="CL62" t="n">
        <f>IF(CL$57=$C$43,-SUM($D$30:$E$30),0)+IF(CL$57=$C$44,-$F$30,0)+IF(CL$57=$C$45,INDEX($G62:$I62,1,MATCH('INVESTOR REPORT'!$I$3,{"Downside","Base","Upside"},0)),0)</f>
        <v>0</v>
      </c>
      <c r="CM62" t="n">
        <f>IF(CM$57=$C$43,-SUM($D$30:$E$30),0)+IF(CM$57=$C$44,-$F$30,0)+IF(CM$57=$C$45,INDEX($G62:$I62,1,MATCH('INVESTOR REPORT'!$I$3,{"Downside","Base","Upside"},0)),0)</f>
        <v>0</v>
      </c>
      <c r="CN62" t="n">
        <f>IF(CN$57=$C$43,-SUM($D$30:$E$30),0)+IF(CN$57=$C$44,-$F$30,0)+IF(CN$57=$C$45,INDEX($G62:$I62,1,MATCH('INVESTOR REPORT'!$I$3,{"Downside","Base","Upside"},0)),0)</f>
        <v>0</v>
      </c>
      <c r="CO62" t="n">
        <f>IF(CO$57=$C$43,-SUM($D$30:$E$30),0)+IF(CO$57=$C$44,-$F$30,0)+IF(CO$57=$C$45,INDEX($G62:$I62,1,MATCH('INVESTOR REPORT'!$I$3,{"Downside","Base","Upside"},0)),0)</f>
        <v>2.2000204914314727</v>
      </c>
      <c r="CQ62" s="311" t="str">
        <f>'VALUATION &amp; RETURNS'!$B$58</f>
        <v>David Gifford</v>
      </c>
      <c r="CR62" s="642" t="n">
        <f>'VALUATION &amp; RETURNS'!$C$58</f>
        <v>10</v>
      </c>
      <c r="CS62" s="645" t="n">
        <f>0</f>
        <v>0</v>
      </c>
      <c r="CT62" s="644" t="n">
        <f>'VALUATION &amp; RETURNS'!$D$58</f>
        <v>0.04860510225047404</v>
      </c>
      <c r="CU62" s="644" t="n">
        <f>'VALUATION &amp; RETURNS'!$E$58</f>
        <v>0.04860510225047404</v>
      </c>
      <c r="CV62" s="642" t="n">
        <f>0</f>
        <v>0</v>
      </c>
      <c r="CW62" s="642" t="n">
        <f>'VALUATION &amp; RETURNS'!$F$58</f>
        <v>10.868417841884296</v>
      </c>
      <c r="CX62" s="642" t="n">
        <f>INDEX('VALUATION &amp; RETURNS'!$G$58:$I$58,1,MATCH($CR$7,{"Downside","Base","Upside"},0))</f>
        <v>22.000204914314725</v>
      </c>
      <c r="CY62" s="642" t="n">
        <f>CX62-CR62</f>
        <v>12.000204914314725</v>
      </c>
      <c r="CZ62" s="644" t="n">
        <f>IF(CR62=0,"",(CX62/CR62)^(365/(Underwriting!$BC$195-Underwriting!$M$195))-1)</f>
        <v>0.2521176027570611</v>
      </c>
      <c r="DA62" s="644" t="n">
        <f>IF(CR62=0,"",(CX62/CR62)^(365/(Underwriting!$BC$195-Underwriting!$M$195))-1)</f>
        <v>0.2521176027570611</v>
      </c>
      <c r="DB62" s="642" t="n">
        <f>IF(CR62=0,"",CX62/(1+$CR$8)^((Underwriting!$BC$195-Underwriting!$M$195)/365)-CR62)</f>
        <v>6.796339792980735</v>
      </c>
      <c r="DC62" s="643" t="n">
        <f>IF(CR62=0,"",CX62/CR62)</f>
        <v>2.2000204914314727</v>
      </c>
      <c r="DD62" s="650" t="n">
        <f>IF($CX62+$CV62&lt;$CR62+$CS62,"N/M",'VALUATION &amp; RETURNS'!$P$58)</f>
        <v>60</v>
      </c>
      <c r="DE62" s="701" t="s">
        <v>979</v>
      </c>
      <c r="DF62" s="699"/>
      <c r="DG62" s="699"/>
      <c r="DH62" s="699"/>
      <c r="DI62" s="699"/>
      <c r="DJ62" s="699"/>
      <c r="DK62" s="699"/>
      <c r="DL62" s="699"/>
    </row>
    <row r="63">
      <c r="A63" s="311"/>
      <c r="B63" s="949" t="str">
        <f t="shared" si="10"/>
        <v>Andrew Norton &amp; others</v>
      </c>
      <c r="C63" s="983">
        <f t="shared" si="11"/>
        <v>0.83</v>
      </c>
      <c r="D63" s="982">
        <f t="shared" si="11"/>
        <v>4.0342234867893458E-3</v>
      </c>
      <c r="E63" s="982">
        <f t="shared" si="12"/>
        <v>4.0342234867893458E-3</v>
      </c>
      <c r="F63" s="983" t="n">
        <f>'VALUATION &amp; RETURNS'!$DA$9*D63</f>
        <v>0.9020786808763966</v>
      </c>
      <c r="G63" s="983">
        <f t="shared" si="13"/>
        <v>1.6394402593358177</v>
      </c>
      <c r="H63" s="983">
        <f t="shared" si="13"/>
        <v>1.8260170078881222</v>
      </c>
      <c r="I63" s="983">
        <f t="shared" si="13"/>
        <v>2.0426828024726551</v>
      </c>
      <c r="J63" s="983">
        <f t="shared" si="14"/>
        <v>0.9960170078881222</v>
      </c>
      <c r="K63" s="984">
        <f t="shared" si="15"/>
        <v>2.2000204914314727</v>
      </c>
      <c r="L63" s="982">
        <v>0.21456323093675911</v>
      </c>
      <c r="M63" s="982">
        <v>0.25243591969602264</v>
      </c>
      <c r="N63" s="982">
        <v>0.29309315048974449</v>
      </c>
      <c r="O63" s="1022" t="n">
        <f>XNPV(PROJECTS!$AP$112,$AA63:$AC63,$AA$57:$AC$57)</f>
        <v>0.4124944827899609</v>
      </c>
      <c r="P63" s="1023" t="n">
        <f>IF($H63&lt;$C63,"N/M",ROUND(($C$45-((SUM($D$31:$E$31)*$C$43+$F$31*$C$44)/$C63))*12/365,1))</f>
        <v>60</v>
      </c>
      <c r="X63" s="639" t="n">
        <f>-SUM($D$31:$E$31)</f>
        <v>-0.83</v>
      </c>
      <c r="Y63" s="639" t="n">
        <f>-$F$31</f>
        <v>0</v>
      </c>
      <c r="Z63" s="649">
        <f t="shared" si="16"/>
        <v>1.6394402593358177</v>
      </c>
      <c r="AA63" s="639" t="n">
        <f>-SUM($D$31:$E$31)</f>
        <v>-0.83</v>
      </c>
      <c r="AB63" s="639" t="n">
        <f>-$F$31</f>
        <v>0</v>
      </c>
      <c r="AC63" s="649">
        <f t="shared" si="17"/>
        <v>1.8260170078881222</v>
      </c>
      <c r="AD63" s="639" t="n">
        <f>-SUM($D$31:$E$31)</f>
        <v>-0.83</v>
      </c>
      <c r="AE63" s="639" t="n">
        <f>-$F$31</f>
        <v>0</v>
      </c>
      <c r="AF63" s="649">
        <f t="shared" si="18"/>
        <v>2.0426828024726551</v>
      </c>
      <c r="AG63" t="n">
        <f>IF(AG$57=$C$43,-SUM($D$31:$E$31),0)+IF(AG$57=$C$44,-$F$31,0)+IF(AG$57=$C$45,INDEX($G63:$I63,1,MATCH('INVESTOR REPORT'!$I$3,{"Downside","Base","Upside"},0)),0)</f>
        <v>-0.83</v>
      </c>
      <c r="AH63" t="n">
        <f>IF(AH$57=$C$43,-SUM($D$31:$E$31),0)+IF(AH$57=$C$44,-$F$31,0)+IF(AH$57=$C$45,INDEX($G63:$I63,1,MATCH('INVESTOR REPORT'!$I$3,{"Downside","Base","Upside"},0)),0)</f>
        <v>0</v>
      </c>
      <c r="AI63" t="n">
        <f>IF(AI$57=$C$43,-SUM($D$31:$E$31),0)+IF(AI$57=$C$44,-$F$31,0)+IF(AI$57=$C$45,INDEX($G63:$I63,1,MATCH('INVESTOR REPORT'!$I$3,{"Downside","Base","Upside"},0)),0)</f>
        <v>0</v>
      </c>
      <c r="AJ63" t="n">
        <f>IF(AJ$57=$C$43,-SUM($D$31:$E$31),0)+IF(AJ$57=$C$44,-$F$31,0)+IF(AJ$57=$C$45,INDEX($G63:$I63,1,MATCH('INVESTOR REPORT'!$I$3,{"Downside","Base","Upside"},0)),0)</f>
        <v>0</v>
      </c>
      <c r="AK63" t="n">
        <f>IF(AK$57=$C$43,-SUM($D$31:$E$31),0)+IF(AK$57=$C$44,-$F$31,0)+IF(AK$57=$C$45,INDEX($G63:$I63,1,MATCH('INVESTOR REPORT'!$I$3,{"Downside","Base","Upside"},0)),0)</f>
        <v>0</v>
      </c>
      <c r="AL63" t="n">
        <f>IF(AL$57=$C$43,-SUM($D$31:$E$31),0)+IF(AL$57=$C$44,-$F$31,0)+IF(AL$57=$C$45,INDEX($G63:$I63,1,MATCH('INVESTOR REPORT'!$I$3,{"Downside","Base","Upside"},0)),0)</f>
        <v>0</v>
      </c>
      <c r="AM63" t="n">
        <f>IF(AM$57=$C$43,-SUM($D$31:$E$31),0)+IF(AM$57=$C$44,-$F$31,0)+IF(AM$57=$C$45,INDEX($G63:$I63,1,MATCH('INVESTOR REPORT'!$I$3,{"Downside","Base","Upside"},0)),0)</f>
        <v>0</v>
      </c>
      <c r="AN63" t="n">
        <f>IF(AN$57=$C$43,-SUM($D$31:$E$31),0)+IF(AN$57=$C$44,-$F$31,0)+IF(AN$57=$C$45,INDEX($G63:$I63,1,MATCH('INVESTOR REPORT'!$I$3,{"Downside","Base","Upside"},0)),0)</f>
        <v>0</v>
      </c>
      <c r="AO63" t="n">
        <f>IF(AO$57=$C$43,-SUM($D$31:$E$31),0)+IF(AO$57=$C$44,-$F$31,0)+IF(AO$57=$C$45,INDEX($G63:$I63,1,MATCH('INVESTOR REPORT'!$I$3,{"Downside","Base","Upside"},0)),0)</f>
        <v>0</v>
      </c>
      <c r="AP63" t="n">
        <f>IF(AP$57=$C$43,-SUM($D$31:$E$31),0)+IF(AP$57=$C$44,-$F$31,0)+IF(AP$57=$C$45,INDEX($G63:$I63,1,MATCH('INVESTOR REPORT'!$I$3,{"Downside","Base","Upside"},0)),0)</f>
        <v>0</v>
      </c>
      <c r="AQ63" t="n">
        <f>IF(AQ$57=$C$43,-SUM($D$31:$E$31),0)+IF(AQ$57=$C$44,-$F$31,0)+IF(AQ$57=$C$45,INDEX($G63:$I63,1,MATCH('INVESTOR REPORT'!$I$3,{"Downside","Base","Upside"},0)),0)</f>
        <v>0</v>
      </c>
      <c r="AR63" t="n">
        <f>IF(AR$57=$C$43,-SUM($D$31:$E$31),0)+IF(AR$57=$C$44,-$F$31,0)+IF(AR$57=$C$45,INDEX($G63:$I63,1,MATCH('INVESTOR REPORT'!$I$3,{"Downside","Base","Upside"},0)),0)</f>
        <v>0</v>
      </c>
      <c r="AS63" t="n">
        <f>IF(AS$57=$C$43,-SUM($D$31:$E$31),0)+IF(AS$57=$C$44,-$F$31,0)+IF(AS$57=$C$45,INDEX($G63:$I63,1,MATCH('INVESTOR REPORT'!$I$3,{"Downside","Base","Upside"},0)),0)</f>
        <v>0</v>
      </c>
      <c r="AT63" t="n">
        <f>IF(AT$57=$C$43,-SUM($D$31:$E$31),0)+IF(AT$57=$C$44,-$F$31,0)+IF(AT$57=$C$45,INDEX($G63:$I63,1,MATCH('INVESTOR REPORT'!$I$3,{"Downside","Base","Upside"},0)),0)</f>
        <v>0</v>
      </c>
      <c r="AU63" t="n">
        <f>IF(AU$57=$C$43,-SUM($D$31:$E$31),0)+IF(AU$57=$C$44,-$F$31,0)+IF(AU$57=$C$45,INDEX($G63:$I63,1,MATCH('INVESTOR REPORT'!$I$3,{"Downside","Base","Upside"},0)),0)</f>
        <v>0</v>
      </c>
      <c r="AV63" t="n">
        <f>IF(AV$57=$C$43,-SUM($D$31:$E$31),0)+IF(AV$57=$C$44,-$F$31,0)+IF(AV$57=$C$45,INDEX($G63:$I63,1,MATCH('INVESTOR REPORT'!$I$3,{"Downside","Base","Upside"},0)),0)</f>
        <v>0</v>
      </c>
      <c r="AW63" t="n">
        <f>IF(AW$57=$C$43,-SUM($D$31:$E$31),0)+IF(AW$57=$C$44,-$F$31,0)+IF(AW$57=$C$45,INDEX($G63:$I63,1,MATCH('INVESTOR REPORT'!$I$3,{"Downside","Base","Upside"},0)),0)</f>
        <v>0</v>
      </c>
      <c r="AX63" t="n">
        <f>IF(AX$57=$C$43,-SUM($D$31:$E$31),0)+IF(AX$57=$C$44,-$F$31,0)+IF(AX$57=$C$45,INDEX($G63:$I63,1,MATCH('INVESTOR REPORT'!$I$3,{"Downside","Base","Upside"},0)),0)</f>
        <v>0</v>
      </c>
      <c r="AY63" t="n">
        <f>IF(AY$57=$C$43,-SUM($D$31:$E$31),0)+IF(AY$57=$C$44,-$F$31,0)+IF(AY$57=$C$45,INDEX($G63:$I63,1,MATCH('INVESTOR REPORT'!$I$3,{"Downside","Base","Upside"},0)),0)</f>
        <v>0</v>
      </c>
      <c r="AZ63" t="n">
        <f>IF(AZ$57=$C$43,-SUM($D$31:$E$31),0)+IF(AZ$57=$C$44,-$F$31,0)+IF(AZ$57=$C$45,INDEX($G63:$I63,1,MATCH('INVESTOR REPORT'!$I$3,{"Downside","Base","Upside"},0)),0)</f>
        <v>0</v>
      </c>
      <c r="BA63" t="n">
        <f>IF(BA$57=$C$43,-SUM($D$31:$E$31),0)+IF(BA$57=$C$44,-$F$31,0)+IF(BA$57=$C$45,INDEX($G63:$I63,1,MATCH('INVESTOR REPORT'!$I$3,{"Downside","Base","Upside"},0)),0)</f>
        <v>0</v>
      </c>
      <c r="BB63" t="n">
        <f>IF(BB$57=$C$43,-SUM($D$31:$E$31),0)+IF(BB$57=$C$44,-$F$31,0)+IF(BB$57=$C$45,INDEX($G63:$I63,1,MATCH('INVESTOR REPORT'!$I$3,{"Downside","Base","Upside"},0)),0)</f>
        <v>0</v>
      </c>
      <c r="BC63" t="n">
        <f>IF(BC$57=$C$43,-SUM($D$31:$E$31),0)+IF(BC$57=$C$44,-$F$31,0)+IF(BC$57=$C$45,INDEX($G63:$I63,1,MATCH('INVESTOR REPORT'!$I$3,{"Downside","Base","Upside"},0)),0)</f>
        <v>0</v>
      </c>
      <c r="BD63" t="n">
        <f>IF(BD$57=$C$43,-SUM($D$31:$E$31),0)+IF(BD$57=$C$44,-$F$31,0)+IF(BD$57=$C$45,INDEX($G63:$I63,1,MATCH('INVESTOR REPORT'!$I$3,{"Downside","Base","Upside"},0)),0)</f>
        <v>0</v>
      </c>
      <c r="BE63" t="n">
        <f>IF(BE$57=$C$43,-SUM($D$31:$E$31),0)+IF(BE$57=$C$44,-$F$31,0)+IF(BE$57=$C$45,INDEX($G63:$I63,1,MATCH('INVESTOR REPORT'!$I$3,{"Downside","Base","Upside"},0)),0)</f>
        <v>0</v>
      </c>
      <c r="BF63" t="n">
        <f>IF(BF$57=$C$43,-SUM($D$31:$E$31),0)+IF(BF$57=$C$44,-$F$31,0)+IF(BF$57=$C$45,INDEX($G63:$I63,1,MATCH('INVESTOR REPORT'!$I$3,{"Downside","Base","Upside"},0)),0)</f>
        <v>0</v>
      </c>
      <c r="BG63" t="n">
        <f>IF(BG$57=$C$43,-SUM($D$31:$E$31),0)+IF(BG$57=$C$44,-$F$31,0)+IF(BG$57=$C$45,INDEX($G63:$I63,1,MATCH('INVESTOR REPORT'!$I$3,{"Downside","Base","Upside"},0)),0)</f>
        <v>0</v>
      </c>
      <c r="BH63" t="n">
        <f>IF(BH$57=$C$43,-SUM($D$31:$E$31),0)+IF(BH$57=$C$44,-$F$31,0)+IF(BH$57=$C$45,INDEX($G63:$I63,1,MATCH('INVESTOR REPORT'!$I$3,{"Downside","Base","Upside"},0)),0)</f>
        <v>0</v>
      </c>
      <c r="BI63" t="n">
        <f>IF(BI$57=$C$43,-SUM($D$31:$E$31),0)+IF(BI$57=$C$44,-$F$31,0)+IF(BI$57=$C$45,INDEX($G63:$I63,1,MATCH('INVESTOR REPORT'!$I$3,{"Downside","Base","Upside"},0)),0)</f>
        <v>0</v>
      </c>
      <c r="BJ63" t="n">
        <f>IF(BJ$57=$C$43,-SUM($D$31:$E$31),0)+IF(BJ$57=$C$44,-$F$31,0)+IF(BJ$57=$C$45,INDEX($G63:$I63,1,MATCH('INVESTOR REPORT'!$I$3,{"Downside","Base","Upside"},0)),0)</f>
        <v>0</v>
      </c>
      <c r="BK63" t="n">
        <f>IF(BK$57=$C$43,-SUM($D$31:$E$31),0)+IF(BK$57=$C$44,-$F$31,0)+IF(BK$57=$C$45,INDEX($G63:$I63,1,MATCH('INVESTOR REPORT'!$I$3,{"Downside","Base","Upside"},0)),0)</f>
        <v>0</v>
      </c>
      <c r="BL63" t="n">
        <f>IF(BL$57=$C$43,-SUM($D$31:$E$31),0)+IF(BL$57=$C$44,-$F$31,0)+IF(BL$57=$C$45,INDEX($G63:$I63,1,MATCH('INVESTOR REPORT'!$I$3,{"Downside","Base","Upside"},0)),0)</f>
        <v>0</v>
      </c>
      <c r="BM63" t="n">
        <f>IF(BM$57=$C$43,-SUM($D$31:$E$31),0)+IF(BM$57=$C$44,-$F$31,0)+IF(BM$57=$C$45,INDEX($G63:$I63,1,MATCH('INVESTOR REPORT'!$I$3,{"Downside","Base","Upside"},0)),0)</f>
        <v>0</v>
      </c>
      <c r="BN63" t="n">
        <f>IF(BN$57=$C$43,-SUM($D$31:$E$31),0)+IF(BN$57=$C$44,-$F$31,0)+IF(BN$57=$C$45,INDEX($G63:$I63,1,MATCH('INVESTOR REPORT'!$I$3,{"Downside","Base","Upside"},0)),0)</f>
        <v>0</v>
      </c>
      <c r="BO63" t="n">
        <f>IF(BO$57=$C$43,-SUM($D$31:$E$31),0)+IF(BO$57=$C$44,-$F$31,0)+IF(BO$57=$C$45,INDEX($G63:$I63,1,MATCH('INVESTOR REPORT'!$I$3,{"Downside","Base","Upside"},0)),0)</f>
        <v>0</v>
      </c>
      <c r="BP63" t="n">
        <f>IF(BP$57=$C$43,-SUM($D$31:$E$31),0)+IF(BP$57=$C$44,-$F$31,0)+IF(BP$57=$C$45,INDEX($G63:$I63,1,MATCH('INVESTOR REPORT'!$I$3,{"Downside","Base","Upside"},0)),0)</f>
        <v>0</v>
      </c>
      <c r="BQ63" t="n">
        <f>IF(BQ$57=$C$43,-SUM($D$31:$E$31),0)+IF(BQ$57=$C$44,-$F$31,0)+IF(BQ$57=$C$45,INDEX($G63:$I63,1,MATCH('INVESTOR REPORT'!$I$3,{"Downside","Base","Upside"},0)),0)</f>
        <v>0</v>
      </c>
      <c r="BR63" t="n">
        <f>IF(BR$57=$C$43,-SUM($D$31:$E$31),0)+IF(BR$57=$C$44,-$F$31,0)+IF(BR$57=$C$45,INDEX($G63:$I63,1,MATCH('INVESTOR REPORT'!$I$3,{"Downside","Base","Upside"},0)),0)</f>
        <v>0</v>
      </c>
      <c r="BS63" t="n">
        <f>IF(BS$57=$C$43,-SUM($D$31:$E$31),0)+IF(BS$57=$C$44,-$F$31,0)+IF(BS$57=$C$45,INDEX($G63:$I63,1,MATCH('INVESTOR REPORT'!$I$3,{"Downside","Base","Upside"},0)),0)</f>
        <v>0</v>
      </c>
      <c r="BT63" t="n">
        <f>IF(BT$57=$C$43,-SUM($D$31:$E$31),0)+IF(BT$57=$C$44,-$F$31,0)+IF(BT$57=$C$45,INDEX($G63:$I63,1,MATCH('INVESTOR REPORT'!$I$3,{"Downside","Base","Upside"},0)),0)</f>
        <v>0</v>
      </c>
      <c r="BU63" t="n">
        <f>IF(BU$57=$C$43,-SUM($D$31:$E$31),0)+IF(BU$57=$C$44,-$F$31,0)+IF(BU$57=$C$45,INDEX($G63:$I63,1,MATCH('INVESTOR REPORT'!$I$3,{"Downside","Base","Upside"},0)),0)</f>
        <v>0</v>
      </c>
      <c r="BV63" t="n">
        <f>IF(BV$57=$C$43,-SUM($D$31:$E$31),0)+IF(BV$57=$C$44,-$F$31,0)+IF(BV$57=$C$45,INDEX($G63:$I63,1,MATCH('INVESTOR REPORT'!$I$3,{"Downside","Base","Upside"},0)),0)</f>
        <v>0</v>
      </c>
      <c r="BW63" t="n">
        <f>IF(BW$57=$C$43,-SUM($D$31:$E$31),0)+IF(BW$57=$C$44,-$F$31,0)+IF(BW$57=$C$45,INDEX($G63:$I63,1,MATCH('INVESTOR REPORT'!$I$3,{"Downside","Base","Upside"},0)),0)</f>
        <v>0</v>
      </c>
      <c r="BX63" t="n">
        <f>IF(BX$57=$C$43,-SUM($D$31:$E$31),0)+IF(BX$57=$C$44,-$F$31,0)+IF(BX$57=$C$45,INDEX($G63:$I63,1,MATCH('INVESTOR REPORT'!$I$3,{"Downside","Base","Upside"},0)),0)</f>
        <v>0</v>
      </c>
      <c r="BY63" t="n">
        <f>IF(BY$57=$C$43,-SUM($D$31:$E$31),0)+IF(BY$57=$C$44,-$F$31,0)+IF(BY$57=$C$45,INDEX($G63:$I63,1,MATCH('INVESTOR REPORT'!$I$3,{"Downside","Base","Upside"},0)),0)</f>
        <v>0</v>
      </c>
      <c r="BZ63" t="n">
        <f>IF(BZ$57=$C$43,-SUM($D$31:$E$31),0)+IF(BZ$57=$C$44,-$F$31,0)+IF(BZ$57=$C$45,INDEX($G63:$I63,1,MATCH('INVESTOR REPORT'!$I$3,{"Downside","Base","Upside"},0)),0)</f>
        <v>0</v>
      </c>
      <c r="CA63" t="n">
        <f>IF(CA$57=$C$43,-SUM($D$31:$E$31),0)+IF(CA$57=$C$44,-$F$31,0)+IF(CA$57=$C$45,INDEX($G63:$I63,1,MATCH('INVESTOR REPORT'!$I$3,{"Downside","Base","Upside"},0)),0)</f>
        <v>0</v>
      </c>
      <c r="CB63" t="n">
        <f>IF(CB$57=$C$43,-SUM($D$31:$E$31),0)+IF(CB$57=$C$44,-$F$31,0)+IF(CB$57=$C$45,INDEX($G63:$I63,1,MATCH('INVESTOR REPORT'!$I$3,{"Downside","Base","Upside"},0)),0)</f>
        <v>0</v>
      </c>
      <c r="CC63" t="n">
        <f>IF(CC$57=$C$43,-SUM($D$31:$E$31),0)+IF(CC$57=$C$44,-$F$31,0)+IF(CC$57=$C$45,INDEX($G63:$I63,1,MATCH('INVESTOR REPORT'!$I$3,{"Downside","Base","Upside"},0)),0)</f>
        <v>0</v>
      </c>
      <c r="CD63" t="n">
        <f>IF(CD$57=$C$43,-SUM($D$31:$E$31),0)+IF(CD$57=$C$44,-$F$31,0)+IF(CD$57=$C$45,INDEX($G63:$I63,1,MATCH('INVESTOR REPORT'!$I$3,{"Downside","Base","Upside"},0)),0)</f>
        <v>0</v>
      </c>
      <c r="CE63" t="n">
        <f>IF(CE$57=$C$43,-SUM($D$31:$E$31),0)+IF(CE$57=$C$44,-$F$31,0)+IF(CE$57=$C$45,INDEX($G63:$I63,1,MATCH('INVESTOR REPORT'!$I$3,{"Downside","Base","Upside"},0)),0)</f>
        <v>0</v>
      </c>
      <c r="CF63" t="n">
        <f>IF(CF$57=$C$43,-SUM($D$31:$E$31),0)+IF(CF$57=$C$44,-$F$31,0)+IF(CF$57=$C$45,INDEX($G63:$I63,1,MATCH('INVESTOR REPORT'!$I$3,{"Downside","Base","Upside"},0)),0)</f>
        <v>0</v>
      </c>
      <c r="CG63" t="n">
        <f>IF(CG$57=$C$43,-SUM($D$31:$E$31),0)+IF(CG$57=$C$44,-$F$31,0)+IF(CG$57=$C$45,INDEX($G63:$I63,1,MATCH('INVESTOR REPORT'!$I$3,{"Downside","Base","Upside"},0)),0)</f>
        <v>0</v>
      </c>
      <c r="CH63" t="n">
        <f>IF(CH$57=$C$43,-SUM($D$31:$E$31),0)+IF(CH$57=$C$44,-$F$31,0)+IF(CH$57=$C$45,INDEX($G63:$I63,1,MATCH('INVESTOR REPORT'!$I$3,{"Downside","Base","Upside"},0)),0)</f>
        <v>0</v>
      </c>
      <c r="CI63" t="n">
        <f>IF(CI$57=$C$43,-SUM($D$31:$E$31),0)+IF(CI$57=$C$44,-$F$31,0)+IF(CI$57=$C$45,INDEX($G63:$I63,1,MATCH('INVESTOR REPORT'!$I$3,{"Downside","Base","Upside"},0)),0)</f>
        <v>0</v>
      </c>
      <c r="CJ63" t="n">
        <f>IF(CJ$57=$C$43,-SUM($D$31:$E$31),0)+IF(CJ$57=$C$44,-$F$31,0)+IF(CJ$57=$C$45,INDEX($G63:$I63,1,MATCH('INVESTOR REPORT'!$I$3,{"Downside","Base","Upside"},0)),0)</f>
        <v>0</v>
      </c>
      <c r="CK63" t="n">
        <f>IF(CK$57=$C$43,-SUM($D$31:$E$31),0)+IF(CK$57=$C$44,-$F$31,0)+IF(CK$57=$C$45,INDEX($G63:$I63,1,MATCH('INVESTOR REPORT'!$I$3,{"Downside","Base","Upside"},0)),0)</f>
        <v>0</v>
      </c>
      <c r="CL63" t="n">
        <f>IF(CL$57=$C$43,-SUM($D$31:$E$31),0)+IF(CL$57=$C$44,-$F$31,0)+IF(CL$57=$C$45,INDEX($G63:$I63,1,MATCH('INVESTOR REPORT'!$I$3,{"Downside","Base","Upside"},0)),0)</f>
        <v>0</v>
      </c>
      <c r="CM63" t="n">
        <f>IF(CM$57=$C$43,-SUM($D$31:$E$31),0)+IF(CM$57=$C$44,-$F$31,0)+IF(CM$57=$C$45,INDEX($G63:$I63,1,MATCH('INVESTOR REPORT'!$I$3,{"Downside","Base","Upside"},0)),0)</f>
        <v>0</v>
      </c>
      <c r="CN63" t="n">
        <f>IF(CN$57=$C$43,-SUM($D$31:$E$31),0)+IF(CN$57=$C$44,-$F$31,0)+IF(CN$57=$C$45,INDEX($G63:$I63,1,MATCH('INVESTOR REPORT'!$I$3,{"Downside","Base","Upside"},0)),0)</f>
        <v>0</v>
      </c>
      <c r="CO63" t="n">
        <f>IF(CO$57=$C$43,-SUM($D$31:$E$31),0)+IF(CO$57=$C$44,-$F$31,0)+IF(CO$57=$C$45,INDEX($G63:$I63,1,MATCH('INVESTOR REPORT'!$I$3,{"Downside","Base","Upside"},0)),0)</f>
        <v>1.8260170078881222</v>
      </c>
      <c r="CQ63" s="311" t="str">
        <f>'VALUATION &amp; RETURNS'!$B$59</f>
        <v>Mayabay Investments Pte Ltd</v>
      </c>
      <c r="CR63" s="642" t="n">
        <f>'VALUATION &amp; RETURNS'!$C$59</f>
        <v>15.001</v>
      </c>
      <c r="CS63" s="645" t="n">
        <f>0</f>
        <v>0</v>
      </c>
      <c r="CT63" s="644" t="n">
        <f>'VALUATION &amp; RETURNS'!$D$59</f>
        <v>0.07291251388593611</v>
      </c>
      <c r="CU63" s="644" t="n">
        <f>'VALUATION &amp; RETURNS'!$E$59</f>
        <v>0.07291251388593611</v>
      </c>
      <c r="CV63" s="642" t="n">
        <f>0</f>
        <v>0</v>
      </c>
      <c r="CW63" s="642" t="n">
        <f>'VALUATION &amp; RETURNS'!$F$59</f>
        <v>16.303713604610632</v>
      </c>
      <c r="CX63" s="642" t="n">
        <f>INDEX('VALUATION &amp; RETURNS'!$G$59:$I$59,1,MATCH($CR$7,{"Downside","Base","Upside"},0))</f>
        <v>33.00250739196352</v>
      </c>
      <c r="CY63" s="642" t="n">
        <f>CX63-CR63</f>
        <v>18.00150739196352</v>
      </c>
      <c r="CZ63" s="644" t="n">
        <f>IF(CR63=0,"",(CX63/CR63)^(365/(Underwriting!$BC$195-Underwriting!$M$195))-1)</f>
        <v>0.2521176027570611</v>
      </c>
      <c r="DA63" s="644" t="n">
        <f>IF(CR63=0,"",(CX63/CR63)^(365/(Underwriting!$BC$195-Underwriting!$M$195))-1)</f>
        <v>0.2521176027570611</v>
      </c>
      <c r="DB63" s="642" t="n">
        <f>IF(CR63=0,"",CX63/(1+$CR$8)^((Underwriting!$BC$195-Underwriting!$M$195)/365)-CR63)</f>
        <v>10.195189323450402</v>
      </c>
      <c r="DC63" s="643" t="n">
        <f>IF(CR63=0,"",CX63/CR63)</f>
        <v>2.2000204914314727</v>
      </c>
      <c r="DD63" s="650" t="n">
        <f>IF($CX63+$CV63&lt;$CR63+$CS63,"N/M",'VALUATION &amp; RETURNS'!$P$59)</f>
        <v>60</v>
      </c>
      <c r="DE63" s="701" t="s">
        <v>980</v>
      </c>
      <c r="DF63" s="699"/>
      <c r="DG63" s="699"/>
      <c r="DH63" s="699"/>
      <c r="DI63" s="699"/>
      <c r="DJ63" s="699"/>
      <c r="DK63" s="699"/>
      <c r="DL63" s="699"/>
    </row>
    <row r="64">
      <c r="A64" s="311"/>
      <c r="B64" s="949" t="str">
        <f t="shared" si="10"/>
        <v>Australian Institutional Investors</v>
      </c>
      <c r="C64" s="983">
        <f t="shared" si="11"/>
        <v>50</v>
      </c>
      <c r="D64" s="982">
        <f t="shared" si="11"/>
        <v>0.24302551125237021</v>
      </c>
      <c r="E64" s="982">
        <f t="shared" si="12"/>
        <v>0.24302551125237021</v>
      </c>
      <c r="F64" s="983" t="n">
        <f>'VALUATION &amp; RETURNS'!$DA$9*D64</f>
        <v>54.34208920942148</v>
      </c>
      <c r="G64" s="983">
        <f t="shared" si="13"/>
        <v>98.761461405772138</v>
      </c>
      <c r="H64" s="983">
        <f t="shared" si="13"/>
        <v>110.00102457157362</v>
      </c>
      <c r="I64" s="983">
        <f t="shared" si="13"/>
        <v>123.05318087184669</v>
      </c>
      <c r="J64" s="983">
        <f t="shared" si="14"/>
        <v>60.001024571573623</v>
      </c>
      <c r="K64" s="984">
        <f t="shared" si="15"/>
        <v>2.2000204914314723</v>
      </c>
      <c r="L64" s="982">
        <v>0.21456323093675889</v>
      </c>
      <c r="M64" s="982">
        <v>0.25243591969602264</v>
      </c>
      <c r="N64" s="982">
        <v>0.29309315048974449</v>
      </c>
      <c r="O64" s="1022" t="n">
        <f>XNPV(PROJECTS!$AP$112,$AA64:$AC64,$AA$57:$AC$57)</f>
        <v>24.84906522831089</v>
      </c>
      <c r="P64" s="1023" t="n">
        <f>IF($H64&lt;$C64,"N/M",ROUND(($C$45-((SUM($D$32:$E$32)*$C$43+$F$32*$C$44)/$C64))*12/365,1))</f>
        <v>60</v>
      </c>
      <c r="X64" s="639" t="n">
        <f>-SUM($D$32:$E$32)</f>
        <v>-50</v>
      </c>
      <c r="Y64" s="639" t="n">
        <f>-$F$32</f>
        <v>0</v>
      </c>
      <c r="Z64" s="649">
        <f t="shared" si="16"/>
        <v>98.761461405772138</v>
      </c>
      <c r="AA64" s="639" t="n">
        <f>-SUM($D$32:$E$32)</f>
        <v>-50</v>
      </c>
      <c r="AB64" s="639" t="n">
        <f>-$F$32</f>
        <v>0</v>
      </c>
      <c r="AC64" s="649">
        <f t="shared" si="17"/>
        <v>110.00102457157362</v>
      </c>
      <c r="AD64" s="639" t="n">
        <f>-SUM($D$32:$E$32)</f>
        <v>-50</v>
      </c>
      <c r="AE64" s="639" t="n">
        <f>-$F$32</f>
        <v>0</v>
      </c>
      <c r="AF64" s="649">
        <f t="shared" si="18"/>
        <v>123.05318087184669</v>
      </c>
      <c r="AG64" t="n">
        <f>IF(AG$57=$C$43,-SUM($D$32:$E$32),0)+IF(AG$57=$C$44,-$F$32,0)+IF(AG$57=$C$45,INDEX($G64:$I64,1,MATCH('INVESTOR REPORT'!$I$3,{"Downside","Base","Upside"},0)),0)</f>
        <v>-50</v>
      </c>
      <c r="AH64" t="n">
        <f>IF(AH$57=$C$43,-SUM($D$32:$E$32),0)+IF(AH$57=$C$44,-$F$32,0)+IF(AH$57=$C$45,INDEX($G64:$I64,1,MATCH('INVESTOR REPORT'!$I$3,{"Downside","Base","Upside"},0)),0)</f>
        <v>0</v>
      </c>
      <c r="AI64" t="n">
        <f>IF(AI$57=$C$43,-SUM($D$32:$E$32),0)+IF(AI$57=$C$44,-$F$32,0)+IF(AI$57=$C$45,INDEX($G64:$I64,1,MATCH('INVESTOR REPORT'!$I$3,{"Downside","Base","Upside"},0)),0)</f>
        <v>0</v>
      </c>
      <c r="AJ64" t="n">
        <f>IF(AJ$57=$C$43,-SUM($D$32:$E$32),0)+IF(AJ$57=$C$44,-$F$32,0)+IF(AJ$57=$C$45,INDEX($G64:$I64,1,MATCH('INVESTOR REPORT'!$I$3,{"Downside","Base","Upside"},0)),0)</f>
        <v>0</v>
      </c>
      <c r="AK64" t="n">
        <f>IF(AK$57=$C$43,-SUM($D$32:$E$32),0)+IF(AK$57=$C$44,-$F$32,0)+IF(AK$57=$C$45,INDEX($G64:$I64,1,MATCH('INVESTOR REPORT'!$I$3,{"Downside","Base","Upside"},0)),0)</f>
        <v>0</v>
      </c>
      <c r="AL64" t="n">
        <f>IF(AL$57=$C$43,-SUM($D$32:$E$32),0)+IF(AL$57=$C$44,-$F$32,0)+IF(AL$57=$C$45,INDEX($G64:$I64,1,MATCH('INVESTOR REPORT'!$I$3,{"Downside","Base","Upside"},0)),0)</f>
        <v>0</v>
      </c>
      <c r="AM64" t="n">
        <f>IF(AM$57=$C$43,-SUM($D$32:$E$32),0)+IF(AM$57=$C$44,-$F$32,0)+IF(AM$57=$C$45,INDEX($G64:$I64,1,MATCH('INVESTOR REPORT'!$I$3,{"Downside","Base","Upside"},0)),0)</f>
        <v>0</v>
      </c>
      <c r="AN64" t="n">
        <f>IF(AN$57=$C$43,-SUM($D$32:$E$32),0)+IF(AN$57=$C$44,-$F$32,0)+IF(AN$57=$C$45,INDEX($G64:$I64,1,MATCH('INVESTOR REPORT'!$I$3,{"Downside","Base","Upside"},0)),0)</f>
        <v>0</v>
      </c>
      <c r="AO64" t="n">
        <f>IF(AO$57=$C$43,-SUM($D$32:$E$32),0)+IF(AO$57=$C$44,-$F$32,0)+IF(AO$57=$C$45,INDEX($G64:$I64,1,MATCH('INVESTOR REPORT'!$I$3,{"Downside","Base","Upside"},0)),0)</f>
        <v>0</v>
      </c>
      <c r="AP64" t="n">
        <f>IF(AP$57=$C$43,-SUM($D$32:$E$32),0)+IF(AP$57=$C$44,-$F$32,0)+IF(AP$57=$C$45,INDEX($G64:$I64,1,MATCH('INVESTOR REPORT'!$I$3,{"Downside","Base","Upside"},0)),0)</f>
        <v>0</v>
      </c>
      <c r="AQ64" t="n">
        <f>IF(AQ$57=$C$43,-SUM($D$32:$E$32),0)+IF(AQ$57=$C$44,-$F$32,0)+IF(AQ$57=$C$45,INDEX($G64:$I64,1,MATCH('INVESTOR REPORT'!$I$3,{"Downside","Base","Upside"},0)),0)</f>
        <v>0</v>
      </c>
      <c r="AR64" t="n">
        <f>IF(AR$57=$C$43,-SUM($D$32:$E$32),0)+IF(AR$57=$C$44,-$F$32,0)+IF(AR$57=$C$45,INDEX($G64:$I64,1,MATCH('INVESTOR REPORT'!$I$3,{"Downside","Base","Upside"},0)),0)</f>
        <v>0</v>
      </c>
      <c r="AS64" t="n">
        <f>IF(AS$57=$C$43,-SUM($D$32:$E$32),0)+IF(AS$57=$C$44,-$F$32,0)+IF(AS$57=$C$45,INDEX($G64:$I64,1,MATCH('INVESTOR REPORT'!$I$3,{"Downside","Base","Upside"},0)),0)</f>
        <v>0</v>
      </c>
      <c r="AT64" t="n">
        <f>IF(AT$57=$C$43,-SUM($D$32:$E$32),0)+IF(AT$57=$C$44,-$F$32,0)+IF(AT$57=$C$45,INDEX($G64:$I64,1,MATCH('INVESTOR REPORT'!$I$3,{"Downside","Base","Upside"},0)),0)</f>
        <v>0</v>
      </c>
      <c r="AU64" t="n">
        <f>IF(AU$57=$C$43,-SUM($D$32:$E$32),0)+IF(AU$57=$C$44,-$F$32,0)+IF(AU$57=$C$45,INDEX($G64:$I64,1,MATCH('INVESTOR REPORT'!$I$3,{"Downside","Base","Upside"},0)),0)</f>
        <v>0</v>
      </c>
      <c r="AV64" t="n">
        <f>IF(AV$57=$C$43,-SUM($D$32:$E$32),0)+IF(AV$57=$C$44,-$F$32,0)+IF(AV$57=$C$45,INDEX($G64:$I64,1,MATCH('INVESTOR REPORT'!$I$3,{"Downside","Base","Upside"},0)),0)</f>
        <v>0</v>
      </c>
      <c r="AW64" t="n">
        <f>IF(AW$57=$C$43,-SUM($D$32:$E$32),0)+IF(AW$57=$C$44,-$F$32,0)+IF(AW$57=$C$45,INDEX($G64:$I64,1,MATCH('INVESTOR REPORT'!$I$3,{"Downside","Base","Upside"},0)),0)</f>
        <v>0</v>
      </c>
      <c r="AX64" t="n">
        <f>IF(AX$57=$C$43,-SUM($D$32:$E$32),0)+IF(AX$57=$C$44,-$F$32,0)+IF(AX$57=$C$45,INDEX($G64:$I64,1,MATCH('INVESTOR REPORT'!$I$3,{"Downside","Base","Upside"},0)),0)</f>
        <v>0</v>
      </c>
      <c r="AY64" t="n">
        <f>IF(AY$57=$C$43,-SUM($D$32:$E$32),0)+IF(AY$57=$C$44,-$F$32,0)+IF(AY$57=$C$45,INDEX($G64:$I64,1,MATCH('INVESTOR REPORT'!$I$3,{"Downside","Base","Upside"},0)),0)</f>
        <v>0</v>
      </c>
      <c r="AZ64" t="n">
        <f>IF(AZ$57=$C$43,-SUM($D$32:$E$32),0)+IF(AZ$57=$C$44,-$F$32,0)+IF(AZ$57=$C$45,INDEX($G64:$I64,1,MATCH('INVESTOR REPORT'!$I$3,{"Downside","Base","Upside"},0)),0)</f>
        <v>0</v>
      </c>
      <c r="BA64" t="n">
        <f>IF(BA$57=$C$43,-SUM($D$32:$E$32),0)+IF(BA$57=$C$44,-$F$32,0)+IF(BA$57=$C$45,INDEX($G64:$I64,1,MATCH('INVESTOR REPORT'!$I$3,{"Downside","Base","Upside"},0)),0)</f>
        <v>0</v>
      </c>
      <c r="BB64" t="n">
        <f>IF(BB$57=$C$43,-SUM($D$32:$E$32),0)+IF(BB$57=$C$44,-$F$32,0)+IF(BB$57=$C$45,INDEX($G64:$I64,1,MATCH('INVESTOR REPORT'!$I$3,{"Downside","Base","Upside"},0)),0)</f>
        <v>0</v>
      </c>
      <c r="BC64" t="n">
        <f>IF(BC$57=$C$43,-SUM($D$32:$E$32),0)+IF(BC$57=$C$44,-$F$32,0)+IF(BC$57=$C$45,INDEX($G64:$I64,1,MATCH('INVESTOR REPORT'!$I$3,{"Downside","Base","Upside"},0)),0)</f>
        <v>0</v>
      </c>
      <c r="BD64" t="n">
        <f>IF(BD$57=$C$43,-SUM($D$32:$E$32),0)+IF(BD$57=$C$44,-$F$32,0)+IF(BD$57=$C$45,INDEX($G64:$I64,1,MATCH('INVESTOR REPORT'!$I$3,{"Downside","Base","Upside"},0)),0)</f>
        <v>0</v>
      </c>
      <c r="BE64" t="n">
        <f>IF(BE$57=$C$43,-SUM($D$32:$E$32),0)+IF(BE$57=$C$44,-$F$32,0)+IF(BE$57=$C$45,INDEX($G64:$I64,1,MATCH('INVESTOR REPORT'!$I$3,{"Downside","Base","Upside"},0)),0)</f>
        <v>0</v>
      </c>
      <c r="BF64" t="n">
        <f>IF(BF$57=$C$43,-SUM($D$32:$E$32),0)+IF(BF$57=$C$44,-$F$32,0)+IF(BF$57=$C$45,INDEX($G64:$I64,1,MATCH('INVESTOR REPORT'!$I$3,{"Downside","Base","Upside"},0)),0)</f>
        <v>0</v>
      </c>
      <c r="BG64" t="n">
        <f>IF(BG$57=$C$43,-SUM($D$32:$E$32),0)+IF(BG$57=$C$44,-$F$32,0)+IF(BG$57=$C$45,INDEX($G64:$I64,1,MATCH('INVESTOR REPORT'!$I$3,{"Downside","Base","Upside"},0)),0)</f>
        <v>0</v>
      </c>
      <c r="BH64" t="n">
        <f>IF(BH$57=$C$43,-SUM($D$32:$E$32),0)+IF(BH$57=$C$44,-$F$32,0)+IF(BH$57=$C$45,INDEX($G64:$I64,1,MATCH('INVESTOR REPORT'!$I$3,{"Downside","Base","Upside"},0)),0)</f>
        <v>0</v>
      </c>
      <c r="BI64" t="n">
        <f>IF(BI$57=$C$43,-SUM($D$32:$E$32),0)+IF(BI$57=$C$44,-$F$32,0)+IF(BI$57=$C$45,INDEX($G64:$I64,1,MATCH('INVESTOR REPORT'!$I$3,{"Downside","Base","Upside"},0)),0)</f>
        <v>0</v>
      </c>
      <c r="BJ64" t="n">
        <f>IF(BJ$57=$C$43,-SUM($D$32:$E$32),0)+IF(BJ$57=$C$44,-$F$32,0)+IF(BJ$57=$C$45,INDEX($G64:$I64,1,MATCH('INVESTOR REPORT'!$I$3,{"Downside","Base","Upside"},0)),0)</f>
        <v>0</v>
      </c>
      <c r="BK64" t="n">
        <f>IF(BK$57=$C$43,-SUM($D$32:$E$32),0)+IF(BK$57=$C$44,-$F$32,0)+IF(BK$57=$C$45,INDEX($G64:$I64,1,MATCH('INVESTOR REPORT'!$I$3,{"Downside","Base","Upside"},0)),0)</f>
        <v>0</v>
      </c>
      <c r="BL64" t="n">
        <f>IF(BL$57=$C$43,-SUM($D$32:$E$32),0)+IF(BL$57=$C$44,-$F$32,0)+IF(BL$57=$C$45,INDEX($G64:$I64,1,MATCH('INVESTOR REPORT'!$I$3,{"Downside","Base","Upside"},0)),0)</f>
        <v>0</v>
      </c>
      <c r="BM64" t="n">
        <f>IF(BM$57=$C$43,-SUM($D$32:$E$32),0)+IF(BM$57=$C$44,-$F$32,0)+IF(BM$57=$C$45,INDEX($G64:$I64,1,MATCH('INVESTOR REPORT'!$I$3,{"Downside","Base","Upside"},0)),0)</f>
        <v>0</v>
      </c>
      <c r="BN64" t="n">
        <f>IF(BN$57=$C$43,-SUM($D$32:$E$32),0)+IF(BN$57=$C$44,-$F$32,0)+IF(BN$57=$C$45,INDEX($G64:$I64,1,MATCH('INVESTOR REPORT'!$I$3,{"Downside","Base","Upside"},0)),0)</f>
        <v>0</v>
      </c>
      <c r="BO64" t="n">
        <f>IF(BO$57=$C$43,-SUM($D$32:$E$32),0)+IF(BO$57=$C$44,-$F$32,0)+IF(BO$57=$C$45,INDEX($G64:$I64,1,MATCH('INVESTOR REPORT'!$I$3,{"Downside","Base","Upside"},0)),0)</f>
        <v>0</v>
      </c>
      <c r="BP64" t="n">
        <f>IF(BP$57=$C$43,-SUM($D$32:$E$32),0)+IF(BP$57=$C$44,-$F$32,0)+IF(BP$57=$C$45,INDEX($G64:$I64,1,MATCH('INVESTOR REPORT'!$I$3,{"Downside","Base","Upside"},0)),0)</f>
        <v>0</v>
      </c>
      <c r="BQ64" t="n">
        <f>IF(BQ$57=$C$43,-SUM($D$32:$E$32),0)+IF(BQ$57=$C$44,-$F$32,0)+IF(BQ$57=$C$45,INDEX($G64:$I64,1,MATCH('INVESTOR REPORT'!$I$3,{"Downside","Base","Upside"},0)),0)</f>
        <v>0</v>
      </c>
      <c r="BR64" t="n">
        <f>IF(BR$57=$C$43,-SUM($D$32:$E$32),0)+IF(BR$57=$C$44,-$F$32,0)+IF(BR$57=$C$45,INDEX($G64:$I64,1,MATCH('INVESTOR REPORT'!$I$3,{"Downside","Base","Upside"},0)),0)</f>
        <v>0</v>
      </c>
      <c r="BS64" t="n">
        <f>IF(BS$57=$C$43,-SUM($D$32:$E$32),0)+IF(BS$57=$C$44,-$F$32,0)+IF(BS$57=$C$45,INDEX($G64:$I64,1,MATCH('INVESTOR REPORT'!$I$3,{"Downside","Base","Upside"},0)),0)</f>
        <v>0</v>
      </c>
      <c r="BT64" t="n">
        <f>IF(BT$57=$C$43,-SUM($D$32:$E$32),0)+IF(BT$57=$C$44,-$F$32,0)+IF(BT$57=$C$45,INDEX($G64:$I64,1,MATCH('INVESTOR REPORT'!$I$3,{"Downside","Base","Upside"},0)),0)</f>
        <v>0</v>
      </c>
      <c r="BU64" t="n">
        <f>IF(BU$57=$C$43,-SUM($D$32:$E$32),0)+IF(BU$57=$C$44,-$F$32,0)+IF(BU$57=$C$45,INDEX($G64:$I64,1,MATCH('INVESTOR REPORT'!$I$3,{"Downside","Base","Upside"},0)),0)</f>
        <v>0</v>
      </c>
      <c r="BV64" t="n">
        <f>IF(BV$57=$C$43,-SUM($D$32:$E$32),0)+IF(BV$57=$C$44,-$F$32,0)+IF(BV$57=$C$45,INDEX($G64:$I64,1,MATCH('INVESTOR REPORT'!$I$3,{"Downside","Base","Upside"},0)),0)</f>
        <v>0</v>
      </c>
      <c r="BW64" t="n">
        <f>IF(BW$57=$C$43,-SUM($D$32:$E$32),0)+IF(BW$57=$C$44,-$F$32,0)+IF(BW$57=$C$45,INDEX($G64:$I64,1,MATCH('INVESTOR REPORT'!$I$3,{"Downside","Base","Upside"},0)),0)</f>
        <v>0</v>
      </c>
      <c r="BX64" t="n">
        <f>IF(BX$57=$C$43,-SUM($D$32:$E$32),0)+IF(BX$57=$C$44,-$F$32,0)+IF(BX$57=$C$45,INDEX($G64:$I64,1,MATCH('INVESTOR REPORT'!$I$3,{"Downside","Base","Upside"},0)),0)</f>
        <v>0</v>
      </c>
      <c r="BY64" t="n">
        <f>IF(BY$57=$C$43,-SUM($D$32:$E$32),0)+IF(BY$57=$C$44,-$F$32,0)+IF(BY$57=$C$45,INDEX($G64:$I64,1,MATCH('INVESTOR REPORT'!$I$3,{"Downside","Base","Upside"},0)),0)</f>
        <v>0</v>
      </c>
      <c r="BZ64" t="n">
        <f>IF(BZ$57=$C$43,-SUM($D$32:$E$32),0)+IF(BZ$57=$C$44,-$F$32,0)+IF(BZ$57=$C$45,INDEX($G64:$I64,1,MATCH('INVESTOR REPORT'!$I$3,{"Downside","Base","Upside"},0)),0)</f>
        <v>0</v>
      </c>
      <c r="CA64" t="n">
        <f>IF(CA$57=$C$43,-SUM($D$32:$E$32),0)+IF(CA$57=$C$44,-$F$32,0)+IF(CA$57=$C$45,INDEX($G64:$I64,1,MATCH('INVESTOR REPORT'!$I$3,{"Downside","Base","Upside"},0)),0)</f>
        <v>0</v>
      </c>
      <c r="CB64" t="n">
        <f>IF(CB$57=$C$43,-SUM($D$32:$E$32),0)+IF(CB$57=$C$44,-$F$32,0)+IF(CB$57=$C$45,INDEX($G64:$I64,1,MATCH('INVESTOR REPORT'!$I$3,{"Downside","Base","Upside"},0)),0)</f>
        <v>0</v>
      </c>
      <c r="CC64" t="n">
        <f>IF(CC$57=$C$43,-SUM($D$32:$E$32),0)+IF(CC$57=$C$44,-$F$32,0)+IF(CC$57=$C$45,INDEX($G64:$I64,1,MATCH('INVESTOR REPORT'!$I$3,{"Downside","Base","Upside"},0)),0)</f>
        <v>0</v>
      </c>
      <c r="CD64" t="n">
        <f>IF(CD$57=$C$43,-SUM($D$32:$E$32),0)+IF(CD$57=$C$44,-$F$32,0)+IF(CD$57=$C$45,INDEX($G64:$I64,1,MATCH('INVESTOR REPORT'!$I$3,{"Downside","Base","Upside"},0)),0)</f>
        <v>0</v>
      </c>
      <c r="CE64" t="n">
        <f>IF(CE$57=$C$43,-SUM($D$32:$E$32),0)+IF(CE$57=$C$44,-$F$32,0)+IF(CE$57=$C$45,INDEX($G64:$I64,1,MATCH('INVESTOR REPORT'!$I$3,{"Downside","Base","Upside"},0)),0)</f>
        <v>0</v>
      </c>
      <c r="CF64" t="n">
        <f>IF(CF$57=$C$43,-SUM($D$32:$E$32),0)+IF(CF$57=$C$44,-$F$32,0)+IF(CF$57=$C$45,INDEX($G64:$I64,1,MATCH('INVESTOR REPORT'!$I$3,{"Downside","Base","Upside"},0)),0)</f>
        <v>0</v>
      </c>
      <c r="CG64" t="n">
        <f>IF(CG$57=$C$43,-SUM($D$32:$E$32),0)+IF(CG$57=$C$44,-$F$32,0)+IF(CG$57=$C$45,INDEX($G64:$I64,1,MATCH('INVESTOR REPORT'!$I$3,{"Downside","Base","Upside"},0)),0)</f>
        <v>0</v>
      </c>
      <c r="CH64" t="n">
        <f>IF(CH$57=$C$43,-SUM($D$32:$E$32),0)+IF(CH$57=$C$44,-$F$32,0)+IF(CH$57=$C$45,INDEX($G64:$I64,1,MATCH('INVESTOR REPORT'!$I$3,{"Downside","Base","Upside"},0)),0)</f>
        <v>0</v>
      </c>
      <c r="CI64" t="n">
        <f>IF(CI$57=$C$43,-SUM($D$32:$E$32),0)+IF(CI$57=$C$44,-$F$32,0)+IF(CI$57=$C$45,INDEX($G64:$I64,1,MATCH('INVESTOR REPORT'!$I$3,{"Downside","Base","Upside"},0)),0)</f>
        <v>0</v>
      </c>
      <c r="CJ64" t="n">
        <f>IF(CJ$57=$C$43,-SUM($D$32:$E$32),0)+IF(CJ$57=$C$44,-$F$32,0)+IF(CJ$57=$C$45,INDEX($G64:$I64,1,MATCH('INVESTOR REPORT'!$I$3,{"Downside","Base","Upside"},0)),0)</f>
        <v>0</v>
      </c>
      <c r="CK64" t="n">
        <f>IF(CK$57=$C$43,-SUM($D$32:$E$32),0)+IF(CK$57=$C$44,-$F$32,0)+IF(CK$57=$C$45,INDEX($G64:$I64,1,MATCH('INVESTOR REPORT'!$I$3,{"Downside","Base","Upside"},0)),0)</f>
        <v>0</v>
      </c>
      <c r="CL64" t="n">
        <f>IF(CL$57=$C$43,-SUM($D$32:$E$32),0)+IF(CL$57=$C$44,-$F$32,0)+IF(CL$57=$C$45,INDEX($G64:$I64,1,MATCH('INVESTOR REPORT'!$I$3,{"Downside","Base","Upside"},0)),0)</f>
        <v>0</v>
      </c>
      <c r="CM64" t="n">
        <f>IF(CM$57=$C$43,-SUM($D$32:$E$32),0)+IF(CM$57=$C$44,-$F$32,0)+IF(CM$57=$C$45,INDEX($G64:$I64,1,MATCH('INVESTOR REPORT'!$I$3,{"Downside","Base","Upside"},0)),0)</f>
        <v>0</v>
      </c>
      <c r="CN64" t="n">
        <f>IF(CN$57=$C$43,-SUM($D$32:$E$32),0)+IF(CN$57=$C$44,-$F$32,0)+IF(CN$57=$C$45,INDEX($G64:$I64,1,MATCH('INVESTOR REPORT'!$I$3,{"Downside","Base","Upside"},0)),0)</f>
        <v>0</v>
      </c>
      <c r="CO64" t="n">
        <f>IF(CO$57=$C$43,-SUM($D$32:$E$32),0)+IF(CO$57=$C$44,-$F$32,0)+IF(CO$57=$C$45,INDEX($G64:$I64,1,MATCH('INVESTOR REPORT'!$I$3,{"Downside","Base","Upside"},0)),0)</f>
        <v>110.00102457157362</v>
      </c>
      <c r="CQ64" s="311" t="str">
        <f>'VALUATION &amp; RETURNS'!$B$60</f>
        <v>Brian Mirnoff</v>
      </c>
      <c r="CR64" s="642" t="n">
        <f>'VALUATION &amp; RETURNS'!$C$60</f>
        <v>5</v>
      </c>
      <c r="CS64" s="645" t="n">
        <f>0</f>
        <v>0</v>
      </c>
      <c r="CT64" s="644" t="n">
        <f>'VALUATION &amp; RETURNS'!$D$60</f>
        <v>0.02430255112523702</v>
      </c>
      <c r="CU64" s="644" t="n">
        <f>'VALUATION &amp; RETURNS'!$E$60</f>
        <v>0.02430255112523702</v>
      </c>
      <c r="CV64" s="642" t="n">
        <f>0</f>
        <v>0</v>
      </c>
      <c r="CW64" s="642" t="n">
        <f>'VALUATION &amp; RETURNS'!$F$60</f>
        <v>5.434208920942148</v>
      </c>
      <c r="CX64" s="642" t="n">
        <f>INDEX('VALUATION &amp; RETURNS'!$G$60:$I$60,1,MATCH($CR$7,{"Downside","Base","Upside"},0))</f>
        <v>11.000102457157363</v>
      </c>
      <c r="CY64" s="642" t="n">
        <f>CX64-CR64</f>
        <v>6.000102457157363</v>
      </c>
      <c r="CZ64" s="644" t="n">
        <f>IF(CR64=0,"",(CX64/CR64)^(365/(Underwriting!$BC$195-Underwriting!$M$195))-1)</f>
        <v>0.2521176027570611</v>
      </c>
      <c r="DA64" s="644" t="n">
        <f>IF(CR64=0,"",(CX64/CR64)^(365/(Underwriting!$BC$195-Underwriting!$M$195))-1)</f>
        <v>0.2521176027570611</v>
      </c>
      <c r="DB64" s="642" t="n">
        <f>IF(CR64=0,"",CX64/(1+$CR$8)^((Underwriting!$BC$195-Underwriting!$M$195)/365)-CR64)</f>
        <v>3.3981698964903675</v>
      </c>
      <c r="DC64" s="643" t="n">
        <f>IF(CR64=0,"",CX64/CR64)</f>
        <v>2.2000204914314727</v>
      </c>
      <c r="DD64" s="650" t="n">
        <f>IF($CX64+$CV64&lt;$CR64+$CS64,"N/M",'VALUATION &amp; RETURNS'!$P$60)</f>
        <v>60</v>
      </c>
      <c r="DE64" s="694" t="s">
        <v>981</v>
      </c>
      <c r="DF64" s="699"/>
      <c r="DG64" s="699"/>
      <c r="DH64" s="699"/>
      <c r="DI64" s="699"/>
      <c r="DJ64" s="699"/>
      <c r="DK64" s="699"/>
      <c r="DL64" s="699"/>
    </row>
    <row r="65">
      <c r="A65" s="311"/>
      <c r="B65" s="962" t="str">
        <f t="shared" si="10"/>
        <v>MASTER DEVELOPER</v>
      </c>
      <c r="C65" s="986">
        <f t="shared" si="11"/>
        <v>121.90871737509246</v>
      </c>
      <c r="D65" s="985">
        <f t="shared" si="11"/>
        <v>0.59253856732405108</v>
      </c>
      <c r="E65" s="985">
        <f t="shared" si="12"/>
        <v>0.59253856732405108</v>
      </c>
      <c r="F65" s="986" t="n">
        <f>'VALUATION &amp; RETURNS'!$DA$9*D65</f>
        <v>132.4954879000685</v>
      </c>
      <c r="G65" s="986">
        <f t="shared" si="13"/>
        <v>240.79766172134757</v>
      </c>
      <c r="H65" s="986">
        <f t="shared" si="13"/>
        <v>268.20167630933139</v>
      </c>
      <c r="I65" s="986">
        <f t="shared" si="13"/>
        <v>300.02510898024184</v>
      </c>
      <c r="J65" s="986">
        <f t="shared" si="14"/>
        <v>146.29295893423892</v>
      </c>
      <c r="K65" s="987">
        <f t="shared" si="15"/>
        <v>2.2000204914314723</v>
      </c>
      <c r="L65" s="985">
        <v>0.21456323093675889</v>
      </c>
      <c r="M65" s="985">
        <v>0.25243591969602264</v>
      </c>
      <c r="N65" s="985">
        <v>0.29309315048974449</v>
      </c>
      <c r="O65" s="1024" t="n">
        <f>XNPV(PROJECTS!$AP$112,$AA65:$AC65,$AA$57:$AC$57)</f>
        <v>60.58635339906732</v>
      </c>
      <c r="P65" s="1025" t="n">
        <f>IF($H65&lt;$C65,"N/M",ROUND(($C$45-((SUM($D$33:$E$33)*$C$43+$F$33*$C$44)/$C65))*12/365,1))</f>
        <v>60</v>
      </c>
      <c r="X65" s="639" t="n">
        <f>-SUM($D$33:$E$33)</f>
        <v>-121.90871737509292</v>
      </c>
      <c r="Y65" s="639" t="n">
        <f>-$F$33</f>
        <v>0</v>
      </c>
      <c r="Z65" s="649">
        <f t="shared" si="16"/>
        <v>240.79766172134757</v>
      </c>
      <c r="AA65" s="639" t="n">
        <f>-SUM($D$33:$E$33)</f>
        <v>-121.90871737509292</v>
      </c>
      <c r="AB65" s="639" t="n">
        <f>-$F$33</f>
        <v>0</v>
      </c>
      <c r="AC65" s="649">
        <f t="shared" si="17"/>
        <v>268.20167630933139</v>
      </c>
      <c r="AD65" s="639" t="n">
        <f>-SUM($D$33:$E$33)</f>
        <v>-121.90871737509292</v>
      </c>
      <c r="AE65" s="639" t="n">
        <f>-$F$33</f>
        <v>0</v>
      </c>
      <c r="AF65" s="649">
        <f t="shared" si="18"/>
        <v>300.02510898024184</v>
      </c>
      <c r="AG65" t="n">
        <f>IF(AG$57=$C$43,-SUM($D$33:$E$33),0)+IF(AG$57=$C$44,-$F$33,0)+IF(AG$57=$C$45,INDEX($G65:$I65,1,MATCH('INVESTOR REPORT'!$I$3,{"Downside","Base","Upside"},0)),0)</f>
        <v>-121.90871737509292</v>
      </c>
      <c r="AH65" t="n">
        <f>IF(AH$57=$C$43,-SUM($D$33:$E$33),0)+IF(AH$57=$C$44,-$F$33,0)+IF(AH$57=$C$45,INDEX($G65:$I65,1,MATCH('INVESTOR REPORT'!$I$3,{"Downside","Base","Upside"},0)),0)</f>
        <v>0</v>
      </c>
      <c r="AI65" t="n">
        <f>IF(AI$57=$C$43,-SUM($D$33:$E$33),0)+IF(AI$57=$C$44,-$F$33,0)+IF(AI$57=$C$45,INDEX($G65:$I65,1,MATCH('INVESTOR REPORT'!$I$3,{"Downside","Base","Upside"},0)),0)</f>
        <v>0</v>
      </c>
      <c r="AJ65" t="n">
        <f>IF(AJ$57=$C$43,-SUM($D$33:$E$33),0)+IF(AJ$57=$C$44,-$F$33,0)+IF(AJ$57=$C$45,INDEX($G65:$I65,1,MATCH('INVESTOR REPORT'!$I$3,{"Downside","Base","Upside"},0)),0)</f>
        <v>0</v>
      </c>
      <c r="AK65" t="n">
        <f>IF(AK$57=$C$43,-SUM($D$33:$E$33),0)+IF(AK$57=$C$44,-$F$33,0)+IF(AK$57=$C$45,INDEX($G65:$I65,1,MATCH('INVESTOR REPORT'!$I$3,{"Downside","Base","Upside"},0)),0)</f>
        <v>0</v>
      </c>
      <c r="AL65" t="n">
        <f>IF(AL$57=$C$43,-SUM($D$33:$E$33),0)+IF(AL$57=$C$44,-$F$33,0)+IF(AL$57=$C$45,INDEX($G65:$I65,1,MATCH('INVESTOR REPORT'!$I$3,{"Downside","Base","Upside"},0)),0)</f>
        <v>0</v>
      </c>
      <c r="AM65" t="n">
        <f>IF(AM$57=$C$43,-SUM($D$33:$E$33),0)+IF(AM$57=$C$44,-$F$33,0)+IF(AM$57=$C$45,INDEX($G65:$I65,1,MATCH('INVESTOR REPORT'!$I$3,{"Downside","Base","Upside"},0)),0)</f>
        <v>0</v>
      </c>
      <c r="AN65" t="n">
        <f>IF(AN$57=$C$43,-SUM($D$33:$E$33),0)+IF(AN$57=$C$44,-$F$33,0)+IF(AN$57=$C$45,INDEX($G65:$I65,1,MATCH('INVESTOR REPORT'!$I$3,{"Downside","Base","Upside"},0)),0)</f>
        <v>0</v>
      </c>
      <c r="AO65" t="n">
        <f>IF(AO$57=$C$43,-SUM($D$33:$E$33),0)+IF(AO$57=$C$44,-$F$33,0)+IF(AO$57=$C$45,INDEX($G65:$I65,1,MATCH('INVESTOR REPORT'!$I$3,{"Downside","Base","Upside"},0)),0)</f>
        <v>0</v>
      </c>
      <c r="AP65" t="n">
        <f>IF(AP$57=$C$43,-SUM($D$33:$E$33),0)+IF(AP$57=$C$44,-$F$33,0)+IF(AP$57=$C$45,INDEX($G65:$I65,1,MATCH('INVESTOR REPORT'!$I$3,{"Downside","Base","Upside"},0)),0)</f>
        <v>0</v>
      </c>
      <c r="AQ65" t="n">
        <f>IF(AQ$57=$C$43,-SUM($D$33:$E$33),0)+IF(AQ$57=$C$44,-$F$33,0)+IF(AQ$57=$C$45,INDEX($G65:$I65,1,MATCH('INVESTOR REPORT'!$I$3,{"Downside","Base","Upside"},0)),0)</f>
        <v>0</v>
      </c>
      <c r="AR65" t="n">
        <f>IF(AR$57=$C$43,-SUM($D$33:$E$33),0)+IF(AR$57=$C$44,-$F$33,0)+IF(AR$57=$C$45,INDEX($G65:$I65,1,MATCH('INVESTOR REPORT'!$I$3,{"Downside","Base","Upside"},0)),0)</f>
        <v>0</v>
      </c>
      <c r="AS65" t="n">
        <f>IF(AS$57=$C$43,-SUM($D$33:$E$33),0)+IF(AS$57=$C$44,-$F$33,0)+IF(AS$57=$C$45,INDEX($G65:$I65,1,MATCH('INVESTOR REPORT'!$I$3,{"Downside","Base","Upside"},0)),0)</f>
        <v>0</v>
      </c>
      <c r="AT65" t="n">
        <f>IF(AT$57=$C$43,-SUM($D$33:$E$33),0)+IF(AT$57=$C$44,-$F$33,0)+IF(AT$57=$C$45,INDEX($G65:$I65,1,MATCH('INVESTOR REPORT'!$I$3,{"Downside","Base","Upside"},0)),0)</f>
        <v>0</v>
      </c>
      <c r="AU65" t="n">
        <f>IF(AU$57=$C$43,-SUM($D$33:$E$33),0)+IF(AU$57=$C$44,-$F$33,0)+IF(AU$57=$C$45,INDEX($G65:$I65,1,MATCH('INVESTOR REPORT'!$I$3,{"Downside","Base","Upside"},0)),0)</f>
        <v>0</v>
      </c>
      <c r="AV65" t="n">
        <f>IF(AV$57=$C$43,-SUM($D$33:$E$33),0)+IF(AV$57=$C$44,-$F$33,0)+IF(AV$57=$C$45,INDEX($G65:$I65,1,MATCH('INVESTOR REPORT'!$I$3,{"Downside","Base","Upside"},0)),0)</f>
        <v>0</v>
      </c>
      <c r="AW65" t="n">
        <f>IF(AW$57=$C$43,-SUM($D$33:$E$33),0)+IF(AW$57=$C$44,-$F$33,0)+IF(AW$57=$C$45,INDEX($G65:$I65,1,MATCH('INVESTOR REPORT'!$I$3,{"Downside","Base","Upside"},0)),0)</f>
        <v>0</v>
      </c>
      <c r="AX65" t="n">
        <f>IF(AX$57=$C$43,-SUM($D$33:$E$33),0)+IF(AX$57=$C$44,-$F$33,0)+IF(AX$57=$C$45,INDEX($G65:$I65,1,MATCH('INVESTOR REPORT'!$I$3,{"Downside","Base","Upside"},0)),0)</f>
        <v>0</v>
      </c>
      <c r="AY65" t="n">
        <f>IF(AY$57=$C$43,-SUM($D$33:$E$33),0)+IF(AY$57=$C$44,-$F$33,0)+IF(AY$57=$C$45,INDEX($G65:$I65,1,MATCH('INVESTOR REPORT'!$I$3,{"Downside","Base","Upside"},0)),0)</f>
        <v>0</v>
      </c>
      <c r="AZ65" t="n">
        <f>IF(AZ$57=$C$43,-SUM($D$33:$E$33),0)+IF(AZ$57=$C$44,-$F$33,0)+IF(AZ$57=$C$45,INDEX($G65:$I65,1,MATCH('INVESTOR REPORT'!$I$3,{"Downside","Base","Upside"},0)),0)</f>
        <v>0</v>
      </c>
      <c r="BA65" t="n">
        <f>IF(BA$57=$C$43,-SUM($D$33:$E$33),0)+IF(BA$57=$C$44,-$F$33,0)+IF(BA$57=$C$45,INDEX($G65:$I65,1,MATCH('INVESTOR REPORT'!$I$3,{"Downside","Base","Upside"},0)),0)</f>
        <v>0</v>
      </c>
      <c r="BB65" t="n">
        <f>IF(BB$57=$C$43,-SUM($D$33:$E$33),0)+IF(BB$57=$C$44,-$F$33,0)+IF(BB$57=$C$45,INDEX($G65:$I65,1,MATCH('INVESTOR REPORT'!$I$3,{"Downside","Base","Upside"},0)),0)</f>
        <v>0</v>
      </c>
      <c r="BC65" t="n">
        <f>IF(BC$57=$C$43,-SUM($D$33:$E$33),0)+IF(BC$57=$C$44,-$F$33,0)+IF(BC$57=$C$45,INDEX($G65:$I65,1,MATCH('INVESTOR REPORT'!$I$3,{"Downside","Base","Upside"},0)),0)</f>
        <v>0</v>
      </c>
      <c r="BD65" t="n">
        <f>IF(BD$57=$C$43,-SUM($D$33:$E$33),0)+IF(BD$57=$C$44,-$F$33,0)+IF(BD$57=$C$45,INDEX($G65:$I65,1,MATCH('INVESTOR REPORT'!$I$3,{"Downside","Base","Upside"},0)),0)</f>
        <v>0</v>
      </c>
      <c r="BE65" t="n">
        <f>IF(BE$57=$C$43,-SUM($D$33:$E$33),0)+IF(BE$57=$C$44,-$F$33,0)+IF(BE$57=$C$45,INDEX($G65:$I65,1,MATCH('INVESTOR REPORT'!$I$3,{"Downside","Base","Upside"},0)),0)</f>
        <v>0</v>
      </c>
      <c r="BF65" t="n">
        <f>IF(BF$57=$C$43,-SUM($D$33:$E$33),0)+IF(BF$57=$C$44,-$F$33,0)+IF(BF$57=$C$45,INDEX($G65:$I65,1,MATCH('INVESTOR REPORT'!$I$3,{"Downside","Base","Upside"},0)),0)</f>
        <v>0</v>
      </c>
      <c r="BG65" t="n">
        <f>IF(BG$57=$C$43,-SUM($D$33:$E$33),0)+IF(BG$57=$C$44,-$F$33,0)+IF(BG$57=$C$45,INDEX($G65:$I65,1,MATCH('INVESTOR REPORT'!$I$3,{"Downside","Base","Upside"},0)),0)</f>
        <v>0</v>
      </c>
      <c r="BH65" t="n">
        <f>IF(BH$57=$C$43,-SUM($D$33:$E$33),0)+IF(BH$57=$C$44,-$F$33,0)+IF(BH$57=$C$45,INDEX($G65:$I65,1,MATCH('INVESTOR REPORT'!$I$3,{"Downside","Base","Upside"},0)),0)</f>
        <v>0</v>
      </c>
      <c r="BI65" t="n">
        <f>IF(BI$57=$C$43,-SUM($D$33:$E$33),0)+IF(BI$57=$C$44,-$F$33,0)+IF(BI$57=$C$45,INDEX($G65:$I65,1,MATCH('INVESTOR REPORT'!$I$3,{"Downside","Base","Upside"},0)),0)</f>
        <v>0</v>
      </c>
      <c r="BJ65" t="n">
        <f>IF(BJ$57=$C$43,-SUM($D$33:$E$33),0)+IF(BJ$57=$C$44,-$F$33,0)+IF(BJ$57=$C$45,INDEX($G65:$I65,1,MATCH('INVESTOR REPORT'!$I$3,{"Downside","Base","Upside"},0)),0)</f>
        <v>0</v>
      </c>
      <c r="BK65" t="n">
        <f>IF(BK$57=$C$43,-SUM($D$33:$E$33),0)+IF(BK$57=$C$44,-$F$33,0)+IF(BK$57=$C$45,INDEX($G65:$I65,1,MATCH('INVESTOR REPORT'!$I$3,{"Downside","Base","Upside"},0)),0)</f>
        <v>0</v>
      </c>
      <c r="BL65" t="n">
        <f>IF(BL$57=$C$43,-SUM($D$33:$E$33),0)+IF(BL$57=$C$44,-$F$33,0)+IF(BL$57=$C$45,INDEX($G65:$I65,1,MATCH('INVESTOR REPORT'!$I$3,{"Downside","Base","Upside"},0)),0)</f>
        <v>0</v>
      </c>
      <c r="BM65" t="n">
        <f>IF(BM$57=$C$43,-SUM($D$33:$E$33),0)+IF(BM$57=$C$44,-$F$33,0)+IF(BM$57=$C$45,INDEX($G65:$I65,1,MATCH('INVESTOR REPORT'!$I$3,{"Downside","Base","Upside"},0)),0)</f>
        <v>0</v>
      </c>
      <c r="BN65" t="n">
        <f>IF(BN$57=$C$43,-SUM($D$33:$E$33),0)+IF(BN$57=$C$44,-$F$33,0)+IF(BN$57=$C$45,INDEX($G65:$I65,1,MATCH('INVESTOR REPORT'!$I$3,{"Downside","Base","Upside"},0)),0)</f>
        <v>0</v>
      </c>
      <c r="BO65" t="n">
        <f>IF(BO$57=$C$43,-SUM($D$33:$E$33),0)+IF(BO$57=$C$44,-$F$33,0)+IF(BO$57=$C$45,INDEX($G65:$I65,1,MATCH('INVESTOR REPORT'!$I$3,{"Downside","Base","Upside"},0)),0)</f>
        <v>0</v>
      </c>
      <c r="BP65" t="n">
        <f>IF(BP$57=$C$43,-SUM($D$33:$E$33),0)+IF(BP$57=$C$44,-$F$33,0)+IF(BP$57=$C$45,INDEX($G65:$I65,1,MATCH('INVESTOR REPORT'!$I$3,{"Downside","Base","Upside"},0)),0)</f>
        <v>0</v>
      </c>
      <c r="BQ65" t="n">
        <f>IF(BQ$57=$C$43,-SUM($D$33:$E$33),0)+IF(BQ$57=$C$44,-$F$33,0)+IF(BQ$57=$C$45,INDEX($G65:$I65,1,MATCH('INVESTOR REPORT'!$I$3,{"Downside","Base","Upside"},0)),0)</f>
        <v>0</v>
      </c>
      <c r="BR65" t="n">
        <f>IF(BR$57=$C$43,-SUM($D$33:$E$33),0)+IF(BR$57=$C$44,-$F$33,0)+IF(BR$57=$C$45,INDEX($G65:$I65,1,MATCH('INVESTOR REPORT'!$I$3,{"Downside","Base","Upside"},0)),0)</f>
        <v>0</v>
      </c>
      <c r="BS65" t="n">
        <f>IF(BS$57=$C$43,-SUM($D$33:$E$33),0)+IF(BS$57=$C$44,-$F$33,0)+IF(BS$57=$C$45,INDEX($G65:$I65,1,MATCH('INVESTOR REPORT'!$I$3,{"Downside","Base","Upside"},0)),0)</f>
        <v>0</v>
      </c>
      <c r="BT65" t="n">
        <f>IF(BT$57=$C$43,-SUM($D$33:$E$33),0)+IF(BT$57=$C$44,-$F$33,0)+IF(BT$57=$C$45,INDEX($G65:$I65,1,MATCH('INVESTOR REPORT'!$I$3,{"Downside","Base","Upside"},0)),0)</f>
        <v>0</v>
      </c>
      <c r="BU65" t="n">
        <f>IF(BU$57=$C$43,-SUM($D$33:$E$33),0)+IF(BU$57=$C$44,-$F$33,0)+IF(BU$57=$C$45,INDEX($G65:$I65,1,MATCH('INVESTOR REPORT'!$I$3,{"Downside","Base","Upside"},0)),0)</f>
        <v>0</v>
      </c>
      <c r="BV65" t="n">
        <f>IF(BV$57=$C$43,-SUM($D$33:$E$33),0)+IF(BV$57=$C$44,-$F$33,0)+IF(BV$57=$C$45,INDEX($G65:$I65,1,MATCH('INVESTOR REPORT'!$I$3,{"Downside","Base","Upside"},0)),0)</f>
        <v>0</v>
      </c>
      <c r="BW65" t="n">
        <f>IF(BW$57=$C$43,-SUM($D$33:$E$33),0)+IF(BW$57=$C$44,-$F$33,0)+IF(BW$57=$C$45,INDEX($G65:$I65,1,MATCH('INVESTOR REPORT'!$I$3,{"Downside","Base","Upside"},0)),0)</f>
        <v>0</v>
      </c>
      <c r="BX65" t="n">
        <f>IF(BX$57=$C$43,-SUM($D$33:$E$33),0)+IF(BX$57=$C$44,-$F$33,0)+IF(BX$57=$C$45,INDEX($G65:$I65,1,MATCH('INVESTOR REPORT'!$I$3,{"Downside","Base","Upside"},0)),0)</f>
        <v>0</v>
      </c>
      <c r="BY65" t="n">
        <f>IF(BY$57=$C$43,-SUM($D$33:$E$33),0)+IF(BY$57=$C$44,-$F$33,0)+IF(BY$57=$C$45,INDEX($G65:$I65,1,MATCH('INVESTOR REPORT'!$I$3,{"Downside","Base","Upside"},0)),0)</f>
        <v>0</v>
      </c>
      <c r="BZ65" t="n">
        <f>IF(BZ$57=$C$43,-SUM($D$33:$E$33),0)+IF(BZ$57=$C$44,-$F$33,0)+IF(BZ$57=$C$45,INDEX($G65:$I65,1,MATCH('INVESTOR REPORT'!$I$3,{"Downside","Base","Upside"},0)),0)</f>
        <v>0</v>
      </c>
      <c r="CA65" t="n">
        <f>IF(CA$57=$C$43,-SUM($D$33:$E$33),0)+IF(CA$57=$C$44,-$F$33,0)+IF(CA$57=$C$45,INDEX($G65:$I65,1,MATCH('INVESTOR REPORT'!$I$3,{"Downside","Base","Upside"},0)),0)</f>
        <v>0</v>
      </c>
      <c r="CB65" t="n">
        <f>IF(CB$57=$C$43,-SUM($D$33:$E$33),0)+IF(CB$57=$C$44,-$F$33,0)+IF(CB$57=$C$45,INDEX($G65:$I65,1,MATCH('INVESTOR REPORT'!$I$3,{"Downside","Base","Upside"},0)),0)</f>
        <v>0</v>
      </c>
      <c r="CC65" t="n">
        <f>IF(CC$57=$C$43,-SUM($D$33:$E$33),0)+IF(CC$57=$C$44,-$F$33,0)+IF(CC$57=$C$45,INDEX($G65:$I65,1,MATCH('INVESTOR REPORT'!$I$3,{"Downside","Base","Upside"},0)),0)</f>
        <v>0</v>
      </c>
      <c r="CD65" t="n">
        <f>IF(CD$57=$C$43,-SUM($D$33:$E$33),0)+IF(CD$57=$C$44,-$F$33,0)+IF(CD$57=$C$45,INDEX($G65:$I65,1,MATCH('INVESTOR REPORT'!$I$3,{"Downside","Base","Upside"},0)),0)</f>
        <v>0</v>
      </c>
      <c r="CE65" t="n">
        <f>IF(CE$57=$C$43,-SUM($D$33:$E$33),0)+IF(CE$57=$C$44,-$F$33,0)+IF(CE$57=$C$45,INDEX($G65:$I65,1,MATCH('INVESTOR REPORT'!$I$3,{"Downside","Base","Upside"},0)),0)</f>
        <v>0</v>
      </c>
      <c r="CF65" t="n">
        <f>IF(CF$57=$C$43,-SUM($D$33:$E$33),0)+IF(CF$57=$C$44,-$F$33,0)+IF(CF$57=$C$45,INDEX($G65:$I65,1,MATCH('INVESTOR REPORT'!$I$3,{"Downside","Base","Upside"},0)),0)</f>
        <v>0</v>
      </c>
      <c r="CG65" t="n">
        <f>IF(CG$57=$C$43,-SUM($D$33:$E$33),0)+IF(CG$57=$C$44,-$F$33,0)+IF(CG$57=$C$45,INDEX($G65:$I65,1,MATCH('INVESTOR REPORT'!$I$3,{"Downside","Base","Upside"},0)),0)</f>
        <v>0</v>
      </c>
      <c r="CH65" t="n">
        <f>IF(CH$57=$C$43,-SUM($D$33:$E$33),0)+IF(CH$57=$C$44,-$F$33,0)+IF(CH$57=$C$45,INDEX($G65:$I65,1,MATCH('INVESTOR REPORT'!$I$3,{"Downside","Base","Upside"},0)),0)</f>
        <v>0</v>
      </c>
      <c r="CI65" t="n">
        <f>IF(CI$57=$C$43,-SUM($D$33:$E$33),0)+IF(CI$57=$C$44,-$F$33,0)+IF(CI$57=$C$45,INDEX($G65:$I65,1,MATCH('INVESTOR REPORT'!$I$3,{"Downside","Base","Upside"},0)),0)</f>
        <v>0</v>
      </c>
      <c r="CJ65" t="n">
        <f>IF(CJ$57=$C$43,-SUM($D$33:$E$33),0)+IF(CJ$57=$C$44,-$F$33,0)+IF(CJ$57=$C$45,INDEX($G65:$I65,1,MATCH('INVESTOR REPORT'!$I$3,{"Downside","Base","Upside"},0)),0)</f>
        <v>0</v>
      </c>
      <c r="CK65" t="n">
        <f>IF(CK$57=$C$43,-SUM($D$33:$E$33),0)+IF(CK$57=$C$44,-$F$33,0)+IF(CK$57=$C$45,INDEX($G65:$I65,1,MATCH('INVESTOR REPORT'!$I$3,{"Downside","Base","Upside"},0)),0)</f>
        <v>0</v>
      </c>
      <c r="CL65" t="n">
        <f>IF(CL$57=$C$43,-SUM($D$33:$E$33),0)+IF(CL$57=$C$44,-$F$33,0)+IF(CL$57=$C$45,INDEX($G65:$I65,1,MATCH('INVESTOR REPORT'!$I$3,{"Downside","Base","Upside"},0)),0)</f>
        <v>0</v>
      </c>
      <c r="CM65" t="n">
        <f>IF(CM$57=$C$43,-SUM($D$33:$E$33),0)+IF(CM$57=$C$44,-$F$33,0)+IF(CM$57=$C$45,INDEX($G65:$I65,1,MATCH('INVESTOR REPORT'!$I$3,{"Downside","Base","Upside"},0)),0)</f>
        <v>0</v>
      </c>
      <c r="CN65" t="n">
        <f>IF(CN$57=$C$43,-SUM($D$33:$E$33),0)+IF(CN$57=$C$44,-$F$33,0)+IF(CN$57=$C$45,INDEX($G65:$I65,1,MATCH('INVESTOR REPORT'!$I$3,{"Downside","Base","Upside"},0)),0)</f>
        <v>0</v>
      </c>
      <c r="CO65" t="n">
        <f>IF(CO$57=$C$43,-SUM($D$33:$E$33),0)+IF(CO$57=$C$44,-$F$33,0)+IF(CO$57=$C$45,INDEX($G65:$I65,1,MATCH('INVESTOR REPORT'!$I$3,{"Downside","Base","Upside"},0)),0)</f>
        <v>268.2016763093314</v>
      </c>
      <c r="CQ65" s="311" t="str">
        <f>'VALUATION &amp; RETURNS'!$B$61</f>
        <v>Belgravia</v>
      </c>
      <c r="CR65" s="642" t="n">
        <f>'VALUATION &amp; RETURNS'!$C$61</f>
        <v>2</v>
      </c>
      <c r="CS65" s="645" t="n">
        <f>0</f>
        <v>0</v>
      </c>
      <c r="CT65" s="644" t="n">
        <f>'VALUATION &amp; RETURNS'!$D$61</f>
        <v>0.009721020450094809</v>
      </c>
      <c r="CU65" s="644" t="n">
        <f>'VALUATION &amp; RETURNS'!$E$61</f>
        <v>0.009721020450094809</v>
      </c>
      <c r="CV65" s="642" t="n">
        <f>0</f>
        <v>0</v>
      </c>
      <c r="CW65" s="642" t="n">
        <f>'VALUATION &amp; RETURNS'!$F$61</f>
        <v>2.1736835683768594</v>
      </c>
      <c r="CX65" s="642" t="n">
        <f>INDEX('VALUATION &amp; RETURNS'!$G$61:$I$61,1,MATCH($CR$7,{"Downside","Base","Upside"},0))</f>
        <v>4.400040982862945</v>
      </c>
      <c r="CY65" s="642" t="n">
        <f>CX65-CR65</f>
        <v>2.4000409828629454</v>
      </c>
      <c r="CZ65" s="644" t="n">
        <f>IF(CR65=0,"",(CX65/CR65)^(365/(Underwriting!$BC$195-Underwriting!$M$195))-1)</f>
        <v>0.2521176027570611</v>
      </c>
      <c r="DA65" s="644" t="n">
        <f>IF(CR65=0,"",(CX65/CR65)^(365/(Underwriting!$BC$195-Underwriting!$M$195))-1)</f>
        <v>0.2521176027570611</v>
      </c>
      <c r="DB65" s="642" t="n">
        <f>IF(CR65=0,"",CX65/(1+$CR$8)^((Underwriting!$BC$195-Underwriting!$M$195)/365)-CR65)</f>
        <v>1.3592679585961474</v>
      </c>
      <c r="DC65" s="643" t="n">
        <f>IF(CR65=0,"",CX65/CR65)</f>
        <v>2.2000204914314727</v>
      </c>
      <c r="DD65" s="650" t="n">
        <f>IF($CX65+$CV65&lt;$CR65+$CS65,"N/M",'VALUATION &amp; RETURNS'!$P$61)</f>
        <v>60</v>
      </c>
    </row>
    <row r="66" hidden="1">
      <c r="B66" s="925"/>
      <c r="C66" s="925"/>
      <c r="D66" s="925"/>
      <c r="E66" s="925"/>
      <c r="F66" s="925"/>
      <c r="G66" s="925"/>
      <c r="H66" s="925"/>
      <c r="I66" s="925"/>
      <c r="J66" s="925"/>
      <c r="K66" s="925"/>
      <c r="L66" s="925"/>
      <c r="M66" s="925"/>
      <c r="N66" s="925"/>
      <c r="O66" s="925"/>
      <c r="P66" s="926"/>
      <c r="X66" s="639" t="n">
        <f t="shared" ref="X66:BC66" si="19">SUM(X58:X65)</f>
        <v>-205.7397173750929</v>
      </c>
      <c r="Y66" s="639">
        <f t="shared" si="19"/>
        <v>0</v>
      </c>
      <c r="Z66" s="649">
        <f t="shared" si="19"/>
        <v>406.38310314349326</v>
      </c>
      <c r="AA66" s="639">
        <f t="shared" si="19"/>
        <v>-205.73971737509245</v>
      </c>
      <c r="AB66" s="639">
        <f t="shared" si="19"/>
        <v>0</v>
      </c>
      <c r="AC66" s="649">
        <f t="shared" si="19"/>
        <v>452.63159412652317</v>
      </c>
      <c r="AD66" s="639">
        <f t="shared" si="19"/>
        <v>-205.73971737509245</v>
      </c>
      <c r="AE66" s="639">
        <f t="shared" si="19"/>
        <v>0</v>
      </c>
      <c r="AF66" s="649">
        <f t="shared" si="19"/>
        <v>506.33853309359745</v>
      </c>
      <c r="AG66">
        <f t="shared" si="19"/>
        <v>-205.73971737509245</v>
      </c>
      <c r="AH66">
        <f t="shared" si="19"/>
        <v>0</v>
      </c>
      <c r="AI66">
        <f t="shared" si="19"/>
        <v>0</v>
      </c>
      <c r="AJ66">
        <f t="shared" si="19"/>
        <v>0</v>
      </c>
      <c r="AK66">
        <f t="shared" si="19"/>
        <v>0</v>
      </c>
      <c r="AL66">
        <f t="shared" si="19"/>
        <v>0</v>
      </c>
      <c r="AM66">
        <f t="shared" si="19"/>
        <v>0</v>
      </c>
      <c r="AN66">
        <f t="shared" si="19"/>
        <v>0</v>
      </c>
      <c r="AO66">
        <f t="shared" si="19"/>
        <v>0</v>
      </c>
      <c r="AP66">
        <f t="shared" si="19"/>
        <v>0</v>
      </c>
      <c r="AQ66">
        <f t="shared" si="19"/>
        <v>0</v>
      </c>
      <c r="AR66">
        <f t="shared" si="19"/>
        <v>0</v>
      </c>
      <c r="AS66">
        <f t="shared" si="19"/>
        <v>0</v>
      </c>
      <c r="AT66">
        <f t="shared" si="19"/>
        <v>0</v>
      </c>
      <c r="AU66">
        <f t="shared" si="19"/>
        <v>0</v>
      </c>
      <c r="AV66">
        <f t="shared" si="19"/>
        <v>0</v>
      </c>
      <c r="AW66">
        <f t="shared" si="19"/>
        <v>0</v>
      </c>
      <c r="AX66">
        <f t="shared" si="19"/>
        <v>0</v>
      </c>
      <c r="AY66">
        <f t="shared" si="19"/>
        <v>0</v>
      </c>
      <c r="AZ66">
        <f t="shared" si="19"/>
        <v>0</v>
      </c>
      <c r="BA66">
        <f t="shared" si="19"/>
        <v>0</v>
      </c>
      <c r="BB66">
        <f t="shared" si="19"/>
        <v>0</v>
      </c>
      <c r="BC66">
        <f t="shared" si="19"/>
        <v>0</v>
      </c>
      <c r="BD66" t="n">
        <f t="shared" ref="BD66:CI66" si="20">SUM(BD58:BD65)</f>
        <v>0</v>
      </c>
      <c r="BE66">
        <f t="shared" si="20"/>
        <v>0</v>
      </c>
      <c r="BF66">
        <f t="shared" si="20"/>
        <v>0</v>
      </c>
      <c r="BG66">
        <f t="shared" si="20"/>
        <v>0</v>
      </c>
      <c r="BH66">
        <f t="shared" si="20"/>
        <v>0</v>
      </c>
      <c r="BI66">
        <f t="shared" si="20"/>
        <v>0</v>
      </c>
      <c r="BJ66">
        <f t="shared" si="20"/>
        <v>0</v>
      </c>
      <c r="BK66">
        <f t="shared" si="20"/>
        <v>0</v>
      </c>
      <c r="BL66">
        <f t="shared" si="20"/>
        <v>0</v>
      </c>
      <c r="BM66">
        <f t="shared" si="20"/>
        <v>0</v>
      </c>
      <c r="BN66">
        <f t="shared" si="20"/>
        <v>0</v>
      </c>
      <c r="BO66">
        <f t="shared" si="20"/>
        <v>0</v>
      </c>
      <c r="BP66">
        <f t="shared" si="20"/>
        <v>0</v>
      </c>
      <c r="BQ66">
        <f t="shared" si="20"/>
        <v>0</v>
      </c>
      <c r="BR66">
        <f t="shared" si="20"/>
        <v>0</v>
      </c>
      <c r="BS66">
        <f t="shared" si="20"/>
        <v>0</v>
      </c>
      <c r="BT66">
        <f t="shared" si="20"/>
        <v>0</v>
      </c>
      <c r="BU66">
        <f t="shared" si="20"/>
        <v>0</v>
      </c>
      <c r="BV66">
        <f t="shared" si="20"/>
        <v>0</v>
      </c>
      <c r="BW66">
        <f t="shared" si="20"/>
        <v>0</v>
      </c>
      <c r="BX66">
        <f t="shared" si="20"/>
        <v>0</v>
      </c>
      <c r="BY66">
        <f t="shared" si="20"/>
        <v>0</v>
      </c>
      <c r="BZ66">
        <f t="shared" si="20"/>
        <v>0</v>
      </c>
      <c r="CA66">
        <f t="shared" si="20"/>
        <v>0</v>
      </c>
      <c r="CB66">
        <f t="shared" si="20"/>
        <v>0</v>
      </c>
      <c r="CC66">
        <f t="shared" si="20"/>
        <v>0</v>
      </c>
      <c r="CD66">
        <f t="shared" si="20"/>
        <v>0</v>
      </c>
      <c r="CE66">
        <f t="shared" si="20"/>
        <v>0</v>
      </c>
      <c r="CF66">
        <f t="shared" si="20"/>
        <v>0</v>
      </c>
      <c r="CG66">
        <f t="shared" si="20"/>
        <v>0</v>
      </c>
      <c r="CH66">
        <f t="shared" si="20"/>
        <v>0</v>
      </c>
      <c r="CI66">
        <f t="shared" si="20"/>
        <v>0</v>
      </c>
      <c r="CJ66" t="n">
        <f t="shared" ref="CJ66:CO66" si="21">SUM(CJ58:CJ65)</f>
        <v>0</v>
      </c>
      <c r="CK66">
        <f t="shared" si="21"/>
        <v>0</v>
      </c>
      <c r="CL66">
        <f t="shared" si="21"/>
        <v>0</v>
      </c>
      <c r="CM66">
        <f t="shared" si="21"/>
        <v>0</v>
      </c>
      <c r="CN66">
        <f t="shared" si="21"/>
        <v>0</v>
      </c>
      <c r="CO66">
        <f t="shared" si="21"/>
        <v>452.63159412652317</v>
      </c>
      <c r="CQ66" s="311" t="str">
        <f>'VALUATION &amp; RETURNS'!$B$62</f>
        <v>Other Investors</v>
      </c>
      <c r="CR66" s="642" t="n">
        <f>'VALUATION &amp; RETURNS'!$C$62</f>
        <v>1</v>
      </c>
      <c r="CS66" s="645" t="n">
        <f>0</f>
        <v>0</v>
      </c>
      <c r="CT66" s="644" t="n">
        <f>'VALUATION &amp; RETURNS'!$D$62</f>
        <v>0.0048605102250474045</v>
      </c>
      <c r="CU66" s="644" t="n">
        <f>'VALUATION &amp; RETURNS'!$E$62</f>
        <v>0.0048605102250474045</v>
      </c>
      <c r="CV66" s="642" t="n">
        <f>0</f>
        <v>0</v>
      </c>
      <c r="CW66" s="642" t="n">
        <f>'VALUATION &amp; RETURNS'!$F$62</f>
        <v>1.0868417841884297</v>
      </c>
      <c r="CX66" s="642" t="n">
        <f>INDEX('VALUATION &amp; RETURNS'!$G$62:$I$62,1,MATCH($CR$7,{"Downside","Base","Upside"},0))</f>
        <v>2.2000204914314727</v>
      </c>
      <c r="CY66" s="642" t="n">
        <f>CX66-CR66</f>
        <v>1.2000204914314727</v>
      </c>
      <c r="CZ66" s="644" t="n">
        <f>IF(CR66=0,"",(CX66/CR66)^(365/(Underwriting!$BC$195-Underwriting!$M$195))-1)</f>
        <v>0.2521176027570611</v>
      </c>
      <c r="DA66" s="644" t="n">
        <f>IF(CR66=0,"",(CX66/CR66)^(365/(Underwriting!$BC$195-Underwriting!$M$195))-1)</f>
        <v>0.2521176027570611</v>
      </c>
      <c r="DB66" s="642" t="n">
        <f>IF(CR66=0,"",CX66/(1+$CR$8)^((Underwriting!$BC$195-Underwriting!$M$195)/365)-CR66)</f>
        <v>0.6796339792980737</v>
      </c>
      <c r="DC66" s="643" t="n">
        <f>IF(CR66=0,"",CX66/CR66)</f>
        <v>2.2000204914314727</v>
      </c>
      <c r="DD66" s="650" t="n">
        <f>IF($CX66+$CV66&lt;$CR66+$CS66,"N/M",'VALUATION &amp; RETURNS'!$P$62)</f>
        <v>60</v>
      </c>
      <c r="DE66" s="311"/>
      <c r="DF66" s="313"/>
      <c r="DG66" s="314"/>
      <c r="DH66" s="316"/>
      <c r="DI66" s="316"/>
      <c r="DJ66" s="313"/>
      <c r="DK66" s="313"/>
      <c r="DL66" s="313"/>
    </row>
    <row r="67" hidden="1">
      <c r="B67" s="925"/>
      <c r="C67" s="925"/>
      <c r="D67" s="925"/>
      <c r="E67" s="925"/>
      <c r="F67" s="925"/>
      <c r="G67" s="925"/>
      <c r="H67" s="925"/>
      <c r="I67" s="925"/>
      <c r="J67" s="925"/>
      <c r="K67" s="925"/>
      <c r="L67" s="925"/>
      <c r="M67" s="925"/>
      <c r="N67" s="925"/>
      <c r="O67" s="925"/>
      <c r="P67" s="926"/>
      <c r="CQ67" s="311" t="str">
        <f>'VALUATION &amp; RETURNS'!$B$63</f>
        <v>Andrew Norton &amp; others</v>
      </c>
      <c r="CR67" s="642" t="n">
        <f>'VALUATION &amp; RETURNS'!$C$63</f>
        <v>0.83</v>
      </c>
      <c r="CS67" s="645" t="n">
        <f>0</f>
        <v>0</v>
      </c>
      <c r="CT67" s="644" t="n">
        <f>'VALUATION &amp; RETURNS'!$D$63</f>
        <v>0.004034223486789346</v>
      </c>
      <c r="CU67" s="644" t="n">
        <f>'VALUATION &amp; RETURNS'!$E$63</f>
        <v>0.004034223486789346</v>
      </c>
      <c r="CV67" s="642" t="n">
        <f>0</f>
        <v>0</v>
      </c>
      <c r="CW67" s="642" t="n">
        <f>'VALUATION &amp; RETURNS'!$F$63</f>
        <v>0.9020786808763966</v>
      </c>
      <c r="CX67" s="642" t="n">
        <f>INDEX('VALUATION &amp; RETURNS'!$G$63:$I$63,1,MATCH($CR$7,{"Downside","Base","Upside"},0))</f>
        <v>1.8260170078881222</v>
      </c>
      <c r="CY67" s="642" t="n">
        <f>CX67-CR67</f>
        <v>0.9960170078881222</v>
      </c>
      <c r="CZ67" s="644" t="n">
        <f>IF(CR67=0,"",(CX67/CR67)^(365/(Underwriting!$BC$195-Underwriting!$M$195))-1)</f>
        <v>0.2521176027570611</v>
      </c>
      <c r="DA67" s="644" t="n">
        <f>IF(CR67=0,"",(CX67/CR67)^(365/(Underwriting!$BC$195-Underwriting!$M$195))-1)</f>
        <v>0.2521176027570611</v>
      </c>
      <c r="DB67" s="642" t="n">
        <f>IF(CR67=0,"",CX67/(1+$CR$8)^((Underwriting!$BC$195-Underwriting!$M$195)/365)-CR67)</f>
        <v>0.5640962028174011</v>
      </c>
      <c r="DC67" s="643" t="n">
        <f>IF(CR67=0,"",CX67/CR67)</f>
        <v>2.2000204914314727</v>
      </c>
      <c r="DD67" s="650" t="n">
        <f>IF($CX67+$CV67&lt;$CR67+$CS67,"N/M",'VALUATION &amp; RETURNS'!$P$63)</f>
        <v>60</v>
      </c>
    </row>
    <row r="68" hidden="1">
      <c r="B68" s="925"/>
      <c r="C68" s="925"/>
      <c r="D68" s="925"/>
      <c r="E68" s="925"/>
      <c r="F68" s="925"/>
      <c r="G68" s="925"/>
      <c r="H68" s="925"/>
      <c r="I68" s="925"/>
      <c r="J68" s="925"/>
      <c r="K68" s="925"/>
      <c r="L68" s="925"/>
      <c r="M68" s="925"/>
      <c r="N68" s="925"/>
      <c r="O68" s="925"/>
      <c r="P68" s="926"/>
      <c r="X68" s="651" t="n">
        <f>$C$43</f>
        <v>46204</v>
      </c>
      <c r="Y68" s="651" t="n">
        <f>$C$44</f>
        <v>46478</v>
      </c>
      <c r="Z68" s="651" t="n">
        <f>$C$45</f>
        <v>48030</v>
      </c>
      <c r="CQ68" s="311" t="str">
        <f>'VALUATION &amp; RETURNS'!$B$64</f>
        <v>Australian Institutional Investors</v>
      </c>
      <c r="CR68" s="642" t="n">
        <f>'VALUATION &amp; RETURNS'!$C$64</f>
        <v>50</v>
      </c>
      <c r="CS68" s="645" t="n">
        <f>0</f>
        <v>0</v>
      </c>
      <c r="CT68" s="644" t="n">
        <f>'VALUATION &amp; RETURNS'!$D$64</f>
        <v>0.2430255112523702</v>
      </c>
      <c r="CU68" s="644" t="n">
        <f>'VALUATION &amp; RETURNS'!$E$64</f>
        <v>0.2430255112523702</v>
      </c>
      <c r="CV68" s="642" t="n">
        <f>0</f>
        <v>0</v>
      </c>
      <c r="CW68" s="642" t="n">
        <f>'VALUATION &amp; RETURNS'!$F$64</f>
        <v>54.34208920942148</v>
      </c>
      <c r="CX68" s="642" t="n">
        <f>INDEX('VALUATION &amp; RETURNS'!$G$64:$I$64,1,MATCH($CR$7,{"Downside","Base","Upside"},0))</f>
        <v>110.00102457157362</v>
      </c>
      <c r="CY68" s="642" t="n">
        <f>CX68-CR68</f>
        <v>60.00102457157362</v>
      </c>
      <c r="CZ68" s="644" t="n">
        <f>IF(CR68=0,"",(CX68/CR68)^(365/(Underwriting!$BC$195-Underwriting!$M$195))-1)</f>
        <v>0.2521176027570611</v>
      </c>
      <c r="DA68" s="644" t="n">
        <f>IF(CR68=0,"",(CX68/CR68)^(365/(Underwriting!$BC$195-Underwriting!$M$195))-1)</f>
        <v>0.2521176027570611</v>
      </c>
      <c r="DB68" s="642" t="n">
        <f>IF(CR68=0,"",CX68/(1+$CR$8)^((Underwriting!$BC$195-Underwriting!$M$195)/365)-CR68)</f>
        <v>33.981698964903686</v>
      </c>
      <c r="DC68" s="643" t="n">
        <f>IF(CR68=0,"",CX68/CR68)</f>
        <v>2.2000204914314723</v>
      </c>
      <c r="DD68" s="650" t="n">
        <f>IF($CX68+$CV68&lt;$CR68+$CS68,"N/M",'VALUATION &amp; RETURNS'!$P$64)</f>
        <v>60</v>
      </c>
    </row>
    <row r="69" hidden="1">
      <c r="B69" s="925"/>
      <c r="C69" s="925"/>
      <c r="D69" s="925"/>
      <c r="E69" s="925"/>
      <c r="F69" s="925"/>
      <c r="G69" s="925"/>
      <c r="H69" s="925"/>
      <c r="I69" s="925"/>
      <c r="J69" s="925"/>
      <c r="K69" s="925"/>
      <c r="L69" s="925"/>
      <c r="M69" s="925"/>
      <c r="N69" s="925"/>
      <c r="O69" s="925"/>
      <c r="P69" s="926"/>
      <c r="X69" t="n">
        <f>-SUM(INDEX($D$26:$D$33,MATCH('INVESTOR REPORT'!$C$3,$B$26:$B$33,0)),INDEX($E$26:$E$33,MATCH('INVESTOR REPORT'!$C$3,$B$26:$B$33,0)))</f>
        <v>-10</v>
      </c>
      <c r="Y69" t="n">
        <f>-INDEX($F$26:$F$33,MATCH('INVESTOR REPORT'!$C$3,$B$26:$B$33,0))</f>
        <v>0</v>
      </c>
      <c r="Z69" t="n">
        <f>INDEX($J$26:$J$33,MATCH('INVESTOR REPORT'!$C$3,$B$26:$B$33,0))*0.8</f>
        <v>17.615859853389743</v>
      </c>
      <c r="CQ69" s="311" t="str">
        <f>'VALUATION &amp; RETURNS'!$B$65</f>
        <v>MASTER DEVELOPER</v>
      </c>
      <c r="CR69" s="642" t="n">
        <f>'VALUATION &amp; RETURNS'!$C$65</f>
        <v>121.90871737509246</v>
      </c>
      <c r="CS69" s="645" t="n">
        <f>0</f>
        <v>0</v>
      </c>
      <c r="CT69" s="644" t="n">
        <f>'VALUATION &amp; RETURNS'!$D$65</f>
        <v>0.5925385673240511</v>
      </c>
      <c r="CU69" s="644" t="n">
        <f>'VALUATION &amp; RETURNS'!$E$65</f>
        <v>0.5925385673240511</v>
      </c>
      <c r="CV69" s="642" t="n">
        <f>0</f>
        <v>0</v>
      </c>
      <c r="CW69" s="642" t="n">
        <f>'VALUATION &amp; RETURNS'!$F$65</f>
        <v>132.4954879000685</v>
      </c>
      <c r="CX69" s="642" t="n">
        <f>INDEX('VALUATION &amp; RETURNS'!$G$65:$I$65,1,MATCH($CR$7,{"Downside","Base","Upside"},0))</f>
        <v>268.2016763093314</v>
      </c>
      <c r="CY69" s="642" t="n">
        <f>CX69-CR69</f>
        <v>146.29295893423892</v>
      </c>
      <c r="CZ69" s="644" t="n">
        <f>IF(CR69=0,"",(CX69/CR69)^(365/(Underwriting!$BC$195-Underwriting!$M$195))-1)</f>
        <v>0.2521176027570611</v>
      </c>
      <c r="DA69" s="644" t="n">
        <f>IF(CR69=0,"",(CX69/CR69)^(365/(Underwriting!$BC$195-Underwriting!$M$195))-1)</f>
        <v>0.2521176027570611</v>
      </c>
      <c r="DB69" s="642" t="n">
        <f>IF(CR69=0,"",CX69/(1+$CR$8)^((Underwriting!$BC$195-Underwriting!$M$195)/365)-CR69)</f>
        <v>82.85330670075828</v>
      </c>
      <c r="DC69" s="643" t="n">
        <f>IF(CR69=0,"",CX69/CR69)</f>
        <v>2.2000204914314723</v>
      </c>
      <c r="DD69" s="650" t="n">
        <f>IF($CX69+$CV69&lt;$CR69+$CS69,"N/M",'VALUATION &amp; RETURNS'!$P$65)</f>
        <v>60</v>
      </c>
    </row>
    <row r="70" hidden="1">
      <c r="B70" s="925"/>
      <c r="C70" s="925"/>
      <c r="D70" s="925"/>
      <c r="E70" s="925"/>
      <c r="F70" s="925"/>
      <c r="G70" s="925"/>
      <c r="H70" s="925"/>
      <c r="I70" s="925"/>
      <c r="J70" s="925"/>
      <c r="K70" s="925"/>
      <c r="L70" s="925"/>
      <c r="M70" s="925"/>
      <c r="N70" s="925"/>
      <c r="O70" s="925"/>
      <c r="P70" s="926"/>
      <c r="X70" t="n">
        <f>-SUM(INDEX($D$26:$D$33,MATCH('INVESTOR REPORT'!$C$3,$B$26:$B$33,0)),INDEX($E$26:$E$33,MATCH('INVESTOR REPORT'!$C$3,$B$26:$B$33,0)))</f>
        <v>-10</v>
      </c>
      <c r="Y70" t="n">
        <f>-INDEX($F$26:$F$33,MATCH('INVESTOR REPORT'!$C$3,$B$26:$B$33,0))</f>
        <v>0</v>
      </c>
      <c r="Z70" t="n">
        <f>INDEX($J$26:$J$33,MATCH('INVESTOR REPORT'!$C$3,$B$26:$B$33,0))*0.9</f>
        <v>19.81784233506346</v>
      </c>
      <c r="CQ70" s="309" t="s">
        <v>982</v>
      </c>
      <c r="CR70" s="646" t="n">
        <f>SUM(CR62:CR69)</f>
        <v>205.73971737509245</v>
      </c>
      <c r="CS70" s="646" t="n">
        <f>SUM(CS62:CS69)</f>
        <v>0</v>
      </c>
      <c r="CT70" s="647" t="n">
        <f>SUM(CT62:CT69)</f>
        <v>1</v>
      </c>
      <c r="CU70" s="647" t="n">
        <f>SUM(CU62:CU69)</f>
        <v>1</v>
      </c>
      <c r="CV70" s="646" t="n">
        <f>SUM(CV62:CV69)</f>
        <v>0</v>
      </c>
      <c r="CW70" s="646" t="n">
        <f>SUM(CW62:CW69)</f>
        <v>223.60652151036874</v>
      </c>
      <c r="CX70" s="646" t="n">
        <f>SUM(CX62:CX69)</f>
        <v>452.63159412652317</v>
      </c>
      <c r="CY70" s="646" t="n">
        <f>SUM(CY62:CY69)</f>
        <v>246.8918767514307</v>
      </c>
      <c r="CZ70" s="648" t="n">
        <f>IF(CR70=0,"",(CX70/CR70)^(365/(Underwriting!$BC$195-Underwriting!$M$195))-1)</f>
        <v>0.2521176027570611</v>
      </c>
      <c r="DA70" s="648" t="n">
        <f>IF(CR70=0,"",(CX70/CR70)^(365/(Underwriting!$BC$195-Underwriting!$M$195))-1)</f>
        <v>0.2521176027570611</v>
      </c>
      <c r="DB70" s="649" t="n">
        <f>IF(CR70=0,"",CX70/(1+$CR$8)^((Underwriting!$BC$195-Underwriting!$M$195)/365)-CR70)</f>
        <v>139.82770281929513</v>
      </c>
      <c r="DC70" s="613" t="n">
        <f>IF(CR70=0,"",CX70/CR70)</f>
        <v>2.2000204914314727</v>
      </c>
      <c r="DD70" s="612" t="n">
        <f>IF($CX$70+$CV$70&lt;$CR$70+$CS$70,"N/M",ROUND(('VALUATION &amp; RETURNS'!$C$45-((SUM('VALUATION &amp; RETURNS'!$D$26:$E$33)*'VALUATION &amp; RETURNS'!$C$43+SUM('VALUATION &amp; RETURNS'!$F$26:$F$33)*'VALUATION &amp; RETURNS'!$C$44)/($CR$70+$CS$70)))*12/365,1))</f>
        <v>60</v>
      </c>
    </row>
    <row r="71" ht="40.5" hidden="1">
      <c r="B71" s="925"/>
      <c r="C71" s="925"/>
      <c r="D71" s="925"/>
      <c r="E71" s="925"/>
      <c r="F71" s="925"/>
      <c r="G71" s="925"/>
      <c r="H71" s="925"/>
      <c r="I71" s="925"/>
      <c r="J71" s="925"/>
      <c r="K71" s="925"/>
      <c r="L71" s="925"/>
      <c r="M71" s="925"/>
      <c r="N71" s="925"/>
      <c r="O71" s="925"/>
      <c r="P71" s="926"/>
      <c r="X71" t="n">
        <f>-SUM(INDEX($D$26:$D$33,MATCH('INVESTOR REPORT'!$C$3,$B$26:$B$33,0)),INDEX($E$26:$E$33,MATCH('INVESTOR REPORT'!$C$3,$B$26:$B$33,0)))</f>
        <v>-10</v>
      </c>
      <c r="Y71" t="n">
        <f>-INDEX($F$26:$F$33,MATCH('INVESTOR REPORT'!$C$3,$B$26:$B$33,0))</f>
        <v>0</v>
      </c>
      <c r="Z71" t="n">
        <f>INDEX($J$26:$J$33,MATCH('INVESTOR REPORT'!$C$3,$B$26:$B$33,0))*1</f>
        <v>22.019824816737177</v>
      </c>
      <c r="CQ71" s="310" t="s">
        <v>828</v>
      </c>
      <c r="CR71" s="310" t="s">
        <v>790</v>
      </c>
      <c r="CS71" s="310" t="s">
        <v>983</v>
      </c>
      <c r="CT71" s="310" t="s">
        <v>952</v>
      </c>
      <c r="CU71" s="310" t="s">
        <v>953</v>
      </c>
      <c r="CV71" s="310" t="s">
        <v>970</v>
      </c>
      <c r="CW71" s="310" t="s">
        <v>984</v>
      </c>
      <c r="CX71" s="310" t="s">
        <v>985</v>
      </c>
      <c r="CY71" s="310" t="s">
        <v>986</v>
      </c>
      <c r="CZ71" s="310" t="s">
        <v>57</v>
      </c>
      <c r="DA71" s="310" t="s">
        <v>974</v>
      </c>
      <c r="DB71" s="310" t="s">
        <v>975</v>
      </c>
      <c r="DC71" s="310" t="s">
        <v>976</v>
      </c>
      <c r="DD71" s="310" t="s">
        <v>977</v>
      </c>
    </row>
    <row r="72" hidden="1">
      <c r="B72" s="925"/>
      <c r="C72" s="925"/>
      <c r="D72" s="925"/>
      <c r="E72" s="925"/>
      <c r="F72" s="925"/>
      <c r="G72" s="925"/>
      <c r="H72" s="925"/>
      <c r="I72" s="925"/>
      <c r="J72" s="925"/>
      <c r="K72" s="925"/>
      <c r="L72" s="925"/>
      <c r="M72" s="925"/>
      <c r="N72" s="925"/>
      <c r="O72" s="925"/>
      <c r="P72" s="926"/>
      <c r="X72" t="n">
        <f>-SUM(INDEX($D$26:$D$33,MATCH('INVESTOR REPORT'!$C$3,$B$26:$B$33,0)),INDEX($E$26:$E$33,MATCH('INVESTOR REPORT'!$C$3,$B$26:$B$33,0)))</f>
        <v>-10</v>
      </c>
      <c r="Y72" t="n">
        <f>-INDEX($F$26:$F$33,MATCH('INVESTOR REPORT'!$C$3,$B$26:$B$33,0))</f>
        <v>0</v>
      </c>
      <c r="Z72" t="n">
        <f>INDEX($J$26:$J$33,MATCH('INVESTOR REPORT'!$C$3,$B$26:$B$33,0))*1.1</f>
        <v>24.221807298410898</v>
      </c>
      <c r="CQ72" s="311" t="str">
        <f>$CR$17</f>
        <v>David Gifford</v>
      </c>
      <c r="CR72" s="313" t="str">
        <f>$CR$7</f>
        <v>Base</v>
      </c>
      <c r="CS72" s="645" t="n">
        <f>INDEX($CR$62:$CR$69,MATCH($CR$17,$CQ$62:$CQ$69,0))</f>
        <v>10</v>
      </c>
      <c r="CT72" s="644" t="n">
        <f>INDEX($CT$62:$CT$69,MATCH($CR$17,$CQ$62:$CQ$69,0))</f>
        <v>0.04860510225047404</v>
      </c>
      <c r="CU72" s="644" t="n">
        <f>INDEX($CU$62:$CU$69,MATCH($CR$17,$CQ$62:$CQ$69,0))</f>
        <v>0.04860510225047404</v>
      </c>
      <c r="CV72" s="642" t="n">
        <f>INDEX($CV$62:$CV$69,MATCH($CR$17,$CQ$62:$CQ$69,0))</f>
        <v>0</v>
      </c>
      <c r="CW72" s="642" t="n">
        <f>INDEX($CW$62:$CW$69,MATCH($CR$17,$CQ$62:$CQ$69,0))</f>
        <v>10.868417841884296</v>
      </c>
      <c r="CX72" s="642" t="n">
        <f>INDEX($CX$62:$CX$69,MATCH($CR$17,$CQ$62:$CQ$69,0))</f>
        <v>22.000204914314725</v>
      </c>
      <c r="CY72" s="642" t="n">
        <f>INDEX($CY$62:$CY$69,MATCH($CR$17,$CQ$62:$CQ$69,0))</f>
        <v>12.000204914314725</v>
      </c>
      <c r="CZ72" s="644" t="n">
        <f>INDEX($CZ$62:$CZ$69,MATCH($CR$17,$CQ$62:$CQ$69,0))</f>
        <v>0.2521176027570611</v>
      </c>
      <c r="DA72" s="644" t="n">
        <f>INDEX($DA$62:$DA$69,MATCH($CR$17,$CQ$62:$CQ$69,0))</f>
        <v>0.2521176027570611</v>
      </c>
      <c r="DB72" s="642" t="n">
        <f>INDEX($DB$62:$DB$69,MATCH($CR$17,$CQ$62:$CQ$69,0))</f>
        <v>6.796339792980735</v>
      </c>
      <c r="DC72" s="643" t="n">
        <f>INDEX($DC$62:$DC$69,MATCH($CR$17,$CQ$62:$CQ$69,0))</f>
        <v>2.2000204914314727</v>
      </c>
      <c r="DD72" s="650" t="n">
        <f>INDEX($DD$62:$DD$69,MATCH($CR$17,$CQ$62:$CQ$69,0))</f>
        <v>60</v>
      </c>
    </row>
    <row r="73" hidden="1">
      <c r="B73" s="925"/>
      <c r="C73" s="925"/>
      <c r="D73" s="925"/>
      <c r="E73" s="925"/>
      <c r="F73" s="925"/>
      <c r="G73" s="925"/>
      <c r="H73" s="925"/>
      <c r="I73" s="925"/>
      <c r="J73" s="925"/>
      <c r="K73" s="925"/>
      <c r="L73" s="925"/>
      <c r="M73" s="925"/>
      <c r="N73" s="925"/>
      <c r="O73" s="925"/>
      <c r="P73" s="926"/>
      <c r="X73" t="n">
        <f>-SUM(INDEX($D$26:$D$33,MATCH('INVESTOR REPORT'!$C$3,$B$26:$B$33,0)),INDEX($E$26:$E$33,MATCH('INVESTOR REPORT'!$C$3,$B$26:$B$33,0)))</f>
        <v>-10</v>
      </c>
      <c r="Y73" t="n">
        <f>-INDEX($F$26:$F$33,MATCH('INVESTOR REPORT'!$C$3,$B$26:$B$33,0))</f>
        <v>0</v>
      </c>
      <c r="Z73" t="n">
        <f>INDEX($J$26:$J$33,MATCH('INVESTOR REPORT'!$C$3,$B$26:$B$33,0))*1.2</f>
        <v>26.42378978008461</v>
      </c>
      <c r="CQ73" s="692" t="s">
        <v>987</v>
      </c>
      <c r="CR73" s="699"/>
      <c r="CS73" s="699"/>
      <c r="CT73" s="699"/>
      <c r="CU73" s="699"/>
      <c r="CV73" s="699"/>
      <c r="CW73" s="699"/>
      <c r="CX73" s="699"/>
      <c r="CY73" s="699"/>
      <c r="CZ73" s="699"/>
      <c r="DA73" s="699"/>
      <c r="DB73" s="699"/>
      <c r="DC73" s="699"/>
      <c r="DD73" s="699"/>
      <c r="DE73" s="699"/>
      <c r="DF73" s="699"/>
      <c r="DG73" s="699"/>
      <c r="DH73" s="699"/>
      <c r="DI73" s="699"/>
      <c r="DJ73" s="699"/>
      <c r="DK73" s="699"/>
      <c r="DL73" s="699"/>
    </row>
    <row r="74" ht="27">
      <c r="B74" s="925"/>
      <c r="C74" s="925"/>
      <c r="D74" s="925"/>
      <c r="E74" s="925"/>
      <c r="F74" s="925"/>
      <c r="G74" s="925"/>
      <c r="H74" s="925"/>
      <c r="I74" s="925"/>
      <c r="J74" s="925"/>
      <c r="K74" s="925"/>
      <c r="L74" s="925"/>
      <c r="M74" s="925"/>
      <c r="N74" s="925"/>
      <c r="O74" s="925"/>
      <c r="P74" s="926"/>
      <c r="CQ74" s="310" t="s">
        <v>988</v>
      </c>
      <c r="CR74" s="310" t="s">
        <v>989</v>
      </c>
      <c r="CS74" s="310" t="s">
        <v>990</v>
      </c>
      <c r="CT74" s="310" t="s">
        <v>991</v>
      </c>
      <c r="CU74" s="310" t="s">
        <v>992</v>
      </c>
      <c r="CV74" s="310" t="s">
        <v>993</v>
      </c>
      <c r="CW74" s="310" t="s">
        <v>994</v>
      </c>
      <c r="CX74" s="310" t="s">
        <v>899</v>
      </c>
      <c r="CY74" s="310" t="s">
        <v>922</v>
      </c>
      <c r="CZ74" s="310" t="s">
        <v>995</v>
      </c>
      <c r="DA74" s="310" t="s">
        <v>911</v>
      </c>
      <c r="DB74" s="310" t="s">
        <v>930</v>
      </c>
      <c r="DC74" s="310" t="s">
        <v>798</v>
      </c>
      <c r="DD74" s="310" t="s">
        <v>996</v>
      </c>
      <c r="DE74" s="310"/>
      <c r="DF74" s="310"/>
      <c r="DG74" s="310"/>
      <c r="DH74" s="310"/>
      <c r="DI74" s="310"/>
      <c r="DJ74" s="310"/>
      <c r="DK74" s="310"/>
      <c r="DL74" s="310"/>
    </row>
    <row r="75">
      <c r="B75" s="925"/>
      <c r="C75" s="925"/>
      <c r="D75" s="925"/>
      <c r="E75" s="925"/>
      <c r="F75" s="925"/>
      <c r="G75" s="925"/>
      <c r="H75" s="925"/>
      <c r="I75" s="925"/>
      <c r="J75" s="925"/>
      <c r="K75" s="925"/>
      <c r="L75" s="925"/>
      <c r="M75" s="925"/>
      <c r="N75" s="925"/>
      <c r="O75" s="925"/>
      <c r="P75" s="926"/>
      <c r="CQ75" s="311" t="s">
        <v>811</v>
      </c>
      <c r="CR75" s="316">
        <v>0.9</v>
      </c>
      <c r="CS75" s="313" t="n">
        <f>'VALUATION &amp; RETURNS'!$C$7*$CR75</f>
        <v>40.987729572656235</v>
      </c>
      <c r="CT75" s="316" t="n">
        <f>'VALUATION &amp; RETURNS'!$C$20</f>
        <v>0.07200819672131148</v>
      </c>
      <c r="CU75" s="313" t="n">
        <f>'VALUATION &amp; RETURNS'!$D$20</f>
        <v>632.4546901744211</v>
      </c>
      <c r="CV75" s="313" t="n">
        <f>'VALUATION &amp; RETURNS'!$F$20</f>
        <v>619.8055963709327</v>
      </c>
      <c r="CW75" s="313" t="n">
        <f>'VALUATION &amp; RETURNS'!$H$20</f>
        <v>406.7867624614255</v>
      </c>
      <c r="CX75" s="316" t="n">
        <f>IF(AND(COUNTIF(DN24:GC24,"&lt;0")&gt;0,COUNTIF(DN24:GC24,"&gt;0")&gt;0),IFERROR(XIRR(DN24:GC24,DN10:GC10,-0.5),IFERROR(XIRR(DN24:GC24,DN10:GC10,-0.8),IFERROR(XIRR(DN24:GC24,DN10:GC10,0.1),"N/M"))),"N/M")</f>
        <v>0.3052323870877234</v>
      </c>
      <c r="CY75" s="316" t="n">
        <f>IF(AND(COUNTIF(DN27:GC27,"&lt;0")&gt;0,COUNTIF(DN27:GC27,"&gt;0")&gt;0),IFERROR(XIRR(DN27:GC27,DN10:GC10,-0.5),IFERROR(XIRR(DN27:GC27,DN10:GC10,-0.8),IFERROR(XIRR(DN27:GC27,DN10:GC10,0.1),"N/M"))),"N/M")</f>
        <v>0.5713703251102621</v>
      </c>
      <c r="CZ75" s="316" t="n">
        <f>INDEX('VALUATION &amp; RETURNS'!$L$58:$L$65,MATCH($CR$17,'VALUATION &amp; RETURNS'!$B$58:$B$65,0))</f>
        <v>0.2145632309367589</v>
      </c>
      <c r="DA75" s="313" t="n">
        <f>XNPV(CR8,DN24:GC24,DN10:GC10)/1000000</f>
        <v>287.63825448397637</v>
      </c>
      <c r="DB75" s="318" t="n">
        <f>SUMIF(DN27:GC27,"&gt;0")/-SUMIF(DN27:GC27,"&lt;0")</f>
        <v>6.4255131440226485</v>
      </c>
      <c r="DC75" s="316" t="n">
        <f>IF($DA$15=0,"",($CV75-$DA$15)/$DA$15)</f>
        <v>0.48010254231129795</v>
      </c>
      <c r="DD75" s="313" t="s">
        <v>997</v>
      </c>
      <c r="DE75" s="318" t="n">
        <f>XNPV(CR8,DN27:GC27,DN10:GC10)/1000000</f>
        <v>409.8582595651447</v>
      </c>
      <c r="DF75" s="316"/>
      <c r="DG75" s="313"/>
      <c r="DH75" s="318"/>
      <c r="DI75" s="316"/>
      <c r="DJ75" s="313"/>
      <c r="DK75" s="318"/>
      <c r="DL75" s="316"/>
    </row>
    <row r="76" ht="28" customHeight="1">
      <c r="B76" s="935" t="s">
        <v>998</v>
      </c>
      <c r="C76" s="935"/>
      <c r="D76" s="935"/>
      <c r="E76" s="935"/>
      <c r="F76" s="935"/>
      <c r="G76" s="935"/>
      <c r="H76" s="935"/>
      <c r="I76" s="935"/>
      <c r="J76" s="935"/>
      <c r="K76" s="935"/>
      <c r="L76" s="935"/>
      <c r="M76" s="935"/>
      <c r="N76" s="935"/>
      <c r="O76" s="935"/>
      <c r="P76" s="936"/>
      <c r="CQ76" s="309" t="s">
        <v>815</v>
      </c>
      <c r="CR76" s="324">
        <v>1</v>
      </c>
      <c r="CS76" s="323" t="n">
        <f>'VALUATION &amp; RETURNS'!$C$7*$CR76</f>
        <v>45.54192174739582</v>
      </c>
      <c r="CT76" s="324" t="n">
        <f>'VALUATION &amp; RETURNS'!$C$21</f>
        <v>0.06700819672131147</v>
      </c>
      <c r="CU76" s="323" t="n">
        <f>'VALUATION &amp; RETURNS'!$D$21</f>
        <v>679.6470279122067</v>
      </c>
      <c r="CV76" s="323" t="n">
        <f>'VALUATION &amp; RETURNS'!$F$21</f>
        <v>666.0540873539626</v>
      </c>
      <c r="CW76" s="323" t="n">
        <f>'VALUATION &amp; RETURNS'!$H$21</f>
        <v>453.0352534444554</v>
      </c>
      <c r="CX76" s="324" t="n">
        <f>IF(AND(COUNTIF(DN25:GC25,"&lt;0")&gt;0,COUNTIF(DN25:GC25,"&gt;0")&gt;0),IFERROR(XIRR(DN25:GC25,DN10:GC10,-0.5),IFERROR(XIRR(DN25:GC25,DN10:GC10,-0.8),IFERROR(XIRR(DN25:GC25,DN10:GC10,0.1),"N/M"))),"N/M")</f>
        <v>0.5600807876754031</v>
      </c>
      <c r="CY76" s="324" t="n">
        <f>IF(AND(COUNTIF(DN28:GC28,"&lt;0")&gt;0,COUNTIF(DN28:GC28,"&gt;0")&gt;0),IFERROR(XIRR(DN28:GC28,DN10:GC10,-0.5),IFERROR(XIRR(DN28:GC28,DN10:GC10,-0.8),IFERROR(XIRR(DN28:GC28,DN10:GC10,0.1),"N/M"))),"N/M")</f>
        <v>0.921450746143577</v>
      </c>
      <c r="CZ76" s="324" t="n">
        <f>INDEX('VALUATION &amp; RETURNS'!$M$58:$M$65,MATCH($CR$17,'VALUATION &amp; RETURNS'!$B$58:$B$65,0))</f>
        <v>0.25243591969602264</v>
      </c>
      <c r="DA76" s="323" t="n">
        <f>XNPV(CR8,DN25:GC25,DN10:GC10)/1000000</f>
        <v>597.2428489668863</v>
      </c>
      <c r="DB76" s="325" t="n">
        <f>SUMIF(DN28:GC28,"&gt;0")/-SUMIF(DN28:GC28,"&lt;0")</f>
        <v>9.688789923849196</v>
      </c>
      <c r="DC76" s="324" t="n">
        <f>IF($DA$15=0,"",($CV76-$DA$15)/$DA$15)</f>
        <v>0.5905444445510403</v>
      </c>
      <c r="DD76" s="323" t="s">
        <v>997</v>
      </c>
      <c r="DE76" s="325" t="n">
        <f>XNPV(CR8,DN28:GC28,DN10:GC10)/1000000</f>
        <v>586.2463778812227</v>
      </c>
      <c r="DF76" s="324"/>
      <c r="DG76" s="323"/>
      <c r="DH76" s="325"/>
      <c r="DI76" s="324"/>
      <c r="DJ76" s="323"/>
      <c r="DK76" s="325"/>
      <c r="DL76" s="324"/>
    </row>
    <row r="77" ht="32" customHeight="1">
      <c r="B77" s="940" t="s">
        <v>999</v>
      </c>
      <c r="C77" s="940"/>
      <c r="D77" s="940"/>
      <c r="E77" s="940"/>
      <c r="F77" s="940"/>
      <c r="G77" s="940"/>
      <c r="H77" s="940"/>
      <c r="I77" s="940"/>
      <c r="J77" s="940"/>
      <c r="K77" s="940"/>
      <c r="L77" s="940"/>
      <c r="M77" s="940"/>
      <c r="N77" s="940"/>
      <c r="O77" s="940"/>
      <c r="P77" s="940"/>
      <c r="CQ77" s="311" t="s">
        <v>819</v>
      </c>
      <c r="CR77" s="316">
        <v>1.1000000000000001</v>
      </c>
      <c r="CS77" s="313" t="n">
        <f>'VALUATION &amp; RETURNS'!$C$7*$CR77</f>
        <v>50.0961139221354</v>
      </c>
      <c r="CT77" s="316" t="n">
        <f>'VALUATION &amp; RETURNS'!$C$22</f>
        <v>0.06200819672131148</v>
      </c>
      <c r="CU77" s="313" t="n">
        <f>'VALUATION &amp; RETURNS'!$D$22</f>
        <v>734.4500268582009</v>
      </c>
      <c r="CV77" s="313" t="n">
        <f>'VALUATION &amp; RETURNS'!$F$22</f>
        <v>719.7610263210369</v>
      </c>
      <c r="CW77" s="313" t="n">
        <f>'VALUATION &amp; RETURNS'!$H$22</f>
        <v>506.7421924115297</v>
      </c>
      <c r="CX77" s="316" t="n">
        <f>IF(AND(COUNTIF(DN26:GC26,"&lt;0")&gt;0,COUNTIF(DN26:GC26,"&gt;0")&gt;0),IFERROR(XIRR(DN26:GC26,DN10:GC10,-0.5),IFERROR(XIRR(DN26:GC26,DN10:GC10,-0.8),IFERROR(XIRR(DN26:GC26,DN10:GC10,0.1),"N/M"))),"N/M")</f>
        <v>0.6296493067481754</v>
      </c>
      <c r="CY77" s="316" t="n">
        <f>IF(AND(COUNTIF(DN29:GC29,"&lt;0")&gt;0,COUNTIF(DN29:GC29,"&gt;0")&gt;0),IFERROR(XIRR(DN29:GC29,DN10:GC10,-0.5),IFERROR(XIRR(DN29:GC29,DN10:GC10,-0.8),IFERROR(XIRR(DN29:GC29,DN10:GC10,0.1),"N/M"))),"N/M")</f>
        <v>0.9872308623865682</v>
      </c>
      <c r="CZ77" s="316" t="n">
        <f>INDEX('VALUATION &amp; RETURNS'!$N$58:$N$65,MATCH($CR$17,'VALUATION &amp; RETURNS'!$B$58:$B$65,0))</f>
        <v>0.2930931504897445</v>
      </c>
      <c r="DA77" s="313" t="n">
        <f>XNPV(CR8,DN26:GC26,DN10:GC10)/1000000</f>
        <v>693.7077230659472</v>
      </c>
      <c r="DB77" s="318" t="n">
        <f>SUMIF(DN29:GC29,"&gt;0")/-SUMIF(DN29:GC29,"&lt;0")</f>
        <v>10.708662547412269</v>
      </c>
      <c r="DC77" s="316" t="n">
        <f>IF($DA$15=0,"",($CV77-$DA$15)/$DA$15)</f>
        <v>0.7187972021420692</v>
      </c>
      <c r="DD77" s="313" t="s">
        <v>997</v>
      </c>
      <c r="DE77" s="318" t="n">
        <f>XNPV(CR8,DN29:GC29,DN10:GC10)/1000000</f>
        <v>624.9397786873898</v>
      </c>
      <c r="DF77" s="316"/>
      <c r="DG77" s="313"/>
      <c r="DH77" s="318"/>
      <c r="DI77" s="316"/>
      <c r="DJ77" s="313"/>
      <c r="DK77" s="318"/>
      <c r="DL77" s="316"/>
    </row>
    <row r="78">
      <c r="B78" s="925"/>
      <c r="C78" s="925"/>
      <c r="D78" s="925"/>
      <c r="E78" s="925"/>
      <c r="F78" s="925"/>
      <c r="G78" s="925"/>
      <c r="H78" s="925"/>
      <c r="I78" s="925"/>
      <c r="J78" s="925"/>
      <c r="K78" s="925"/>
      <c r="L78" s="925"/>
      <c r="M78" s="925"/>
      <c r="N78" s="925"/>
      <c r="O78" s="925"/>
      <c r="P78" s="926"/>
      <c r="CQ78" s="695" t="s">
        <v>1000</v>
      </c>
      <c r="CR78" s="699"/>
      <c r="CS78" s="699"/>
      <c r="CT78" s="699"/>
      <c r="CU78" s="699"/>
      <c r="CV78" s="699"/>
      <c r="CW78" s="699"/>
      <c r="CX78" s="699"/>
      <c r="CY78" s="699"/>
      <c r="CZ78" s="699"/>
      <c r="DA78" s="699"/>
      <c r="DB78" s="699"/>
      <c r="DC78" s="699"/>
      <c r="DD78" s="699"/>
      <c r="DE78" s="699"/>
      <c r="DF78" s="699"/>
      <c r="DG78" s="699"/>
      <c r="DH78" s="699"/>
      <c r="DI78" s="699"/>
      <c r="DJ78" s="699"/>
      <c r="DK78" s="699"/>
      <c r="DL78" s="699"/>
    </row>
    <row r="79" ht="22" customHeight="1">
      <c r="B79" s="937" t="s">
        <v>1001</v>
      </c>
      <c r="C79" s="937"/>
      <c r="D79" s="937"/>
      <c r="E79" s="937"/>
      <c r="F79" s="937"/>
      <c r="G79" s="937"/>
      <c r="H79" s="937"/>
      <c r="I79" s="925"/>
      <c r="J79" s="937" t="s">
        <v>1002</v>
      </c>
      <c r="K79" s="937"/>
      <c r="L79" s="937"/>
      <c r="M79" s="937"/>
      <c r="N79" s="937"/>
      <c r="O79" s="937"/>
      <c r="P79" s="938"/>
    </row>
    <row r="80" ht="28" customHeight="1">
      <c r="B80" s="941" t="s">
        <v>1003</v>
      </c>
      <c r="C80" s="941" t="s">
        <v>80</v>
      </c>
      <c r="D80" s="941" t="s">
        <v>1004</v>
      </c>
      <c r="E80" s="941" t="s">
        <v>1005</v>
      </c>
      <c r="F80" s="925"/>
      <c r="G80" s="925"/>
      <c r="H80" s="925"/>
      <c r="I80" s="925"/>
      <c r="J80" s="941" t="s">
        <v>1006</v>
      </c>
      <c r="K80" s="941" t="s">
        <v>80</v>
      </c>
      <c r="L80" s="941" t="s">
        <v>1004</v>
      </c>
      <c r="M80" s="941" t="s">
        <v>996</v>
      </c>
      <c r="N80" s="925"/>
      <c r="O80" s="925"/>
      <c r="P80" s="926"/>
      <c r="CQ80" s="692" t="s">
        <v>1007</v>
      </c>
      <c r="CR80" s="699"/>
      <c r="CS80" s="699"/>
      <c r="CT80" s="699"/>
      <c r="CU80" s="699"/>
      <c r="CV80" s="699"/>
      <c r="CW80" s="699"/>
      <c r="CY80" s="692" t="s">
        <v>1008</v>
      </c>
      <c r="CZ80" s="699"/>
      <c r="DA80" s="699"/>
      <c r="DB80" s="699"/>
      <c r="DC80" s="699"/>
      <c r="DD80" s="699"/>
      <c r="DE80" s="699"/>
    </row>
    <row r="81" ht="52">
      <c r="B81" s="988" t="s">
        <v>1009</v>
      </c>
      <c r="C81" s="989" t="n">
        <f>CR19</f>
        <v>679.6470279122067</v>
      </c>
      <c r="D81" s="990" t="s">
        <v>515</v>
      </c>
      <c r="E81" s="990" t="s">
        <v>1010</v>
      </c>
      <c r="F81" s="925"/>
      <c r="G81" s="925"/>
      <c r="H81" s="925"/>
      <c r="I81" s="925"/>
      <c r="J81" s="988" t="s">
        <v>891</v>
      </c>
      <c r="K81" s="989" t="n">
        <f>CR42</f>
        <v>679.6470279122068</v>
      </c>
      <c r="L81" s="988" t="s">
        <v>515</v>
      </c>
      <c r="M81" s="988" t="s">
        <v>1011</v>
      </c>
      <c r="N81" s="925"/>
      <c r="O81" s="925"/>
      <c r="P81" s="926"/>
      <c r="CQ81" s="310" t="s">
        <v>1012</v>
      </c>
      <c r="CR81" s="316" t="n">
        <f>Underwriting!$I$162-0.01</f>
        <v>0.0575</v>
      </c>
      <c r="CS81" s="316" t="n">
        <f>Underwriting!$I$162-0.005</f>
        <v>0.0625</v>
      </c>
      <c r="CT81" s="324" t="n">
        <f>Underwriting!$I$162+0</f>
        <v>0.0675</v>
      </c>
      <c r="CU81" s="316" t="n">
        <f>Underwriting!$I$162+0.005</f>
        <v>0.07250000000000001</v>
      </c>
      <c r="CV81" s="316" t="n">
        <f>Underwriting!$I$162+0.01</f>
        <v>0.0775</v>
      </c>
      <c r="CY81" s="310" t="s">
        <v>1013</v>
      </c>
      <c r="CZ81" s="316" t="n">
        <f>Underwriting!$I$162-0.01</f>
        <v>0.0575</v>
      </c>
      <c r="DA81" s="316" t="n">
        <f>Underwriting!$I$162-0.005</f>
        <v>0.0625</v>
      </c>
      <c r="DB81" s="324" t="n">
        <f>Underwriting!$I$162+0</f>
        <v>0.0675</v>
      </c>
      <c r="DC81" s="316" t="n">
        <f>Underwriting!$I$162+0.005</f>
        <v>0.07250000000000001</v>
      </c>
      <c r="DD81" s="316" t="n">
        <f>Underwriting!$I$162+0.01</f>
        <v>0.0775</v>
      </c>
    </row>
    <row r="82" ht="26">
      <c r="B82" s="991" t="s">
        <v>812</v>
      </c>
      <c r="C82" s="992" t="n">
        <f>CR20</f>
        <v>-13.592940558244134</v>
      </c>
      <c r="D82" s="993" t="s">
        <v>515</v>
      </c>
      <c r="E82" s="993" t="s">
        <v>1014</v>
      </c>
      <c r="F82" s="925"/>
      <c r="G82" s="925"/>
      <c r="H82" s="925"/>
      <c r="I82" s="925"/>
      <c r="J82" s="991" t="s">
        <v>898</v>
      </c>
      <c r="K82" s="992" t="n">
        <f>CR43</f>
        <v>23.186065711316278</v>
      </c>
      <c r="L82" s="991" t="s">
        <v>515</v>
      </c>
      <c r="M82" s="991" t="s">
        <v>1015</v>
      </c>
      <c r="N82" s="925"/>
      <c r="O82" s="925"/>
      <c r="P82" s="926"/>
      <c r="CQ82" s="316">
        <v>0.8</v>
      </c>
      <c r="CR82" s="313" t="n">
        <f>Underwriting!$I$190/1000000*$CQ82/CR$81</f>
        <v>992.8381289284772</v>
      </c>
      <c r="CS82" s="313" t="n">
        <f>Underwriting!$I$190/1000000*$CQ82/CS$81</f>
        <v>913.411078614199</v>
      </c>
      <c r="CT82" s="313" t="n">
        <f>Underwriting!$I$190/1000000*$CQ82/CT$81</f>
        <v>845.7509987168509</v>
      </c>
      <c r="CU82" s="313" t="n">
        <f>Underwriting!$I$190/1000000*$CQ82/CU$81</f>
        <v>787.4233436329301</v>
      </c>
      <c r="CV82" s="313" t="n">
        <f>Underwriting!$I$190/1000000*$CQ82/CV$81</f>
        <v>736.621837592096</v>
      </c>
      <c r="CY82" s="316">
        <v>0.08</v>
      </c>
      <c r="CZ82" s="313" t="n">
        <f>XNPV($CY82,Underwriting!$M$211:$BB$211,Underwriting!$M$195:$BB$195)/1000000+((Underwriting!$I$190/1000000/CZ$81)*(1-Underwriting!$I$163)+Underwriting!$BC$202/1000000)/(1+$CY82)^((Underwriting!$BC$195-Underwriting!$M$195)/365)</f>
        <v>751.800355365395</v>
      </c>
      <c r="DA82" s="313" t="n">
        <f>XNPV($CY82,Underwriting!$M$211:$BB$211,Underwriting!$M$195:$BB$195)/1000000+((Underwriting!$I$190/1000000/DA$81)*(1-Underwriting!$I$163)+Underwriting!$BC$202/1000000)/(1+$CY82)^((Underwriting!$BC$195-Underwriting!$M$195)/365)</f>
        <v>677.5168398022367</v>
      </c>
      <c r="DB82" s="313" t="n">
        <f>XNPV($CY82,Underwriting!$M$211:$BB$211,Underwriting!$M$195:$BB$195)/1000000+((Underwriting!$I$190/1000000/DB$81)*(1-Underwriting!$I$163)+Underwriting!$BC$202/1000000)/(1+$CY82)^((Underwriting!$BC$195-Underwriting!$M$195)/365)</f>
        <v>614.2382895076944</v>
      </c>
      <c r="DC82" s="313" t="n">
        <f>XNPV($CY82,Underwriting!$M$211:$BB$211,Underwriting!$M$195:$BB$195)/1000000+((Underwriting!$I$190/1000000/DC$81)*(1-Underwriting!$I$163)+Underwriting!$BC$202/1000000)/(1+$CY82)^((Underwriting!$BC$195-Underwriting!$M$195)/365)</f>
        <v>559.6878151158473</v>
      </c>
      <c r="DD82" s="313" t="n">
        <f>XNPV($CY82,Underwriting!$M$211:$BB$211,Underwriting!$M$195:$BB$195)/1000000+((Underwriting!$I$190/1000000/DD$81)*(1-Underwriting!$I$163)+Underwriting!$BC$202/1000000)/(1+$CY82)^((Underwriting!$BC$195-Underwriting!$M$195)/365)</f>
        <v>512.1761116132712</v>
      </c>
    </row>
    <row r="83" ht="39">
      <c r="B83" s="991" t="s">
        <v>1016</v>
      </c>
      <c r="C83" s="992" t="n">
        <f>CR21</f>
        <v>-157.54651593485806</v>
      </c>
      <c r="D83" s="993" t="s">
        <v>515</v>
      </c>
      <c r="E83" s="993" t="s">
        <v>1017</v>
      </c>
      <c r="F83" s="925"/>
      <c r="G83" s="925"/>
      <c r="H83" s="925"/>
      <c r="I83" s="925"/>
      <c r="J83" s="991" t="s">
        <v>904</v>
      </c>
      <c r="K83" s="992" t="n">
        <f>CR44</f>
        <v>702.833093623523</v>
      </c>
      <c r="L83" s="991" t="s">
        <v>515</v>
      </c>
      <c r="M83" s="991" t="s">
        <v>1018</v>
      </c>
      <c r="N83" s="925"/>
      <c r="O83" s="925"/>
      <c r="P83" s="926"/>
      <c r="CQ83" s="316">
        <v>0.9</v>
      </c>
      <c r="CR83" s="313" t="n">
        <f>Underwriting!$I$190/1000000*$CQ83/CR$81</f>
        <v>1116.9428950445367</v>
      </c>
      <c r="CS83" s="313" t="n">
        <f>Underwriting!$I$190/1000000*$CQ83/CS$81</f>
        <v>1027.5874634409738</v>
      </c>
      <c r="CT83" s="313" t="n">
        <f>Underwriting!$I$190/1000000*$CQ83/CT$81</f>
        <v>951.4698735564572</v>
      </c>
      <c r="CU83" s="313" t="n">
        <f>Underwriting!$I$190/1000000*$CQ83/CU$81</f>
        <v>885.8512615870462</v>
      </c>
      <c r="CV83" s="313" t="n">
        <f>Underwriting!$I$190/1000000*$CQ83/CV$81</f>
        <v>828.6995672911079</v>
      </c>
      <c r="CY83" s="316">
        <v>0.09</v>
      </c>
      <c r="CZ83" s="313" t="n">
        <f>XNPV($CY83,Underwriting!$M$211:$BB$211,Underwriting!$M$195:$BB$195)/1000000+((Underwriting!$I$190/1000000/CZ$81)*(1-Underwriting!$I$163)+Underwriting!$BC$202/1000000)/(1+$CY83)^((Underwriting!$BC$195-Underwriting!$M$195)/365)</f>
        <v>723.5156119486219</v>
      </c>
      <c r="DA83" s="313" t="n">
        <f>XNPV($CY83,Underwriting!$M$211:$BB$211,Underwriting!$M$195:$BB$195)/1000000+((Underwriting!$I$190/1000000/DA$81)*(1-Underwriting!$I$163)+Underwriting!$BC$202/1000000)/(1+$CY83)^((Underwriting!$BC$195-Underwriting!$M$195)/365)</f>
        <v>651.594658780175</v>
      </c>
      <c r="DB83" s="313" t="n">
        <f>XNPV($CY83,Underwriting!$M$211:$BB$211,Underwriting!$M$195:$BB$195)/1000000+((Underwriting!$I$190/1000000/DB$81)*(1-Underwriting!$I$163)+Underwriting!$BC$202/1000000)/(1+$CY83)^((Underwriting!$BC$195-Underwriting!$M$195)/365)</f>
        <v>590.3286616366831</v>
      </c>
      <c r="DC83" s="313" t="n">
        <f>XNPV($CY83,Underwriting!$M$211:$BB$211,Underwriting!$M$195:$BB$195)/1000000+((Underwriting!$I$190/1000000/DC$81)*(1-Underwriting!$I$163)+Underwriting!$BC$202/1000000)/(1+$CY83)^((Underwriting!$BC$195-Underwriting!$M$195)/365)</f>
        <v>537.5131468578106</v>
      </c>
      <c r="DD83" s="313" t="n">
        <f>XNPV($CY83,Underwriting!$M$211:$BB$211,Underwriting!$M$195:$BB$195)/1000000+((Underwriting!$I$190/1000000/DD$81)*(1-Underwriting!$I$163)+Underwriting!$BC$202/1000000)/(1+$CY83)^((Underwriting!$BC$195-Underwriting!$M$195)/365)</f>
        <v>491.51253721169604</v>
      </c>
    </row>
    <row r="84" ht="91">
      <c r="B84" s="991" t="s">
        <v>1019</v>
      </c>
      <c r="C84" s="992" t="n">
        <f>CR22</f>
        <v>-176.743589174085</v>
      </c>
      <c r="D84" s="993" t="s">
        <v>515</v>
      </c>
      <c r="E84" s="993" t="s">
        <v>1020</v>
      </c>
      <c r="F84" s="925"/>
      <c r="G84" s="925"/>
      <c r="H84" s="925"/>
      <c r="I84" s="925"/>
      <c r="J84" s="991" t="s">
        <v>921</v>
      </c>
      <c r="K84" s="992" t="n">
        <f>CR47</f>
        <v>-213.01883390950715</v>
      </c>
      <c r="L84" s="991" t="s">
        <v>515</v>
      </c>
      <c r="M84" s="991" t="s">
        <v>1021</v>
      </c>
      <c r="N84" s="925"/>
      <c r="O84" s="925"/>
      <c r="P84" s="926"/>
      <c r="CQ84" s="324">
        <v>1</v>
      </c>
      <c r="CR84" s="313" t="n">
        <f>Underwriting!$I$190/1000000*$CQ84/CR$81</f>
        <v>1241.0476611605964</v>
      </c>
      <c r="CS84" s="313" t="n">
        <f>Underwriting!$I$190/1000000*$CQ84/CS$81</f>
        <v>1141.7638482677487</v>
      </c>
      <c r="CT84" s="323" t="n">
        <f>Underwriting!$I$190/1000000*$CQ84/CT$81</f>
        <v>1057.1887483960636</v>
      </c>
      <c r="CU84" s="313" t="n">
        <f>Underwriting!$I$190/1000000*$CQ84/CU$81</f>
        <v>984.2791795411625</v>
      </c>
      <c r="CV84" s="313" t="n">
        <f>Underwriting!$I$190/1000000*$CQ84/CV$81</f>
        <v>920.7772969901199</v>
      </c>
      <c r="CY84" s="324">
        <v>0.1</v>
      </c>
      <c r="CZ84" s="313" t="n">
        <f>XNPV($CY84,Underwriting!$M$211:$BB$211,Underwriting!$M$195:$BB$195)/1000000+((Underwriting!$I$190/1000000/CZ$81)*(1-Underwriting!$I$163)+Underwriting!$BC$202/1000000)/(1+$CY84)^((Underwriting!$BC$195-Underwriting!$M$195)/365)</f>
        <v>696.4211700743217</v>
      </c>
      <c r="DA84" s="313" t="n">
        <f>XNPV($CY84,Underwriting!$M$211:$BB$211,Underwriting!$M$195:$BB$195)/1000000+((Underwriting!$I$190/1000000/DA$81)*(1-Underwriting!$I$163)+Underwriting!$BC$202/1000000)/(1+$CY84)^((Underwriting!$BC$195-Underwriting!$M$195)/365)</f>
        <v>626.7670815482625</v>
      </c>
      <c r="DB84" s="323" t="n">
        <f>XNPV($CY84,Underwriting!$M$211:$BB$211,Underwriting!$M$195:$BB$195)/1000000+((Underwriting!$I$190/1000000/DB$81)*(1-Underwriting!$I$163)+Underwriting!$BC$202/1000000)/(1+$CY84)^((Underwriting!$BC$195-Underwriting!$M$195)/365)</f>
        <v>567.4321172482862</v>
      </c>
      <c r="DC84" s="313" t="n">
        <f>XNPV($CY84,Underwriting!$M$211:$BB$211,Underwriting!$M$195:$BB$195)/1000000+((Underwriting!$I$190/1000000/DC$81)*(1-Underwriting!$I$163)+Underwriting!$BC$202/1000000)/(1+$CY84)^((Underwriting!$BC$195-Underwriting!$M$195)/365)</f>
        <v>516.281285955203</v>
      </c>
      <c r="DD84" s="313" t="n">
        <f>XNPV($CY84,Underwriting!$M$211:$BB$211,Underwriting!$M$195:$BB$195)/1000000+((Underwriting!$I$190/1000000/DD$81)*(1-Underwriting!$I$163)+Underwriting!$BC$202/1000000)/(1+$CY84)^((Underwriting!$BC$195-Underwriting!$M$195)/365)</f>
        <v>471.73056192574353</v>
      </c>
    </row>
    <row r="85" ht="52">
      <c r="B85" s="1006" t="s">
        <v>1022</v>
      </c>
      <c r="C85" s="1007" t="n">
        <f>CR23</f>
        <v>331.7639822450195</v>
      </c>
      <c r="D85" s="1008" t="s">
        <v>515</v>
      </c>
      <c r="E85" s="1008" t="s">
        <v>1023</v>
      </c>
      <c r="F85" s="925"/>
      <c r="G85" s="925"/>
      <c r="H85" s="925"/>
      <c r="I85" s="925"/>
      <c r="J85" s="991" t="s">
        <v>812</v>
      </c>
      <c r="K85" s="992" t="n">
        <f>CR50</f>
        <v>-13.592940558244136</v>
      </c>
      <c r="L85" s="991" t="s">
        <v>515</v>
      </c>
      <c r="M85" s="991" t="s">
        <v>1024</v>
      </c>
      <c r="N85" s="925"/>
      <c r="O85" s="925"/>
      <c r="P85" s="926"/>
      <c r="CQ85" s="316">
        <v>1.1000000000000001</v>
      </c>
      <c r="CR85" s="313" t="n">
        <f>Underwriting!$I$190/1000000*$CQ85/CR$81</f>
        <v>1365.152427276656</v>
      </c>
      <c r="CS85" s="313" t="n">
        <f>Underwriting!$I$190/1000000*$CQ85/CS$81</f>
        <v>1255.9402330945236</v>
      </c>
      <c r="CT85" s="313" t="n">
        <f>Underwriting!$I$190/1000000*$CQ85/CT$81</f>
        <v>1162.90762323567</v>
      </c>
      <c r="CU85" s="313" t="n">
        <f>Underwriting!$I$190/1000000*$CQ85/CU$81</f>
        <v>1082.7070974952787</v>
      </c>
      <c r="CV85" s="313" t="n">
        <f>Underwriting!$I$190/1000000*$CQ85/CV$81</f>
        <v>1012.8550266891319</v>
      </c>
      <c r="CY85" s="316">
        <v>0.11</v>
      </c>
      <c r="CZ85" s="313" t="n">
        <f>XNPV($CY85,Underwriting!$M$211:$BB$211,Underwriting!$M$195:$BB$195)/1000000+((Underwriting!$I$190/1000000/CZ$81)*(1-Underwriting!$I$163)+Underwriting!$BC$202/1000000)/(1+$CY85)^((Underwriting!$BC$195-Underwriting!$M$195)/365)</f>
        <v>670.457784178891</v>
      </c>
      <c r="DA85" s="313" t="n">
        <f>XNPV($CY85,Underwriting!$M$211:$BB$211,Underwriting!$M$195:$BB$195)/1000000+((Underwriting!$I$190/1000000/DA$81)*(1-Underwriting!$I$163)+Underwriting!$BC$202/1000000)/(1+$CY85)^((Underwriting!$BC$195-Underwriting!$M$195)/365)</f>
        <v>602.9795566965697</v>
      </c>
      <c r="DB85" s="313" t="n">
        <f>XNPV($CY85,Underwriting!$M$211:$BB$211,Underwriting!$M$195:$BB$195)/1000000+((Underwriting!$I$190/1000000/DB$81)*(1-Underwriting!$I$163)+Underwriting!$BC$202/1000000)/(1+$CY85)^((Underwriting!$BC$195-Underwriting!$M$195)/365)</f>
        <v>545.4981036560739</v>
      </c>
      <c r="DC85" s="313" t="n">
        <f>XNPV($CY85,Underwriting!$M$211:$BB$211,Underwriting!$M$195:$BB$195)/1000000+((Underwriting!$I$190/1000000/DC$81)*(1-Underwriting!$I$163)+Underwriting!$BC$202/1000000)/(1+$CY85)^((Underwriting!$BC$195-Underwriting!$M$195)/365)</f>
        <v>495.94512689702566</v>
      </c>
      <c r="DD85" s="313" t="n">
        <f>XNPV($CY85,Underwriting!$M$211:$BB$211,Underwriting!$M$195:$BB$195)/1000000+((Underwriting!$I$190/1000000/DD$81)*(1-Underwriting!$I$163)+Underwriting!$BC$202/1000000)/(1+$CY85)^((Underwriting!$BC$195-Underwriting!$M$195)/365)</f>
        <v>452.78608262301606</v>
      </c>
    </row>
    <row r="86">
      <c r="B86" s="925"/>
      <c r="C86" s="925"/>
      <c r="D86" s="926"/>
      <c r="E86" s="926"/>
      <c r="F86" s="925"/>
      <c r="G86" s="925"/>
      <c r="H86" s="925"/>
      <c r="I86" s="925"/>
      <c r="J86" s="1009" t="s">
        <v>1025</v>
      </c>
      <c r="K86" s="1010" t="n">
        <f>CR52</f>
        <v>476.22131915577177</v>
      </c>
      <c r="L86" s="1009" t="s">
        <v>515</v>
      </c>
      <c r="M86" s="1009" t="s">
        <v>1026</v>
      </c>
      <c r="N86" s="925"/>
      <c r="O86" s="925"/>
      <c r="P86" s="926"/>
      <c r="CQ86" s="316">
        <v>1.2</v>
      </c>
      <c r="CR86" s="313" t="n">
        <f>Underwriting!$I$190/1000000*$CQ86/CR$81</f>
        <v>1489.2571933927156</v>
      </c>
      <c r="CS86" s="313" t="n">
        <f>Underwriting!$I$190/1000000*$CQ86/CS$81</f>
        <v>1370.1166179212985</v>
      </c>
      <c r="CT86" s="313" t="n">
        <f>Underwriting!$I$190/1000000*$CQ86/CT$81</f>
        <v>1268.6264980752762</v>
      </c>
      <c r="CU86" s="313" t="n">
        <f>Underwriting!$I$190/1000000*$CQ86/CU$81</f>
        <v>1181.135015449395</v>
      </c>
      <c r="CV86" s="313" t="n">
        <f>Underwriting!$I$190/1000000*$CQ86/CV$81</f>
        <v>1104.9327563881438</v>
      </c>
      <c r="CY86" s="316">
        <v>0.12</v>
      </c>
      <c r="CZ86" s="313" t="n">
        <f>XNPV($CY86,Underwriting!$M$211:$BB$211,Underwriting!$M$195:$BB$195)/1000000+((Underwriting!$I$190/1000000/CZ$81)*(1-Underwriting!$I$163)+Underwriting!$BC$202/1000000)/(1+$CY86)^((Underwriting!$BC$195-Underwriting!$M$195)/365)</f>
        <v>645.569635540047</v>
      </c>
      <c r="DA86" s="313" t="n">
        <f>XNPV($CY86,Underwriting!$M$211:$BB$211,Underwriting!$M$195:$BB$195)/1000000+((Underwriting!$I$190/1000000/DA$81)*(1-Underwriting!$I$163)+Underwriting!$BC$202/1000000)/(1+$CY86)^((Underwriting!$BC$195-Underwriting!$M$195)/365)</f>
        <v>580.180689993069</v>
      </c>
      <c r="DB86" s="313" t="n">
        <f>XNPV($CY86,Underwriting!$M$211:$BB$211,Underwriting!$M$195:$BB$195)/1000000+((Underwriting!$I$190/1000000/DB$81)*(1-Underwriting!$I$163)+Underwriting!$BC$202/1000000)/(1+$CY86)^((Underwriting!$BC$195-Underwriting!$M$195)/365)</f>
        <v>524.4789956382359</v>
      </c>
      <c r="DC86" s="313" t="n">
        <f>XNPV($CY86,Underwriting!$M$211:$BB$211,Underwriting!$M$195:$BB$195)/1000000+((Underwriting!$I$190/1000000/DC$81)*(1-Underwriting!$I$163)+Underwriting!$BC$202/1000000)/(1+$CY86)^((Underwriting!$BC$195-Underwriting!$M$195)/365)</f>
        <v>476.46029360820717</v>
      </c>
      <c r="DD86" s="313" t="n">
        <f>XNPV($CY86,Underwriting!$M$211:$BB$211,Underwriting!$M$195:$BB$195)/1000000+((Underwriting!$I$190/1000000/DD$81)*(1-Underwriting!$I$163)+Underwriting!$BC$202/1000000)/(1+$CY86)^((Underwriting!$BC$195-Underwriting!$M$195)/365)</f>
        <v>434.63755313044044</v>
      </c>
    </row>
    <row r="87">
      <c r="B87" s="925"/>
      <c r="C87" s="925"/>
      <c r="D87" s="926"/>
      <c r="E87" s="926"/>
      <c r="F87" s="925"/>
      <c r="G87" s="925"/>
      <c r="H87" s="925"/>
      <c r="I87" s="925"/>
      <c r="J87" s="991" t="s">
        <v>950</v>
      </c>
      <c r="K87" s="994" t="n">
        <f>DA56</f>
        <v>0.5086913049442029</v>
      </c>
      <c r="L87" s="991" t="s">
        <v>78</v>
      </c>
      <c r="M87" s="991" t="s">
        <v>1027</v>
      </c>
      <c r="N87" s="925"/>
      <c r="O87" s="925"/>
      <c r="P87" s="926"/>
    </row>
    <row r="88">
      <c r="B88" s="925"/>
      <c r="C88" s="925"/>
      <c r="D88" s="926"/>
      <c r="E88" s="926"/>
      <c r="F88" s="925"/>
      <c r="G88" s="925"/>
      <c r="H88" s="925"/>
      <c r="I88" s="925"/>
      <c r="J88" s="995" t="s">
        <v>774</v>
      </c>
      <c r="K88" s="996" t="n">
        <f>DA57</f>
        <v>0.31342568298117207</v>
      </c>
      <c r="L88" s="995" t="s">
        <v>78</v>
      </c>
      <c r="M88" s="995" t="s">
        <v>1028</v>
      </c>
      <c r="N88" s="925"/>
      <c r="O88" s="925"/>
      <c r="P88" s="926"/>
    </row>
    <row r="89">
      <c r="B89" s="925"/>
      <c r="C89" s="925"/>
      <c r="D89" s="926"/>
      <c r="E89" s="926"/>
      <c r="F89" s="925"/>
      <c r="G89" s="925"/>
      <c r="H89" s="925"/>
      <c r="I89" s="925"/>
      <c r="J89" s="925"/>
      <c r="K89" s="925"/>
      <c r="L89" s="925"/>
      <c r="M89" s="925"/>
      <c r="N89" s="925"/>
      <c r="O89" s="925"/>
      <c r="P89" s="926"/>
    </row>
    <row r="90">
      <c r="B90" s="925"/>
      <c r="C90" s="925"/>
      <c r="D90" s="926"/>
      <c r="E90" s="926"/>
      <c r="F90" s="925"/>
      <c r="G90" s="925"/>
      <c r="H90" s="925"/>
      <c r="I90" s="925"/>
      <c r="J90" s="925"/>
      <c r="K90" s="925"/>
      <c r="L90" s="925"/>
      <c r="M90" s="925"/>
      <c r="N90" s="925"/>
      <c r="O90" s="925"/>
      <c r="P90" s="926"/>
      <c r="CQ90" s="692" t="s">
        <v>1029</v>
      </c>
      <c r="CR90" s="699"/>
      <c r="CS90" s="699"/>
      <c r="CT90" s="699"/>
      <c r="CU90" s="699"/>
      <c r="CV90" s="699"/>
      <c r="CW90" s="699"/>
      <c r="CY90" s="692" t="s">
        <v>1030</v>
      </c>
      <c r="CZ90" s="699"/>
      <c r="DA90" s="699"/>
      <c r="DB90" s="699"/>
      <c r="DC90" s="699"/>
      <c r="DD90" s="699"/>
      <c r="DE90" s="699"/>
    </row>
    <row r="91">
      <c r="B91" s="937" t="s">
        <v>1031</v>
      </c>
      <c r="C91" s="937"/>
      <c r="D91" s="938"/>
      <c r="E91" s="938"/>
      <c r="F91" s="937"/>
      <c r="G91" s="937"/>
      <c r="H91" s="937"/>
      <c r="I91" s="925"/>
      <c r="J91" s="937" t="s">
        <v>1032</v>
      </c>
      <c r="K91" s="937"/>
      <c r="L91" s="937"/>
      <c r="M91" s="937"/>
      <c r="N91" s="937"/>
      <c r="O91" s="937"/>
      <c r="P91" s="938"/>
      <c r="CQ91" s="310" t="s">
        <v>1033</v>
      </c>
      <c r="CR91" s="316">
        <v>0.8</v>
      </c>
      <c r="CS91" s="316">
        <v>0.9</v>
      </c>
      <c r="CT91" s="324">
        <v>1</v>
      </c>
      <c r="CU91" s="316">
        <v>1.1000000000000001</v>
      </c>
      <c r="CV91" s="316">
        <v>1.2</v>
      </c>
      <c r="CY91" s="310" t="s">
        <v>1034</v>
      </c>
      <c r="CZ91" s="318">
        <v>6</v>
      </c>
      <c r="DA91" s="318">
        <v>7</v>
      </c>
      <c r="DB91" s="325">
        <v>8</v>
      </c>
      <c r="DC91" s="318">
        <v>9</v>
      </c>
      <c r="DD91" s="318">
        <v>10</v>
      </c>
    </row>
    <row r="92" ht="26">
      <c r="B92" s="941" t="s">
        <v>1035</v>
      </c>
      <c r="C92" s="941" t="s">
        <v>1036</v>
      </c>
      <c r="D92" s="941" t="s">
        <v>1004</v>
      </c>
      <c r="E92" s="941" t="s">
        <v>996</v>
      </c>
      <c r="F92" s="925"/>
      <c r="G92" s="925"/>
      <c r="H92" s="925"/>
      <c r="I92" s="925"/>
      <c r="J92" s="941" t="s">
        <v>1037</v>
      </c>
      <c r="K92" s="941" t="s">
        <v>811</v>
      </c>
      <c r="L92" s="941" t="s">
        <v>1038</v>
      </c>
      <c r="M92" s="941" t="s">
        <v>819</v>
      </c>
      <c r="N92" s="925"/>
      <c r="O92" s="925"/>
      <c r="P92" s="926"/>
      <c r="CQ92" s="316">
        <v>0.8</v>
      </c>
      <c r="CR92" s="316" t="n">
        <f>($DA$7*CR$91*(1-Underwriting!$I$163)-$DA$15*$CQ92)/($DA$15*$CQ92)</f>
        <v>0.5905444445510398</v>
      </c>
      <c r="CS92" s="316" t="n">
        <f>($DA$7*CS$91*(1-Underwriting!$I$163)-$DA$15*$CQ92)/($DA$15*$CQ92)</f>
        <v>0.7893625001199199</v>
      </c>
      <c r="CT92" s="316" t="n">
        <f>($DA$7*CT$91*(1-Underwriting!$I$163)-$DA$15*$CQ92)/($DA$15*$CQ92)</f>
        <v>0.9881805556888</v>
      </c>
      <c r="CU92" s="316" t="n">
        <f>($DA$7*CU$91*(1-Underwriting!$I$163)-$DA$15*$CQ92)/($DA$15*$CQ92)</f>
        <v>1.18699861125768</v>
      </c>
      <c r="CV92" s="316" t="n">
        <f>($DA$7*CV$91*(1-Underwriting!$I$163)-$DA$15*$CQ92)/($DA$15*$CQ92)</f>
        <v>1.38581666682656</v>
      </c>
      <c r="CY92" s="316">
        <v>0.8</v>
      </c>
      <c r="CZ92" s="313" t="n">
        <f>$CZ$38*$CY92*CZ$91</f>
        <v>13.911639426789765</v>
      </c>
      <c r="DA92" s="313" t="n">
        <f>$CZ$38*$CY92*DA$91</f>
        <v>16.230245997921394</v>
      </c>
      <c r="DB92" s="313" t="n">
        <f>$CZ$38*$CY92*DB$91</f>
        <v>18.54885256905302</v>
      </c>
      <c r="DC92" s="313" t="n">
        <f>$CZ$38*$CY92*DC$91</f>
        <v>20.86745914018465</v>
      </c>
      <c r="DD92" s="313" t="n">
        <f>$CZ$38*$CY92*DD$91</f>
        <v>23.186065711316278</v>
      </c>
    </row>
    <row r="93" ht="52">
      <c r="B93" s="988" t="s">
        <v>892</v>
      </c>
      <c r="C93" s="945" t="n">
        <f>DA42</f>
        <v>0.5604412765782036</v>
      </c>
      <c r="D93" s="990" t="s">
        <v>78</v>
      </c>
      <c r="E93" s="990" t="s">
        <v>1039</v>
      </c>
      <c r="F93" s="925"/>
      <c r="G93" s="925"/>
      <c r="H93" s="925"/>
      <c r="I93" s="925"/>
      <c r="J93" s="988" t="s">
        <v>1040</v>
      </c>
      <c r="K93" s="1028" t="n">
        <f>CT82</f>
        <v>845.7509987168509</v>
      </c>
      <c r="L93" s="1028" t="n">
        <f>CT84</f>
        <v>1057.1887483960636</v>
      </c>
      <c r="M93" s="1028" t="n">
        <f>CT86</f>
        <v>1268.6264980752762</v>
      </c>
      <c r="N93" s="925"/>
      <c r="O93" s="925"/>
      <c r="P93" s="926"/>
      <c r="CQ93" s="316">
        <v>0.9</v>
      </c>
      <c r="CR93" s="316" t="n">
        <f>($DA$7*CR$91*(1-Underwriting!$I$163)-$DA$15*$CQ93)/($DA$15*$CQ93)</f>
        <v>0.4138172840453689</v>
      </c>
      <c r="CS93" s="316" t="n">
        <f>($DA$7*CS$91*(1-Underwriting!$I$163)-$DA$15*$CQ93)/($DA$15*$CQ93)</f>
        <v>0.59054444455104</v>
      </c>
      <c r="CT93" s="316" t="n">
        <f>($DA$7*CT$91*(1-Underwriting!$I$163)-$DA$15*$CQ93)/($DA$15*$CQ93)</f>
        <v>0.7672716050567112</v>
      </c>
      <c r="CU93" s="316" t="n">
        <f>($DA$7*CU$91*(1-Underwriting!$I$163)-$DA$15*$CQ93)/($DA$15*$CQ93)</f>
        <v>0.9439987655623825</v>
      </c>
      <c r="CV93" s="316" t="n">
        <f>($DA$7*CV$91*(1-Underwriting!$I$163)-$DA$15*$CQ93)/($DA$15*$CQ93)</f>
        <v>1.1207259260680533</v>
      </c>
      <c r="CY93" s="316">
        <v>0.9</v>
      </c>
      <c r="CZ93" s="313" t="n">
        <f>$CZ$38*$CY93*CZ$91</f>
        <v>15.650594355138487</v>
      </c>
      <c r="DA93" s="313" t="n">
        <f>$CZ$38*$CY93*DA$91</f>
        <v>18.25902674766157</v>
      </c>
      <c r="DB93" s="313" t="n">
        <f>$CZ$38*$CY93*DB$91</f>
        <v>20.86745914018465</v>
      </c>
      <c r="DC93" s="313" t="n">
        <f>$CZ$38*$CY93*DC$91</f>
        <v>23.47589153270773</v>
      </c>
      <c r="DD93" s="313" t="n">
        <f>$CZ$38*$CY93*DD$91</f>
        <v>26.084323925230812</v>
      </c>
    </row>
    <row r="94" ht="39">
      <c r="B94" s="991" t="s">
        <v>899</v>
      </c>
      <c r="C94" s="950" t="n">
        <f>DA43</f>
        <v>0.5600807876754031</v>
      </c>
      <c r="D94" s="993" t="s">
        <v>78</v>
      </c>
      <c r="E94" s="993" t="s">
        <v>1041</v>
      </c>
      <c r="F94" s="925"/>
      <c r="G94" s="925"/>
      <c r="H94" s="925"/>
      <c r="I94" s="925"/>
      <c r="J94" s="995" t="s">
        <v>1042</v>
      </c>
      <c r="K94" s="963" t="n">
        <f>CS102</f>
        <v>0.11983448074501883</v>
      </c>
      <c r="L94" s="963" t="n">
        <f>CS104</f>
        <v>0.17091460710522982</v>
      </c>
      <c r="M94" s="963" t="n">
        <f>CS106</f>
        <v>0.214374950952186</v>
      </c>
      <c r="N94" s="925"/>
      <c r="O94" s="925"/>
      <c r="P94" s="926"/>
      <c r="CQ94" s="324">
        <v>1</v>
      </c>
      <c r="CR94" s="316" t="n">
        <f>($DA$7*CR$91*(1-Underwriting!$I$163)-$DA$15*$CQ94)/($DA$15*$CQ94)</f>
        <v>0.27243555564083205</v>
      </c>
      <c r="CS94" s="316" t="n">
        <f>($DA$7*CS$91*(1-Underwriting!$I$163)-$DA$15*$CQ94)/($DA$15*$CQ94)</f>
        <v>0.43149000009593613</v>
      </c>
      <c r="CT94" s="324" t="n">
        <f>($DA$7*CT$91*(1-Underwriting!$I$163)-$DA$15*$CQ94)/($DA$15*$CQ94)</f>
        <v>0.5905444445510403</v>
      </c>
      <c r="CU94" s="316" t="n">
        <f>($DA$7*CU$91*(1-Underwriting!$I$163)-$DA$15*$CQ94)/($DA$15*$CQ94)</f>
        <v>0.7495988890061444</v>
      </c>
      <c r="CV94" s="316" t="n">
        <f>($DA$7*CV$91*(1-Underwriting!$I$163)-$DA$15*$CQ94)/($DA$15*$CQ94)</f>
        <v>0.9086533334612481</v>
      </c>
      <c r="CY94" s="324">
        <v>1</v>
      </c>
      <c r="CZ94" s="313" t="n">
        <f>$CZ$38*$CY94*CZ$91</f>
        <v>17.38954928348721</v>
      </c>
      <c r="DA94" s="313" t="n">
        <f>$CZ$38*$CY94*DA$91</f>
        <v>20.287807497401744</v>
      </c>
      <c r="DB94" s="323" t="n">
        <f>$CZ$38*$CY94*DB$91</f>
        <v>23.186065711316278</v>
      </c>
      <c r="DC94" s="313" t="n">
        <f>$CZ$38*$CY94*DC$91</f>
        <v>26.084323925230812</v>
      </c>
      <c r="DD94" s="313" t="n">
        <f>$CZ$38*$CY94*DD$91</f>
        <v>28.982582139145347</v>
      </c>
    </row>
    <row r="95" ht="52">
      <c r="B95" s="991" t="s">
        <v>911</v>
      </c>
      <c r="C95" s="1026" t="n">
        <f>DA45</f>
        <v>601.1594637623551</v>
      </c>
      <c r="D95" s="993" t="s">
        <v>515</v>
      </c>
      <c r="E95" s="993" t="s">
        <v>1043</v>
      </c>
      <c r="F95" s="925"/>
      <c r="G95" s="925"/>
      <c r="H95" s="925"/>
      <c r="I95" s="925"/>
      <c r="J95" s="925"/>
      <c r="K95" s="925"/>
      <c r="L95" s="925"/>
      <c r="M95" s="925"/>
      <c r="N95" s="925"/>
      <c r="O95" s="925"/>
      <c r="P95" s="926"/>
      <c r="CQ95" s="316">
        <v>1.1000000000000001</v>
      </c>
      <c r="CR95" s="316" t="n">
        <f>($DA$7*CR$91*(1-Underwriting!$I$163)-$DA$15*$CQ95)/($DA$15*$CQ95)</f>
        <v>0.15675959603711997</v>
      </c>
      <c r="CS95" s="316" t="n">
        <f>($DA$7*CS$91*(1-Underwriting!$I$163)-$DA$15*$CQ95)/($DA$15*$CQ95)</f>
        <v>0.30135454554176005</v>
      </c>
      <c r="CT95" s="316" t="n">
        <f>($DA$7*CT$91*(1-Underwriting!$I$163)-$DA$15*$CQ95)/($DA$15*$CQ95)</f>
        <v>0.4459494950464001</v>
      </c>
      <c r="CU95" s="316" t="n">
        <f>($DA$7*CU$91*(1-Underwriting!$I$163)-$DA$15*$CQ95)/($DA$15*$CQ95)</f>
        <v>0.5905444445510402</v>
      </c>
      <c r="CV95" s="316" t="n">
        <f>($DA$7*CV$91*(1-Underwriting!$I$163)-$DA$15*$CQ95)/($DA$15*$CQ95)</f>
        <v>0.73513939405568</v>
      </c>
      <c r="CY95" s="316">
        <v>1.1000000000000001</v>
      </c>
      <c r="CZ95" s="313" t="n">
        <f>$CZ$38*$CY95*CZ$91</f>
        <v>19.12850421183593</v>
      </c>
      <c r="DA95" s="313" t="n">
        <f>$CZ$38*$CY95*DA$91</f>
        <v>22.31658824714192</v>
      </c>
      <c r="DB95" s="313" t="n">
        <f>$CZ$38*$CY95*DB$91</f>
        <v>25.504672282447906</v>
      </c>
      <c r="DC95" s="313" t="n">
        <f>$CZ$38*$CY95*DC$91</f>
        <v>28.692756317753894</v>
      </c>
      <c r="DD95" s="313" t="n">
        <f>$CZ$38*$CY95*DD$91</f>
        <v>31.88084035305988</v>
      </c>
    </row>
    <row r="96" ht="52">
      <c r="B96" s="991" t="s">
        <v>919</v>
      </c>
      <c r="C96" s="950" t="n">
        <f>DA46</f>
        <v>0.9225737903999729</v>
      </c>
      <c r="D96" s="993" t="s">
        <v>78</v>
      </c>
      <c r="E96" s="993" t="s">
        <v>1044</v>
      </c>
      <c r="F96" s="925"/>
      <c r="G96" s="925"/>
      <c r="H96" s="925"/>
      <c r="I96" s="925"/>
      <c r="J96" s="940" t="s">
        <v>1045</v>
      </c>
      <c r="K96" s="940"/>
      <c r="L96" s="940"/>
      <c r="M96" s="940"/>
      <c r="N96" s="940"/>
      <c r="O96" s="940"/>
      <c r="P96" s="940"/>
      <c r="CQ96" s="316">
        <v>1.2</v>
      </c>
      <c r="CR96" s="316" t="n">
        <f>($DA$7*CR$91*(1-Underwriting!$I$163)-$DA$15*$CQ96)/($DA$15*$CQ96)</f>
        <v>0.06036296303402682</v>
      </c>
      <c r="CS96" s="316" t="n">
        <f>($DA$7*CS$91*(1-Underwriting!$I$163)-$DA$15*$CQ96)/($DA$15*$CQ96)</f>
        <v>0.19290833341328023</v>
      </c>
      <c r="CT96" s="316" t="n">
        <f>($DA$7*CT$91*(1-Underwriting!$I$163)-$DA$15*$CQ96)/($DA$15*$CQ96)</f>
        <v>0.32545370379253363</v>
      </c>
      <c r="CU96" s="316" t="n">
        <f>($DA$7*CU$91*(1-Underwriting!$I$163)-$DA$15*$CQ96)/($DA$15*$CQ96)</f>
        <v>0.45799907417178704</v>
      </c>
      <c r="CV96" s="316" t="n">
        <f>($DA$7*CV$91*(1-Underwriting!$I$163)-$DA$15*$CQ96)/($DA$15*$CQ96)</f>
        <v>0.5905444445510403</v>
      </c>
      <c r="CY96" s="316">
        <v>1.2</v>
      </c>
      <c r="CZ96" s="313" t="n">
        <f>$CZ$38*$CY96*CZ$91</f>
        <v>20.86745914018465</v>
      </c>
      <c r="DA96" s="313" t="n">
        <f>$CZ$38*$CY96*DA$91</f>
        <v>24.345368996882094</v>
      </c>
      <c r="DB96" s="313" t="n">
        <f>$CZ$38*$CY96*DB$91</f>
        <v>27.823278853579534</v>
      </c>
      <c r="DC96" s="313" t="n">
        <f>$CZ$38*$CY96*DC$91</f>
        <v>31.301188710276975</v>
      </c>
      <c r="DD96" s="313" t="n">
        <f>$CZ$38*$CY96*DD$91</f>
        <v>34.77909856697442</v>
      </c>
    </row>
    <row r="97" ht="39">
      <c r="B97" s="991" t="s">
        <v>922</v>
      </c>
      <c r="C97" s="950" t="n">
        <f>DA47</f>
        <v>0.9214507461435774</v>
      </c>
      <c r="D97" s="993" t="s">
        <v>78</v>
      </c>
      <c r="E97" s="993" t="s">
        <v>1041</v>
      </c>
      <c r="F97" s="925"/>
      <c r="G97" s="925"/>
      <c r="H97" s="925"/>
      <c r="I97" s="925"/>
      <c r="J97" s="925"/>
      <c r="K97" s="925"/>
      <c r="L97" s="925"/>
      <c r="M97" s="925"/>
      <c r="N97" s="925"/>
      <c r="O97" s="925"/>
      <c r="P97" s="926"/>
    </row>
    <row r="98" ht="52">
      <c r="B98" s="991" t="s">
        <v>927</v>
      </c>
      <c r="C98" s="1026" t="n">
        <f>DA49</f>
        <v>590.0908797306317</v>
      </c>
      <c r="D98" s="993" t="s">
        <v>515</v>
      </c>
      <c r="E98" s="993" t="s">
        <v>1043</v>
      </c>
      <c r="F98" s="925"/>
      <c r="G98" s="925"/>
      <c r="H98" s="925"/>
      <c r="I98" s="925"/>
      <c r="J98" s="925"/>
      <c r="K98" s="925"/>
      <c r="L98" s="925"/>
      <c r="M98" s="925"/>
      <c r="N98" s="925"/>
      <c r="O98" s="925"/>
      <c r="P98" s="926"/>
    </row>
    <row r="99" ht="39">
      <c r="B99" s="991" t="s">
        <v>930</v>
      </c>
      <c r="C99" s="984" t="n">
        <f>DA50</f>
        <v>9.688789923849196</v>
      </c>
      <c r="D99" s="993" t="s">
        <v>780</v>
      </c>
      <c r="E99" s="993" t="s">
        <v>1046</v>
      </c>
      <c r="F99" s="925"/>
      <c r="G99" s="925"/>
      <c r="H99" s="925"/>
      <c r="I99" s="925"/>
      <c r="J99" s="925"/>
      <c r="K99" s="925"/>
      <c r="L99" s="925"/>
      <c r="M99" s="925"/>
      <c r="N99" s="925"/>
      <c r="O99" s="925"/>
      <c r="P99" s="926"/>
    </row>
    <row r="100">
      <c r="B100" s="991" t="s">
        <v>933</v>
      </c>
      <c r="C100" s="950" t="n">
        <f>DA51</f>
        <v>0.4313763178987769</v>
      </c>
      <c r="D100" s="993" t="s">
        <v>78</v>
      </c>
      <c r="E100" s="993" t="s">
        <v>1047</v>
      </c>
      <c r="F100" s="925"/>
      <c r="G100" s="925"/>
      <c r="H100" s="925"/>
      <c r="I100" s="925"/>
      <c r="J100" s="925"/>
      <c r="K100" s="925"/>
      <c r="L100" s="925"/>
      <c r="M100" s="925"/>
      <c r="N100" s="925"/>
      <c r="O100" s="925"/>
      <c r="P100" s="926"/>
      <c r="CQ100" s="692" t="s">
        <v>1048</v>
      </c>
      <c r="CR100" s="699"/>
      <c r="CS100" s="699"/>
      <c r="CT100" s="699"/>
      <c r="CU100" s="699"/>
      <c r="CV100" s="699"/>
      <c r="CW100" s="699"/>
    </row>
    <row r="101" ht="52">
      <c r="B101" s="995" t="s">
        <v>1049</v>
      </c>
      <c r="C101" s="1027" t="n">
        <f>DA52</f>
        <v>41</v>
      </c>
      <c r="D101" s="997" t="s">
        <v>938</v>
      </c>
      <c r="E101" s="997" t="s">
        <v>1050</v>
      </c>
      <c r="F101" s="925"/>
      <c r="G101" s="925"/>
      <c r="H101" s="925"/>
      <c r="I101" s="925"/>
      <c r="J101" s="925"/>
      <c r="K101" s="925"/>
      <c r="L101" s="925"/>
      <c r="M101" s="925"/>
      <c r="N101" s="925"/>
      <c r="O101" s="925"/>
      <c r="P101" s="926"/>
      <c r="CQ101" s="310" t="s">
        <v>1051</v>
      </c>
      <c r="CR101" s="310" t="s">
        <v>1052</v>
      </c>
      <c r="CS101" s="310" t="s">
        <v>1053</v>
      </c>
    </row>
    <row r="102">
      <c r="B102" s="925"/>
      <c r="C102" s="925"/>
      <c r="D102" s="925"/>
      <c r="E102" s="925"/>
      <c r="F102" s="925"/>
      <c r="G102" s="925"/>
      <c r="H102" s="925"/>
      <c r="I102" s="925"/>
      <c r="J102" s="925"/>
      <c r="K102" s="925"/>
      <c r="L102" s="925"/>
      <c r="M102" s="925"/>
      <c r="N102" s="925"/>
      <c r="O102" s="925"/>
      <c r="P102" s="926"/>
      <c r="CQ102" s="316">
        <v>0.8</v>
      </c>
      <c r="CR102" s="313" t="n">
        <f>$CR$52*$CQ102</f>
        <v>380.9770553246174</v>
      </c>
      <c r="CS102" s="316" t="n">
        <f>IF('VALUATION &amp; RETURNS'!$X$69=0,XIRR('VALUATION &amp; RETURNS'!$Y$69:$Z$69,'VALUATION &amp; RETURNS'!$Y$68:$Z$68),XIRR('VALUATION &amp; RETURNS'!$X$69:$Z$69,'VALUATION &amp; RETURNS'!$X$68:$Z$68))</f>
        <v>0.11983448074501883</v>
      </c>
      <c r="CT102" s="695" t="s">
        <v>1054</v>
      </c>
      <c r="CU102" s="699"/>
      <c r="CV102" s="699"/>
      <c r="CW102" s="699"/>
    </row>
    <row r="103">
      <c r="B103" s="925"/>
      <c r="C103" s="925"/>
      <c r="D103" s="925"/>
      <c r="E103" s="925"/>
      <c r="F103" s="925"/>
      <c r="G103" s="925"/>
      <c r="H103" s="925"/>
      <c r="I103" s="925"/>
      <c r="J103" s="925"/>
      <c r="K103" s="925"/>
      <c r="L103" s="925"/>
      <c r="M103" s="925"/>
      <c r="N103" s="925"/>
      <c r="O103" s="925"/>
      <c r="P103" s="926"/>
      <c r="CQ103" s="316">
        <v>0.9</v>
      </c>
      <c r="CR103" s="313" t="n">
        <f>$CR$52*$CQ103</f>
        <v>428.5991872401946</v>
      </c>
      <c r="CS103" s="316" t="n">
        <f>IF('VALUATION &amp; RETURNS'!$X$70=0,XIRR('VALUATION &amp; RETURNS'!$Y$70:$Z$70,'VALUATION &amp; RETURNS'!$Y$68:$Z$68),XIRR('VALUATION &amp; RETURNS'!$X$70:$Z$70,'VALUATION &amp; RETURNS'!$X$68:$Z$68))</f>
        <v>0.1465123507274572</v>
      </c>
      <c r="CT103" s="695" t="s">
        <v>1054</v>
      </c>
      <c r="CU103" s="699"/>
      <c r="CV103" s="699"/>
      <c r="CW103" s="699"/>
    </row>
    <row r="104" ht="22" customHeight="1">
      <c r="B104" s="937" t="s">
        <v>1055</v>
      </c>
      <c r="C104" s="937"/>
      <c r="D104" s="937"/>
      <c r="E104" s="937"/>
      <c r="F104" s="937"/>
      <c r="G104" s="937"/>
      <c r="H104" s="937"/>
      <c r="I104" s="937"/>
      <c r="J104" s="937"/>
      <c r="K104" s="937"/>
      <c r="L104" s="937"/>
      <c r="M104" s="937"/>
      <c r="N104" s="937"/>
      <c r="O104" s="937"/>
      <c r="P104" s="938"/>
      <c r="CQ104" s="324">
        <v>1</v>
      </c>
      <c r="CR104" s="323" t="n">
        <f>$CR$52*$CQ104</f>
        <v>476.22131915577177</v>
      </c>
      <c r="CS104" s="324" t="n">
        <f>IF('VALUATION &amp; RETURNS'!$X$71=0,XIRR('VALUATION &amp; RETURNS'!$Y$71:$Z$71,'VALUATION &amp; RETURNS'!$Y$68:$Z$68),XIRR('VALUATION &amp; RETURNS'!$X$71:$Z$71,'VALUATION &amp; RETURNS'!$X$68:$Z$68))</f>
        <v>0.17091460710522982</v>
      </c>
      <c r="CT104" s="695" t="s">
        <v>1054</v>
      </c>
      <c r="CU104" s="699"/>
      <c r="CV104" s="699"/>
      <c r="CW104" s="699"/>
    </row>
    <row r="105" ht="28" customHeight="1">
      <c r="B105" s="941" t="s">
        <v>1056</v>
      </c>
      <c r="C105" s="941" t="s">
        <v>1057</v>
      </c>
      <c r="D105" s="941" t="s">
        <v>996</v>
      </c>
      <c r="E105" s="998"/>
      <c r="F105" s="941"/>
      <c r="G105" s="941"/>
      <c r="H105" s="941"/>
      <c r="I105" s="925"/>
      <c r="J105" s="925"/>
      <c r="K105" s="925"/>
      <c r="L105" s="925"/>
      <c r="M105" s="925"/>
      <c r="N105" s="925"/>
      <c r="O105" s="925"/>
      <c r="P105" s="926"/>
      <c r="CQ105" s="316">
        <v>1.1000000000000001</v>
      </c>
      <c r="CR105" s="313" t="n">
        <f>$CR$52*$CQ105</f>
        <v>523.843451071349</v>
      </c>
      <c r="CS105" s="316" t="n">
        <f>IF('VALUATION &amp; RETURNS'!$X$72=0,XIRR('VALUATION &amp; RETURNS'!$Y$72:$Z$72,'VALUATION &amp; RETURNS'!$Y$68:$Z$68),XIRR('VALUATION &amp; RETURNS'!$X$72:$Z$72,'VALUATION &amp; RETURNS'!$X$68:$Z$68))</f>
        <v>0.19343625547912735</v>
      </c>
      <c r="CT105" s="695" t="s">
        <v>1054</v>
      </c>
      <c r="CU105" s="699"/>
      <c r="CV105" s="699"/>
      <c r="CW105" s="699"/>
    </row>
    <row r="106" ht="91">
      <c r="B106" s="999" t="s">
        <v>1058</v>
      </c>
      <c r="C106" s="1016" t="str">
        <f>CR111</f>
        <v>OK</v>
      </c>
      <c r="D106" s="1000" t="str">
        <f>CS111</f>
        <v>SUM(G26:G37) compared with the selected property value.</v>
      </c>
      <c r="E106" s="1000"/>
      <c r="F106" s="1000" t="s">
        <v>1059</v>
      </c>
      <c r="G106" s="1029" t="str" cm="1">
        <f t="array" ref="G106">IF(SUMPRODUCT(--(CQ2:GC160&lt;&gt;""))=2468,"OK","EXCEPTION: engine retention")</f>
        <v>EXCEPTION: engine retention</v>
      </c>
      <c r="H106" s="1000" t="s">
        <v>1060</v>
      </c>
      <c r="I106" s="925"/>
      <c r="J106" s="925"/>
      <c r="K106" s="925"/>
      <c r="L106" s="925"/>
      <c r="M106" s="925"/>
      <c r="N106" s="925"/>
      <c r="O106" s="925"/>
      <c r="P106" s="926"/>
      <c r="CQ106" s="316">
        <v>1.2</v>
      </c>
      <c r="CR106" s="313" t="n">
        <f>$CR$52*$CQ106</f>
        <v>571.465582986926</v>
      </c>
      <c r="CS106" s="316" t="n">
        <f>IF('VALUATION &amp; RETURNS'!$X$73=0,XIRR('VALUATION &amp; RETURNS'!$Y$73:$Z$73,'VALUATION &amp; RETURNS'!$Y$68:$Z$68),XIRR('VALUATION &amp; RETURNS'!$X$73:$Z$73,'VALUATION &amp; RETURNS'!$X$68:$Z$68))</f>
        <v>0.214374950952186</v>
      </c>
      <c r="CT106" s="695" t="s">
        <v>1054</v>
      </c>
      <c r="CU106" s="699"/>
      <c r="CV106" s="699"/>
      <c r="CW106" s="699"/>
    </row>
    <row r="107" ht="104">
      <c r="B107" s="991" t="s">
        <v>1061</v>
      </c>
      <c r="C107" s="1017" t="str">
        <f>CR112</f>
        <v>OK</v>
      </c>
      <c r="D107" s="993" t="str">
        <f>CS112</f>
        <v>EV + cash − debt − shareholder loans − other liabilities − selling costs.</v>
      </c>
      <c r="E107" s="993"/>
      <c r="F107" s="993" t="s">
        <v>1062</v>
      </c>
      <c r="G107" s="1030" t="str" cm="1">
        <f t="array" ref="G107">IF(SUMPRODUCT(--ISERROR(CQ2:GC160))=0,"OK","EXCEPTION: valuation engine errors")</f>
        <v>OK</v>
      </c>
      <c r="H107" s="993" t="s">
        <v>1063</v>
      </c>
      <c r="I107" s="925"/>
      <c r="J107" s="925"/>
      <c r="K107" s="925"/>
      <c r="L107" s="925"/>
      <c r="M107" s="925"/>
      <c r="N107" s="925"/>
      <c r="O107" s="925"/>
      <c r="P107" s="926"/>
    </row>
    <row r="108" ht="104">
      <c r="B108" s="991" t="s">
        <v>1064</v>
      </c>
      <c r="C108" s="1017" t="str">
        <f>CR113</f>
        <v>OK</v>
      </c>
      <c r="D108" s="993" t="str">
        <f>CS113</f>
        <v>Funded ordinary-equity ownership in FUNDING &amp; CAP TABLE.</v>
      </c>
      <c r="E108" s="993"/>
      <c r="F108" s="993" t="s">
        <v>1065</v>
      </c>
      <c r="G108" s="1030" t="str" cm="1">
        <f t="array" ref="G108">IF(SUMPRODUCT(--ISERROR(B2:P107))+SUMPRODUCT(--ISERROR(B109:P118))=0,"OK","EXCEPTION: visible report errors")</f>
        <v>OK</v>
      </c>
      <c r="H108" s="993" t="s">
        <v>1066</v>
      </c>
      <c r="I108" s="925"/>
      <c r="J108" s="925"/>
      <c r="K108" s="925"/>
      <c r="L108" s="925"/>
      <c r="M108" s="925"/>
      <c r="N108" s="925"/>
      <c r="O108" s="925"/>
      <c r="P108" s="926"/>
    </row>
    <row r="109" ht="117">
      <c r="B109" s="991" t="s">
        <v>1067</v>
      </c>
      <c r="C109" s="1017" t="str">
        <f>CR114</f>
        <v>EXCEPTION: investor exit values</v>
      </c>
      <c r="D109" s="993" t="str">
        <f>CS114</f>
        <v>Named-investor values reconcile to the selected scenario equity value.</v>
      </c>
      <c r="E109" s="993"/>
      <c r="F109" s="993"/>
      <c r="G109" s="993"/>
      <c r="H109" s="993"/>
      <c r="I109" s="925"/>
      <c r="J109" s="925"/>
      <c r="K109" s="925"/>
      <c r="L109" s="925"/>
      <c r="M109" s="925"/>
      <c r="N109" s="925"/>
      <c r="O109" s="925"/>
      <c r="P109" s="926"/>
      <c r="CQ109" s="692" t="s">
        <v>1068</v>
      </c>
      <c r="CR109" s="699"/>
      <c r="CS109" s="699"/>
      <c r="CT109" s="699"/>
      <c r="CU109" s="699"/>
      <c r="CV109" s="699"/>
      <c r="CW109" s="699"/>
      <c r="CX109" s="699"/>
      <c r="CY109" s="699"/>
      <c r="CZ109" s="699"/>
      <c r="DA109" s="699"/>
      <c r="DB109" s="699"/>
      <c r="DC109" s="699"/>
      <c r="DD109" s="699"/>
      <c r="DE109" s="699"/>
      <c r="DF109" s="699"/>
      <c r="DG109" s="699"/>
      <c r="DH109" s="699"/>
      <c r="DI109" s="699"/>
      <c r="DJ109" s="699"/>
      <c r="DK109" s="699"/>
      <c r="DL109" s="699"/>
    </row>
    <row r="110" ht="91">
      <c r="B110" s="991" t="s">
        <v>1069</v>
      </c>
      <c r="C110" s="1017" t="str">
        <f>CR115</f>
        <v>OK</v>
      </c>
      <c r="D110" s="993" t="str">
        <f>CS115</f>
        <v>Debt: Underwriting!I75. Cash: Financial Statements!K33.</v>
      </c>
      <c r="E110" s="993"/>
      <c r="F110" s="993"/>
      <c r="G110" s="993"/>
      <c r="H110" s="993"/>
      <c r="I110" s="925"/>
      <c r="J110" s="925"/>
      <c r="K110" s="925"/>
      <c r="L110" s="925"/>
      <c r="M110" s="925"/>
      <c r="N110" s="925"/>
      <c r="O110" s="925"/>
      <c r="P110" s="926"/>
      <c r="CQ110" s="310" t="s">
        <v>1070</v>
      </c>
      <c r="CR110" s="310" t="s">
        <v>612</v>
      </c>
      <c r="CS110" s="700" t="s">
        <v>1071</v>
      </c>
      <c r="CT110" s="699"/>
      <c r="CU110" s="699"/>
      <c r="CV110" s="699"/>
      <c r="CW110" s="699"/>
      <c r="CX110" s="699"/>
      <c r="CY110" s="699"/>
      <c r="CZ110" s="699"/>
      <c r="DA110" s="699"/>
      <c r="DB110" s="699"/>
      <c r="DC110" s="699"/>
      <c r="DD110" s="699"/>
      <c r="DE110" s="699"/>
      <c r="DF110" s="699"/>
      <c r="DG110" s="699"/>
      <c r="DH110" s="699"/>
      <c r="DI110" s="699"/>
      <c r="DJ110" s="699"/>
      <c r="DK110" s="699"/>
      <c r="DL110" s="699"/>
    </row>
    <row r="111" ht="143">
      <c r="B111" s="991" t="s">
        <v>1072</v>
      </c>
      <c r="C111" s="1017" t="str">
        <f>CR116</f>
        <v>OK</v>
      </c>
      <c r="D111" s="993" t="str">
        <f>CS116</f>
        <v>Base scenario project cash flows reconcile to the model's unlevered cash flows.</v>
      </c>
      <c r="E111" s="993"/>
      <c r="F111" s="993"/>
      <c r="G111" s="993"/>
      <c r="H111" s="993"/>
      <c r="I111" s="925"/>
      <c r="J111" s="925"/>
      <c r="K111" s="925"/>
      <c r="L111" s="925"/>
      <c r="M111" s="925"/>
      <c r="N111" s="925"/>
      <c r="O111" s="925"/>
      <c r="P111" s="926"/>
      <c r="CQ111" s="311" t="s">
        <v>1073</v>
      </c>
      <c r="CR111" s="326" t="str">
        <f>IF(ABS($CW$38-$DA$7)&lt;0.0001,"OK","EXCEPTION")</f>
        <v>OK</v>
      </c>
      <c r="CS111" s="695" t="s">
        <v>1074</v>
      </c>
      <c r="CT111" s="699"/>
      <c r="CU111" s="699"/>
      <c r="CV111" s="699"/>
      <c r="CW111" s="699"/>
      <c r="CX111" s="699"/>
      <c r="CY111" s="699"/>
      <c r="CZ111" s="699"/>
      <c r="DA111" s="699"/>
      <c r="DB111" s="699"/>
      <c r="DC111" s="699"/>
      <c r="DD111" s="699"/>
      <c r="DE111" s="699"/>
      <c r="DF111" s="699"/>
      <c r="DG111" s="699"/>
      <c r="DH111" s="699"/>
      <c r="DI111" s="699"/>
      <c r="DJ111" s="699"/>
      <c r="DK111" s="699"/>
      <c r="DL111" s="699"/>
    </row>
    <row r="112" ht="117">
      <c r="B112" s="991" t="s">
        <v>1075</v>
      </c>
      <c r="C112" s="1017" t="str">
        <f>CR117</f>
        <v>OK</v>
      </c>
      <c r="D112" s="993" t="str">
        <f>CS117</f>
        <v>OpCo value is applied only where allocated property NOI is zero.</v>
      </c>
      <c r="E112" s="993"/>
      <c r="F112" s="993"/>
      <c r="G112" s="993"/>
      <c r="H112" s="993"/>
      <c r="I112" s="925"/>
      <c r="J112" s="925"/>
      <c r="K112" s="925"/>
      <c r="L112" s="925"/>
      <c r="M112" s="925"/>
      <c r="N112" s="925"/>
      <c r="O112" s="925"/>
      <c r="P112" s="926"/>
      <c r="CQ112" s="311" t="s">
        <v>1061</v>
      </c>
      <c r="CR112" s="326" t="str">
        <f>IF(ABS($CR$52-SUM($CR$44:$CR$45,$CR$47:$CR$50))&lt;0.0001,"OK","EXCEPTION")</f>
        <v>OK</v>
      </c>
      <c r="CS112" s="695" t="s">
        <v>936</v>
      </c>
      <c r="CT112" s="699"/>
      <c r="CU112" s="699"/>
      <c r="CV112" s="699"/>
      <c r="CW112" s="699"/>
      <c r="CX112" s="699"/>
      <c r="CY112" s="699"/>
      <c r="CZ112" s="699"/>
      <c r="DA112" s="699"/>
      <c r="DB112" s="699"/>
      <c r="DC112" s="699"/>
      <c r="DD112" s="699"/>
      <c r="DE112" s="699"/>
      <c r="DF112" s="699"/>
      <c r="DG112" s="699"/>
      <c r="DH112" s="699"/>
      <c r="DI112" s="699"/>
      <c r="DJ112" s="699"/>
      <c r="DK112" s="699"/>
      <c r="DL112" s="699"/>
    </row>
    <row r="113" ht="247">
      <c r="B113" s="991" t="s">
        <v>1076</v>
      </c>
      <c r="C113" s="1017" t="str">
        <f>CR118</f>
        <v>OK</v>
      </c>
      <c r="D113" s="993" t="str">
        <f>CS118</f>
        <v>Static dependency scan of 63,392 formulas found no formula cycles; key valuation ranges remain formula-error controlled and iteration remains disabled.</v>
      </c>
      <c r="E113" s="993"/>
      <c r="F113" s="993"/>
      <c r="G113" s="993"/>
      <c r="H113" s="993"/>
      <c r="I113" s="925"/>
      <c r="J113" s="925"/>
      <c r="K113" s="925"/>
      <c r="L113" s="925"/>
      <c r="M113" s="925"/>
      <c r="N113" s="925"/>
      <c r="O113" s="925"/>
      <c r="P113" s="926"/>
      <c r="CQ113" s="311" t="s">
        <v>1064</v>
      </c>
      <c r="CR113" s="326" t="str">
        <f>IF(ABS('FUNDING &amp; CAP TABLE'!$F$18-1)&lt;0.000001,"OK","EXCEPTION: investor ownership")</f>
        <v>OK</v>
      </c>
      <c r="CS113" s="695" t="s">
        <v>1077</v>
      </c>
      <c r="CT113" s="699"/>
      <c r="CU113" s="699"/>
      <c r="CV113" s="699"/>
      <c r="CW113" s="699"/>
      <c r="CX113" s="699"/>
      <c r="CY113" s="699"/>
      <c r="CZ113" s="699"/>
      <c r="DA113" s="699"/>
      <c r="DB113" s="699"/>
      <c r="DC113" s="699"/>
      <c r="DD113" s="699"/>
      <c r="DE113" s="699"/>
      <c r="DF113" s="699"/>
      <c r="DG113" s="699"/>
      <c r="DH113" s="699"/>
      <c r="DI113" s="699"/>
      <c r="DJ113" s="699"/>
      <c r="DK113" s="699"/>
      <c r="DL113" s="699"/>
    </row>
    <row r="114" ht="104">
      <c r="B114" s="991" t="s">
        <v>1078</v>
      </c>
      <c r="C114" s="1017" t="str">
        <f>CR119</f>
        <v>OK</v>
      </c>
      <c r="D114" s="993" t="str">
        <f>CS119</f>
        <v>Release-package QA: no externalLink parts were introduced.</v>
      </c>
      <c r="E114" s="993"/>
      <c r="F114" s="993"/>
      <c r="G114" s="993"/>
      <c r="H114" s="993"/>
      <c r="I114" s="925"/>
      <c r="J114" s="925"/>
      <c r="K114" s="925"/>
      <c r="L114" s="925"/>
      <c r="M114" s="925"/>
      <c r="N114" s="925"/>
      <c r="O114" s="925"/>
      <c r="P114" s="926"/>
      <c r="CQ114" s="311" t="s">
        <v>1067</v>
      </c>
      <c r="CR114" s="326" t="str">
        <f>IF(ABS($CX$70-INDEX($CW$75:$CW$77,MATCH($CR$7,$CQ$75:$CQ$77,0)))&lt;0.0001,"OK","EXCEPTION: investor exit values")</f>
        <v>EXCEPTION: investor exit values</v>
      </c>
      <c r="CS114" s="695" t="s">
        <v>1079</v>
      </c>
      <c r="CT114" s="699"/>
      <c r="CU114" s="699"/>
      <c r="CV114" s="699"/>
      <c r="CW114" s="699"/>
      <c r="CX114" s="699"/>
      <c r="CY114" s="699"/>
      <c r="CZ114" s="699"/>
      <c r="DA114" s="699"/>
      <c r="DB114" s="699"/>
      <c r="DC114" s="699"/>
      <c r="DD114" s="699"/>
      <c r="DE114" s="699"/>
      <c r="DF114" s="699"/>
      <c r="DG114" s="699"/>
      <c r="DH114" s="699"/>
      <c r="DI114" s="699"/>
      <c r="DJ114" s="699"/>
      <c r="DK114" s="699"/>
      <c r="DL114" s="699"/>
    </row>
    <row r="115" ht="65">
      <c r="B115" s="991" t="s">
        <v>1080</v>
      </c>
      <c r="C115" s="1017" t="str">
        <f>CR120</f>
        <v>OK</v>
      </c>
      <c r="D115" s="993" t="str">
        <f>CS120</f>
        <v>ISERROR scan over visible valuation outputs.</v>
      </c>
      <c r="E115" s="993"/>
      <c r="F115" s="993"/>
      <c r="G115" s="993"/>
      <c r="H115" s="993"/>
      <c r="I115" s="925"/>
      <c r="J115" s="925"/>
      <c r="K115" s="925"/>
      <c r="L115" s="925"/>
      <c r="M115" s="925"/>
      <c r="N115" s="925"/>
      <c r="O115" s="925"/>
      <c r="P115" s="926"/>
      <c r="CQ115" s="311" t="s">
        <v>1081</v>
      </c>
      <c r="CR115" s="326" t="str">
        <f>IF(AND(ABS($CR$47+Underwriting!$I$75/1000000)&lt;0.0001,ABS($CR$45-$CR$16)&lt;0.0001),"OK","EXCEPTION")</f>
        <v>OK</v>
      </c>
      <c r="CS115" s="695" t="s">
        <v>1082</v>
      </c>
      <c r="CT115" s="699"/>
      <c r="CU115" s="699"/>
      <c r="CV115" s="699"/>
      <c r="CW115" s="699"/>
      <c r="CX115" s="699"/>
      <c r="CY115" s="699"/>
      <c r="CZ115" s="699"/>
      <c r="DA115" s="699"/>
      <c r="DB115" s="699"/>
      <c r="DC115" s="699"/>
      <c r="DD115" s="699"/>
      <c r="DE115" s="699"/>
      <c r="DF115" s="699"/>
      <c r="DG115" s="699"/>
      <c r="DH115" s="699"/>
      <c r="DI115" s="699"/>
      <c r="DJ115" s="699"/>
      <c r="DK115" s="699"/>
      <c r="DL115" s="699"/>
    </row>
    <row r="116">
      <c r="B116" s="991" t="s">
        <v>1083</v>
      </c>
      <c r="C116" s="1017" t="str">
        <f>CR123</f>
        <v>OK</v>
      </c>
      <c r="D116" s="993" t="n">
        <f>CS123</f>
        <v>0</v>
      </c>
      <c r="E116" s="993"/>
      <c r="F116" s="993"/>
      <c r="G116" s="993"/>
      <c r="H116" s="993"/>
      <c r="I116" s="925"/>
      <c r="J116" s="925"/>
      <c r="K116" s="925"/>
      <c r="L116" s="925"/>
      <c r="M116" s="925"/>
      <c r="N116" s="925"/>
      <c r="O116" s="925"/>
      <c r="P116" s="926"/>
      <c r="CQ116" s="311" t="s">
        <v>1084</v>
      </c>
      <c r="CR116" s="326" t="str">
        <f>IF(ABS(SUM($DN$25:$FE$25)-SUM(Underwriting!$L$211:$BC$211))&lt;1,"OK","EXCEPTION")</f>
        <v>OK</v>
      </c>
      <c r="CS116" s="695" t="s">
        <v>1085</v>
      </c>
      <c r="CT116" s="699"/>
      <c r="CU116" s="699"/>
      <c r="CV116" s="699"/>
      <c r="CW116" s="699"/>
      <c r="CX116" s="699"/>
      <c r="CY116" s="699"/>
      <c r="CZ116" s="699"/>
      <c r="DA116" s="699"/>
      <c r="DB116" s="699"/>
      <c r="DC116" s="699"/>
      <c r="DD116" s="699"/>
      <c r="DE116" s="699"/>
      <c r="DF116" s="699"/>
      <c r="DG116" s="699"/>
      <c r="DH116" s="699"/>
      <c r="DI116" s="699"/>
      <c r="DJ116" s="699"/>
      <c r="DK116" s="699"/>
      <c r="DL116" s="699"/>
    </row>
    <row r="117">
      <c r="B117" s="991" t="s">
        <v>1086</v>
      </c>
      <c r="C117" s="1017" t="str">
        <f>CR124</f>
        <v>OK</v>
      </c>
      <c r="D117" s="993" t="n">
        <f>CS124</f>
        <v>0</v>
      </c>
      <c r="E117" s="993"/>
      <c r="F117" s="993"/>
      <c r="G117" s="993"/>
      <c r="H117" s="993"/>
      <c r="I117" s="925"/>
      <c r="J117" s="925"/>
      <c r="K117" s="925"/>
      <c r="L117" s="925"/>
      <c r="M117" s="925"/>
      <c r="N117" s="925"/>
      <c r="O117" s="925"/>
      <c r="P117" s="926"/>
      <c r="CQ117" s="311" t="s">
        <v>1087</v>
      </c>
      <c r="CR117" s="326" t="str">
        <f>IF(SUMPRODUCT(--($CW$26:$CW$37&lt;&gt;0),--($DB$26:$DB$37&lt;&gt;0))=0,"OK","EXCEPTION")</f>
        <v>OK</v>
      </c>
      <c r="CS117" s="695" t="s">
        <v>1088</v>
      </c>
      <c r="CT117" s="699"/>
      <c r="CU117" s="699"/>
      <c r="CV117" s="699"/>
      <c r="CW117" s="699"/>
      <c r="CX117" s="699"/>
      <c r="CY117" s="699"/>
      <c r="CZ117" s="699"/>
      <c r="DA117" s="699"/>
      <c r="DB117" s="699"/>
      <c r="DC117" s="699"/>
      <c r="DD117" s="699"/>
      <c r="DE117" s="699"/>
      <c r="DF117" s="699"/>
      <c r="DG117" s="699"/>
      <c r="DH117" s="699"/>
      <c r="DI117" s="699"/>
      <c r="DJ117" s="699"/>
      <c r="DK117" s="699"/>
      <c r="DL117" s="699"/>
    </row>
    <row r="118">
      <c r="B118" s="995" t="s">
        <v>1089</v>
      </c>
      <c r="C118" s="1018" t="str">
        <f>CR125</f>
        <v>OK</v>
      </c>
      <c r="D118" s="997" t="n">
        <f>CS125</f>
        <v>0</v>
      </c>
      <c r="E118" s="997"/>
      <c r="F118" s="997"/>
      <c r="G118" s="997"/>
      <c r="H118" s="997"/>
      <c r="I118" s="925"/>
      <c r="J118" s="925"/>
      <c r="K118" s="925"/>
      <c r="L118" s="925"/>
      <c r="M118" s="925"/>
      <c r="N118" s="925"/>
      <c r="O118" s="925"/>
      <c r="P118" s="926"/>
      <c r="CQ118" s="311" t="s">
        <v>1090</v>
      </c>
      <c r="CR118" s="576" t="str">
        <f>IF(SUMPRODUCT(--ISERROR($CQ$2:$GC$109))+SUMPRODUCT(--ISERROR($CQ$130:$GC$160))=0,"OK","EXCEPTION: valuation calculation chain")</f>
        <v>OK</v>
      </c>
      <c r="CS118" s="695" t="s">
        <v>1091</v>
      </c>
      <c r="CT118" s="699"/>
      <c r="CU118" s="699"/>
      <c r="CV118" s="699"/>
      <c r="CW118" s="699"/>
      <c r="CX118" s="699"/>
      <c r="CY118" s="699"/>
      <c r="CZ118" s="699"/>
      <c r="DA118" s="699"/>
      <c r="DB118" s="699"/>
      <c r="DC118" s="699"/>
      <c r="DD118" s="699"/>
      <c r="DE118" s="699"/>
      <c r="DF118" s="699"/>
      <c r="DG118" s="699"/>
      <c r="DH118" s="699"/>
      <c r="DI118" s="699"/>
      <c r="DJ118" s="699"/>
      <c r="DK118" s="699"/>
      <c r="DL118" s="699"/>
    </row>
    <row r="119">
      <c r="CQ119" s="311" t="s">
        <v>1092</v>
      </c>
      <c r="CR119" s="576" t="s">
        <v>1093</v>
      </c>
      <c r="CS119" s="695" t="s">
        <v>1094</v>
      </c>
      <c r="CT119" s="699"/>
      <c r="CU119" s="699"/>
      <c r="CV119" s="699"/>
      <c r="CW119" s="699"/>
      <c r="CX119" s="699"/>
      <c r="CY119" s="699"/>
      <c r="CZ119" s="699"/>
      <c r="DA119" s="699"/>
      <c r="DB119" s="699"/>
      <c r="DC119" s="699"/>
      <c r="DD119" s="699"/>
      <c r="DE119" s="699"/>
      <c r="DF119" s="699"/>
      <c r="DG119" s="699"/>
      <c r="DH119" s="699"/>
      <c r="DI119" s="699"/>
      <c r="DJ119" s="699"/>
      <c r="DK119" s="699"/>
      <c r="DL119" s="699"/>
    </row>
    <row r="120">
      <c r="CQ120" s="311" t="s">
        <v>1095</v>
      </c>
      <c r="CR120" s="326" t="str">
        <f>IF(SUMPRODUCT(--ISERROR($CR$7:$DL$117))+SUMPRODUCT(--ISERROR($CR$121:$DL$160))=0,"OK","EXCEPTION")</f>
        <v>OK</v>
      </c>
      <c r="CS120" s="695" t="s">
        <v>1096</v>
      </c>
      <c r="CT120" s="699"/>
      <c r="CU120" s="699"/>
      <c r="CV120" s="699"/>
      <c r="CW120" s="699"/>
      <c r="CX120" s="699"/>
      <c r="CY120" s="699"/>
      <c r="CZ120" s="699"/>
      <c r="DA120" s="699"/>
      <c r="DB120" s="699"/>
      <c r="DC120" s="699"/>
      <c r="DD120" s="699"/>
      <c r="DE120" s="699"/>
      <c r="DF120" s="699"/>
      <c r="DG120" s="699"/>
      <c r="DH120" s="699"/>
      <c r="DI120" s="699"/>
      <c r="DJ120" s="699"/>
      <c r="DK120" s="699"/>
      <c r="DL120" s="699"/>
    </row>
    <row r="121">
      <c r="CQ121" s="311" t="s">
        <v>1097</v>
      </c>
      <c r="CR121" s="326" t="s">
        <v>1098</v>
      </c>
      <c r="CS121" s="695" t="s">
        <v>1099</v>
      </c>
      <c r="CT121" s="699"/>
      <c r="CU121" s="699"/>
      <c r="CV121" s="699"/>
      <c r="CW121" s="699"/>
      <c r="CX121" s="699"/>
      <c r="CY121" s="699"/>
      <c r="CZ121" s="699"/>
      <c r="DA121" s="699"/>
      <c r="DB121" s="699"/>
      <c r="DC121" s="699"/>
      <c r="DD121" s="699"/>
      <c r="DE121" s="699"/>
      <c r="DF121" s="699"/>
      <c r="DG121" s="699"/>
      <c r="DH121" s="699"/>
      <c r="DI121" s="699"/>
      <c r="DJ121" s="699"/>
      <c r="DK121" s="699"/>
      <c r="DL121" s="699"/>
    </row>
    <row r="122">
      <c r="CQ122" s="311" t="s">
        <v>1100</v>
      </c>
      <c r="CR122" s="326" t="s">
        <v>1101</v>
      </c>
      <c r="CS122" s="695" t="s">
        <v>1102</v>
      </c>
      <c r="CT122" s="699"/>
      <c r="CU122" s="699"/>
      <c r="CV122" s="699"/>
      <c r="CW122" s="699"/>
      <c r="CX122" s="699"/>
      <c r="CY122" s="699"/>
      <c r="CZ122" s="699"/>
      <c r="DA122" s="699"/>
      <c r="DB122" s="699"/>
      <c r="DC122" s="699"/>
      <c r="DD122" s="699"/>
      <c r="DE122" s="699"/>
      <c r="DF122" s="699"/>
      <c r="DG122" s="699"/>
      <c r="DH122" s="699"/>
      <c r="DI122" s="699"/>
      <c r="DJ122" s="699"/>
      <c r="DK122" s="699"/>
      <c r="DL122" s="699"/>
    </row>
    <row r="123">
      <c r="CQ123" s="311" t="s">
        <v>1083</v>
      </c>
      <c r="CR123" s="326" t="str">
        <f>IF(COUNTIF($CQ$62:$CQ$69,$CR$17)=1,"OK","EXCEPTION: selected investor not found or duplicated")</f>
        <v>OK</v>
      </c>
      <c r="CS123" s="311"/>
      <c r="CT123" s="326"/>
      <c r="CU123" s="311"/>
      <c r="CV123" s="326"/>
      <c r="CW123" s="311"/>
      <c r="CX123" s="326"/>
      <c r="CY123" s="311"/>
      <c r="CZ123" s="326"/>
      <c r="DA123" s="311"/>
      <c r="DB123" s="326"/>
      <c r="DC123" s="311"/>
      <c r="DD123" s="326"/>
      <c r="DE123" s="311"/>
      <c r="DF123" s="326"/>
      <c r="DG123" s="311"/>
      <c r="DH123" s="326"/>
      <c r="DI123" s="311"/>
      <c r="DJ123" s="326"/>
      <c r="DK123" s="311"/>
      <c r="DL123" s="326"/>
    </row>
    <row r="124">
      <c r="CQ124" s="311" t="s">
        <v>1086</v>
      </c>
      <c r="CR124" s="326" t="str">
        <f>IF(ABS($CX$72-INDEX($CX$62:$CX$69,MATCH($CR$17,$CQ$62:$CQ$69,0)))&lt;0.0001,"OK","EXCEPTION: selected investor value is not linked to selected scenario")</f>
        <v>OK</v>
      </c>
      <c r="CS124" s="311"/>
      <c r="CT124" s="326"/>
      <c r="CU124" s="311"/>
      <c r="CV124" s="326"/>
      <c r="CW124" s="311"/>
      <c r="CX124" s="326"/>
      <c r="CY124" s="311"/>
      <c r="CZ124" s="326"/>
      <c r="DA124" s="311"/>
      <c r="DB124" s="326"/>
      <c r="DC124" s="311"/>
      <c r="DD124" s="326"/>
      <c r="DE124" s="311"/>
      <c r="DF124" s="326"/>
      <c r="DG124" s="311"/>
      <c r="DH124" s="326"/>
      <c r="DI124" s="311"/>
      <c r="DJ124" s="326"/>
      <c r="DK124" s="311"/>
      <c r="DL124" s="326"/>
    </row>
    <row r="125">
      <c r="CQ125" s="311" t="s">
        <v>1103</v>
      </c>
      <c r="CR125" s="326" t="str">
        <f>IF(AND($CS$72&gt;0,$CX$72&gt;0,ISNUMBER($DA$72)),"OK","EXCEPTION: selected investor dated cash flows are not valid for XIRR")</f>
        <v>OK</v>
      </c>
      <c r="CS125" s="311"/>
      <c r="CT125" s="326"/>
      <c r="CU125" s="311"/>
      <c r="CV125" s="326"/>
      <c r="CW125" s="311"/>
      <c r="CX125" s="326"/>
      <c r="CY125" s="311"/>
      <c r="CZ125" s="326"/>
      <c r="DA125" s="311"/>
      <c r="DB125" s="326"/>
      <c r="DC125" s="311"/>
      <c r="DD125" s="326"/>
      <c r="DE125" s="311"/>
      <c r="DF125" s="326"/>
      <c r="DG125" s="311"/>
      <c r="DH125" s="326"/>
      <c r="DI125" s="311"/>
      <c r="DJ125" s="326"/>
      <c r="DK125" s="311"/>
      <c r="DL125" s="326"/>
    </row>
    <row r="126">
      <c r="CQ126" s="695" t="s">
        <v>1104</v>
      </c>
      <c r="CR126" s="699"/>
      <c r="CS126" s="699"/>
      <c r="CT126" s="699"/>
      <c r="CU126" s="699"/>
      <c r="CV126" s="699"/>
      <c r="CW126" s="699"/>
      <c r="CX126" s="699"/>
      <c r="CY126" s="699"/>
      <c r="CZ126" s="699"/>
      <c r="DA126" s="699"/>
      <c r="DB126" s="699"/>
      <c r="DC126" s="699"/>
      <c r="DD126" s="699"/>
      <c r="DE126" s="699"/>
      <c r="DF126" s="699"/>
      <c r="DG126" s="699"/>
      <c r="DH126" s="699"/>
      <c r="DI126" s="699"/>
      <c r="DJ126" s="699"/>
      <c r="DK126" s="699"/>
      <c r="DL126" s="699"/>
    </row>
    <row r="127">
      <c r="CQ127" s="695" t="s">
        <v>1105</v>
      </c>
      <c r="CR127" s="699"/>
      <c r="CS127" s="699"/>
      <c r="CT127" s="699"/>
      <c r="CU127" s="699"/>
      <c r="CV127" s="699"/>
      <c r="CW127" s="699"/>
      <c r="CX127" s="699"/>
      <c r="CY127" s="699"/>
      <c r="CZ127" s="699"/>
      <c r="DA127" s="699"/>
      <c r="DB127" s="699"/>
      <c r="DC127" s="699"/>
      <c r="DD127" s="699"/>
      <c r="DE127" s="699"/>
      <c r="DF127" s="699"/>
      <c r="DG127" s="699"/>
      <c r="DH127" s="699"/>
      <c r="DI127" s="699"/>
      <c r="DJ127" s="699"/>
      <c r="DK127" s="699"/>
      <c r="DL127" s="699"/>
    </row>
    <row r="128">
      <c r="CQ128" s="695" t="s">
        <v>1106</v>
      </c>
      <c r="CR128" s="699"/>
      <c r="CS128" s="699"/>
      <c r="CT128" s="699"/>
      <c r="CU128" s="699"/>
      <c r="CV128" s="699"/>
      <c r="CW128" s="699"/>
      <c r="CX128" s="699"/>
      <c r="CY128" s="699"/>
      <c r="CZ128" s="699"/>
      <c r="DA128" s="699"/>
      <c r="DB128" s="699"/>
      <c r="DC128" s="699"/>
      <c r="DD128" s="699"/>
      <c r="DE128" s="699"/>
      <c r="DF128" s="699"/>
      <c r="DG128" s="699"/>
      <c r="DH128" s="699"/>
      <c r="DI128" s="699"/>
      <c r="DJ128" s="699"/>
      <c r="DK128" s="699"/>
      <c r="DL128" s="699"/>
    </row>
    <row r="129">
      <c r="CQ129" s="695" t="s">
        <v>1107</v>
      </c>
      <c r="CR129" s="699"/>
      <c r="CS129" s="699"/>
      <c r="CT129" s="699"/>
      <c r="CU129" s="699"/>
      <c r="CV129" s="699"/>
      <c r="CW129" s="699"/>
      <c r="CX129" s="699"/>
      <c r="CY129" s="699"/>
      <c r="CZ129" s="699"/>
      <c r="DA129" s="699"/>
      <c r="DB129" s="699"/>
      <c r="DC129" s="699"/>
      <c r="DD129" s="699"/>
      <c r="DE129" s="699"/>
      <c r="DF129" s="699"/>
      <c r="DG129" s="699"/>
      <c r="DH129" s="699"/>
      <c r="DI129" s="699"/>
      <c r="DJ129" s="699"/>
      <c r="DK129" s="699"/>
      <c r="DL129" s="699"/>
    </row>
    <row r="130">
      <c r="CQ130" s="692" t="s">
        <v>1108</v>
      </c>
      <c r="CR130" s="699"/>
      <c r="CS130" s="699"/>
      <c r="CT130" s="699"/>
      <c r="CU130" s="699"/>
      <c r="CV130" s="699"/>
      <c r="CW130" s="699"/>
      <c r="CX130" s="699"/>
      <c r="CY130" s="699"/>
      <c r="CZ130" s="699"/>
      <c r="DA130" s="699"/>
      <c r="DB130" s="699"/>
      <c r="DC130" s="699"/>
      <c r="DD130" s="699"/>
      <c r="DE130" s="699"/>
    </row>
    <row r="132" ht="24">
      <c r="CQ132" s="311" t="s">
        <v>1109</v>
      </c>
      <c r="CR132" s="317" t="s">
        <v>1110</v>
      </c>
      <c r="CS132" s="312" t="s">
        <v>1111</v>
      </c>
    </row>
    <row r="133">
      <c r="CQ133" s="311" t="s">
        <v>1112</v>
      </c>
      <c r="CR133" s="607" t="n">
        <f>PROJECTS!$AP$200</f>
        <v>10</v>
      </c>
      <c r="CS133" s="312" t="s">
        <v>914</v>
      </c>
    </row>
    <row r="134" ht="36">
      <c r="CQ134" s="311" t="s">
        <v>1113</v>
      </c>
      <c r="CR134" s="608" t="n">
        <f>INDEX($CS$75:$CS$77,MATCH($CR$7,$CQ$75:$CQ$77,0))</f>
        <v>45.54192174739582</v>
      </c>
      <c r="CS134" s="312" t="s">
        <v>1114</v>
      </c>
    </row>
    <row r="135" ht="36">
      <c r="CQ135" s="311" t="s">
        <v>1115</v>
      </c>
      <c r="CR135" s="316" t="n">
        <f>INDEX(PROJECTS!$AP$201:$AR$201,1,MATCH($CR$7,{"Base","Downside","Upside"},0))</f>
        <v>0.025</v>
      </c>
      <c r="CS135" s="312" t="s">
        <v>1116</v>
      </c>
    </row>
    <row r="136">
      <c r="CQ136" s="311" t="s">
        <v>1117</v>
      </c>
      <c r="CR136" s="317" t="n">
        <f>PROJECTS!$AP$204</f>
        <v>0.014901261680173824</v>
      </c>
      <c r="CS136" s="312" t="s">
        <v>1118</v>
      </c>
    </row>
    <row r="137">
      <c r="CQ137" s="311" t="s">
        <v>738</v>
      </c>
      <c r="CR137" s="317" t="n">
        <f>PROJECTS!$AP$203</f>
        <v>0.08</v>
      </c>
      <c r="CS137" s="312" t="s">
        <v>78</v>
      </c>
    </row>
    <row r="138">
      <c r="CQ138" s="311" t="s">
        <v>814</v>
      </c>
      <c r="CR138" s="609" t="n">
        <f>INDEX($CT$75:$CT$77,MATCH($CR$7,$CQ$75:$CQ$77,0))</f>
        <v>0.06700819672131147</v>
      </c>
      <c r="CS138" s="312" t="s">
        <v>78</v>
      </c>
    </row>
    <row r="139">
      <c r="CQ139" s="311" t="s">
        <v>1119</v>
      </c>
      <c r="CR139" s="609" t="n">
        <f>PROJECTS!$AP$111</f>
        <v>0.02</v>
      </c>
      <c r="CS139" s="312" t="s">
        <v>78</v>
      </c>
    </row>
    <row r="140" ht="36">
      <c r="CQ140" s="311" t="s">
        <v>1120</v>
      </c>
      <c r="CR140" s="608" t="n">
        <f>INDEX(DEBT!$N$37:$N$39,MATCH($CR$7,DEBT!$J$37:$J$39,0))/1000000</f>
        <v>211.49421782050507</v>
      </c>
      <c r="CS140" s="312" t="s">
        <v>1121</v>
      </c>
    </row>
    <row r="141" ht="48">
      <c r="CQ141" s="311" t="s">
        <v>1122</v>
      </c>
      <c r="CR141" s="610" t="n">
        <f>INDEX(DEBT!$M$37:$M$39,MATCH($CR$7,DEBT!$J$37:$J$39,0))/1000000</f>
        <v>209.37927564230003</v>
      </c>
      <c r="CS141" s="312" t="s">
        <v>1123</v>
      </c>
    </row>
    <row r="142">
      <c r="CQ142" t="s">
        <v>1124</v>
      </c>
      <c r="CR142" s="599" t="n">
        <f>PROJECTS!$AP$83</f>
        <v>0.065</v>
      </c>
      <c r="CS142" t="s">
        <v>78</v>
      </c>
    </row>
    <row r="144">
      <c r="CQ144" s="311" t="s">
        <v>1125</v>
      </c>
      <c r="CR144" s="310">
        <v>0</v>
      </c>
      <c r="CS144" s="310">
        <v>1</v>
      </c>
      <c r="CT144" s="310">
        <v>2</v>
      </c>
      <c r="CU144" s="310">
        <v>3</v>
      </c>
      <c r="CV144" s="310">
        <v>4</v>
      </c>
      <c r="CW144" s="310">
        <v>5</v>
      </c>
      <c r="CX144" s="310">
        <v>6</v>
      </c>
      <c r="CY144" s="310">
        <v>7</v>
      </c>
      <c r="CZ144" s="310">
        <v>8</v>
      </c>
      <c r="DA144" s="310">
        <v>9</v>
      </c>
      <c r="DB144" s="310">
        <v>10</v>
      </c>
      <c r="DC144" s="310"/>
    </row>
    <row r="145">
      <c r="CQ145" s="311" t="s">
        <v>1126</v>
      </c>
      <c r="CR145" s="611" t="n">
        <f>DEBT!$B$35</f>
        <v>47695</v>
      </c>
      <c r="CS145" s="611" t="n">
        <f>EDATE(CR145,12)</f>
        <v>48060</v>
      </c>
      <c r="CT145" s="611" t="n">
        <f>EDATE(CS145,12)</f>
        <v>48426</v>
      </c>
      <c r="CU145" s="611" t="n">
        <f>EDATE(CT145,12)</f>
        <v>48791</v>
      </c>
      <c r="CV145" s="611" t="n">
        <f>EDATE(CU145,12)</f>
        <v>49156</v>
      </c>
      <c r="CW145" s="611" t="n">
        <f>EDATE(CV145,12)</f>
        <v>49521</v>
      </c>
      <c r="CX145" s="611" t="n">
        <f>EDATE(CW145,12)</f>
        <v>49887</v>
      </c>
      <c r="CY145" s="611" t="n">
        <f>EDATE(CX145,12)</f>
        <v>50252</v>
      </c>
      <c r="CZ145" s="611" t="n">
        <f>EDATE(CY145,12)</f>
        <v>50617</v>
      </c>
      <c r="DA145" s="611" t="n">
        <f>EDATE(CZ145,12)</f>
        <v>50982</v>
      </c>
      <c r="DB145" s="611" t="n">
        <f>EDATE(DA145,12)</f>
        <v>51348</v>
      </c>
    </row>
    <row r="146">
      <c r="CQ146" s="309" t="s">
        <v>355</v>
      </c>
      <c r="CR146" s="612">
        <v>0</v>
      </c>
      <c r="CS146" s="612" t="n">
        <f>$CR$134</f>
        <v>45.54192174739582</v>
      </c>
      <c r="CT146" s="612" t="n">
        <f>CS146*(1+$CR$135)</f>
        <v>46.68046979108071</v>
      </c>
      <c r="CU146" s="612" t="n">
        <f>CT146*(1+$CR$135)</f>
        <v>47.847481535857725</v>
      </c>
      <c r="CV146" s="612" t="n">
        <f>CU146*(1+$CR$135)</f>
        <v>49.04366857425416</v>
      </c>
      <c r="CW146" s="612" t="n">
        <f>CV146*(1+$CR$135)</f>
        <v>50.26976028861051</v>
      </c>
      <c r="CX146" s="612" t="n">
        <f>CW146*(1+$CR$135)</f>
        <v>51.526504295825774</v>
      </c>
      <c r="CY146" s="612" t="n">
        <f>CX146*(1+$CR$135)</f>
        <v>52.814666903221415</v>
      </c>
      <c r="CZ146" s="612" t="n">
        <f>CY146*(1+$CR$135)</f>
        <v>54.13503357580195</v>
      </c>
      <c r="DA146" s="612" t="n">
        <f>CZ146*(1+$CR$135)</f>
        <v>55.48840941519699</v>
      </c>
      <c r="DB146" s="612" t="n">
        <f>DA146*(1+$CR$135)</f>
        <v>56.87561965057691</v>
      </c>
    </row>
    <row r="147">
      <c r="CQ147" s="311" t="s">
        <v>1127</v>
      </c>
      <c r="CR147" s="612">
        <v>0</v>
      </c>
      <c r="CS147" s="612" t="n">
        <f>-CS146*$CR$136</f>
        <v>-0.6786320933759442</v>
      </c>
      <c r="CT147" s="612" t="n">
        <f>-CT146*$CR$136</f>
        <v>-0.6955978957103428</v>
      </c>
      <c r="CU147" s="612" t="n">
        <f>-CU146*$CR$136</f>
        <v>-0.7129878431031013</v>
      </c>
      <c r="CV147" s="612" t="n">
        <f>-CV146*$CR$136</f>
        <v>-0.7308125391806788</v>
      </c>
      <c r="CW147" s="612" t="n">
        <f>-CW146*$CR$136</f>
        <v>-0.7490828526601957</v>
      </c>
      <c r="CX147" s="612" t="n">
        <f>-CX146*$CR$136</f>
        <v>-0.7678099239767006</v>
      </c>
      <c r="CY147" s="612" t="n">
        <f>-CY146*$CR$136</f>
        <v>-0.787005172076118</v>
      </c>
      <c r="CZ147" s="612" t="n">
        <f>-CZ146*$CR$136</f>
        <v>-0.8066803013780209</v>
      </c>
      <c r="DA147" s="612" t="n">
        <f>-DA146*$CR$136</f>
        <v>-0.8268473089124714</v>
      </c>
      <c r="DB147" s="612" t="n">
        <f>-DB146*$CR$136</f>
        <v>-0.847518491635283</v>
      </c>
    </row>
    <row r="148">
      <c r="CQ148" s="309" t="s">
        <v>1128</v>
      </c>
      <c r="CR148" s="612">
        <v>0</v>
      </c>
      <c r="CS148" s="612" t="n">
        <f>-MAX(0,CS146+CS147+CS152)*PROJECTS!$AP$194</f>
        <v>-9.334849648706113</v>
      </c>
      <c r="CT148" s="612" t="n">
        <f>-MAX(0,CT146+CT147+CT152)*PROJECTS!$AP$194</f>
        <v>-9.80879556269459</v>
      </c>
      <c r="CU148" s="612" t="n">
        <f>-MAX(0,CU146+CU147+CU152)*PROJECTS!$AP$194</f>
        <v>-10.291153343493194</v>
      </c>
      <c r="CV148" s="612" t="n">
        <f>-MAX(0,CV146+CV147+CV152)*PROJECTS!$AP$194</f>
        <v>-10.782133287772183</v>
      </c>
      <c r="CW148" s="612" t="n">
        <f>-MAX(0,CW146+CW147+CW152)*PROJECTS!$AP$194</f>
        <v>-11.281950949618558</v>
      </c>
      <c r="CX148" s="612" t="n">
        <f>-MAX(0,CX146+CX147+CX152)*PROJECTS!$AP$194</f>
        <v>-11.790827271971514</v>
      </c>
      <c r="CY148" s="612" t="n">
        <f>-MAX(0,CY146+CY147+CY152)*PROJECTS!$AP$194</f>
        <v>-12.308988721343711</v>
      </c>
      <c r="CZ148" s="612" t="n">
        <f>-MAX(0,CZ146+CZ147+CZ152)*PROJECTS!$AP$194</f>
        <v>-12.836667425910626</v>
      </c>
      <c r="DA148" s="612" t="n">
        <f>-MAX(0,DA146+DA147+DA152)*PROJECTS!$AP$194</f>
        <v>-13.374101317052133</v>
      </c>
      <c r="DB148" s="612" t="n">
        <f>-MAX(0,DB146+DB147+DB152)*PROJECTS!$AP$194</f>
        <v>-13.921534274432593</v>
      </c>
    </row>
    <row r="149">
      <c r="CQ149" s="311" t="s">
        <v>770</v>
      </c>
      <c r="CR149" s="612">
        <v>0</v>
      </c>
      <c r="CS149" s="612" t="n">
        <f>0</f>
        <v>0</v>
      </c>
      <c r="CT149" s="612" t="n">
        <f>0</f>
        <v>0</v>
      </c>
      <c r="CU149" s="612" t="n">
        <f>0</f>
        <v>0</v>
      </c>
      <c r="CV149" s="612" t="n">
        <f>0</f>
        <v>0</v>
      </c>
      <c r="CW149" s="612" t="n">
        <f>0</f>
        <v>0</v>
      </c>
      <c r="CX149" s="612" t="n">
        <f>0</f>
        <v>0</v>
      </c>
      <c r="CY149" s="612" t="n">
        <f>0</f>
        <v>0</v>
      </c>
      <c r="CZ149" s="612" t="n">
        <f>0</f>
        <v>0</v>
      </c>
      <c r="DA149" s="612" t="n">
        <f>0</f>
        <v>0</v>
      </c>
      <c r="DB149" s="612" t="n">
        <f>DB146*(1+$CR$135)/$CR$138*(1-$CR$139)</f>
        <v>852.6055428206176</v>
      </c>
    </row>
    <row r="150">
      <c r="CQ150" s="311" t="s">
        <v>1129</v>
      </c>
      <c r="CR150" s="612" t="n">
        <f>-($CR$140+$CR$141)</f>
        <v>-420.8734934628051</v>
      </c>
      <c r="CS150" s="612" t="n">
        <f>CS146+CS147+CS148+CS149</f>
        <v>35.52844000531376</v>
      </c>
      <c r="CT150" s="612" t="n">
        <f>CT146+CT147+CT148+CT149</f>
        <v>36.17607633267578</v>
      </c>
      <c r="CU150" s="612" t="n">
        <f>CU146+CU147+CU148+CU149</f>
        <v>36.84334034926143</v>
      </c>
      <c r="CV150" s="612" t="n">
        <f>CV146+CV147+CV148+CV149</f>
        <v>37.530722747301304</v>
      </c>
      <c r="CW150" s="612" t="n">
        <f>CW146+CW147+CW148+CW149</f>
        <v>38.23872648633176</v>
      </c>
      <c r="CX150" s="612" t="n">
        <f>CX146+CX147+CX148+CX149</f>
        <v>38.96786709987756</v>
      </c>
      <c r="CY150" s="612" t="n">
        <f>CY146+CY147+CY148+CY149</f>
        <v>39.718673009801584</v>
      </c>
      <c r="CZ150" s="612" t="n">
        <f>CZ146+CZ147+CZ148+CZ149</f>
        <v>40.4916858485133</v>
      </c>
      <c r="DA150" s="612" t="n">
        <f>DA146+DA147+DA148+DA149</f>
        <v>41.287460789232384</v>
      </c>
      <c r="DB150" s="612" t="n">
        <f>DB146+DB147+DB148+DB149</f>
        <v>894.7121097051266</v>
      </c>
    </row>
    <row r="151">
      <c r="CQ151" s="311" t="s">
        <v>1130</v>
      </c>
      <c r="CR151" s="612">
        <v>0</v>
      </c>
      <c r="CS151" s="612" t="n">
        <f>$CR$140</f>
        <v>211.49421782050507</v>
      </c>
      <c r="CT151" s="612" t="n">
        <f>CS154</f>
        <v>204.44441055982156</v>
      </c>
      <c r="CU151" s="612" t="n">
        <f>CT154</f>
        <v>197.39460329913805</v>
      </c>
      <c r="CV151" s="612" t="n">
        <f>CU154</f>
        <v>190.34479603845455</v>
      </c>
      <c r="CW151" s="612" t="n">
        <f>CV154</f>
        <v>183.29498877777104</v>
      </c>
      <c r="CX151" s="612" t="n">
        <f>CW154</f>
        <v>176.24518151708753</v>
      </c>
      <c r="CY151" s="612" t="n">
        <f>CX154</f>
        <v>169.19537425640402</v>
      </c>
      <c r="CZ151" s="612" t="n">
        <f>CY154</f>
        <v>162.14556699572051</v>
      </c>
      <c r="DA151" s="612" t="n">
        <f>CZ154</f>
        <v>155.095759735037</v>
      </c>
      <c r="DB151" s="612" t="n">
        <f>DA154</f>
        <v>148.0459524743535</v>
      </c>
    </row>
    <row r="152">
      <c r="CQ152" s="311" t="s">
        <v>1131</v>
      </c>
      <c r="CR152" s="612">
        <v>0</v>
      </c>
      <c r="CS152" s="612" t="n">
        <f>-CS151*$CR$142</f>
        <v>-13.74712415833283</v>
      </c>
      <c r="CT152" s="612" t="n">
        <f>-CT151*$CR$142</f>
        <v>-13.288886686388402</v>
      </c>
      <c r="CU152" s="612" t="n">
        <f>-CU151*$CR$142</f>
        <v>-12.830649214443975</v>
      </c>
      <c r="CV152" s="612" t="n">
        <f>-CV151*$CR$142</f>
        <v>-12.372411742499546</v>
      </c>
      <c r="CW152" s="612" t="n">
        <f>-CW151*$CR$142</f>
        <v>-11.914174270555119</v>
      </c>
      <c r="CX152" s="612" t="n">
        <f>-CX151*$CR$142</f>
        <v>-11.45593679861069</v>
      </c>
      <c r="CY152" s="612" t="n">
        <f>-CY151*$CR$142</f>
        <v>-10.997699326666261</v>
      </c>
      <c r="CZ152" s="612" t="n">
        <f>-CZ151*$CR$142</f>
        <v>-10.539461854721834</v>
      </c>
      <c r="DA152" s="612" t="n">
        <f>-DA151*$CR$142</f>
        <v>-10.081224382777405</v>
      </c>
      <c r="DB152" s="612" t="n">
        <f>-DB151*$CR$142</f>
        <v>-9.622986910832978</v>
      </c>
    </row>
    <row r="153">
      <c r="CQ153" s="309" t="s">
        <v>1132</v>
      </c>
      <c r="CR153" s="612">
        <v>0</v>
      </c>
      <c r="CS153" s="612" t="n">
        <f>-MIN(CS151,$CR$140/MAX(1,DEBT!$B$42))</f>
        <v>-7.049807260683503</v>
      </c>
      <c r="CT153" s="612" t="n">
        <f>-MIN(CT151,$CR$140/MAX(1,DEBT!$B$42))</f>
        <v>-7.049807260683503</v>
      </c>
      <c r="CU153" s="612" t="n">
        <f>-MIN(CU151,$CR$140/MAX(1,DEBT!$B$42))</f>
        <v>-7.049807260683503</v>
      </c>
      <c r="CV153" s="612" t="n">
        <f>-MIN(CV151,$CR$140/MAX(1,DEBT!$B$42))</f>
        <v>-7.049807260683503</v>
      </c>
      <c r="CW153" s="612" t="n">
        <f>-MIN(CW151,$CR$140/MAX(1,DEBT!$B$42))</f>
        <v>-7.049807260683503</v>
      </c>
      <c r="CX153" s="612" t="n">
        <f>-MIN(CX151,$CR$140/MAX(1,DEBT!$B$42))</f>
        <v>-7.049807260683503</v>
      </c>
      <c r="CY153" s="612" t="n">
        <f>-MIN(CY151,$CR$140/MAX(1,DEBT!$B$42))</f>
        <v>-7.049807260683503</v>
      </c>
      <c r="CZ153" s="612" t="n">
        <f>-MIN(CZ151,$CR$140/MAX(1,DEBT!$B$42))</f>
        <v>-7.049807260683503</v>
      </c>
      <c r="DA153" s="612" t="n">
        <f>-MIN(DA151,$CR$140/MAX(1,DEBT!$B$42))</f>
        <v>-7.049807260683503</v>
      </c>
      <c r="DB153" s="612" t="n">
        <f>-DB151</f>
        <v>-148.0459524743535</v>
      </c>
    </row>
    <row r="154">
      <c r="CQ154" s="309" t="s">
        <v>1133</v>
      </c>
      <c r="CR154" s="612">
        <v>0</v>
      </c>
      <c r="CS154" s="612" t="n">
        <f>MAX(0,CS151+CS153)</f>
        <v>204.44441055982156</v>
      </c>
      <c r="CT154" s="612" t="n">
        <f>MAX(0,CT151+CT153)</f>
        <v>197.39460329913805</v>
      </c>
      <c r="CU154" s="612" t="n">
        <f>MAX(0,CU151+CU153)</f>
        <v>190.34479603845455</v>
      </c>
      <c r="CV154" s="612" t="n">
        <f>MAX(0,CV151+CV153)</f>
        <v>183.29498877777104</v>
      </c>
      <c r="CW154" s="612" t="n">
        <f>MAX(0,CW151+CW153)</f>
        <v>176.24518151708753</v>
      </c>
      <c r="CX154" s="612" t="n">
        <f>MAX(0,CX151+CX153)</f>
        <v>169.19537425640402</v>
      </c>
      <c r="CY154" s="612" t="n">
        <f>MAX(0,CY151+CY153)</f>
        <v>162.14556699572051</v>
      </c>
      <c r="CZ154" s="612" t="n">
        <f>MAX(0,CZ151+CZ153)</f>
        <v>155.095759735037</v>
      </c>
      <c r="DA154" s="612" t="n">
        <f>MAX(0,DA151+DA153)</f>
        <v>148.0459524743535</v>
      </c>
      <c r="DB154" s="612" t="n">
        <f>MAX(0,DB151+DB153)</f>
        <v>0</v>
      </c>
    </row>
    <row r="155">
      <c r="CQ155" s="309" t="s">
        <v>1134</v>
      </c>
      <c r="CR155" s="612" t="n">
        <f>-$CR$141</f>
        <v>-209.37927564230003</v>
      </c>
      <c r="CS155" s="612" t="n">
        <f>CS150+CS152+CS153</f>
        <v>14.731508586297428</v>
      </c>
      <c r="CT155" s="612" t="n">
        <f>CT150+CT152+CT153</f>
        <v>15.837382385603872</v>
      </c>
      <c r="CU155" s="612" t="n">
        <f>CU150+CU152+CU153</f>
        <v>16.962883874133958</v>
      </c>
      <c r="CV155" s="612" t="n">
        <f>CV150+CV152+CV153</f>
        <v>18.10850374411826</v>
      </c>
      <c r="CW155" s="612" t="n">
        <f>CW150+CW152+CW153</f>
        <v>19.274744955093134</v>
      </c>
      <c r="CX155" s="612" t="n">
        <f>CX150+CX152+CX153</f>
        <v>20.462123040583364</v>
      </c>
      <c r="CY155" s="612" t="n">
        <f>CY150+CY152+CY153</f>
        <v>21.67116642245182</v>
      </c>
      <c r="CZ155" s="612" t="n">
        <f>CZ150+CZ152+CZ153</f>
        <v>22.902416733107962</v>
      </c>
      <c r="DA155" s="612" t="n">
        <f>DA150+DA152+DA153</f>
        <v>24.156429145771476</v>
      </c>
      <c r="DB155" s="612" t="n">
        <f>DB150+DB152+DB153</f>
        <v>737.0431703199401</v>
      </c>
    </row>
    <row r="156">
      <c r="CQ156" s="311" t="s">
        <v>899</v>
      </c>
      <c r="CR156" s="599" t="n">
        <f>IF(AND(COUNTIF($CR$150:$DB$150,"&lt;0")&gt;0,COUNTIF($CR$150:$DB$150,"&gt;0")&gt;0),XIRR($CR$150:$DB$150,$CR$145:$DB$145),"N/M")</f>
        <v>0.14236988643247656</v>
      </c>
    </row>
    <row r="157">
      <c r="CQ157" s="311" t="s">
        <v>1135</v>
      </c>
      <c r="CR157" s="599" t="n">
        <f>IF(AND(COUNTIF($CR$155:$DB$155,"&lt;0")&gt;0,COUNTIF($CR$155:$DB$155,"&gt;0")&gt;0),XIRR($CR$155:$DB$155,$CR$145:$DB$145),"N/M")</f>
        <v>0.18631254962531046</v>
      </c>
      <c r="CS157" s="613" t="n">
        <f>IF(SUMIF($CR$155:$DB$155,"&lt;0")=0,"N/M",SUMIF($CR$155:$DB$155,"&gt;0")/-SUMIF($CR$155:$DB$155,"&lt;0"))</f>
        <v>4.351673900924632</v>
      </c>
    </row>
    <row r="159" ht="108">
      <c r="CQ159" s="311" t="s">
        <v>1136</v>
      </c>
      <c r="CR159" s="326" t="str">
        <f>IF(AND($CR$133&lt;&gt;Underwriting!$I$16,$CR$145&lt;&gt;Underwriting!$I$15,$CR$133&gt;0),"OK","EXCEPTION: hold strategy is not independent")</f>
        <v>OK</v>
      </c>
      <c r="CS159" s="312" t="s">
        <v>1137</v>
      </c>
    </row>
    <row r="160" ht="72">
      <c r="CQ160" s="311" t="s">
        <v>1138</v>
      </c>
      <c r="CR160" s="326" t="str">
        <f>IF(ABS($DB$154)&lt;0.0001,"OK","EXCEPTION: Build &amp; Hold debt remains at exit")</f>
        <v>OK</v>
      </c>
      <c r="CS160" s="312" t="s">
        <v>1139</v>
      </c>
    </row>
  </sheetData>
  <mergeCells>
    <mergeCell ref="J96:P96"/>
    <mergeCell ref="B104:P104"/>
    <mergeCell ref="B76:P76"/>
    <mergeCell ref="B77:P77"/>
    <mergeCell ref="B79:H79"/>
    <mergeCell ref="J79:P79"/>
    <mergeCell ref="B91:H91"/>
    <mergeCell ref="J91:P91"/>
    <mergeCell ref="CQ6:CX6"/>
    <mergeCell ref="CZ6:DL6"/>
    <mergeCell ref="CS7:CX7"/>
    <mergeCell ref="CS8:CX8"/>
    <mergeCell ref="DC7:DL7"/>
    <mergeCell ref="DC8:DL8"/>
    <mergeCell ref="CQ2:DA2"/>
    <mergeCell ref="DB2:DL2"/>
    <mergeCell ref="CQ3:DL3"/>
    <mergeCell ref="CQ4:DL4"/>
    <mergeCell ref="CQ5:DL5"/>
    <mergeCell ref="DD27:DL27"/>
    <mergeCell ref="DC9:DL9"/>
    <mergeCell ref="DC10:DL10"/>
    <mergeCell ref="DC11:DL11"/>
    <mergeCell ref="DC12:DL12"/>
    <mergeCell ref="DC13:DL13"/>
    <mergeCell ref="DC14:DL14"/>
    <mergeCell ref="DC15:DL15"/>
    <mergeCell ref="DC16:DL16"/>
    <mergeCell ref="DC17:DL17"/>
    <mergeCell ref="DC20:DL20"/>
    <mergeCell ref="DC21:DL21"/>
    <mergeCell ref="DC22:DL22"/>
    <mergeCell ref="CQ24:DL24"/>
    <mergeCell ref="DD25:DL25"/>
    <mergeCell ref="DD26:DL26"/>
    <mergeCell ref="CS9:CX9"/>
    <mergeCell ref="CS10:CX10"/>
    <mergeCell ref="CS11:CX11"/>
    <mergeCell ref="DC18:DL18"/>
    <mergeCell ref="DC19:DL19"/>
    <mergeCell ref="CS15:CX15"/>
    <mergeCell ref="CS16:CX16"/>
    <mergeCell ref="CQ18:CX18"/>
    <mergeCell ref="CS17:CX17"/>
    <mergeCell ref="CS12:CX12"/>
    <mergeCell ref="CS13:CX13"/>
    <mergeCell ref="CS14:CX14"/>
    <mergeCell ref="CT42:CX42"/>
    <mergeCell ref="CT43:CX43"/>
    <mergeCell ref="CT44:CX44"/>
    <mergeCell ref="DD28:DL28"/>
    <mergeCell ref="DD29:DL29"/>
    <mergeCell ref="DD30:DL30"/>
    <mergeCell ref="DD31:DL31"/>
    <mergeCell ref="DD32:DL32"/>
    <mergeCell ref="DD33:DL33"/>
    <mergeCell ref="DD34:DL34"/>
    <mergeCell ref="DD35:DL35"/>
    <mergeCell ref="DD36:DL36"/>
    <mergeCell ref="DD37:DL37"/>
    <mergeCell ref="CQ38:CR38"/>
    <mergeCell ref="DD38:DL38"/>
    <mergeCell ref="CQ39:DL39"/>
    <mergeCell ref="CQ41:CX41"/>
    <mergeCell ref="CZ41:DL41"/>
    <mergeCell ref="DC52:DL52"/>
    <mergeCell ref="DC53:DL53"/>
    <mergeCell ref="DC54:DL54"/>
    <mergeCell ref="DC55:DL55"/>
    <mergeCell ref="CT45:CX45"/>
    <mergeCell ref="CT46:CX46"/>
    <mergeCell ref="CT47:CX47"/>
    <mergeCell ref="CT48:CX48"/>
    <mergeCell ref="CT49:CX49"/>
    <mergeCell ref="CT50:CX50"/>
    <mergeCell ref="CT51:CX51"/>
    <mergeCell ref="CT52:CX52"/>
    <mergeCell ref="CT53:CX53"/>
    <mergeCell ref="DC47:DL47"/>
    <mergeCell ref="DC48:DL48"/>
    <mergeCell ref="DC49:DL49"/>
    <mergeCell ref="DC50:DL50"/>
    <mergeCell ref="DC51:DL51"/>
    <mergeCell ref="DC42:DL42"/>
    <mergeCell ref="DC43:DL43"/>
    <mergeCell ref="DC44:DL44"/>
    <mergeCell ref="DC45:DL45"/>
    <mergeCell ref="DC46:DL46"/>
    <mergeCell ref="DE63:DL63"/>
    <mergeCell ref="DE64:DL64"/>
    <mergeCell ref="CQ73:DL73"/>
    <mergeCell ref="CT54:CX54"/>
    <mergeCell ref="CT55:CX55"/>
    <mergeCell ref="DC56:DL56"/>
    <mergeCell ref="DC57:DL57"/>
    <mergeCell ref="CQ60:DL60"/>
    <mergeCell ref="DE61:DL61"/>
    <mergeCell ref="DE62:DL62"/>
    <mergeCell ref="CS113:DL113"/>
    <mergeCell ref="CS114:DL114"/>
    <mergeCell ref="CQ78:DL78"/>
    <mergeCell ref="CQ80:CW80"/>
    <mergeCell ref="CY80:DE80"/>
    <mergeCell ref="CQ90:CW90"/>
    <mergeCell ref="CY90:DE90"/>
    <mergeCell ref="CT106:CW106"/>
    <mergeCell ref="CQ109:DL109"/>
    <mergeCell ref="CS110:DL110"/>
    <mergeCell ref="CS111:DL111"/>
    <mergeCell ref="CS112:DL112"/>
    <mergeCell ref="CQ100:CW100"/>
    <mergeCell ref="CT102:CW102"/>
    <mergeCell ref="CT103:CW103"/>
    <mergeCell ref="CT104:CW104"/>
    <mergeCell ref="CT105:CW105"/>
    <mergeCell ref="CS115:DL115"/>
    <mergeCell ref="CS116:DL116"/>
    <mergeCell ref="CQ130:DE130"/>
    <mergeCell ref="CS121:DL121"/>
    <mergeCell ref="CS122:DL122"/>
    <mergeCell ref="CQ126:DL126"/>
    <mergeCell ref="CQ127:DL127"/>
    <mergeCell ref="CQ128:DL128"/>
    <mergeCell ref="CQ129:DL129"/>
    <mergeCell ref="CS117:DL117"/>
    <mergeCell ref="CS118:DL118"/>
    <mergeCell ref="CS119:DL119"/>
    <mergeCell ref="CS120:DL120"/>
    <mergeCell ref="B54:P54"/>
    <mergeCell ref="B56:P56"/>
    <mergeCell ref="B49:P49"/>
    <mergeCell ref="B50:P50"/>
    <mergeCell ref="B51:P51"/>
    <mergeCell ref="B52:P52"/>
    <mergeCell ref="B53:P53"/>
    <mergeCell ref="K42:P42"/>
    <mergeCell ref="K43:P43"/>
    <mergeCell ref="K44:P44"/>
    <mergeCell ref="K45:P45"/>
    <mergeCell ref="K46:P46"/>
    <mergeCell ref="E42:H42"/>
    <mergeCell ref="E43:H43"/>
    <mergeCell ref="E44:H44"/>
    <mergeCell ref="E45:H45"/>
    <mergeCell ref="E46:H46"/>
    <mergeCell ref="B37:P37"/>
    <mergeCell ref="E38:H38"/>
    <mergeCell ref="E39:H39"/>
    <mergeCell ref="E40:H40"/>
    <mergeCell ref="E41:H41"/>
    <mergeCell ref="K38:P38"/>
    <mergeCell ref="K39:P39"/>
    <mergeCell ref="K40:P40"/>
    <mergeCell ref="K41:P41"/>
    <mergeCell ref="M13:P13"/>
    <mergeCell ref="M14:P14"/>
    <mergeCell ref="M15:P15"/>
    <mergeCell ref="B17:P17"/>
    <mergeCell ref="B24:P24"/>
    <mergeCell ref="M8:P8"/>
    <mergeCell ref="M9:P9"/>
    <mergeCell ref="M10:P10"/>
    <mergeCell ref="M11:P11"/>
    <mergeCell ref="M12:P12"/>
    <mergeCell ref="B2:P2"/>
    <mergeCell ref="B3:P3"/>
    <mergeCell ref="B4:P4"/>
    <mergeCell ref="B6:P6"/>
    <mergeCell ref="M7:P7"/>
  </mergeCells>
  <pageMargins left="0.7" right="0.7" top="0.75" bottom="0.75" header="0.3" footer="0.3"/>
</worksheet>
</file>

<file path=xl/worksheets/sheet8.xml><?xml version="1.0" encoding="utf-8"?>
<worksheet xmlns="http://schemas.openxmlformats.org/spreadsheetml/2006/main">
  <sheetPr>
    <tabColor rgb="FFC1B56B"/>
  </sheetPr>
  <sheetViews>
    <sheetView showGridLines="0" workbookViewId="0"/>
  </sheetViews>
  <sheetFormatPr defaultRowHeight="14"/>
  <cols>
    <col min="1" max="1" width="20" style="573" customWidth="1"/>
    <col min="2" max="19" width="6.6640625" style="573" customWidth="1"/>
    <col min="20" max="16384" width="8.6640625" style="573" customWidth="0"/>
  </cols>
  <sheetData>
    <row r="1" ht="24" customHeight="1">
      <c r="A1" s="764" t="s">
        <v>1140</v>
      </c>
      <c r="B1" s="764"/>
      <c r="C1" s="764"/>
      <c r="D1" s="764"/>
      <c r="E1" s="764"/>
      <c r="F1" s="764"/>
      <c r="G1" s="764"/>
      <c r="H1" s="764"/>
      <c r="I1" s="764"/>
      <c r="J1" s="764"/>
      <c r="K1" s="764"/>
      <c r="L1" s="764"/>
      <c r="M1" s="764"/>
      <c r="N1" s="764"/>
      <c r="O1" s="765"/>
      <c r="P1" s="765"/>
      <c r="Q1" s="765"/>
      <c r="R1" s="765"/>
      <c r="S1" s="765"/>
    </row>
    <row r="2" ht="20" customHeight="1">
      <c r="A2" s="766" t="str">
        <f>"Formula-linked investor analysis | Gross, pre-tax illustration | Model as at "&amp;TEXT('VALUATION &amp; RETURNS'!$C$43,"dd mmm yyyy")</f>
        <v>Formula-linked investor analysis | Gross, pre-tax illustration | Model as at 01 Jul 2026</v>
      </c>
      <c r="B2" s="767"/>
      <c r="C2" s="767"/>
      <c r="D2" s="767"/>
      <c r="E2" s="767"/>
      <c r="F2" s="767"/>
      <c r="G2" s="767"/>
      <c r="H2" s="767"/>
      <c r="I2" s="767"/>
      <c r="J2" s="767"/>
      <c r="K2" s="767"/>
      <c r="L2" s="767"/>
      <c r="M2" s="767"/>
      <c r="N2" s="767"/>
      <c r="O2" s="765"/>
      <c r="P2" s="765"/>
      <c r="Q2" s="765"/>
      <c r="R2" s="765"/>
      <c r="S2" s="765"/>
    </row>
    <row r="3" ht="14.5" customHeight="1">
      <c r="A3" s="768" t="s">
        <v>1141</v>
      </c>
      <c r="B3" s="768"/>
      <c r="C3" s="769" t="s">
        <v>1142</v>
      </c>
      <c r="D3" s="770"/>
      <c r="E3" s="770"/>
      <c r="F3" s="771"/>
      <c r="G3" s="768" t="s">
        <v>1143</v>
      </c>
      <c r="H3" s="768"/>
      <c r="I3" s="772" t="str">
        <v>Base</v>
      </c>
      <c r="J3" s="772"/>
      <c r="K3" s="768" t="s">
        <v>1144</v>
      </c>
      <c r="L3" s="768"/>
      <c r="M3" s="773" t="n">
        <f>'VALUATION &amp; RETURNS'!$C$45</f>
        <v>48030</v>
      </c>
      <c r="N3" s="774"/>
      <c r="O3" s="765"/>
      <c r="P3" s="765"/>
      <c r="Q3" s="765"/>
      <c r="R3" s="765"/>
      <c r="S3" s="765"/>
    </row>
    <row r="4" ht="24" customHeight="1">
      <c r="A4" s="768" t="s">
        <v>1145</v>
      </c>
      <c r="B4" s="768"/>
      <c r="C4" s="775" t="str">
        <f>$C$3</f>
        <v>David Gifford</v>
      </c>
      <c r="D4" s="776"/>
      <c r="E4" s="776"/>
      <c r="F4" s="776"/>
      <c r="G4" s="768" t="s">
        <v>1146</v>
      </c>
      <c r="H4" s="768"/>
      <c r="I4" s="777" t="str">
        <f>'DATA MAP'!$C$173</f>
        <v>TECHNICALLY RECONCILED — OWNER DECISIONS OUTSTANDING</v>
      </c>
      <c r="J4" s="778"/>
      <c r="K4" s="768" t="s">
        <v>1147</v>
      </c>
      <c r="L4" s="768"/>
      <c r="M4" s="775" t="str">
        <f>INDEX('VALUATION &amp; RETURNS'!$O$26:$O$33,MATCH($C$3,'VALUATION &amp; RETURNS'!$B$26:$B$33,0))</f>
        <v>Ordinary shares + pro-rata right</v>
      </c>
      <c r="N4" s="776"/>
      <c r="O4" s="765"/>
      <c r="P4" s="765"/>
      <c r="Q4" s="765"/>
      <c r="R4" s="765"/>
      <c r="S4" s="765"/>
    </row>
    <row r="5" ht="24" customHeight="1">
      <c r="A5" s="779" t="s">
        <v>1148</v>
      </c>
      <c r="B5" s="779"/>
      <c r="C5" s="779"/>
      <c r="D5" s="779"/>
      <c r="E5" s="779"/>
      <c r="F5" s="779"/>
      <c r="G5" s="779"/>
      <c r="H5" s="779"/>
      <c r="I5" s="779"/>
      <c r="J5" s="779"/>
      <c r="K5" s="779"/>
      <c r="L5" s="779"/>
      <c r="M5" s="779"/>
      <c r="N5" s="779"/>
      <c r="O5" s="765"/>
      <c r="P5" s="765"/>
      <c r="Q5" s="765"/>
      <c r="R5" s="765"/>
      <c r="S5" s="765"/>
    </row>
    <row r="6">
      <c r="A6" s="711" t="str">
        <f>"Under the current funding and valuation assumptions, "&amp;$C$3&amp;" invests A$"&amp;TEXT($A$9,"0.00")&amp;"m across the modelled rounds. Under the selected "&amp;LOWER($I$3)&amp;" case, the position is illustrated at A$"&amp;TEXT($J$9,"0.00")&amp;"m, equivalent to "&amp;TEXT($M$9,"0.00x")&amp;" invested capital and "&amp;TEXT(INDEX('VALUATION &amp; RETURNS'!$DA$62:$DA$69,MATCH($C$3,'VALUATION &amp; RETURNS'!$CQ$62:$CQ$69,0)),"0.0%")&amp;" XIRR. These are preliminary model outputs, not promised returns. Overall model status: "&amp;$I$4&amp;"."</f>
        <v>Under the current funding and valuation assumptions, David Gifford invests A$10.00m across the modelled rounds. Under the selected base case, the position is illustrated at A$22.00m, equivalent to 2.20x invested capital and 25.2% XIRR. These are preliminary model outputs, not promised returns. Overall model status: TECHNICALLY RECONCILED — OWNER DECISIONS OUTSTANDING.</v>
      </c>
      <c r="B6" s="712"/>
      <c r="C6" s="712"/>
      <c r="D6" s="712"/>
      <c r="E6" s="712"/>
      <c r="F6" s="712"/>
      <c r="G6" s="712"/>
      <c r="H6" s="712"/>
      <c r="I6" s="712"/>
      <c r="J6" s="712"/>
      <c r="K6" s="712"/>
      <c r="L6" s="712"/>
      <c r="M6" s="712"/>
      <c r="N6" s="713"/>
      <c r="O6" s="919"/>
      <c r="P6" s="919"/>
      <c r="Q6" s="919"/>
      <c r="R6" s="919"/>
      <c r="S6" s="919"/>
    </row>
    <row r="7">
      <c r="A7" s="780"/>
      <c r="B7" s="780"/>
      <c r="C7" s="780"/>
      <c r="D7" s="780"/>
      <c r="E7" s="780"/>
      <c r="F7" s="780"/>
      <c r="G7" s="780"/>
      <c r="H7" s="780"/>
      <c r="I7" s="780"/>
      <c r="J7" s="780"/>
      <c r="K7" s="780"/>
      <c r="L7" s="780"/>
      <c r="M7" s="780"/>
      <c r="N7" s="780"/>
      <c r="O7" s="765"/>
      <c r="P7" s="765"/>
      <c r="Q7" s="765"/>
      <c r="R7" s="765"/>
      <c r="S7" s="765"/>
    </row>
    <row r="8">
      <c r="A8" s="781" t="s">
        <v>1149</v>
      </c>
      <c r="B8" s="781"/>
      <c r="C8" s="781"/>
      <c r="D8" s="781" t="s">
        <v>1150</v>
      </c>
      <c r="E8" s="781"/>
      <c r="F8" s="781"/>
      <c r="G8" s="781" t="s">
        <v>1151</v>
      </c>
      <c r="H8" s="781"/>
      <c r="I8" s="781"/>
      <c r="J8" s="781" t="s">
        <v>1152</v>
      </c>
      <c r="K8" s="781"/>
      <c r="L8" s="781"/>
      <c r="M8" s="781" t="s">
        <v>1153</v>
      </c>
      <c r="N8" s="781"/>
      <c r="O8" s="765"/>
      <c r="P8" s="765"/>
      <c r="Q8" s="765"/>
      <c r="R8" s="765"/>
      <c r="S8" s="765"/>
    </row>
    <row r="9" ht="20.5">
      <c r="A9" s="782" t="n">
        <f>INDEX('VALUATION &amp; RETURNS'!$CR$62:$CR$69,MATCH($C$3,'VALUATION &amp; RETURNS'!$CQ$62:$CQ$69,0))</f>
        <v>10</v>
      </c>
      <c r="B9" s="783"/>
      <c r="C9" s="783"/>
      <c r="D9" s="784" t="str">
        <f>TEXT(INDEX('VALUATION &amp; RETURNS'!$CT$62:$CT$69,MATCH($C$3,'VALUATION &amp; RETURNS'!$CQ$62:$CQ$69,0)),"0.00%")&amp;"  -&gt;  "&amp;TEXT(INDEX('VALUATION &amp; RETURNS'!$CU$62:$CU$69,MATCH($C$3,'VALUATION &amp; RETURNS'!$CQ$62:$CQ$69,0)),"0.00%")</f>
        <v>4.86%  -&gt;  4.86%</v>
      </c>
      <c r="E9" s="785"/>
      <c r="F9" s="785"/>
      <c r="G9" s="786" t="str">
        <f>"A$"&amp;TEXT(MIN($G$16:$G$18),"0.00")&amp;"m - A$"&amp;TEXT(MAX($G$16:$G$18),"0.00")&amp;"m"</f>
        <v>A$19.77m - A$24.61m</v>
      </c>
      <c r="H9" s="785"/>
      <c r="I9" s="785"/>
      <c r="J9" s="782" t="n">
        <f>INDEX('VALUATION &amp; RETURNS'!$CX$62:$CX$69,MATCH($C$3,'VALUATION &amp; RETURNS'!$CQ$62:$CQ$69,0))</f>
        <v>22.000204914314725</v>
      </c>
      <c r="K9" s="783"/>
      <c r="L9" s="783"/>
      <c r="M9" s="787" t="n">
        <f>INDEX('VALUATION &amp; RETURNS'!$DC$62:$DC$69,MATCH($C$3,'VALUATION &amp; RETURNS'!$CQ$62:$CQ$69,0))</f>
        <v>2.2000204914314727</v>
      </c>
      <c r="N9" s="788"/>
      <c r="O9" s="765"/>
      <c r="P9" s="765"/>
      <c r="Q9" s="765"/>
      <c r="R9" s="765"/>
      <c r="S9" s="765"/>
    </row>
    <row r="10">
      <c r="A10" s="789" t="str">
        <f>"Initial A$"&amp;TEXT(INDEX('VALUATION &amp; RETURNS'!$D$26:$D$33,MATCH($C$3,'VALUATION &amp; RETURNS'!$B$26:$B$33,0)),"0.00")&amp;"m | Later A$"&amp;TEXT(INDEX('VALUATION &amp; RETURNS'!$E$26:$E$33,MATCH($C$3,'VALUATION &amp; RETURNS'!$B$26:$B$33,0))+INDEX('VALUATION &amp; RETURNS'!$F$26:$F$33,MATCH($C$3,'VALUATION &amp; RETURNS'!$B$26:$B$33,0)),"0.00")&amp;"m"</f>
        <v>Initial A$10.00m | Later A$0.00m</v>
      </c>
      <c r="B10" s="790"/>
      <c r="C10" s="790"/>
      <c r="D10" s="790" t="s">
        <v>1154</v>
      </c>
      <c r="E10" s="790"/>
      <c r="F10" s="790"/>
      <c r="G10" s="790" t="s">
        <v>1155</v>
      </c>
      <c r="H10" s="790"/>
      <c r="I10" s="790"/>
      <c r="J10" s="791" t="str">
        <f>"Gain A$"&amp;TEXT(INDEX('VALUATION &amp; RETURNS'!$CY$62:$CY$69,MATCH($C$3,'VALUATION &amp; RETURNS'!$CQ$62:$CQ$69,0)),"0.00")&amp;"m"</f>
        <v>Gain A$12.00m</v>
      </c>
      <c r="K10" s="790"/>
      <c r="L10" s="790"/>
      <c r="M10" s="791" t="str">
        <f>TEXT(INDEX('VALUATION &amp; RETURNS'!$DA$62:$DA$69,MATCH($C$3,'VALUATION &amp; RETURNS'!$CQ$62:$CQ$69,0)),"0.0%")&amp;" XIRR"</f>
        <v>25.2% XIRR</v>
      </c>
      <c r="N10" s="790"/>
      <c r="O10" s="765"/>
      <c r="P10" s="765"/>
      <c r="Q10" s="765"/>
      <c r="R10" s="765"/>
      <c r="S10" s="765"/>
    </row>
    <row r="11">
      <c r="A11" s="762" t="s">
        <v>1156</v>
      </c>
      <c r="B11" s="763"/>
      <c r="C11" s="763"/>
      <c r="D11" s="763"/>
      <c r="E11" s="763"/>
      <c r="F11" s="763"/>
      <c r="G11" s="763"/>
      <c r="H11" s="763"/>
      <c r="I11" s="763"/>
      <c r="J11" s="763"/>
      <c r="K11" s="763"/>
      <c r="L11" s="763"/>
      <c r="M11" s="763"/>
      <c r="N11" s="763"/>
      <c r="O11" s="763"/>
      <c r="P11" s="763"/>
      <c r="Q11" s="763"/>
      <c r="R11" s="763"/>
      <c r="S11" s="763"/>
    </row>
    <row r="12">
      <c r="A12" s="780"/>
      <c r="B12" s="780"/>
      <c r="C12" s="780"/>
      <c r="D12" s="780"/>
      <c r="E12" s="780"/>
      <c r="F12" s="780"/>
      <c r="G12" s="780"/>
      <c r="H12" s="780"/>
      <c r="I12" s="780"/>
      <c r="J12" s="780"/>
      <c r="K12" s="780"/>
      <c r="L12" s="780"/>
      <c r="M12" s="780"/>
      <c r="N12" s="780"/>
      <c r="O12" s="765"/>
      <c r="P12" s="765"/>
      <c r="Q12" s="765"/>
      <c r="R12" s="765"/>
      <c r="S12" s="765"/>
    </row>
    <row r="13" ht="24" customHeight="1">
      <c r="A13" s="779" t="s">
        <v>1157</v>
      </c>
      <c r="B13" s="779"/>
      <c r="C13" s="779"/>
      <c r="D13" s="779"/>
      <c r="E13" s="779"/>
      <c r="F13" s="779"/>
      <c r="G13" s="779"/>
      <c r="H13" s="779"/>
      <c r="I13" s="779"/>
      <c r="J13" s="779"/>
      <c r="K13" s="779"/>
      <c r="L13" s="779"/>
      <c r="M13" s="779"/>
      <c r="N13" s="779"/>
      <c r="O13" s="765"/>
      <c r="P13" s="765"/>
      <c r="Q13" s="765"/>
      <c r="R13" s="765"/>
      <c r="S13" s="765"/>
    </row>
    <row r="14">
      <c r="A14" s="780"/>
      <c r="B14" s="780"/>
      <c r="C14" s="780"/>
      <c r="D14" s="780"/>
      <c r="E14" s="780"/>
      <c r="F14" s="780"/>
      <c r="G14" s="780"/>
      <c r="H14" s="780"/>
      <c r="I14" s="780"/>
      <c r="J14" s="780"/>
      <c r="K14" s="780"/>
      <c r="L14" s="780"/>
      <c r="M14" s="780"/>
      <c r="N14" s="780"/>
      <c r="O14" s="765"/>
      <c r="P14" s="765"/>
      <c r="Q14" s="765"/>
      <c r="R14" s="765"/>
      <c r="S14" s="765"/>
    </row>
    <row r="15" ht="28" customHeight="1">
      <c r="A15" s="792" t="s">
        <v>1158</v>
      </c>
      <c r="B15" s="792"/>
      <c r="C15" s="792"/>
      <c r="D15" s="792"/>
      <c r="E15" s="792" t="s">
        <v>1159</v>
      </c>
      <c r="F15" s="792"/>
      <c r="G15" s="792" t="s">
        <v>1160</v>
      </c>
      <c r="H15" s="792"/>
      <c r="I15" s="792" t="s">
        <v>1161</v>
      </c>
      <c r="J15" s="792"/>
      <c r="K15" s="793" t="s">
        <v>976</v>
      </c>
      <c r="L15" s="793" t="s">
        <v>974</v>
      </c>
      <c r="M15" s="793" t="s">
        <v>803</v>
      </c>
      <c r="N15" s="793" t="s">
        <v>612</v>
      </c>
      <c r="O15" s="765"/>
      <c r="P15" s="765"/>
      <c r="Q15" s="765" t="n">
        <f>'VALUATION &amp; RETURNS'!$C$43</f>
        <v>46204</v>
      </c>
      <c r="R15" s="765" t="n">
        <f>'VALUATION &amp; RETURNS'!$C$44</f>
        <v>46478</v>
      </c>
      <c r="S15" s="765" t="n">
        <f>'VALUATION &amp; RETURNS'!$C$45</f>
        <v>48030</v>
      </c>
    </row>
    <row r="16" ht="22" customHeight="1">
      <c r="A16" s="794" t="s">
        <v>1162</v>
      </c>
      <c r="B16" s="794"/>
      <c r="C16" s="794"/>
      <c r="D16" s="794"/>
      <c r="E16" s="795" t="n">
        <f>'VALUATION &amp; RETURNS'!$D$21</f>
        <v>679.6470279122067</v>
      </c>
      <c r="F16" s="796"/>
      <c r="G16" s="795" t="n">
        <f>INDEX('VALUATION &amp; RETURNS'!$H$58:$H$65,MATCH($C$3,'VALUATION &amp; RETURNS'!$B$58:$B$65,0))</f>
        <v>22.000204914314725</v>
      </c>
      <c r="H16" s="796"/>
      <c r="I16" s="797" t="n">
        <f>G16-$A$9</f>
        <v>12.000204914314725</v>
      </c>
      <c r="J16" s="796"/>
      <c r="K16" s="798" t="n">
        <f>IF($A$9=0,0,G16/$A$9)</f>
        <v>2.2000204914314727</v>
      </c>
      <c r="L16" s="799" t="n">
        <f>INDEX('VALUATION &amp; RETURNS'!$M$58:$M$65,MATCH($C$3,'VALUATION &amp; RETURNS'!$B$58:$B$65,0))</f>
        <v>0.25243591969602264</v>
      </c>
      <c r="M16" s="800" t="s">
        <v>1163</v>
      </c>
      <c r="N16" s="800" t="str">
        <f>IF($I$3="Base","Selected","Scenario")</f>
        <v>Selected</v>
      </c>
      <c r="O16" s="765"/>
      <c r="P16" s="765"/>
      <c r="Q16" s="765"/>
      <c r="R16" s="765"/>
      <c r="S16" s="765"/>
    </row>
    <row r="17" ht="22" customHeight="1">
      <c r="A17" s="801" t="s">
        <v>1164</v>
      </c>
      <c r="B17" s="801"/>
      <c r="C17" s="801"/>
      <c r="D17" s="801"/>
      <c r="E17" s="802" t="n">
        <f>'VALUATION &amp; RETURNS'!$D$20</f>
        <v>632.4546901744211</v>
      </c>
      <c r="F17" s="803"/>
      <c r="G17" s="802" t="n">
        <f>INDEX('VALUATION &amp; RETURNS'!$G$58:$G$65,MATCH($C$3,'VALUATION &amp; RETURNS'!$B$58:$B$65,0))</f>
        <v>19.77191218357688</v>
      </c>
      <c r="H17" s="803"/>
      <c r="I17" s="804" t="n">
        <f>G17-$A$9</f>
        <v>9.77191218357688</v>
      </c>
      <c r="J17" s="803"/>
      <c r="K17" s="805" t="n">
        <f>IF($A$9=0,0,G17/$A$9)</f>
        <v>1.977191218357688</v>
      </c>
      <c r="L17" s="806" t="n">
        <f>INDEX('VALUATION &amp; RETURNS'!$L$58:$L$65,MATCH($C$3,'VALUATION &amp; RETURNS'!$B$58:$B$65,0))</f>
        <v>0.2145632309367589</v>
      </c>
      <c r="M17" s="807" t="s">
        <v>1163</v>
      </c>
      <c r="N17" s="807" t="str">
        <f>IF($I$3="Downside","Selected","Scenario")</f>
        <v>Scenario</v>
      </c>
      <c r="O17" s="765"/>
      <c r="P17" s="765"/>
      <c r="Q17" s="765"/>
      <c r="R17" s="765"/>
      <c r="S17" s="765"/>
    </row>
    <row r="18" ht="22" customHeight="1">
      <c r="A18" s="801" t="s">
        <v>1165</v>
      </c>
      <c r="B18" s="801"/>
      <c r="C18" s="801"/>
      <c r="D18" s="801"/>
      <c r="E18" s="802" t="n">
        <f>'VALUATION &amp; RETURNS'!$D$22</f>
        <v>734.4500268582009</v>
      </c>
      <c r="F18" s="803"/>
      <c r="G18" s="802" t="n">
        <f>INDEX('VALUATION &amp; RETURNS'!$I$58:$I$65,MATCH($C$3,'VALUATION &amp; RETURNS'!$B$58:$B$65,0))</f>
        <v>24.61063617436934</v>
      </c>
      <c r="H18" s="803"/>
      <c r="I18" s="804" t="n">
        <f>G18-$A$9</f>
        <v>14.61063617436934</v>
      </c>
      <c r="J18" s="803"/>
      <c r="K18" s="805" t="n">
        <f>IF($A$9=0,0,G18/$A$9)</f>
        <v>2.461063617436934</v>
      </c>
      <c r="L18" s="806" t="n">
        <f>INDEX('VALUATION &amp; RETURNS'!$N$58:$N$65,MATCH($C$3,'VALUATION &amp; RETURNS'!$B$58:$B$65,0))</f>
        <v>0.2930931504897445</v>
      </c>
      <c r="M18" s="807" t="s">
        <v>1163</v>
      </c>
      <c r="N18" s="807" t="str">
        <f>IF($I$3="Upside","Selected","Scenario")</f>
        <v>Scenario</v>
      </c>
      <c r="O18" s="765"/>
      <c r="P18" s="765"/>
      <c r="Q18" s="765"/>
      <c r="R18" s="765"/>
      <c r="S18" s="765"/>
    </row>
    <row r="19" ht="22" customHeight="1">
      <c r="A19" s="801" t="s">
        <v>1166</v>
      </c>
      <c r="B19" s="801"/>
      <c r="C19" s="801"/>
      <c r="D19" s="801"/>
      <c r="E19" s="802" t="n">
        <f>'VALUATION &amp; RETURNS'!$D$19</f>
        <v>418.7585512846001</v>
      </c>
      <c r="F19" s="803"/>
      <c r="G19" s="802" t="n">
        <f>INDEX('VALUATION &amp; RETURNS'!$H$26:$H$33,MATCH($C$3,'VALUATION &amp; RETURNS'!$B$26:$B$33,0))*'VALUATION &amp; RETURNS'!$H$19</f>
        <v>10.000000000000025</v>
      </c>
      <c r="H19" s="803"/>
      <c r="I19" s="804" t="n">
        <f>G19-$A$9</f>
        <v>2.4868995751603507e-14</v>
      </c>
      <c r="J19" s="803"/>
      <c r="K19" s="805" t="n">
        <f>IF($A$9=0,0,G19/$A$9)</f>
        <v>1.0000000000000024</v>
      </c>
      <c r="L19" s="806" t="n">
        <f>IF(AND(COUNTIF($Q19:$S19,"&lt;0")&gt;0,COUNTIF($Q19:$S19,"&gt;0")&gt;0),XIRR($Q19:$S19,$Q$15:$S$15),"N/M")</f>
        <v>4.673777961505163e-16</v>
      </c>
      <c r="M19" s="807" t="s">
        <v>1167</v>
      </c>
      <c r="N19" s="807" t="s">
        <v>1168</v>
      </c>
      <c r="O19" s="765"/>
      <c r="P19" s="765"/>
      <c r="Q19" s="765" t="n">
        <f>-SUM(INDEX('VALUATION &amp; RETURNS'!$D$26:$D$33,MATCH($C$3,'VALUATION &amp; RETURNS'!$B$26:$B$33,0)),INDEX('VALUATION &amp; RETURNS'!$E$26:$E$33,MATCH($C$3,'VALUATION &amp; RETURNS'!$B$26:$B$33,0)))</f>
        <v>-10</v>
      </c>
      <c r="R19" s="765" t="n">
        <f>-INDEX('VALUATION &amp; RETURNS'!$F$26:$F$33,MATCH($C$3,'VALUATION &amp; RETURNS'!$B$26:$B$33,0))</f>
        <v>0</v>
      </c>
      <c r="S19" s="808" t="n">
        <f>G19</f>
        <v>10.000000000000025</v>
      </c>
    </row>
    <row r="20" ht="22" customHeight="1">
      <c r="A20" s="809" t="s">
        <v>1169</v>
      </c>
      <c r="B20" s="809"/>
      <c r="C20" s="809"/>
      <c r="D20" s="809"/>
      <c r="E20" s="810" t="n">
        <f>'VALUATION &amp; RETURNS'!$DA$12</f>
        <v>331.7639822450195</v>
      </c>
      <c r="F20" s="811"/>
      <c r="G20" s="810" t="n">
        <f>MAX(0,($E20*(1-Underwriting!$I$163)-Underwriting!$I$75/1000000))*INDEX('VALUATION &amp; RETURNS'!$H$26:$H$33,MATCH($C$3,'VALUATION &amp; RETURNS'!$B$26:$B$33,0))</f>
        <v>5.449111630994414</v>
      </c>
      <c r="H20" s="811"/>
      <c r="I20" s="812" t="n">
        <f>G20-$A$9</f>
        <v>-4.550888369005586</v>
      </c>
      <c r="J20" s="811"/>
      <c r="K20" s="813" t="n">
        <f>IF($A$9=0,0,G20/$A$9)</f>
        <v>0.5449111630994414</v>
      </c>
      <c r="L20" s="814" t="n">
        <f>IF(AND(COUNTIF($Q20:$S20,"&lt;0")&gt;0,COUNTIF($Q20:$S20,"&gt;0")&gt;0),XIRR($Q20:$S20,$Q$15:$S$15),"N/M")</f>
        <v>-0.11428495663056287</v>
      </c>
      <c r="M20" s="815" t="s">
        <v>1163</v>
      </c>
      <c r="N20" s="815" t="s">
        <v>1168</v>
      </c>
      <c r="O20" s="765"/>
      <c r="P20" s="765"/>
      <c r="Q20" s="765" t="n">
        <f>-SUM(INDEX('VALUATION &amp; RETURNS'!$D$26:$D$33,MATCH($C$3,'VALUATION &amp; RETURNS'!$B$26:$B$33,0)),INDEX('VALUATION &amp; RETURNS'!$E$26:$E$33,MATCH($C$3,'VALUATION &amp; RETURNS'!$B$26:$B$33,0)))</f>
        <v>-10</v>
      </c>
      <c r="R20" s="765" t="n">
        <f>-INDEX('VALUATION &amp; RETURNS'!$F$26:$F$33,MATCH($C$3,'VALUATION &amp; RETURNS'!$B$26:$B$33,0))</f>
        <v>0</v>
      </c>
      <c r="S20" s="808" t="n">
        <f>G20</f>
        <v>5.449111630994414</v>
      </c>
    </row>
    <row r="21">
      <c r="A21" s="780"/>
      <c r="B21" s="780"/>
      <c r="C21" s="780"/>
      <c r="D21" s="780"/>
      <c r="E21" s="780"/>
      <c r="F21" s="780"/>
      <c r="G21" s="780"/>
      <c r="H21" s="780"/>
      <c r="I21" s="780"/>
      <c r="J21" s="780"/>
      <c r="K21" s="780"/>
      <c r="L21" s="780"/>
      <c r="M21" s="780"/>
      <c r="N21" s="780"/>
      <c r="O21" s="765"/>
      <c r="P21" s="765"/>
      <c r="Q21" s="765"/>
      <c r="R21" s="765"/>
      <c r="S21" s="765"/>
    </row>
    <row r="22">
      <c r="A22" s="574"/>
      <c r="B22" s="574"/>
      <c r="C22" s="574"/>
      <c r="D22" s="574"/>
      <c r="E22" s="574"/>
      <c r="F22" s="574"/>
      <c r="G22" s="574"/>
      <c r="H22" s="574"/>
      <c r="I22" s="714" t="str">
        <f>"The selected "&amp;LOWER($I$3)&amp;" case values "&amp;$C$3&amp;" at A$"&amp;TEXT($J$9,"0.00")&amp;"m. The linked cross-checks produce a range of A$"&amp;TEXT(MIN($G$16:$G$20),"0.00")&amp;"m to A$"&amp;TEXT(MAX($G$16:$G$20),"0.00")&amp;"m. Methods are compared at a common valuation date and must not be added together. Returns are gross, pre-tax and before fees, carry and investor-specific tax consequences. Model status: "&amp;$I$4&amp;"."</f>
        <v>The selected base case values David Gifford at A$22.00m. The linked cross-checks produce a range of A$5.45m to A$24.61m. Methods are compared at a common valuation date and must not be added together. Returns are gross, pre-tax and before fees, carry and investor-specific tax consequences. Model status: TECHNICALLY RECONCILED — OWNER DECISIONS OUTSTANDING.</v>
      </c>
      <c r="J22" s="715"/>
      <c r="K22" s="715"/>
      <c r="L22" s="715"/>
      <c r="M22" s="715"/>
      <c r="N22" s="716"/>
      <c r="O22" s="919"/>
      <c r="P22" s="919"/>
      <c r="Q22" s="919"/>
      <c r="R22" s="919"/>
      <c r="S22" s="919"/>
    </row>
    <row r="23">
      <c r="A23" s="780"/>
      <c r="B23" s="780"/>
      <c r="C23" s="780"/>
      <c r="D23" s="780"/>
      <c r="E23" s="780"/>
      <c r="F23" s="780"/>
      <c r="G23" s="780"/>
      <c r="H23" s="780"/>
      <c r="I23" s="819"/>
      <c r="J23" s="820"/>
      <c r="K23" s="820"/>
      <c r="L23" s="820"/>
      <c r="M23" s="820"/>
      <c r="N23" s="821"/>
      <c r="O23" s="765"/>
      <c r="P23" s="765"/>
      <c r="Q23" s="765"/>
      <c r="R23" s="765"/>
      <c r="S23" s="765"/>
    </row>
    <row r="24">
      <c r="A24" s="780"/>
      <c r="B24" s="780"/>
      <c r="C24" s="780"/>
      <c r="D24" s="780"/>
      <c r="E24" s="780"/>
      <c r="F24" s="780"/>
      <c r="G24" s="780"/>
      <c r="H24" s="780"/>
      <c r="I24" s="819"/>
      <c r="J24" s="820"/>
      <c r="K24" s="820"/>
      <c r="L24" s="820"/>
      <c r="M24" s="820"/>
      <c r="N24" s="821"/>
      <c r="O24" s="765"/>
      <c r="P24" s="765"/>
      <c r="Q24" s="765"/>
      <c r="R24" s="765"/>
      <c r="S24" s="765"/>
    </row>
    <row r="25">
      <c r="A25" s="780"/>
      <c r="B25" s="780"/>
      <c r="C25" s="780"/>
      <c r="D25" s="780"/>
      <c r="E25" s="780"/>
      <c r="F25" s="780"/>
      <c r="G25" s="780"/>
      <c r="H25" s="780"/>
      <c r="I25" s="819"/>
      <c r="J25" s="820"/>
      <c r="K25" s="820"/>
      <c r="L25" s="820"/>
      <c r="M25" s="820"/>
      <c r="N25" s="821"/>
      <c r="O25" s="765"/>
      <c r="P25" s="765"/>
      <c r="Q25" s="765"/>
      <c r="R25" s="765"/>
      <c r="S25" s="765"/>
    </row>
    <row r="26">
      <c r="A26" s="780"/>
      <c r="B26" s="780"/>
      <c r="C26" s="780"/>
      <c r="D26" s="780"/>
      <c r="E26" s="780"/>
      <c r="F26" s="780"/>
      <c r="G26" s="780"/>
      <c r="H26" s="780"/>
      <c r="I26" s="819"/>
      <c r="J26" s="820"/>
      <c r="K26" s="820"/>
      <c r="L26" s="820"/>
      <c r="M26" s="820"/>
      <c r="N26" s="821"/>
      <c r="O26" s="765"/>
      <c r="P26" s="765"/>
      <c r="Q26" s="765"/>
      <c r="R26" s="765"/>
      <c r="S26" s="765"/>
    </row>
    <row r="27">
      <c r="A27" s="780"/>
      <c r="B27" s="780"/>
      <c r="C27" s="780"/>
      <c r="D27" s="780"/>
      <c r="E27" s="780"/>
      <c r="F27" s="780"/>
      <c r="G27" s="780"/>
      <c r="H27" s="780"/>
      <c r="I27" s="819"/>
      <c r="J27" s="820"/>
      <c r="K27" s="820"/>
      <c r="L27" s="820"/>
      <c r="M27" s="820"/>
      <c r="N27" s="821"/>
      <c r="O27" s="765"/>
      <c r="P27" s="765"/>
      <c r="Q27" s="765"/>
      <c r="R27" s="765"/>
      <c r="S27" s="765"/>
    </row>
    <row r="28">
      <c r="A28" s="780"/>
      <c r="B28" s="780"/>
      <c r="C28" s="780"/>
      <c r="D28" s="780"/>
      <c r="E28" s="780"/>
      <c r="F28" s="780"/>
      <c r="G28" s="780"/>
      <c r="H28" s="780"/>
      <c r="I28" s="819"/>
      <c r="J28" s="820"/>
      <c r="K28" s="820"/>
      <c r="L28" s="820"/>
      <c r="M28" s="820"/>
      <c r="N28" s="821"/>
      <c r="O28" s="765"/>
      <c r="P28" s="765"/>
      <c r="Q28" s="765"/>
      <c r="R28" s="765"/>
      <c r="S28" s="765"/>
    </row>
    <row r="29">
      <c r="A29" s="780"/>
      <c r="B29" s="780"/>
      <c r="C29" s="780"/>
      <c r="D29" s="780"/>
      <c r="E29" s="780"/>
      <c r="F29" s="780"/>
      <c r="G29" s="780"/>
      <c r="H29" s="780"/>
      <c r="I29" s="819"/>
      <c r="J29" s="820"/>
      <c r="K29" s="820"/>
      <c r="L29" s="820"/>
      <c r="M29" s="820"/>
      <c r="N29" s="821"/>
      <c r="O29" s="765"/>
      <c r="P29" s="765"/>
      <c r="Q29" s="765"/>
      <c r="R29" s="765"/>
      <c r="S29" s="765"/>
    </row>
    <row r="30">
      <c r="A30" s="780"/>
      <c r="B30" s="780"/>
      <c r="C30" s="780"/>
      <c r="D30" s="780"/>
      <c r="E30" s="780"/>
      <c r="F30" s="780"/>
      <c r="G30" s="780"/>
      <c r="H30" s="780"/>
      <c r="I30" s="819"/>
      <c r="J30" s="820"/>
      <c r="K30" s="820"/>
      <c r="L30" s="820"/>
      <c r="M30" s="820"/>
      <c r="N30" s="821"/>
      <c r="O30" s="765"/>
      <c r="P30" s="765"/>
      <c r="Q30" s="765"/>
      <c r="R30" s="765"/>
      <c r="S30" s="765"/>
    </row>
    <row r="31">
      <c r="A31" s="780"/>
      <c r="B31" s="780"/>
      <c r="C31" s="780"/>
      <c r="D31" s="780"/>
      <c r="E31" s="780"/>
      <c r="F31" s="780"/>
      <c r="G31" s="780"/>
      <c r="H31" s="780"/>
      <c r="I31" s="819"/>
      <c r="J31" s="820"/>
      <c r="K31" s="820"/>
      <c r="L31" s="820"/>
      <c r="M31" s="820"/>
      <c r="N31" s="821"/>
      <c r="O31" s="765"/>
      <c r="P31" s="765"/>
      <c r="Q31" s="765"/>
      <c r="R31" s="765"/>
      <c r="S31" s="765"/>
    </row>
    <row r="32">
      <c r="A32" s="780"/>
      <c r="B32" s="780"/>
      <c r="C32" s="780"/>
      <c r="D32" s="780"/>
      <c r="E32" s="780"/>
      <c r="F32" s="780"/>
      <c r="G32" s="780"/>
      <c r="H32" s="780"/>
      <c r="I32" s="819"/>
      <c r="J32" s="820"/>
      <c r="K32" s="820"/>
      <c r="L32" s="820"/>
      <c r="M32" s="820"/>
      <c r="N32" s="821"/>
      <c r="O32" s="765"/>
      <c r="P32" s="765"/>
      <c r="Q32" s="765"/>
      <c r="R32" s="765"/>
      <c r="S32" s="765"/>
    </row>
    <row r="33">
      <c r="A33" s="780"/>
      <c r="B33" s="780"/>
      <c r="C33" s="780"/>
      <c r="D33" s="780"/>
      <c r="E33" s="780"/>
      <c r="F33" s="780"/>
      <c r="G33" s="780"/>
      <c r="H33" s="780"/>
      <c r="I33" s="819"/>
      <c r="J33" s="820"/>
      <c r="K33" s="820"/>
      <c r="L33" s="820"/>
      <c r="M33" s="820"/>
      <c r="N33" s="821"/>
      <c r="O33" s="765"/>
      <c r="P33" s="765"/>
      <c r="Q33" s="765"/>
      <c r="R33" s="765"/>
      <c r="S33" s="765"/>
    </row>
    <row r="34">
      <c r="A34" s="780"/>
      <c r="B34" s="780"/>
      <c r="C34" s="780"/>
      <c r="D34" s="780"/>
      <c r="E34" s="780"/>
      <c r="F34" s="780"/>
      <c r="G34" s="780"/>
      <c r="H34" s="780"/>
      <c r="I34" s="822"/>
      <c r="J34" s="823"/>
      <c r="K34" s="823"/>
      <c r="L34" s="823"/>
      <c r="M34" s="823"/>
      <c r="N34" s="824"/>
      <c r="O34" s="765"/>
      <c r="P34" s="765"/>
      <c r="Q34" s="765"/>
      <c r="R34" s="765"/>
      <c r="S34" s="765"/>
    </row>
    <row r="35">
      <c r="A35" s="780"/>
      <c r="B35" s="780"/>
      <c r="C35" s="780"/>
      <c r="D35" s="780"/>
      <c r="E35" s="780"/>
      <c r="F35" s="780"/>
      <c r="G35" s="780"/>
      <c r="H35" s="780"/>
      <c r="I35" s="780"/>
      <c r="J35" s="780"/>
      <c r="K35" s="780"/>
      <c r="L35" s="780"/>
      <c r="M35" s="780"/>
      <c r="N35" s="780"/>
      <c r="O35" s="765"/>
      <c r="P35" s="765"/>
      <c r="Q35" s="765"/>
      <c r="R35" s="765"/>
      <c r="S35" s="765"/>
    </row>
    <row r="36" ht="24" customHeight="1">
      <c r="A36" s="779" t="s">
        <v>1170</v>
      </c>
      <c r="B36" s="779"/>
      <c r="C36" s="779"/>
      <c r="D36" s="779"/>
      <c r="E36" s="779"/>
      <c r="F36" s="779"/>
      <c r="G36" s="779"/>
      <c r="H36" s="779"/>
      <c r="I36" s="779"/>
      <c r="J36" s="779"/>
      <c r="K36" s="779"/>
      <c r="L36" s="779"/>
      <c r="M36" s="779"/>
      <c r="N36" s="779"/>
      <c r="O36" s="765"/>
      <c r="P36" s="765"/>
      <c r="Q36" s="765"/>
      <c r="R36" s="765"/>
      <c r="S36" s="765"/>
    </row>
    <row r="37">
      <c r="A37" s="780"/>
      <c r="B37" s="780"/>
      <c r="C37" s="780"/>
      <c r="D37" s="780"/>
      <c r="E37" s="780"/>
      <c r="F37" s="780"/>
      <c r="G37" s="780"/>
      <c r="H37" s="780"/>
      <c r="I37" s="780"/>
      <c r="J37" s="780"/>
      <c r="K37" s="780"/>
      <c r="L37" s="780"/>
      <c r="M37" s="780"/>
      <c r="N37" s="780"/>
      <c r="O37" s="765"/>
      <c r="P37" s="765"/>
      <c r="Q37" s="765"/>
      <c r="R37" s="765"/>
      <c r="S37" s="765"/>
    </row>
    <row r="38" ht="28" customHeight="1">
      <c r="A38" s="792" t="s">
        <v>1171</v>
      </c>
      <c r="B38" s="792"/>
      <c r="C38" s="792"/>
      <c r="D38" s="792" t="s">
        <v>1126</v>
      </c>
      <c r="E38" s="792"/>
      <c r="F38" s="792" t="s">
        <v>1172</v>
      </c>
      <c r="G38" s="792"/>
      <c r="H38" s="792" t="s">
        <v>1173</v>
      </c>
      <c r="I38" s="792"/>
      <c r="J38" s="792" t="s">
        <v>1174</v>
      </c>
      <c r="K38" s="792"/>
      <c r="L38" s="793" t="s">
        <v>833</v>
      </c>
      <c r="M38" s="793" t="s">
        <v>1175</v>
      </c>
      <c r="N38" s="793" t="s">
        <v>976</v>
      </c>
      <c r="O38" s="765"/>
      <c r="P38" s="765"/>
      <c r="Q38" s="765"/>
      <c r="R38" s="765"/>
      <c r="S38" s="765"/>
    </row>
    <row r="39" ht="22" customHeight="1">
      <c r="A39" s="801" t="s">
        <v>1176</v>
      </c>
      <c r="B39" s="801"/>
      <c r="C39" s="801"/>
      <c r="D39" s="825" t="n">
        <f>'VALUATION &amp; RETURNS'!$C$43</f>
        <v>46204</v>
      </c>
      <c r="E39" s="826"/>
      <c r="F39" s="802" t="n">
        <f>'VALUATION &amp; RETURNS'!$DA$9</f>
        <v>223.60652151036874</v>
      </c>
      <c r="G39" s="803"/>
      <c r="H39" s="802" t="n">
        <f>SUM(INDEX(DEBT!$F$92:$DV$92,1,MATCH($D39,DEBT!$F$64:$DV$64,1)),INDEX(DEBT!$F$110:$DV$110,1,MATCH($D39,DEBT!$F$64:$DV$64,1)),INDEX(DEBT!$F$128:$DV$128,1,MATCH($D39,DEBT!$F$64:$DV$64,1)))/1000000</f>
        <v>0.09906045751633986</v>
      </c>
      <c r="I39" s="803"/>
      <c r="J39" s="804" t="n">
        <f t="shared" ref="J39:J42" si="0">MAX(0,F39-H39)</f>
        <v>223.5074610528524</v>
      </c>
      <c r="K39" s="803"/>
      <c r="L39" s="806" t="n">
        <f>IF(SUM('VALUATION &amp; RETURNS'!$D$26:$D$33)=0,0,INDEX('VALUATION &amp; RETURNS'!$D$26:$D$33,MATCH($C$3,'VALUATION &amp; RETURNS'!$B$26:$B$33,0))/SUM('VALUATION &amp; RETURNS'!$D$26:$D$33))</f>
        <v>0.04860510225047394</v>
      </c>
      <c r="M39" s="827" t="n">
        <f t="shared" ref="M39:M42" si="1">J39*L39</f>
        <v>10.863602998217711</v>
      </c>
      <c r="N39" s="805" t="n">
        <f t="shared" ref="N39:N41" si="2">IF($A$9=0,0,M39/$A$9)</f>
        <v>1.0863602998217712</v>
      </c>
      <c r="O39" s="765"/>
      <c r="P39" s="765"/>
      <c r="Q39" s="765"/>
      <c r="R39" s="765"/>
      <c r="S39" s="765"/>
    </row>
    <row r="40" ht="22" customHeight="1">
      <c r="A40" s="801" t="s">
        <v>1177</v>
      </c>
      <c r="B40" s="801"/>
      <c r="C40" s="801"/>
      <c r="D40" s="825" t="n">
        <f>Underwriting!$E$13</f>
        <v>46204</v>
      </c>
      <c r="E40" s="826"/>
      <c r="F40" s="802" t="n">
        <f>'VALUATION &amp; RETURNS'!$DA$9</f>
        <v>223.60652151036874</v>
      </c>
      <c r="G40" s="803"/>
      <c r="H40" s="802" t="n">
        <f>SUM(INDEX(DEBT!$F$92:$DV$92,1,MATCH($D40,DEBT!$F$64:$DV$64,1)),INDEX(DEBT!$F$110:$DV$110,1,MATCH($D40,DEBT!$F$64:$DV$64,1)),INDEX(DEBT!$F$128:$DV$128,1,MATCH($D40,DEBT!$F$64:$DV$64,1)))/1000000</f>
        <v>0.09906045751633986</v>
      </c>
      <c r="I40" s="803"/>
      <c r="J40" s="804">
        <f t="shared" si="0"/>
        <v>223.50746105285239</v>
      </c>
      <c r="K40" s="803"/>
      <c r="L40" s="806" t="n">
        <f>IF(SUM('VALUATION &amp; RETURNS'!$D$26:$D$33)=0,0,INDEX('VALUATION &amp; RETURNS'!$D$26:$D$33,MATCH($C$3,'VALUATION &amp; RETURNS'!$B$26:$B$33,0))/SUM('VALUATION &amp; RETURNS'!$D$26:$D$33))</f>
        <v>0.04860510225047394</v>
      </c>
      <c r="M40" s="827">
        <f t="shared" si="1"/>
        <v>10.863602998217734</v>
      </c>
      <c r="N40" s="805">
        <f t="shared" si="2"/>
        <v>1.0863602998217734</v>
      </c>
      <c r="O40" s="765"/>
      <c r="P40" s="765"/>
      <c r="Q40" s="765"/>
      <c r="R40" s="765"/>
      <c r="S40" s="765"/>
    </row>
    <row r="41" ht="22" customHeight="1">
      <c r="A41" s="801" t="s">
        <v>1178</v>
      </c>
      <c r="B41" s="801"/>
      <c r="C41" s="801"/>
      <c r="D41" s="825" t="n">
        <f>DEBT!$B$18</f>
        <v>47299</v>
      </c>
      <c r="E41" s="826"/>
      <c r="F41" s="802" t="n">
        <f>'VALUATION &amp; RETURNS'!$DA$8</f>
        <v>679.6470279122068</v>
      </c>
      <c r="G41" s="803"/>
      <c r="H41" s="802" t="n">
        <f>SUM(INDEX(DEBT!$F$92:$DV$92,1,MATCH($D41,DEBT!$F$64:$DV$64,1)),INDEX(DEBT!$F$110:$DV$110,1,MATCH($D41,DEBT!$F$64:$DV$64,1)),INDEX(DEBT!$F$128:$DV$128,1,MATCH($D41,DEBT!$F$64:$DV$64,1)))/1000000</f>
        <v>209.36565023643186</v>
      </c>
      <c r="I41" s="803"/>
      <c r="J41" s="804">
        <f t="shared" si="0"/>
        <v>470.28137767577493</v>
      </c>
      <c r="K41" s="803"/>
      <c r="L41" s="806" t="n">
        <f>INDEX('VALUATION &amp; RETURNS'!$H$26:$H$33,MATCH($C$3,'VALUATION &amp; RETURNS'!$B$26:$B$33,0))</f>
        <v>0.04860510225047404</v>
      </c>
      <c r="M41" s="827">
        <f t="shared" si="1"/>
        <v>22.858074448424841</v>
      </c>
      <c r="N41" s="805">
        <f t="shared" si="2"/>
        <v>2.2858074448424839</v>
      </c>
      <c r="O41" s="765"/>
      <c r="P41" s="765"/>
      <c r="Q41" s="765"/>
      <c r="R41" s="765"/>
      <c r="S41" s="765"/>
    </row>
    <row r="42" ht="22" customHeight="1">
      <c r="A42" s="801" t="s">
        <v>1179</v>
      </c>
      <c r="B42" s="801"/>
      <c r="C42" s="801"/>
      <c r="D42" s="825" t="n">
        <f>'Financial Statements'!$L$6</f>
        <v>48029</v>
      </c>
      <c r="E42" s="826"/>
      <c r="F42" s="802" t="n">
        <f>'VALUATION &amp; RETURNS'!$D$21</f>
        <v>679.6470279122067</v>
      </c>
      <c r="G42" s="803"/>
      <c r="H42" s="802" t="n">
        <f>SUM(INDEX(DEBT!$F$92:$DV$92,1,MATCH($D42,DEBT!$F$64:$DV$64,1)),INDEX(DEBT!$F$110:$DV$110,1,MATCH($D42,DEBT!$F$64:$DV$64,1)),INDEX(DEBT!$F$128:$DV$128,1,MATCH($D42,DEBT!$F$64:$DV$64,1)))/1000000</f>
        <v>192.4791117946737</v>
      </c>
      <c r="I42" s="803"/>
      <c r="J42" s="804">
        <f t="shared" si="0"/>
        <v>487.16791611753297</v>
      </c>
      <c r="K42" s="803"/>
      <c r="L42" s="806" t="n">
        <f>INDEX('VALUATION &amp; RETURNS'!$H$26:$H$33,MATCH($C$3,'VALUATION &amp; RETURNS'!$B$26:$B$33,0))</f>
        <v>0.04860510225047404</v>
      </c>
      <c r="M42" s="827">
        <f t="shared" si="1"/>
        <v>23.678846376043051</v>
      </c>
      <c r="N42" s="805" t="n">
        <f>IF(AND(ISNUMBER($A$9),$A$9&lt;&gt;0),M42/$A$9,0)</f>
        <v>2.367884637604305</v>
      </c>
      <c r="O42" s="765"/>
      <c r="P42" s="765"/>
      <c r="Q42" s="765"/>
      <c r="R42" s="765"/>
      <c r="S42" s="765"/>
    </row>
    <row r="43" ht="22" customHeight="1">
      <c r="A43" s="828" t="s">
        <v>1180</v>
      </c>
      <c r="B43" s="828"/>
      <c r="C43" s="828"/>
      <c r="D43" s="829" t="n">
        <f>'VALUATION &amp; RETURNS'!$C$45</f>
        <v>48030</v>
      </c>
      <c r="E43" s="830"/>
      <c r="F43" s="831" t="n">
        <f>INDEX('VALUATION &amp; RETURNS'!$CU$75:$CU$77,MATCH($I$3,'VALUATION &amp; RETURNS'!$CQ$75:$CQ$77,0))</f>
        <v>679.6470279122067</v>
      </c>
      <c r="G43" s="832"/>
      <c r="H43" s="831" t="n">
        <f>SUM(INDEX(DEBT!$F$92:$DV$92,1,MATCH($D43,DEBT!$F$64:$DV$64,1)),INDEX(DEBT!$F$110:$DV$110,1,MATCH($D43,DEBT!$F$64:$DV$64,1)),INDEX(DEBT!$F$128:$DV$128,1,MATCH($D43,DEBT!$F$64:$DV$64,1)))/1000000</f>
        <v>192.4791117946737</v>
      </c>
      <c r="I43" s="832"/>
      <c r="J43" s="833" t="n">
        <f>INDEX('VALUATION &amp; RETURNS'!$CW$75:$CW$77,MATCH($I$3,'VALUATION &amp; RETURNS'!$CQ$75:$CQ$77,0))</f>
        <v>453.0352534444554</v>
      </c>
      <c r="K43" s="832"/>
      <c r="L43" s="834" t="n">
        <f>INDEX('VALUATION &amp; RETURNS'!$CU$62:$CU$69,MATCH($C$3,'VALUATION &amp; RETURNS'!$CQ$62:$CQ$69,0))</f>
        <v>0.04860510225047404</v>
      </c>
      <c r="M43" s="835" t="n">
        <f>INDEX('VALUATION &amp; RETURNS'!$CX$62:$CX$69,MATCH($C$3,'VALUATION &amp; RETURNS'!$CQ$62:$CQ$69,0))</f>
        <v>22.000204914314725</v>
      </c>
      <c r="N43" s="836" t="n">
        <f>INDEX('VALUATION &amp; RETURNS'!$DC$62:$DC$69,MATCH($C$3,'VALUATION &amp; RETURNS'!$CQ$62:$CQ$69,0))</f>
        <v>2.2000204914314727</v>
      </c>
      <c r="O43" s="765"/>
      <c r="P43" s="765"/>
      <c r="Q43" s="765"/>
      <c r="R43" s="765"/>
      <c r="S43" s="765"/>
    </row>
    <row r="44" ht="22" customHeight="1">
      <c r="A44" s="801" t="s">
        <v>1181</v>
      </c>
      <c r="B44" s="801"/>
      <c r="C44" s="801"/>
      <c r="D44" s="825" t="n">
        <f>DEBT!$K$21</f>
        <v>48060</v>
      </c>
      <c r="E44" s="826"/>
      <c r="F44" s="802" t="n">
        <f>F43</f>
        <v>679.6470279122067</v>
      </c>
      <c r="G44" s="803"/>
      <c r="H44" s="802" t="n">
        <f>SUM(INDEX(DEBT!$F$92:$DV$92,1,MATCH($D44,DEBT!$F$64:$DV$64,1)),INDEX(DEBT!$F$110:$DV$110,1,MATCH($D44,DEBT!$F$64:$DV$64,1)),INDEX(DEBT!$F$128:$DV$128,1,MATCH($D44,DEBT!$F$64:$DV$64,1)))/1000000</f>
        <v>0.9766040073657166</v>
      </c>
      <c r="I44" s="803"/>
      <c r="J44" s="804" t="n">
        <f>MAX(0,F44-H44)</f>
        <v>678.670423904841</v>
      </c>
      <c r="K44" s="803"/>
      <c r="L44" s="806" t="n">
        <f>L43</f>
        <v>0.04860510225047404</v>
      </c>
      <c r="M44" s="827" t="n">
        <f>J44*L44</f>
        <v>32.98684534826736</v>
      </c>
      <c r="N44" s="805" t="n">
        <f>IF($A$9=0,0,M44/$A$9)</f>
        <v>3.298684534826736</v>
      </c>
      <c r="O44" s="765"/>
      <c r="P44" s="765"/>
      <c r="Q44" s="765"/>
      <c r="R44" s="765"/>
      <c r="S44" s="765"/>
    </row>
    <row r="45">
      <c r="A45" s="837" t="s">
        <v>1182</v>
      </c>
      <c r="B45" s="837"/>
      <c r="C45" s="837"/>
      <c r="D45" s="837"/>
      <c r="E45" s="837"/>
      <c r="F45" s="837"/>
      <c r="G45" s="837"/>
      <c r="H45" s="837"/>
      <c r="I45" s="837"/>
      <c r="J45" s="837"/>
      <c r="K45" s="837"/>
      <c r="L45" s="837"/>
      <c r="M45" s="837"/>
      <c r="N45" s="837"/>
      <c r="O45" s="765"/>
      <c r="P45" s="765"/>
      <c r="Q45" s="765"/>
      <c r="R45" s="765"/>
      <c r="S45" s="765"/>
    </row>
    <row r="46">
      <c r="A46" s="780"/>
      <c r="B46" s="780"/>
      <c r="C46" s="780"/>
      <c r="D46" s="780"/>
      <c r="E46" s="780"/>
      <c r="F46" s="780"/>
      <c r="G46" s="780"/>
      <c r="H46" s="780"/>
      <c r="I46" s="780"/>
      <c r="J46" s="780"/>
      <c r="K46" s="780"/>
      <c r="L46" s="780"/>
      <c r="M46" s="780"/>
      <c r="N46" s="780"/>
      <c r="O46" s="765"/>
      <c r="P46" s="765"/>
      <c r="Q46" s="765"/>
      <c r="R46" s="765"/>
      <c r="S46" s="765"/>
    </row>
    <row r="47" ht="24" customHeight="1">
      <c r="A47" s="764" t="s">
        <v>1183</v>
      </c>
      <c r="B47" s="764"/>
      <c r="C47" s="764"/>
      <c r="D47" s="764"/>
      <c r="E47" s="764"/>
      <c r="F47" s="764"/>
      <c r="G47" s="764"/>
      <c r="H47" s="764"/>
      <c r="I47" s="764"/>
      <c r="J47" s="764"/>
      <c r="K47" s="764"/>
      <c r="L47" s="764"/>
      <c r="M47" s="764"/>
      <c r="N47" s="764"/>
      <c r="O47" s="765"/>
      <c r="P47" s="765"/>
      <c r="Q47" s="765"/>
      <c r="R47" s="765"/>
      <c r="S47" s="765"/>
    </row>
    <row r="48">
      <c r="A48" s="838" t="str">
        <f>"The Bend project return for "&amp;$C$3&amp;" is shown separately from unquantified IPO and multi-site optionality."</f>
        <v>The Bend project return for David Gifford is shown separately from unquantified IPO and multi-site optionality.</v>
      </c>
      <c r="B48" s="767"/>
      <c r="C48" s="767"/>
      <c r="D48" s="767"/>
      <c r="E48" s="767"/>
      <c r="F48" s="767"/>
      <c r="G48" s="767"/>
      <c r="H48" s="767"/>
      <c r="I48" s="767"/>
      <c r="J48" s="767"/>
      <c r="K48" s="767"/>
      <c r="L48" s="767"/>
      <c r="M48" s="767"/>
      <c r="N48" s="767"/>
      <c r="O48" s="765"/>
      <c r="P48" s="765"/>
      <c r="Q48" s="765"/>
      <c r="R48" s="765"/>
      <c r="S48" s="765"/>
    </row>
    <row r="49">
      <c r="A49" s="780"/>
      <c r="B49" s="780"/>
      <c r="C49" s="780"/>
      <c r="D49" s="780"/>
      <c r="E49" s="780"/>
      <c r="F49" s="780"/>
      <c r="G49" s="780"/>
      <c r="H49" s="780"/>
      <c r="I49" s="780"/>
      <c r="J49" s="780"/>
      <c r="K49" s="780"/>
      <c r="L49" s="780"/>
      <c r="M49" s="780"/>
      <c r="N49" s="780"/>
      <c r="O49" s="765"/>
      <c r="P49" s="765"/>
      <c r="Q49" s="765"/>
      <c r="R49" s="765"/>
      <c r="S49" s="765"/>
    </row>
    <row r="50" ht="24" customHeight="1">
      <c r="A50" s="779" t="s">
        <v>1184</v>
      </c>
      <c r="B50" s="779"/>
      <c r="C50" s="779"/>
      <c r="D50" s="779"/>
      <c r="E50" s="779"/>
      <c r="F50" s="779"/>
      <c r="G50" s="779"/>
      <c r="H50" s="779"/>
      <c r="I50" s="779"/>
      <c r="J50" s="779"/>
      <c r="K50" s="779"/>
      <c r="L50" s="779"/>
      <c r="M50" s="779"/>
      <c r="N50" s="779"/>
      <c r="O50" s="765"/>
      <c r="P50" s="765"/>
      <c r="Q50" s="765"/>
      <c r="R50" s="765"/>
      <c r="S50" s="765"/>
    </row>
    <row r="51" ht="28" customHeight="1">
      <c r="A51" s="792" t="s">
        <v>1185</v>
      </c>
      <c r="B51" s="792"/>
      <c r="C51" s="792"/>
      <c r="D51" s="792" t="s">
        <v>1186</v>
      </c>
      <c r="E51" s="792"/>
      <c r="F51" s="792" t="s">
        <v>1187</v>
      </c>
      <c r="G51" s="792"/>
      <c r="H51" s="792" t="s">
        <v>1188</v>
      </c>
      <c r="I51" s="792"/>
      <c r="J51" s="792" t="s">
        <v>1175</v>
      </c>
      <c r="K51" s="792"/>
      <c r="L51" s="792" t="s">
        <v>996</v>
      </c>
      <c r="M51" s="792"/>
      <c r="N51" s="792"/>
      <c r="O51" s="765"/>
      <c r="P51" s="765"/>
      <c r="Q51" s="765"/>
      <c r="R51" s="765"/>
      <c r="S51" s="765"/>
    </row>
    <row r="52" ht="23" customHeight="1">
      <c r="A52" s="801" t="s">
        <v>1189</v>
      </c>
      <c r="B52" s="801"/>
      <c r="C52" s="801"/>
      <c r="D52" s="839" t="n">
        <f>Underwriting!$E$13</f>
        <v>46204</v>
      </c>
      <c r="E52" s="801"/>
      <c r="F52" s="802" t="n">
        <f>Underwriting!$I$31/1000000</f>
        <v>87.32</v>
      </c>
      <c r="G52" s="803"/>
      <c r="H52" s="840" t="n">
        <f>IF(PROJECTS!$AP$19=0,0,F52*1000000/PROJECTS!$AP$19)</f>
        <v>2538.3720930232557</v>
      </c>
      <c r="I52" s="841"/>
      <c r="J52" s="804" t="n">
        <f>M39</f>
        <v>10.863602998217711</v>
      </c>
      <c r="K52" s="803"/>
      <c r="L52" s="801" t="s">
        <v>1190</v>
      </c>
      <c r="M52" s="801"/>
      <c r="N52" s="801"/>
      <c r="O52" s="765"/>
      <c r="P52" s="765"/>
      <c r="Q52" s="765"/>
      <c r="R52" s="765"/>
      <c r="S52" s="765"/>
    </row>
    <row r="53" ht="23" customHeight="1">
      <c r="A53" s="828" t="s">
        <v>1191</v>
      </c>
      <c r="B53" s="828"/>
      <c r="C53" s="828"/>
      <c r="D53" s="842" t="n">
        <f>Underwriting!$E$13</f>
        <v>46204</v>
      </c>
      <c r="E53" s="828"/>
      <c r="F53" s="831" t="n">
        <f>Underwriting!$I$31/1000000</f>
        <v>87.32</v>
      </c>
      <c r="G53" s="832"/>
      <c r="H53" s="843" t="n">
        <f>IF(PROJECTS!$AP$19=0,0,F53*1000000/PROJECTS!$AP$19)</f>
        <v>2538.3720930232557</v>
      </c>
      <c r="I53" s="844"/>
      <c r="J53" s="833" t="n">
        <f>M40</f>
        <v>10.863602998217734</v>
      </c>
      <c r="K53" s="832"/>
      <c r="L53" s="828" t="s">
        <v>1190</v>
      </c>
      <c r="M53" s="828"/>
      <c r="N53" s="828"/>
      <c r="O53" s="765"/>
      <c r="P53" s="765"/>
      <c r="Q53" s="765"/>
      <c r="R53" s="765"/>
      <c r="S53" s="765"/>
    </row>
    <row r="54" ht="23" customHeight="1">
      <c r="A54" s="801" t="s">
        <v>1192</v>
      </c>
      <c r="B54" s="801"/>
      <c r="C54" s="801"/>
      <c r="D54" s="839" t="n">
        <f>Underwriting!$E$13</f>
        <v>46204</v>
      </c>
      <c r="E54" s="801"/>
      <c r="F54" s="802" t="n">
        <f>Underwriting!$I$31/1000000</f>
        <v>87.32</v>
      </c>
      <c r="G54" s="803"/>
      <c r="H54" s="840" t="n">
        <f>IF(PROJECTS!$AP$19=0,0,F54*1000000/PROJECTS!$AP$19)</f>
        <v>2538.3720930232557</v>
      </c>
      <c r="I54" s="841"/>
      <c r="J54" s="804" t="n">
        <f>M40</f>
        <v>10.863602998217734</v>
      </c>
      <c r="K54" s="803"/>
      <c r="L54" s="801" t="s">
        <v>1190</v>
      </c>
      <c r="M54" s="801"/>
      <c r="N54" s="801"/>
      <c r="O54" s="765"/>
      <c r="P54" s="765"/>
      <c r="Q54" s="765"/>
      <c r="R54" s="765"/>
      <c r="S54" s="765"/>
    </row>
    <row r="55" ht="23" customHeight="1">
      <c r="A55" s="801" t="s">
        <v>1193</v>
      </c>
      <c r="B55" s="801"/>
      <c r="C55" s="801"/>
      <c r="D55" s="839" t="n">
        <f>DEBT!$B$18</f>
        <v>47299</v>
      </c>
      <c r="E55" s="801"/>
      <c r="F55" s="802" t="n">
        <f>Underwriting!$I$31/1000000</f>
        <v>87.32</v>
      </c>
      <c r="G55" s="803"/>
      <c r="H55" s="840" t="n">
        <f>IF(PROJECTS!$AP$19=0,0,F55*1000000/PROJECTS!$AP$19)</f>
        <v>2538.3720930232557</v>
      </c>
      <c r="I55" s="841"/>
      <c r="J55" s="804" t="n">
        <f>M41</f>
        <v>22.85807444842484</v>
      </c>
      <c r="K55" s="803"/>
      <c r="L55" s="801" t="s">
        <v>1190</v>
      </c>
      <c r="M55" s="801"/>
      <c r="N55" s="801"/>
      <c r="O55" s="765"/>
      <c r="P55" s="765"/>
      <c r="Q55" s="765"/>
      <c r="R55" s="765"/>
      <c r="S55" s="765"/>
    </row>
    <row r="56" ht="23" customHeight="1">
      <c r="A56" s="801" t="s">
        <v>1179</v>
      </c>
      <c r="B56" s="801"/>
      <c r="C56" s="801"/>
      <c r="D56" s="839" t="n">
        <f>'Financial Statements'!$L$6</f>
        <v>48029</v>
      </c>
      <c r="E56" s="801"/>
      <c r="F56" s="802" t="n">
        <f>Underwriting!$I$31/1000000</f>
        <v>87.32</v>
      </c>
      <c r="G56" s="803"/>
      <c r="H56" s="840" t="n">
        <f>IF(PROJECTS!$AP$19=0,0,F56*1000000/PROJECTS!$AP$19)</f>
        <v>2538.3720930232557</v>
      </c>
      <c r="I56" s="841"/>
      <c r="J56" s="804" t="n">
        <f>M42</f>
        <v>23.67884637604305</v>
      </c>
      <c r="K56" s="803"/>
      <c r="L56" s="801" t="s">
        <v>1190</v>
      </c>
      <c r="M56" s="801"/>
      <c r="N56" s="801"/>
      <c r="O56" s="765"/>
      <c r="P56" s="765"/>
      <c r="Q56" s="765"/>
      <c r="R56" s="765"/>
      <c r="S56" s="765"/>
    </row>
    <row r="57" ht="23" customHeight="1">
      <c r="A57" s="828" t="s">
        <v>1194</v>
      </c>
      <c r="B57" s="828"/>
      <c r="C57" s="828"/>
      <c r="D57" s="842" t="n">
        <f>'VALUATION &amp; RETURNS'!$C$45</f>
        <v>48030</v>
      </c>
      <c r="E57" s="828"/>
      <c r="F57" s="831" t="n">
        <f>Underwriting!$I$31/1000000</f>
        <v>87.32</v>
      </c>
      <c r="G57" s="832"/>
      <c r="H57" s="843" t="n">
        <f>IF(PROJECTS!$AP$19=0,0,F57*1000000/PROJECTS!$AP$19)</f>
        <v>2538.3720930232557</v>
      </c>
      <c r="I57" s="844"/>
      <c r="J57" s="833" t="n">
        <f>M43</f>
        <v>22.000204914314725</v>
      </c>
      <c r="K57" s="832"/>
      <c r="L57" s="828" t="s">
        <v>1190</v>
      </c>
      <c r="M57" s="828"/>
      <c r="N57" s="828"/>
      <c r="O57" s="765"/>
      <c r="P57" s="765"/>
      <c r="Q57" s="765"/>
      <c r="R57" s="765"/>
      <c r="S57" s="765"/>
    </row>
    <row r="58" ht="23" customHeight="1">
      <c r="A58" s="801" t="s">
        <v>1195</v>
      </c>
      <c r="B58" s="801"/>
      <c r="C58" s="801"/>
      <c r="D58" s="839" t="n">
        <f>DEBT!$K$21</f>
        <v>48060</v>
      </c>
      <c r="E58" s="801"/>
      <c r="F58" s="802" t="n">
        <f>Underwriting!$I$31/1000000</f>
        <v>87.32</v>
      </c>
      <c r="G58" s="803"/>
      <c r="H58" s="840" t="n">
        <f>IF(PROJECTS!$AP$19=0,0,F58*1000000/PROJECTS!$AP$19)</f>
        <v>2538.3720930232557</v>
      </c>
      <c r="I58" s="841"/>
      <c r="J58" s="845" t="n">
        <f>M44</f>
        <v>32.98684534826736</v>
      </c>
      <c r="K58" s="801"/>
      <c r="L58" s="801" t="s">
        <v>1190</v>
      </c>
      <c r="M58" s="801"/>
      <c r="N58" s="801"/>
      <c r="O58" s="765"/>
      <c r="P58" s="765"/>
      <c r="Q58" s="765"/>
      <c r="R58" s="765"/>
      <c r="S58" s="765"/>
    </row>
    <row r="59" ht="28" customHeight="1">
      <c r="A59" s="846" t="s">
        <v>1196</v>
      </c>
      <c r="B59" s="846"/>
      <c r="C59" s="846"/>
      <c r="D59" s="846"/>
      <c r="E59" s="846"/>
      <c r="F59" s="846"/>
      <c r="G59" s="846"/>
      <c r="H59" s="846"/>
      <c r="I59" s="846"/>
      <c r="J59" s="846"/>
      <c r="K59" s="846"/>
      <c r="L59" s="846"/>
      <c r="M59" s="846"/>
      <c r="N59" s="846"/>
      <c r="O59" s="765"/>
      <c r="P59" s="765"/>
      <c r="Q59" s="765"/>
      <c r="R59" s="765"/>
      <c r="S59" s="765"/>
    </row>
    <row r="60">
      <c r="A60" s="780"/>
      <c r="B60" s="780"/>
      <c r="C60" s="780"/>
      <c r="D60" s="780"/>
      <c r="E60" s="780"/>
      <c r="F60" s="780"/>
      <c r="G60" s="780"/>
      <c r="H60" s="780"/>
      <c r="I60" s="780"/>
      <c r="J60" s="780"/>
      <c r="K60" s="780"/>
      <c r="L60" s="780"/>
      <c r="M60" s="780"/>
      <c r="N60" s="780"/>
      <c r="O60" s="765"/>
      <c r="P60" s="765"/>
      <c r="Q60" s="765"/>
      <c r="R60" s="765"/>
      <c r="S60" s="765"/>
    </row>
    <row r="61" ht="14.5">
      <c r="A61" s="847" t="str">
        <f>"INSTITUTIONAL / DEVELOPER FUNDING SENSITIVITY - "&amp;UPPER($C$3)&amp;" VALUE AND DILUTION"</f>
        <v>INSTITUTIONAL / DEVELOPER FUNDING SENSITIVITY - DAVID GIFFORD VALUE AND DILUTION</v>
      </c>
      <c r="B61" s="848"/>
      <c r="C61" s="848"/>
      <c r="D61" s="848"/>
      <c r="E61" s="848"/>
      <c r="F61" s="848"/>
      <c r="G61" s="848"/>
      <c r="H61" s="848"/>
      <c r="I61" s="848"/>
      <c r="J61" s="848"/>
      <c r="K61" s="848"/>
      <c r="L61" s="848"/>
      <c r="M61" s="848"/>
      <c r="N61" s="848"/>
      <c r="O61" s="765"/>
      <c r="P61" s="765"/>
      <c r="Q61" s="765"/>
      <c r="R61" s="765"/>
      <c r="S61" s="765"/>
    </row>
    <row r="62">
      <c r="A62" s="780"/>
      <c r="B62" s="780"/>
      <c r="C62" s="780"/>
      <c r="D62" s="780"/>
      <c r="E62" s="780"/>
      <c r="F62" s="780"/>
      <c r="G62" s="780"/>
      <c r="H62" s="780"/>
      <c r="I62" s="780"/>
      <c r="J62" s="780"/>
      <c r="K62" s="780"/>
      <c r="L62" s="780"/>
      <c r="M62" s="780"/>
      <c r="N62" s="780"/>
      <c r="O62" s="765"/>
      <c r="P62" s="765"/>
      <c r="Q62" s="765"/>
      <c r="R62" s="765"/>
      <c r="S62" s="765"/>
    </row>
    <row r="63" ht="28" customHeight="1">
      <c r="A63" s="792" t="s">
        <v>790</v>
      </c>
      <c r="B63" s="792"/>
      <c r="C63" s="792"/>
      <c r="D63" s="792" t="s">
        <v>1197</v>
      </c>
      <c r="E63" s="792"/>
      <c r="F63" s="792" t="s">
        <v>1198</v>
      </c>
      <c r="G63" s="792"/>
      <c r="H63" s="792" t="s">
        <v>1199</v>
      </c>
      <c r="I63" s="792"/>
      <c r="J63" s="792" t="s">
        <v>1200</v>
      </c>
      <c r="K63" s="792"/>
      <c r="L63" s="793" t="s">
        <v>976</v>
      </c>
      <c r="M63" s="792" t="s">
        <v>1201</v>
      </c>
      <c r="N63" s="792"/>
      <c r="O63" s="765"/>
      <c r="P63" s="765"/>
      <c r="Q63" s="765"/>
      <c r="R63" s="765"/>
      <c r="S63" s="765"/>
    </row>
    <row r="64" ht="23" customHeight="1">
      <c r="A64" s="801" t="s">
        <v>1202</v>
      </c>
      <c r="B64" s="801"/>
      <c r="C64" s="801"/>
      <c r="D64" s="803">
        <v>0</v>
      </c>
      <c r="E64" s="803"/>
      <c r="F64" s="849" t="n">
        <f>SUM('VALUATION &amp; RETURNS'!$G$26:$G$32)+D64</f>
        <v>83.83099999999999</v>
      </c>
      <c r="G64" s="850"/>
      <c r="H64" s="851" t="n">
        <f t="shared" ref="H64:H69" si="3">IF(F64=0,0,$A$9/F64)</f>
        <v>0.11928761436700029</v>
      </c>
      <c r="I64" s="852"/>
      <c r="J64" s="802" t="n">
        <f>H64*'VALUATION &amp; RETURNS'!$H$21</f>
        <v>54.04149460753844</v>
      </c>
      <c r="K64" s="803"/>
      <c r="L64" s="805" t="n">
        <f t="shared" ref="L64:L69" si="4">IF($A$9=0,0,J64/$A$9)</f>
        <v>5.404149460753844</v>
      </c>
      <c r="M64" s="801" t="s">
        <v>1203</v>
      </c>
      <c r="N64" s="801"/>
      <c r="O64" s="765"/>
      <c r="P64" s="765"/>
      <c r="Q64" s="765"/>
      <c r="R64" s="765"/>
      <c r="S64" s="765"/>
    </row>
    <row r="65" ht="23" customHeight="1">
      <c r="A65" s="801" t="s">
        <v>1204</v>
      </c>
      <c r="B65" s="801"/>
      <c r="C65" s="801"/>
      <c r="D65" s="803">
        <v>50</v>
      </c>
      <c r="E65" s="803"/>
      <c r="F65" s="849" t="n">
        <f>SUM('VALUATION &amp; RETURNS'!$G$26:$G$32)+D65</f>
        <v>133.831</v>
      </c>
      <c r="G65" s="850"/>
      <c r="H65" s="851">
        <f t="shared" si="3"/>
        <v>7.4721103481256212E-2</v>
      </c>
      <c r="I65" s="852"/>
      <c r="J65" s="802" t="n">
        <f>H65*'VALUATION &amp; RETURNS'!$H$21</f>
        <v>33.851294053280284</v>
      </c>
      <c r="K65" s="803"/>
      <c r="L65" s="805">
        <f t="shared" si="4"/>
        <v>3.3821132183613898</v>
      </c>
      <c r="M65" s="801" t="s">
        <v>1203</v>
      </c>
      <c r="N65" s="801"/>
      <c r="O65" s="765"/>
      <c r="P65" s="765"/>
      <c r="Q65" s="765"/>
      <c r="R65" s="765"/>
      <c r="S65" s="765"/>
    </row>
    <row r="66" ht="23" customHeight="1">
      <c r="A66" s="801" t="s">
        <v>1205</v>
      </c>
      <c r="B66" s="801"/>
      <c r="C66" s="801"/>
      <c r="D66" s="803">
        <v>100</v>
      </c>
      <c r="E66" s="803"/>
      <c r="F66" s="849" t="n">
        <f>SUM('VALUATION &amp; RETURNS'!$G$26:$G$32)+D66</f>
        <v>183.831</v>
      </c>
      <c r="G66" s="850"/>
      <c r="H66" s="851">
        <f t="shared" si="3"/>
        <v>5.4397789273843915E-2</v>
      </c>
      <c r="I66" s="852"/>
      <c r="J66" s="802" t="n">
        <f>H66*'VALUATION &amp; RETURNS'!$H$21</f>
        <v>24.644116250493955</v>
      </c>
      <c r="K66" s="803"/>
      <c r="L66" s="805">
        <f t="shared" si="4"/>
        <v>2.4622158075978655</v>
      </c>
      <c r="M66" s="801" t="s">
        <v>1203</v>
      </c>
      <c r="N66" s="801"/>
      <c r="O66" s="765"/>
      <c r="P66" s="765"/>
      <c r="Q66" s="765"/>
      <c r="R66" s="765"/>
      <c r="S66" s="765"/>
    </row>
    <row r="67" ht="23" customHeight="1">
      <c r="A67" s="828" t="s">
        <v>1206</v>
      </c>
      <c r="B67" s="828"/>
      <c r="C67" s="828"/>
      <c r="D67" s="832">
        <v>136</v>
      </c>
      <c r="E67" s="832"/>
      <c r="F67" s="853" t="n">
        <f>SUM('VALUATION &amp; RETURNS'!$G$26:$G$32)+D67</f>
        <v>219.831</v>
      </c>
      <c r="G67" s="854"/>
      <c r="H67" s="855">
        <f t="shared" si="3"/>
        <v>4.548948965341558E-2</v>
      </c>
      <c r="I67" s="856"/>
      <c r="J67" s="831" t="n">
        <f>H67*'VALUATION &amp; RETURNS'!$H$21</f>
        <v>20.60834247419406</v>
      </c>
      <c r="K67" s="832"/>
      <c r="L67" s="836">
        <f t="shared" si="4"/>
        <v>2.0589980217827475</v>
      </c>
      <c r="M67" s="828" t="s">
        <v>1207</v>
      </c>
      <c r="N67" s="828"/>
      <c r="O67" s="765"/>
      <c r="P67" s="765"/>
      <c r="Q67" s="765"/>
      <c r="R67" s="765"/>
      <c r="S67" s="765"/>
    </row>
    <row r="68" ht="23" customHeight="1">
      <c r="A68" s="801" t="s">
        <v>1208</v>
      </c>
      <c r="B68" s="801"/>
      <c r="C68" s="801"/>
      <c r="D68" s="803">
        <v>150</v>
      </c>
      <c r="E68" s="803"/>
      <c r="F68" s="849" t="n">
        <f>SUM('VALUATION &amp; RETURNS'!$G$26:$G$32)+D68</f>
        <v>233.831</v>
      </c>
      <c r="G68" s="850"/>
      <c r="H68" s="851">
        <f t="shared" si="3"/>
        <v>4.2765929239493482E-2</v>
      </c>
      <c r="I68" s="852"/>
      <c r="J68" s="802" t="n">
        <f>H68*'VALUATION &amp; RETURNS'!$H$21</f>
        <v>19.374473591801575</v>
      </c>
      <c r="K68" s="803"/>
      <c r="L68" s="805">
        <f t="shared" si="4"/>
        <v>1.9357210725974023</v>
      </c>
      <c r="M68" s="801" t="s">
        <v>1209</v>
      </c>
      <c r="N68" s="801"/>
      <c r="O68" s="765"/>
      <c r="P68" s="765"/>
      <c r="Q68" s="765"/>
      <c r="R68" s="765"/>
      <c r="S68" s="765"/>
    </row>
    <row r="69" ht="23" customHeight="1">
      <c r="A69" s="801" t="s">
        <v>1210</v>
      </c>
      <c r="B69" s="801"/>
      <c r="C69" s="801"/>
      <c r="D69" s="803">
        <v>200</v>
      </c>
      <c r="E69" s="803"/>
      <c r="F69" s="849" t="n">
        <f>SUM('VALUATION &amp; RETURNS'!$G$26:$G$32)+D69</f>
        <v>283.831</v>
      </c>
      <c r="G69" s="850"/>
      <c r="H69" s="851">
        <f t="shared" si="3"/>
        <v>3.5232233265570005E-2</v>
      </c>
      <c r="I69" s="852"/>
      <c r="J69" s="802" t="n">
        <f>H69*'VALUATION &amp; RETURNS'!$H$21</f>
        <v>15.96144372688168</v>
      </c>
      <c r="K69" s="803"/>
      <c r="L69" s="805">
        <f t="shared" si="4"/>
        <v>1.5947221907632472</v>
      </c>
      <c r="M69" s="801" t="s">
        <v>1209</v>
      </c>
      <c r="N69" s="801"/>
      <c r="O69" s="765"/>
      <c r="P69" s="765"/>
      <c r="Q69" s="765"/>
      <c r="R69" s="765"/>
      <c r="S69" s="765"/>
    </row>
    <row r="70">
      <c r="A70" s="780"/>
      <c r="B70" s="780"/>
      <c r="C70" s="780"/>
      <c r="D70" s="780"/>
      <c r="E70" s="780"/>
      <c r="F70" s="780"/>
      <c r="G70" s="780"/>
      <c r="H70" s="780"/>
      <c r="I70" s="780"/>
      <c r="J70" s="780"/>
      <c r="K70" s="780"/>
      <c r="L70" s="780"/>
      <c r="M70" s="780"/>
      <c r="N70" s="780"/>
      <c r="O70" s="765"/>
      <c r="P70" s="765"/>
      <c r="Q70" s="765"/>
      <c r="R70" s="765"/>
      <c r="S70" s="765"/>
    </row>
    <row r="71">
      <c r="A71" s="780"/>
      <c r="B71" s="780"/>
      <c r="C71" s="780"/>
      <c r="D71" s="780"/>
      <c r="E71" s="780"/>
      <c r="F71" s="780"/>
      <c r="G71" s="780"/>
      <c r="H71" s="780"/>
      <c r="I71" s="816"/>
      <c r="J71" s="817"/>
      <c r="K71" s="817"/>
      <c r="L71" s="817"/>
      <c r="M71" s="817"/>
      <c r="N71" s="818"/>
      <c r="O71" s="765"/>
      <c r="P71" s="765"/>
      <c r="Q71" s="765"/>
      <c r="R71" s="765"/>
      <c r="S71" s="765"/>
    </row>
    <row r="72">
      <c r="A72" s="780"/>
      <c r="B72" s="780"/>
      <c r="C72" s="780"/>
      <c r="D72" s="780"/>
      <c r="E72" s="780"/>
      <c r="F72" s="780"/>
      <c r="G72" s="780"/>
      <c r="H72" s="780"/>
      <c r="I72" s="819"/>
      <c r="J72" s="820"/>
      <c r="K72" s="820"/>
      <c r="L72" s="820"/>
      <c r="M72" s="820"/>
      <c r="N72" s="821"/>
      <c r="O72" s="765"/>
      <c r="P72" s="765"/>
      <c r="Q72" s="765"/>
      <c r="R72" s="765"/>
      <c r="S72" s="765"/>
    </row>
    <row r="73">
      <c r="A73" s="780"/>
      <c r="B73" s="780"/>
      <c r="C73" s="780"/>
      <c r="D73" s="780"/>
      <c r="E73" s="780"/>
      <c r="F73" s="780"/>
      <c r="G73" s="780"/>
      <c r="H73" s="780"/>
      <c r="I73" s="819"/>
      <c r="J73" s="820"/>
      <c r="K73" s="820"/>
      <c r="L73" s="820"/>
      <c r="M73" s="820"/>
      <c r="N73" s="821"/>
      <c r="O73" s="765"/>
      <c r="P73" s="765"/>
      <c r="Q73" s="765"/>
      <c r="R73" s="765"/>
      <c r="S73" s="765"/>
    </row>
    <row r="74">
      <c r="A74" s="780"/>
      <c r="B74" s="780"/>
      <c r="C74" s="780"/>
      <c r="D74" s="780"/>
      <c r="E74" s="780"/>
      <c r="F74" s="780"/>
      <c r="G74" s="780"/>
      <c r="H74" s="780"/>
      <c r="I74" s="819"/>
      <c r="J74" s="820"/>
      <c r="K74" s="820"/>
      <c r="L74" s="820"/>
      <c r="M74" s="820"/>
      <c r="N74" s="821"/>
      <c r="O74" s="765"/>
      <c r="P74" s="765"/>
      <c r="Q74" s="765"/>
      <c r="R74" s="765"/>
      <c r="S74" s="765"/>
    </row>
    <row r="75">
      <c r="A75" s="780"/>
      <c r="B75" s="780"/>
      <c r="C75" s="780"/>
      <c r="D75" s="780"/>
      <c r="E75" s="780"/>
      <c r="F75" s="780"/>
      <c r="G75" s="780"/>
      <c r="H75" s="780"/>
      <c r="I75" s="819"/>
      <c r="J75" s="820"/>
      <c r="K75" s="820"/>
      <c r="L75" s="820"/>
      <c r="M75" s="820"/>
      <c r="N75" s="821"/>
      <c r="O75" s="765"/>
      <c r="P75" s="765"/>
      <c r="Q75" s="765"/>
      <c r="R75" s="765"/>
      <c r="S75" s="765"/>
    </row>
    <row r="76">
      <c r="A76" s="780"/>
      <c r="B76" s="780"/>
      <c r="C76" s="780"/>
      <c r="D76" s="780"/>
      <c r="E76" s="780"/>
      <c r="F76" s="780"/>
      <c r="G76" s="780"/>
      <c r="H76" s="780"/>
      <c r="I76" s="819"/>
      <c r="J76" s="820"/>
      <c r="K76" s="820"/>
      <c r="L76" s="820"/>
      <c r="M76" s="820"/>
      <c r="N76" s="821"/>
      <c r="O76" s="765"/>
      <c r="P76" s="765"/>
      <c r="Q76" s="765"/>
      <c r="R76" s="765"/>
      <c r="S76" s="765"/>
    </row>
    <row r="77">
      <c r="A77" s="780"/>
      <c r="B77" s="780"/>
      <c r="C77" s="780"/>
      <c r="D77" s="780"/>
      <c r="E77" s="780"/>
      <c r="F77" s="780"/>
      <c r="G77" s="780"/>
      <c r="H77" s="780"/>
      <c r="I77" s="819"/>
      <c r="J77" s="820"/>
      <c r="K77" s="820"/>
      <c r="L77" s="820"/>
      <c r="M77" s="820"/>
      <c r="N77" s="821"/>
      <c r="O77" s="765"/>
      <c r="P77" s="765"/>
      <c r="Q77" s="765"/>
      <c r="R77" s="765"/>
      <c r="S77" s="765"/>
    </row>
    <row r="78">
      <c r="A78" s="780"/>
      <c r="B78" s="780"/>
      <c r="C78" s="780"/>
      <c r="D78" s="780"/>
      <c r="E78" s="780"/>
      <c r="F78" s="780"/>
      <c r="G78" s="780"/>
      <c r="H78" s="780"/>
      <c r="I78" s="819"/>
      <c r="J78" s="820"/>
      <c r="K78" s="820"/>
      <c r="L78" s="820"/>
      <c r="M78" s="820"/>
      <c r="N78" s="821"/>
      <c r="O78" s="765"/>
      <c r="P78" s="765"/>
      <c r="Q78" s="765"/>
      <c r="R78" s="765"/>
      <c r="S78" s="765"/>
    </row>
    <row r="79">
      <c r="A79" s="780"/>
      <c r="B79" s="780"/>
      <c r="C79" s="780"/>
      <c r="D79" s="780"/>
      <c r="E79" s="780"/>
      <c r="F79" s="780"/>
      <c r="G79" s="780"/>
      <c r="H79" s="780"/>
      <c r="I79" s="819"/>
      <c r="J79" s="820"/>
      <c r="K79" s="820"/>
      <c r="L79" s="820"/>
      <c r="M79" s="820"/>
      <c r="N79" s="821"/>
      <c r="O79" s="765"/>
      <c r="P79" s="765"/>
      <c r="Q79" s="765"/>
      <c r="R79" s="765"/>
      <c r="S79" s="765"/>
    </row>
    <row r="80">
      <c r="A80" s="780"/>
      <c r="B80" s="780"/>
      <c r="C80" s="780"/>
      <c r="D80" s="780"/>
      <c r="E80" s="780"/>
      <c r="F80" s="780"/>
      <c r="G80" s="780"/>
      <c r="H80" s="780"/>
      <c r="I80" s="819"/>
      <c r="J80" s="820"/>
      <c r="K80" s="820"/>
      <c r="L80" s="820"/>
      <c r="M80" s="820"/>
      <c r="N80" s="821"/>
      <c r="O80" s="765"/>
      <c r="P80" s="765"/>
      <c r="Q80" s="765"/>
      <c r="R80" s="765"/>
      <c r="S80" s="765"/>
    </row>
    <row r="81">
      <c r="A81" s="780"/>
      <c r="B81" s="780"/>
      <c r="C81" s="780"/>
      <c r="D81" s="780"/>
      <c r="E81" s="780"/>
      <c r="F81" s="780"/>
      <c r="G81" s="780"/>
      <c r="H81" s="780"/>
      <c r="I81" s="819"/>
      <c r="J81" s="820"/>
      <c r="K81" s="820"/>
      <c r="L81" s="820"/>
      <c r="M81" s="820"/>
      <c r="N81" s="821"/>
      <c r="O81" s="765"/>
      <c r="P81" s="765"/>
      <c r="Q81" s="765"/>
      <c r="R81" s="765"/>
      <c r="S81" s="765"/>
    </row>
    <row r="82">
      <c r="A82" s="780"/>
      <c r="B82" s="780"/>
      <c r="C82" s="780"/>
      <c r="D82" s="780"/>
      <c r="E82" s="780"/>
      <c r="F82" s="780"/>
      <c r="G82" s="780"/>
      <c r="H82" s="780"/>
      <c r="I82" s="822"/>
      <c r="J82" s="823"/>
      <c r="K82" s="823"/>
      <c r="L82" s="823"/>
      <c r="M82" s="823"/>
      <c r="N82" s="824"/>
      <c r="O82" s="765"/>
      <c r="P82" s="765"/>
      <c r="Q82" s="765"/>
      <c r="R82" s="765"/>
      <c r="S82" s="765"/>
    </row>
    <row r="83">
      <c r="A83" s="780"/>
      <c r="B83" s="780"/>
      <c r="C83" s="780"/>
      <c r="D83" s="780"/>
      <c r="E83" s="780"/>
      <c r="F83" s="780"/>
      <c r="G83" s="780"/>
      <c r="H83" s="780"/>
      <c r="I83" s="780"/>
      <c r="J83" s="780"/>
      <c r="K83" s="780"/>
      <c r="L83" s="780"/>
      <c r="M83" s="780"/>
      <c r="N83" s="780"/>
      <c r="O83" s="765"/>
      <c r="P83" s="765"/>
      <c r="Q83" s="765"/>
      <c r="R83" s="765"/>
      <c r="S83" s="765"/>
    </row>
    <row r="84">
      <c r="A84" s="717" t="s">
        <v>1211</v>
      </c>
      <c r="B84" s="718"/>
      <c r="C84" s="718"/>
      <c r="D84" s="718"/>
      <c r="E84" s="718"/>
      <c r="F84" s="718"/>
      <c r="G84" s="718"/>
      <c r="H84" s="718"/>
      <c r="I84" s="718"/>
      <c r="J84" s="718"/>
      <c r="K84" s="718"/>
      <c r="L84" s="718"/>
      <c r="M84" s="718"/>
      <c r="N84" s="718"/>
      <c r="O84" s="919"/>
      <c r="P84" s="919"/>
      <c r="Q84" s="919"/>
      <c r="R84" s="919"/>
      <c r="S84" s="919"/>
    </row>
    <row r="85">
      <c r="A85" s="857"/>
      <c r="B85" s="858"/>
      <c r="C85" s="858"/>
      <c r="D85" s="858"/>
      <c r="E85" s="858"/>
      <c r="F85" s="858"/>
      <c r="G85" s="858"/>
      <c r="H85" s="858"/>
      <c r="I85" s="858"/>
      <c r="J85" s="858"/>
      <c r="K85" s="858"/>
      <c r="L85" s="858"/>
      <c r="M85" s="858"/>
      <c r="N85" s="858"/>
      <c r="O85" s="765"/>
      <c r="P85" s="765"/>
      <c r="Q85" s="765"/>
      <c r="R85" s="765"/>
      <c r="S85" s="765"/>
    </row>
    <row r="86">
      <c r="A86" s="857"/>
      <c r="B86" s="858"/>
      <c r="C86" s="858"/>
      <c r="D86" s="858"/>
      <c r="E86" s="858"/>
      <c r="F86" s="858"/>
      <c r="G86" s="858"/>
      <c r="H86" s="858"/>
      <c r="I86" s="858"/>
      <c r="J86" s="858"/>
      <c r="K86" s="858"/>
      <c r="L86" s="858"/>
      <c r="M86" s="858"/>
      <c r="N86" s="858"/>
      <c r="O86" s="765"/>
      <c r="P86" s="765"/>
      <c r="Q86" s="765"/>
      <c r="R86" s="765"/>
      <c r="S86" s="765"/>
    </row>
    <row r="87">
      <c r="A87" s="780"/>
      <c r="B87" s="780"/>
      <c r="C87" s="780"/>
      <c r="D87" s="780"/>
      <c r="E87" s="780"/>
      <c r="F87" s="780"/>
      <c r="G87" s="780"/>
      <c r="H87" s="780"/>
      <c r="I87" s="780"/>
      <c r="J87" s="780"/>
      <c r="K87" s="780"/>
      <c r="L87" s="780"/>
      <c r="M87" s="780"/>
      <c r="N87" s="780"/>
      <c r="O87" s="765"/>
      <c r="P87" s="765"/>
      <c r="Q87" s="765"/>
      <c r="R87" s="765"/>
      <c r="S87" s="765"/>
    </row>
    <row r="88">
      <c r="A88" s="780"/>
      <c r="B88" s="780"/>
      <c r="C88" s="780"/>
      <c r="D88" s="780"/>
      <c r="E88" s="780"/>
      <c r="F88" s="780"/>
      <c r="G88" s="780"/>
      <c r="H88" s="780"/>
      <c r="I88" s="780"/>
      <c r="J88" s="780"/>
      <c r="K88" s="780"/>
      <c r="L88" s="780"/>
      <c r="M88" s="780"/>
      <c r="N88" s="780"/>
      <c r="O88" s="765"/>
      <c r="P88" s="765"/>
      <c r="Q88" s="765"/>
      <c r="R88" s="765"/>
      <c r="S88" s="765"/>
    </row>
    <row r="89" ht="24" customHeight="1">
      <c r="A89" s="764" t="s">
        <v>1212</v>
      </c>
      <c r="B89" s="764"/>
      <c r="C89" s="764"/>
      <c r="D89" s="764"/>
      <c r="E89" s="764"/>
      <c r="F89" s="764"/>
      <c r="G89" s="764"/>
      <c r="H89" s="764"/>
      <c r="I89" s="764"/>
      <c r="J89" s="764"/>
      <c r="K89" s="764"/>
      <c r="L89" s="764"/>
      <c r="M89" s="764"/>
      <c r="N89" s="764"/>
      <c r="O89" s="765"/>
      <c r="P89" s="765"/>
      <c r="Q89" s="765"/>
      <c r="R89" s="765"/>
      <c r="S89" s="765"/>
    </row>
    <row r="90">
      <c r="A90" s="780"/>
      <c r="B90" s="780"/>
      <c r="C90" s="780"/>
      <c r="D90" s="780"/>
      <c r="E90" s="780"/>
      <c r="F90" s="780"/>
      <c r="G90" s="780"/>
      <c r="H90" s="780"/>
      <c r="I90" s="780"/>
      <c r="J90" s="780"/>
      <c r="K90" s="780"/>
      <c r="L90" s="780"/>
      <c r="M90" s="780"/>
      <c r="N90" s="780"/>
      <c r="O90" s="765"/>
      <c r="P90" s="765"/>
      <c r="Q90" s="765"/>
      <c r="R90" s="765"/>
      <c r="S90" s="765"/>
    </row>
    <row r="91">
      <c r="A91" s="719" t="s">
        <v>1213</v>
      </c>
      <c r="B91" s="720"/>
      <c r="C91" s="720"/>
      <c r="D91" s="720"/>
      <c r="E91" s="720"/>
      <c r="F91" s="720"/>
      <c r="G91" s="720"/>
      <c r="H91" s="720"/>
      <c r="I91" s="720"/>
      <c r="J91" s="720"/>
      <c r="K91" s="720"/>
      <c r="L91" s="720"/>
      <c r="M91" s="720"/>
      <c r="N91" s="721"/>
      <c r="O91" s="919"/>
      <c r="P91" s="919"/>
      <c r="Q91" s="919"/>
      <c r="R91" s="919"/>
      <c r="S91" s="919"/>
    </row>
    <row r="92">
      <c r="A92" s="722"/>
      <c r="B92" s="723"/>
      <c r="C92" s="723"/>
      <c r="D92" s="723"/>
      <c r="E92" s="723"/>
      <c r="F92" s="723"/>
      <c r="G92" s="723"/>
      <c r="H92" s="723"/>
      <c r="I92" s="723"/>
      <c r="J92" s="723"/>
      <c r="K92" s="723"/>
      <c r="L92" s="723"/>
      <c r="M92" s="723"/>
      <c r="N92" s="724"/>
      <c r="O92" s="919"/>
      <c r="P92" s="919"/>
      <c r="Q92" s="919"/>
      <c r="R92" s="919"/>
      <c r="S92" s="919"/>
    </row>
    <row r="93">
      <c r="A93" s="574"/>
      <c r="B93" s="574"/>
      <c r="C93" s="574"/>
      <c r="D93" s="574"/>
      <c r="E93" s="574"/>
      <c r="F93" s="574"/>
      <c r="G93" s="574"/>
      <c r="H93" s="574"/>
      <c r="I93" s="574"/>
      <c r="J93" s="574"/>
      <c r="K93" s="574"/>
      <c r="L93" s="574"/>
      <c r="M93" s="574"/>
      <c r="N93" s="574"/>
      <c r="O93" s="919"/>
      <c r="P93" s="919"/>
      <c r="Q93" s="919"/>
      <c r="R93" s="919"/>
      <c r="S93" s="919"/>
    </row>
    <row r="94" ht="14.5">
      <c r="A94" s="725" t="s">
        <v>1214</v>
      </c>
      <c r="B94" s="725"/>
      <c r="C94" s="725"/>
      <c r="D94" s="725"/>
      <c r="E94" s="725"/>
      <c r="F94" s="725"/>
      <c r="G94" s="725"/>
      <c r="H94" s="725" t="s">
        <v>1215</v>
      </c>
      <c r="I94" s="725"/>
      <c r="J94" s="725"/>
      <c r="K94" s="725"/>
      <c r="L94" s="725"/>
      <c r="M94" s="725"/>
      <c r="N94" s="725"/>
      <c r="O94" s="919"/>
      <c r="P94" s="919"/>
      <c r="Q94" s="919"/>
      <c r="R94" s="919"/>
      <c r="S94" s="919"/>
    </row>
    <row r="95">
      <c r="A95" s="726"/>
      <c r="B95" s="726"/>
      <c r="C95" s="726"/>
      <c r="D95" s="726"/>
      <c r="E95" s="726"/>
      <c r="F95" s="726"/>
      <c r="G95" s="726"/>
      <c r="H95" s="726" t="s">
        <v>1216</v>
      </c>
      <c r="I95" s="726"/>
      <c r="J95" s="726"/>
      <c r="K95" s="726"/>
      <c r="L95" s="726"/>
      <c r="M95" s="726"/>
      <c r="N95" s="726"/>
      <c r="O95" s="919"/>
      <c r="P95" s="919"/>
      <c r="Q95" s="919"/>
      <c r="R95" s="919"/>
      <c r="S95" s="919"/>
    </row>
    <row r="96">
      <c r="A96" s="726"/>
      <c r="B96" s="726"/>
      <c r="C96" s="726"/>
      <c r="D96" s="726"/>
      <c r="E96" s="726"/>
      <c r="F96" s="726"/>
      <c r="G96" s="726"/>
      <c r="H96" s="726"/>
      <c r="I96" s="726"/>
      <c r="J96" s="726"/>
      <c r="K96" s="726"/>
      <c r="L96" s="726"/>
      <c r="M96" s="726"/>
      <c r="N96" s="726"/>
      <c r="O96" s="919"/>
      <c r="P96" s="919"/>
      <c r="Q96" s="919"/>
      <c r="R96" s="919"/>
      <c r="S96" s="919"/>
    </row>
    <row r="97">
      <c r="A97" s="726"/>
      <c r="B97" s="726"/>
      <c r="C97" s="726"/>
      <c r="D97" s="726"/>
      <c r="E97" s="726"/>
      <c r="F97" s="726"/>
      <c r="G97" s="726"/>
      <c r="H97" s="726"/>
      <c r="I97" s="726"/>
      <c r="J97" s="726"/>
      <c r="K97" s="726"/>
      <c r="L97" s="726"/>
      <c r="M97" s="726"/>
      <c r="N97" s="726"/>
      <c r="O97" s="919"/>
      <c r="P97" s="919"/>
      <c r="Q97" s="919"/>
      <c r="R97" s="919"/>
      <c r="S97" s="919"/>
    </row>
    <row r="98">
      <c r="A98" s="726"/>
      <c r="B98" s="726"/>
      <c r="C98" s="726"/>
      <c r="D98" s="726"/>
      <c r="E98" s="726"/>
      <c r="F98" s="726"/>
      <c r="G98" s="726"/>
      <c r="H98" s="726"/>
      <c r="I98" s="726"/>
      <c r="J98" s="726"/>
      <c r="K98" s="726"/>
      <c r="L98" s="726"/>
      <c r="M98" s="726"/>
      <c r="N98" s="726"/>
      <c r="O98" s="919"/>
      <c r="P98" s="919"/>
      <c r="Q98" s="919"/>
      <c r="R98" s="919"/>
      <c r="S98" s="919"/>
    </row>
    <row r="99">
      <c r="A99" s="727" t="s">
        <v>1217</v>
      </c>
      <c r="B99" s="727"/>
      <c r="C99" s="727"/>
      <c r="D99" s="727"/>
      <c r="E99" s="727"/>
      <c r="F99" s="727"/>
      <c r="G99" s="727"/>
      <c r="H99" s="727" t="s">
        <v>1218</v>
      </c>
      <c r="I99" s="727"/>
      <c r="J99" s="727"/>
      <c r="K99" s="727"/>
      <c r="L99" s="727"/>
      <c r="M99" s="727"/>
      <c r="N99" s="727"/>
      <c r="O99" s="919"/>
      <c r="P99" s="919"/>
      <c r="Q99" s="919"/>
      <c r="R99" s="919"/>
      <c r="S99" s="919"/>
    </row>
    <row r="100">
      <c r="A100" s="726" t="s">
        <v>1219</v>
      </c>
      <c r="B100" s="726"/>
      <c r="C100" s="726"/>
      <c r="D100" s="726"/>
      <c r="E100" s="726"/>
      <c r="F100" s="726"/>
      <c r="G100" s="726"/>
      <c r="H100" s="726" t="s">
        <v>1220</v>
      </c>
      <c r="I100" s="726"/>
      <c r="J100" s="726"/>
      <c r="K100" s="726"/>
      <c r="L100" s="726"/>
      <c r="M100" s="726"/>
      <c r="N100" s="726"/>
      <c r="O100" s="919"/>
      <c r="P100" s="919"/>
      <c r="Q100" s="919"/>
      <c r="R100" s="919"/>
      <c r="S100" s="919"/>
    </row>
    <row r="101">
      <c r="A101" s="726"/>
      <c r="B101" s="726"/>
      <c r="C101" s="726"/>
      <c r="D101" s="726"/>
      <c r="E101" s="726"/>
      <c r="F101" s="726"/>
      <c r="G101" s="726"/>
      <c r="H101" s="726"/>
      <c r="I101" s="726"/>
      <c r="J101" s="726"/>
      <c r="K101" s="726"/>
      <c r="L101" s="726"/>
      <c r="M101" s="726"/>
      <c r="N101" s="726"/>
      <c r="O101" s="919"/>
      <c r="P101" s="919"/>
      <c r="Q101" s="919"/>
      <c r="R101" s="919"/>
      <c r="S101" s="919"/>
    </row>
    <row r="102">
      <c r="A102" s="726"/>
      <c r="B102" s="726"/>
      <c r="C102" s="726"/>
      <c r="D102" s="726"/>
      <c r="E102" s="726"/>
      <c r="F102" s="726"/>
      <c r="G102" s="726"/>
      <c r="H102" s="726"/>
      <c r="I102" s="726"/>
      <c r="J102" s="726"/>
      <c r="K102" s="726"/>
      <c r="L102" s="726"/>
      <c r="M102" s="726"/>
      <c r="N102" s="726"/>
      <c r="O102" s="919"/>
      <c r="P102" s="919"/>
      <c r="Q102" s="919"/>
      <c r="R102" s="919"/>
      <c r="S102" s="919"/>
    </row>
    <row r="103">
      <c r="A103" s="726"/>
      <c r="B103" s="726"/>
      <c r="C103" s="726"/>
      <c r="D103" s="726"/>
      <c r="E103" s="726"/>
      <c r="F103" s="726"/>
      <c r="G103" s="726"/>
      <c r="H103" s="726"/>
      <c r="I103" s="726"/>
      <c r="J103" s="726"/>
      <c r="K103" s="726"/>
      <c r="L103" s="726"/>
      <c r="M103" s="726"/>
      <c r="N103" s="726"/>
      <c r="O103" s="919"/>
      <c r="P103" s="919"/>
      <c r="Q103" s="919"/>
      <c r="R103" s="919"/>
      <c r="S103" s="919"/>
    </row>
    <row r="104">
      <c r="A104" s="726"/>
      <c r="B104" s="726"/>
      <c r="C104" s="726"/>
      <c r="D104" s="726"/>
      <c r="E104" s="726"/>
      <c r="F104" s="726"/>
      <c r="G104" s="726"/>
      <c r="H104" s="726"/>
      <c r="I104" s="726"/>
      <c r="J104" s="726"/>
      <c r="K104" s="726"/>
      <c r="L104" s="726"/>
      <c r="M104" s="726"/>
      <c r="N104" s="726"/>
      <c r="O104" s="919"/>
      <c r="P104" s="919"/>
      <c r="Q104" s="919"/>
      <c r="R104" s="919"/>
      <c r="S104" s="919"/>
    </row>
    <row r="105">
      <c r="A105" s="727" t="s">
        <v>1221</v>
      </c>
      <c r="B105" s="727"/>
      <c r="C105" s="727"/>
      <c r="D105" s="727"/>
      <c r="E105" s="727"/>
      <c r="F105" s="727"/>
      <c r="G105" s="727"/>
      <c r="H105" s="727" t="s">
        <v>1222</v>
      </c>
      <c r="I105" s="727"/>
      <c r="J105" s="727"/>
      <c r="K105" s="727"/>
      <c r="L105" s="727"/>
      <c r="M105" s="727"/>
      <c r="N105" s="727"/>
      <c r="O105" s="919"/>
      <c r="P105" s="919"/>
      <c r="Q105" s="919"/>
      <c r="R105" s="919"/>
      <c r="S105" s="919"/>
    </row>
    <row r="106">
      <c r="A106" s="726" t="s">
        <v>1223</v>
      </c>
      <c r="B106" s="726"/>
      <c r="C106" s="726"/>
      <c r="D106" s="726"/>
      <c r="E106" s="726"/>
      <c r="F106" s="726"/>
      <c r="G106" s="726"/>
      <c r="H106" s="726" t="s">
        <v>1224</v>
      </c>
      <c r="I106" s="726"/>
      <c r="J106" s="726"/>
      <c r="K106" s="726"/>
      <c r="L106" s="726"/>
      <c r="M106" s="726"/>
      <c r="N106" s="726"/>
      <c r="O106" s="919"/>
      <c r="P106" s="919"/>
      <c r="Q106" s="919"/>
      <c r="R106" s="919"/>
      <c r="S106" s="919"/>
    </row>
    <row r="107">
      <c r="A107" s="726"/>
      <c r="B107" s="726"/>
      <c r="C107" s="726"/>
      <c r="D107" s="726"/>
      <c r="E107" s="726"/>
      <c r="F107" s="726"/>
      <c r="G107" s="726"/>
      <c r="H107" s="726"/>
      <c r="I107" s="726"/>
      <c r="J107" s="726"/>
      <c r="K107" s="726"/>
      <c r="L107" s="726"/>
      <c r="M107" s="726"/>
      <c r="N107" s="726"/>
      <c r="O107" s="919"/>
      <c r="P107" s="919"/>
      <c r="Q107" s="919"/>
      <c r="R107" s="919"/>
      <c r="S107" s="919"/>
    </row>
    <row r="108">
      <c r="A108" s="726"/>
      <c r="B108" s="726"/>
      <c r="C108" s="726"/>
      <c r="D108" s="726"/>
      <c r="E108" s="726"/>
      <c r="F108" s="726"/>
      <c r="G108" s="726"/>
      <c r="H108" s="726"/>
      <c r="I108" s="726"/>
      <c r="J108" s="726"/>
      <c r="K108" s="726"/>
      <c r="L108" s="726"/>
      <c r="M108" s="726"/>
      <c r="N108" s="726"/>
      <c r="O108" s="919"/>
      <c r="P108" s="919"/>
      <c r="Q108" s="919"/>
      <c r="R108" s="919"/>
      <c r="S108" s="919"/>
    </row>
    <row r="109">
      <c r="A109" s="726"/>
      <c r="B109" s="726"/>
      <c r="C109" s="726"/>
      <c r="D109" s="726"/>
      <c r="E109" s="726"/>
      <c r="F109" s="726"/>
      <c r="G109" s="726"/>
      <c r="H109" s="726"/>
      <c r="I109" s="726"/>
      <c r="J109" s="726"/>
      <c r="K109" s="726"/>
      <c r="L109" s="726"/>
      <c r="M109" s="726"/>
      <c r="N109" s="726"/>
      <c r="O109" s="919"/>
      <c r="P109" s="919"/>
      <c r="Q109" s="919"/>
      <c r="R109" s="919"/>
      <c r="S109" s="919"/>
    </row>
    <row r="110">
      <c r="A110" s="726"/>
      <c r="B110" s="726"/>
      <c r="C110" s="726"/>
      <c r="D110" s="726"/>
      <c r="E110" s="726"/>
      <c r="F110" s="726"/>
      <c r="G110" s="726"/>
      <c r="H110" s="726"/>
      <c r="I110" s="726"/>
      <c r="J110" s="726"/>
      <c r="K110" s="726"/>
      <c r="L110" s="726"/>
      <c r="M110" s="726"/>
      <c r="N110" s="726"/>
      <c r="O110" s="919"/>
      <c r="P110" s="919"/>
      <c r="Q110" s="919"/>
      <c r="R110" s="919"/>
      <c r="S110" s="919"/>
    </row>
    <row r="111">
      <c r="A111" s="726"/>
      <c r="B111" s="726"/>
      <c r="C111" s="726"/>
      <c r="D111" s="726"/>
      <c r="E111" s="726"/>
      <c r="F111" s="726"/>
      <c r="G111" s="726"/>
      <c r="H111" s="726"/>
      <c r="I111" s="726"/>
      <c r="J111" s="726"/>
      <c r="K111" s="726"/>
      <c r="L111" s="726"/>
      <c r="M111" s="726"/>
      <c r="N111" s="726"/>
      <c r="O111" s="919"/>
      <c r="P111" s="919"/>
      <c r="Q111" s="919"/>
      <c r="R111" s="919"/>
      <c r="S111" s="919"/>
    </row>
    <row r="112">
      <c r="A112" s="726"/>
      <c r="B112" s="726"/>
      <c r="C112" s="726"/>
      <c r="D112" s="726"/>
      <c r="E112" s="726"/>
      <c r="F112" s="726"/>
      <c r="G112" s="726"/>
      <c r="H112" s="726"/>
      <c r="I112" s="726"/>
      <c r="J112" s="726"/>
      <c r="K112" s="726"/>
      <c r="L112" s="726"/>
      <c r="M112" s="726"/>
      <c r="N112" s="726"/>
      <c r="O112" s="919"/>
      <c r="P112" s="919"/>
      <c r="Q112" s="919"/>
      <c r="R112" s="919"/>
      <c r="S112" s="919"/>
    </row>
    <row r="113">
      <c r="A113" s="726"/>
      <c r="B113" s="726"/>
      <c r="C113" s="726"/>
      <c r="D113" s="726"/>
      <c r="E113" s="726"/>
      <c r="F113" s="726"/>
      <c r="G113" s="726"/>
      <c r="H113" s="726"/>
      <c r="I113" s="726"/>
      <c r="J113" s="726"/>
      <c r="K113" s="726"/>
      <c r="L113" s="726"/>
      <c r="M113" s="726"/>
      <c r="N113" s="726"/>
      <c r="O113" s="919"/>
      <c r="P113" s="919"/>
      <c r="Q113" s="919"/>
      <c r="R113" s="919"/>
      <c r="S113" s="919"/>
    </row>
    <row r="114" ht="14.5">
      <c r="A114" s="574"/>
      <c r="B114" s="574"/>
      <c r="C114" s="574"/>
      <c r="D114" s="574"/>
      <c r="E114" s="574"/>
      <c r="F114" s="574"/>
      <c r="G114" s="574"/>
      <c r="H114" s="574"/>
      <c r="I114" s="574"/>
      <c r="J114" s="574"/>
      <c r="K114" s="574"/>
      <c r="L114" s="574"/>
      <c r="M114" s="574"/>
      <c r="N114" s="574"/>
      <c r="O114" s="919"/>
      <c r="P114" s="919"/>
      <c r="Q114" s="919"/>
      <c r="R114" s="919"/>
      <c r="S114" s="919"/>
    </row>
    <row r="115">
      <c r="A115" s="728" t="s">
        <v>1225</v>
      </c>
      <c r="B115" s="729"/>
      <c r="C115" s="729"/>
      <c r="D115" s="729"/>
      <c r="E115" s="729"/>
      <c r="F115" s="729"/>
      <c r="G115" s="729"/>
      <c r="H115" s="729"/>
      <c r="I115" s="729"/>
      <c r="J115" s="729"/>
      <c r="K115" s="729"/>
      <c r="L115" s="729"/>
      <c r="M115" s="729"/>
      <c r="N115" s="730"/>
      <c r="O115" s="919"/>
      <c r="P115" s="919"/>
      <c r="Q115" s="919"/>
      <c r="R115" s="919"/>
      <c r="S115" s="919"/>
    </row>
    <row r="116" ht="24" customHeight="1">
      <c r="A116" s="859"/>
      <c r="B116" s="860"/>
      <c r="C116" s="860"/>
      <c r="D116" s="860"/>
      <c r="E116" s="860"/>
      <c r="F116" s="860"/>
      <c r="G116" s="860"/>
      <c r="H116" s="860"/>
      <c r="I116" s="860"/>
      <c r="J116" s="860"/>
      <c r="K116" s="860"/>
      <c r="L116" s="860"/>
      <c r="M116" s="860"/>
      <c r="N116" s="861"/>
      <c r="O116" s="765"/>
      <c r="P116" s="765"/>
      <c r="Q116" s="765"/>
      <c r="R116" s="765"/>
      <c r="S116" s="765"/>
    </row>
    <row r="117" ht="24" customHeight="1">
      <c r="A117" s="862"/>
      <c r="B117" s="863"/>
      <c r="C117" s="863"/>
      <c r="D117" s="863"/>
      <c r="E117" s="863"/>
      <c r="F117" s="863"/>
      <c r="G117" s="863"/>
      <c r="H117" s="863"/>
      <c r="I117" s="863"/>
      <c r="J117" s="863"/>
      <c r="K117" s="863"/>
      <c r="L117" s="863"/>
      <c r="M117" s="863"/>
      <c r="N117" s="864"/>
      <c r="O117" s="765"/>
      <c r="P117" s="765"/>
      <c r="Q117" s="765"/>
      <c r="R117" s="765"/>
      <c r="S117" s="765"/>
    </row>
    <row r="118" ht="26" customHeight="1">
      <c r="A118" s="920" t="s">
        <v>1226</v>
      </c>
      <c r="B118" s="920"/>
      <c r="C118" s="920"/>
      <c r="D118" s="920"/>
      <c r="E118" s="920"/>
      <c r="F118" s="920"/>
      <c r="G118" s="920"/>
      <c r="H118" s="920"/>
      <c r="I118" s="920"/>
      <c r="J118" s="920"/>
      <c r="K118" s="920"/>
      <c r="L118" s="920"/>
      <c r="M118" s="920"/>
      <c r="N118" s="920"/>
      <c r="O118" s="920"/>
      <c r="P118" s="920"/>
      <c r="Q118" s="920"/>
      <c r="R118" s="920"/>
      <c r="S118" s="920"/>
    </row>
    <row r="119">
      <c r="A119" s="865"/>
      <c r="B119" s="865"/>
      <c r="C119" s="865"/>
      <c r="D119" s="865"/>
      <c r="E119" s="865"/>
      <c r="F119" s="865"/>
      <c r="G119" s="865"/>
      <c r="H119" s="865"/>
      <c r="I119" s="865"/>
      <c r="J119" s="865"/>
      <c r="K119" s="865"/>
      <c r="L119" s="865"/>
      <c r="M119" s="865"/>
      <c r="N119" s="865"/>
      <c r="O119" s="765"/>
      <c r="P119" s="765"/>
      <c r="Q119" s="765"/>
      <c r="R119" s="765"/>
      <c r="S119" s="765"/>
    </row>
    <row r="120" ht="14.5">
      <c r="A120" s="779" t="s">
        <v>1227</v>
      </c>
      <c r="B120" s="779"/>
      <c r="C120" s="779"/>
      <c r="D120" s="779"/>
      <c r="E120" s="779"/>
      <c r="F120" s="779"/>
      <c r="G120" s="779"/>
      <c r="H120" s="779"/>
      <c r="I120" s="779"/>
      <c r="J120" s="779"/>
      <c r="K120" s="779"/>
      <c r="L120" s="779"/>
      <c r="M120" s="779"/>
      <c r="N120" s="779"/>
      <c r="O120" s="765"/>
      <c r="P120" s="765"/>
      <c r="Q120" s="765"/>
      <c r="R120" s="765"/>
      <c r="S120" s="765"/>
    </row>
    <row r="121">
      <c r="A121" s="780"/>
      <c r="B121" s="780"/>
      <c r="C121" s="780"/>
      <c r="D121" s="780"/>
      <c r="E121" s="780"/>
      <c r="F121" s="780"/>
      <c r="G121" s="780"/>
      <c r="H121" s="780"/>
      <c r="I121" s="780"/>
      <c r="J121" s="780"/>
      <c r="K121" s="780"/>
      <c r="L121" s="780"/>
      <c r="M121" s="780"/>
      <c r="N121" s="780"/>
      <c r="O121" s="765"/>
      <c r="P121" s="765"/>
      <c r="Q121" s="765"/>
      <c r="R121" s="765"/>
      <c r="S121" s="765"/>
    </row>
    <row r="122">
      <c r="A122" s="792" t="s">
        <v>1228</v>
      </c>
      <c r="B122" s="792"/>
      <c r="C122" s="792"/>
      <c r="D122" s="792"/>
      <c r="E122" s="792" t="s">
        <v>515</v>
      </c>
      <c r="F122" s="792"/>
      <c r="G122" s="793" t="s">
        <v>1229</v>
      </c>
      <c r="H122" s="866"/>
      <c r="I122" s="866"/>
      <c r="J122" s="866"/>
      <c r="K122" s="866"/>
      <c r="L122" s="866"/>
      <c r="M122" s="866"/>
      <c r="N122" s="866"/>
      <c r="O122" s="765"/>
      <c r="P122" s="765"/>
      <c r="Q122" s="765"/>
      <c r="R122" s="765"/>
      <c r="S122" s="765"/>
    </row>
    <row r="123">
      <c r="A123" s="801" t="s">
        <v>1230</v>
      </c>
      <c r="B123" s="801"/>
      <c r="C123" s="801"/>
      <c r="D123" s="801"/>
      <c r="E123" s="804" t="n">
        <f>$A$9</f>
        <v>10</v>
      </c>
      <c r="F123" s="803"/>
      <c r="G123" s="867"/>
      <c r="H123" s="868"/>
      <c r="I123" s="868"/>
      <c r="J123" s="868"/>
      <c r="K123" s="868"/>
      <c r="L123" s="868"/>
      <c r="M123" s="868"/>
      <c r="N123" s="868"/>
      <c r="O123" s="765"/>
      <c r="P123" s="765"/>
      <c r="Q123" s="765"/>
      <c r="R123" s="765"/>
      <c r="S123" s="765"/>
    </row>
    <row r="124">
      <c r="A124" s="801" t="s">
        <v>1231</v>
      </c>
      <c r="B124" s="801"/>
      <c r="C124" s="801"/>
      <c r="D124" s="801"/>
      <c r="E124" s="804" t="n">
        <f>MAX(0,$E$127-$E$125-$E$126)</f>
        <v>22.000204914314725</v>
      </c>
      <c r="F124" s="803"/>
      <c r="G124" s="869" t="n">
        <f>IF($E$127=0,0,E124/$E$127)</f>
        <v>1</v>
      </c>
      <c r="H124" s="868"/>
      <c r="I124" s="868"/>
      <c r="J124" s="868"/>
      <c r="K124" s="868"/>
      <c r="L124" s="868"/>
      <c r="M124" s="868"/>
      <c r="N124" s="868"/>
      <c r="O124" s="765"/>
      <c r="P124" s="765"/>
      <c r="Q124" s="765"/>
      <c r="R124" s="765"/>
      <c r="S124" s="765"/>
    </row>
    <row r="125">
      <c r="A125" s="801" t="s">
        <v>1232</v>
      </c>
      <c r="B125" s="801"/>
      <c r="C125" s="801"/>
      <c r="D125" s="801"/>
      <c r="E125" s="804" t="n">
        <f>0</f>
        <v>0</v>
      </c>
      <c r="F125" s="803"/>
      <c r="G125" s="869" t="n">
        <f>IF($E$127=0,0,E125/$E$127)</f>
        <v>0</v>
      </c>
      <c r="H125" s="868"/>
      <c r="I125" s="868"/>
      <c r="J125" s="868"/>
      <c r="K125" s="868"/>
      <c r="L125" s="868"/>
      <c r="M125" s="868"/>
      <c r="N125" s="868"/>
      <c r="O125" s="765"/>
      <c r="P125" s="765"/>
      <c r="Q125" s="765"/>
      <c r="R125" s="765"/>
      <c r="S125" s="765"/>
    </row>
    <row r="126">
      <c r="A126" s="801" t="s">
        <v>1233</v>
      </c>
      <c r="B126" s="801"/>
      <c r="C126" s="801"/>
      <c r="D126" s="801"/>
      <c r="E126" s="802" t="n">
        <f>INDEX('VALUATION &amp; RETURNS'!$CV$62:$CV$69,MATCH($C$3,'VALUATION &amp; RETURNS'!$CQ$62:$CQ$69,0))</f>
        <v>0</v>
      </c>
      <c r="F126" s="803"/>
      <c r="G126" s="869" t="n">
        <f>IF($E$127=0,0,E126/$E$127)</f>
        <v>0</v>
      </c>
      <c r="H126" s="868"/>
      <c r="I126" s="868"/>
      <c r="J126" s="868"/>
      <c r="K126" s="868"/>
      <c r="L126" s="868"/>
      <c r="M126" s="868"/>
      <c r="N126" s="868"/>
      <c r="O126" s="765"/>
      <c r="P126" s="765"/>
      <c r="Q126" s="765"/>
      <c r="R126" s="765"/>
      <c r="S126" s="765"/>
    </row>
    <row r="127">
      <c r="A127" s="828" t="s">
        <v>1234</v>
      </c>
      <c r="B127" s="828"/>
      <c r="C127" s="828"/>
      <c r="D127" s="828"/>
      <c r="E127" s="833" t="n">
        <f>$J$9</f>
        <v>22.000204914314725</v>
      </c>
      <c r="F127" s="832"/>
      <c r="G127" s="870" t="n">
        <f>SUM(G124:G126)</f>
        <v>1</v>
      </c>
      <c r="H127" s="868"/>
      <c r="I127" s="868"/>
      <c r="J127" s="868"/>
      <c r="K127" s="868"/>
      <c r="L127" s="868"/>
      <c r="M127" s="868"/>
      <c r="N127" s="868"/>
      <c r="O127" s="765"/>
      <c r="P127" s="765"/>
      <c r="Q127" s="765"/>
      <c r="R127" s="765"/>
      <c r="S127" s="765"/>
    </row>
    <row r="128">
      <c r="A128" s="828" t="s">
        <v>1235</v>
      </c>
      <c r="B128" s="828"/>
      <c r="C128" s="828"/>
      <c r="D128" s="828"/>
      <c r="E128" s="833" t="n">
        <f>$J$9-$A$9</f>
        <v>12.000204914314725</v>
      </c>
      <c r="F128" s="832"/>
      <c r="G128" s="870" t="n">
        <f>IF($A$9=0,0,$E$128/$A$9)</f>
        <v>1.2000204914314725</v>
      </c>
      <c r="H128" s="868"/>
      <c r="I128" s="868"/>
      <c r="J128" s="868"/>
      <c r="K128" s="868"/>
      <c r="L128" s="868"/>
      <c r="M128" s="868"/>
      <c r="N128" s="868"/>
      <c r="O128" s="765"/>
      <c r="P128" s="765"/>
      <c r="Q128" s="765"/>
      <c r="R128" s="765"/>
      <c r="S128" s="765"/>
    </row>
    <row r="129">
      <c r="A129" s="780"/>
      <c r="B129" s="780"/>
      <c r="C129" s="780"/>
      <c r="D129" s="780"/>
      <c r="E129" s="780"/>
      <c r="F129" s="780"/>
      <c r="G129" s="780"/>
      <c r="H129" s="780"/>
      <c r="I129" s="780"/>
      <c r="J129" s="780"/>
      <c r="K129" s="780"/>
      <c r="L129" s="780"/>
      <c r="M129" s="780"/>
      <c r="N129" s="780"/>
      <c r="O129" s="765"/>
      <c r="P129" s="765"/>
      <c r="Q129" s="765"/>
      <c r="R129" s="765"/>
      <c r="S129" s="765"/>
    </row>
    <row r="130">
      <c r="A130" s="871" t="str">
        <f>"RETURN INTERPRETATION | The selected investor value is based on the live "&amp;LOWER($I$3)&amp;" valuation case and the provisional pro-rata named investor register. No investor-specific interim distribution schedule is available. Total illustrated gain is "&amp;TEXT(($J$9-$A$9)/$A$9,"0.0%")&amp;" over "&amp;TEXT(('VALUATION &amp; RETURNS'!$C$45-'VALUATION &amp; RETURNS'!$C$43)/365,"0.0")&amp;" years. Model status: "&amp;$I$4&amp;"."</f>
        <v>RETURN INTERPRETATION | The selected investor value is based on the live base valuation case and the provisional pro-rata named investor register. No investor-specific interim distribution schedule is available. Total illustrated gain is 120.0% over 5.0 years. Model status: TECHNICALLY RECONCILED — OWNER DECISIONS OUTSTANDING.</v>
      </c>
      <c r="B130" s="872"/>
      <c r="C130" s="872"/>
      <c r="D130" s="872"/>
      <c r="E130" s="872"/>
      <c r="F130" s="872"/>
      <c r="G130" s="873"/>
      <c r="H130" s="868"/>
      <c r="I130" s="868"/>
      <c r="J130" s="868"/>
      <c r="K130" s="868"/>
      <c r="L130" s="868"/>
      <c r="M130" s="868"/>
      <c r="N130" s="868"/>
      <c r="O130" s="765"/>
      <c r="P130" s="765"/>
      <c r="Q130" s="765"/>
      <c r="R130" s="765"/>
      <c r="S130" s="765"/>
    </row>
    <row r="131">
      <c r="A131" s="765"/>
      <c r="B131" s="765"/>
      <c r="C131" s="765"/>
      <c r="D131" s="765"/>
      <c r="E131" s="765"/>
      <c r="F131" s="765"/>
      <c r="G131" s="765"/>
      <c r="H131" s="765"/>
      <c r="I131" s="765"/>
      <c r="J131" s="765"/>
      <c r="K131" s="765"/>
      <c r="L131" s="765"/>
      <c r="M131" s="765"/>
      <c r="N131" s="765"/>
      <c r="O131" s="765"/>
      <c r="P131" s="765"/>
      <c r="Q131" s="765"/>
      <c r="R131" s="765"/>
      <c r="S131" s="765"/>
    </row>
    <row r="132">
      <c r="A132" s="765"/>
      <c r="B132" s="765"/>
      <c r="C132" s="765"/>
      <c r="D132" s="765"/>
      <c r="E132" s="765"/>
      <c r="F132" s="765"/>
      <c r="G132" s="765"/>
      <c r="H132" s="765"/>
      <c r="I132" s="765"/>
      <c r="J132" s="765"/>
      <c r="K132" s="765"/>
      <c r="L132" s="765"/>
      <c r="M132" s="765"/>
      <c r="N132" s="765"/>
      <c r="O132" s="765"/>
      <c r="P132" s="765"/>
      <c r="Q132" s="765"/>
      <c r="R132" s="765"/>
      <c r="S132" s="765"/>
    </row>
    <row r="133" ht="14.5">
      <c r="A133" s="779" t="s">
        <v>1236</v>
      </c>
      <c r="B133" s="779"/>
      <c r="C133" s="779"/>
      <c r="D133" s="779"/>
      <c r="E133" s="779"/>
      <c r="F133" s="779"/>
      <c r="G133" s="779"/>
      <c r="H133" s="779"/>
      <c r="I133" s="779"/>
      <c r="J133" s="779"/>
      <c r="K133" s="779"/>
      <c r="L133" s="779"/>
      <c r="M133" s="779"/>
      <c r="N133" s="779"/>
      <c r="O133" s="765"/>
      <c r="P133" s="765"/>
      <c r="Q133" s="765"/>
      <c r="R133" s="765"/>
      <c r="S133" s="765"/>
    </row>
    <row r="134">
      <c r="A134" s="780"/>
      <c r="B134" s="780"/>
      <c r="C134" s="780"/>
      <c r="D134" s="780"/>
      <c r="E134" s="780"/>
      <c r="F134" s="780"/>
      <c r="G134" s="780"/>
      <c r="H134" s="780"/>
      <c r="I134" s="780"/>
      <c r="J134" s="780"/>
      <c r="K134" s="780"/>
      <c r="L134" s="780"/>
      <c r="M134" s="780"/>
      <c r="N134" s="780"/>
      <c r="O134" s="765"/>
      <c r="P134" s="765"/>
      <c r="Q134" s="765"/>
      <c r="R134" s="765"/>
      <c r="S134" s="765"/>
    </row>
    <row r="135">
      <c r="A135" s="792" t="s">
        <v>1237</v>
      </c>
      <c r="B135" s="792"/>
      <c r="C135" s="792"/>
      <c r="D135" s="792" t="s">
        <v>1238</v>
      </c>
      <c r="E135" s="792"/>
      <c r="F135" s="793" t="s">
        <v>1239</v>
      </c>
      <c r="G135" s="793" t="s">
        <v>1240</v>
      </c>
      <c r="H135" s="793" t="s">
        <v>833</v>
      </c>
      <c r="I135" s="793" t="s">
        <v>1241</v>
      </c>
      <c r="J135" s="874" t="str">
        <f>"The selected investor provides "&amp;TEXT($A$9/'VALUATION &amp; RETURNS'!$G$34,"0.0%")&amp;" of the provisional named investor register. Ownership moves from "&amp;TEXT($H$136,"0.00%")&amp;" after the initial close to "&amp;TEXT($H$138,"0.00%")&amp;" on the current pro-rata funding assumption. The selected valuation case is "&amp;$I$3&amp;". Share issue prices and legal dilution mechanics remain unconfirmed."</f>
        <v>The selected investor provides 4.9% of the provisional named investor register. Ownership moves from 4.86% after the initial close to 4.86% on the current pro-rata funding assumption. The selected valuation case is Base. Share issue prices and legal dilution mechanics remain unconfirmed.</v>
      </c>
      <c r="K135" s="875"/>
      <c r="L135" s="875"/>
      <c r="M135" s="875"/>
      <c r="N135" s="876"/>
      <c r="O135" s="765"/>
      <c r="P135" s="765"/>
      <c r="Q135" s="765"/>
      <c r="R135" s="765"/>
      <c r="S135" s="765"/>
    </row>
    <row r="136">
      <c r="A136" s="801" t="s">
        <v>1242</v>
      </c>
      <c r="B136" s="801"/>
      <c r="C136" s="801"/>
      <c r="D136" s="802" t="n">
        <f>INDEX('VALUATION &amp; RETURNS'!$D$26:$D$33,MATCH($C$3,'VALUATION &amp; RETURNS'!$B$26:$B$33,0))</f>
        <v>10</v>
      </c>
      <c r="E136" s="803"/>
      <c r="F136" s="877" t="str">
        <f>""</f>
      </c>
      <c r="G136" s="877" t="str">
        <f>""</f>
      </c>
      <c r="H136" s="806" t="n">
        <f>IF(SUM('VALUATION &amp; RETURNS'!$D$26:$D$33)=0,0,INDEX('VALUATION &amp; RETURNS'!$D$26:$D$33,MATCH($C$3,'VALUATION &amp; RETURNS'!$B$26:$B$33,0))/SUM('VALUATION &amp; RETURNS'!$D$26:$D$33))</f>
        <v>0.04860510225047394</v>
      </c>
      <c r="I136" s="869" t="n">
        <f>IF($A$9=0,0,D136/$A$9)</f>
        <v>1</v>
      </c>
      <c r="J136" s="878"/>
      <c r="K136" s="879"/>
      <c r="L136" s="879"/>
      <c r="M136" s="879"/>
      <c r="N136" s="880"/>
      <c r="O136" s="765"/>
      <c r="P136" s="765"/>
      <c r="Q136" s="765"/>
      <c r="R136" s="765"/>
      <c r="S136" s="765"/>
    </row>
    <row r="137">
      <c r="A137" s="801" t="s">
        <v>1243</v>
      </c>
      <c r="B137" s="801"/>
      <c r="C137" s="801"/>
      <c r="D137" s="802" t="n">
        <f>INDEX('VALUATION &amp; RETURNS'!$E$26:$E$33,MATCH($C$3,'VALUATION &amp; RETURNS'!$B$26:$B$33,0))</f>
        <v>0</v>
      </c>
      <c r="E137" s="803"/>
      <c r="F137" s="877" t="str">
        <f>""</f>
      </c>
      <c r="G137" s="877" t="str">
        <f>""</f>
      </c>
      <c r="H137" s="806" t="n">
        <f>IF(SUM('VALUATION &amp; RETURNS'!$D$26:$E$33)=0,0,(INDEX('VALUATION &amp; RETURNS'!$D$26:$D$33,MATCH($C$3,'VALUATION &amp; RETURNS'!$B$26:$B$33,0))+INDEX('VALUATION &amp; RETURNS'!$E$26:$E$33,MATCH($C$3,'VALUATION &amp; RETURNS'!$B$26:$B$33,0)))/SUM('VALUATION &amp; RETURNS'!$D$26:$E$33))</f>
        <v>0.04860510225047394</v>
      </c>
      <c r="I137" s="869" t="n">
        <f>IF($A$9=0,0,D137/$A$9)</f>
        <v>0</v>
      </c>
      <c r="J137" s="878"/>
      <c r="K137" s="879"/>
      <c r="L137" s="879"/>
      <c r="M137" s="879"/>
      <c r="N137" s="880"/>
      <c r="O137" s="765"/>
      <c r="P137" s="765"/>
      <c r="Q137" s="765"/>
      <c r="R137" s="765"/>
      <c r="S137" s="765"/>
    </row>
    <row r="138">
      <c r="A138" s="801" t="s">
        <v>1244</v>
      </c>
      <c r="B138" s="801"/>
      <c r="C138" s="801"/>
      <c r="D138" s="802" t="n">
        <f>INDEX('VALUATION &amp; RETURNS'!$F$26:$F$33,MATCH($C$3,'VALUATION &amp; RETURNS'!$B$26:$B$33,0))</f>
        <v>0</v>
      </c>
      <c r="E138" s="803"/>
      <c r="F138" s="877" t="str">
        <f>""</f>
      </c>
      <c r="G138" s="877" t="str">
        <f>""</f>
      </c>
      <c r="H138" s="806" t="n">
        <f>IF(SUM('VALUATION &amp; RETURNS'!$G$26:$G$33)=0,0,INDEX('VALUATION &amp; RETURNS'!$G$26:$G$33,MATCH($C$3,'VALUATION &amp; RETURNS'!$B$26:$B$33,0))/SUM('VALUATION &amp; RETURNS'!$G$26:$G$33))</f>
        <v>0.04860510225047404</v>
      </c>
      <c r="I138" s="869" t="n">
        <f>IF($A$9=0,0,D138/$A$9)</f>
        <v>0</v>
      </c>
      <c r="J138" s="881"/>
      <c r="K138" s="882"/>
      <c r="L138" s="882"/>
      <c r="M138" s="882"/>
      <c r="N138" s="883"/>
      <c r="O138" s="765"/>
      <c r="P138" s="765"/>
      <c r="Q138" s="765"/>
      <c r="R138" s="765"/>
      <c r="S138" s="765"/>
    </row>
    <row r="139">
      <c r="A139" s="765"/>
      <c r="B139" s="765"/>
      <c r="C139" s="765"/>
      <c r="D139" s="765"/>
      <c r="E139" s="765"/>
      <c r="F139" s="765"/>
      <c r="G139" s="765"/>
      <c r="H139" s="765"/>
      <c r="I139" s="765"/>
      <c r="J139" s="765"/>
      <c r="K139" s="765"/>
      <c r="L139" s="765"/>
      <c r="M139" s="765"/>
      <c r="N139" s="765"/>
      <c r="O139" s="765"/>
      <c r="P139" s="765"/>
      <c r="Q139" s="765"/>
      <c r="R139" s="765"/>
      <c r="S139" s="765"/>
    </row>
    <row r="140">
      <c r="A140" s="765"/>
      <c r="B140" s="765"/>
      <c r="C140" s="765"/>
      <c r="D140" s="765"/>
      <c r="E140" s="765"/>
      <c r="F140" s="765"/>
      <c r="G140" s="765"/>
      <c r="H140" s="765"/>
      <c r="I140" s="765"/>
      <c r="J140" s="765"/>
      <c r="K140" s="765"/>
      <c r="L140" s="765"/>
      <c r="M140" s="765"/>
      <c r="N140" s="765"/>
      <c r="O140" s="765"/>
      <c r="P140" s="765"/>
      <c r="Q140" s="765"/>
      <c r="R140" s="765"/>
      <c r="S140" s="765"/>
    </row>
    <row r="141" ht="16">
      <c r="A141" s="764" t="s">
        <v>1245</v>
      </c>
      <c r="B141" s="764"/>
      <c r="C141" s="764"/>
      <c r="D141" s="764"/>
      <c r="E141" s="764"/>
      <c r="F141" s="764"/>
      <c r="G141" s="764"/>
      <c r="H141" s="764"/>
      <c r="I141" s="764"/>
      <c r="J141" s="764"/>
      <c r="K141" s="764"/>
      <c r="L141" s="764"/>
      <c r="M141" s="764"/>
      <c r="N141" s="764"/>
      <c r="O141" s="765"/>
      <c r="P141" s="765"/>
      <c r="Q141" s="765"/>
      <c r="R141" s="765"/>
      <c r="S141" s="765"/>
    </row>
    <row r="142">
      <c r="A142" s="767" t="str">
        <f>"The project-level economics supporting the selected "&amp;LOWER($I$3)&amp;" return for "&amp;$C$3&amp;" are shown below. Currency: A$m unless stated."</f>
        <v>The project-level economics supporting the selected base return for David Gifford are shown below. Currency: A$m unless stated.</v>
      </c>
      <c r="B142" s="767"/>
      <c r="C142" s="767"/>
      <c r="D142" s="767"/>
      <c r="E142" s="767"/>
      <c r="F142" s="767"/>
      <c r="G142" s="767"/>
      <c r="H142" s="767"/>
      <c r="I142" s="767"/>
      <c r="J142" s="767"/>
      <c r="K142" s="767"/>
      <c r="L142" s="767"/>
      <c r="M142" s="767"/>
      <c r="N142" s="767"/>
      <c r="O142" s="765"/>
      <c r="P142" s="765"/>
      <c r="Q142" s="765"/>
      <c r="R142" s="765"/>
      <c r="S142" s="765"/>
    </row>
    <row r="143">
      <c r="A143" s="780"/>
      <c r="B143" s="780"/>
      <c r="C143" s="780"/>
      <c r="D143" s="780"/>
      <c r="E143" s="780"/>
      <c r="F143" s="780"/>
      <c r="G143" s="780"/>
      <c r="H143" s="780"/>
      <c r="I143" s="780"/>
      <c r="J143" s="780"/>
      <c r="K143" s="780"/>
      <c r="L143" s="780"/>
      <c r="M143" s="780"/>
      <c r="N143" s="780"/>
      <c r="O143" s="765"/>
      <c r="P143" s="765"/>
      <c r="Q143" s="765"/>
      <c r="R143" s="765"/>
      <c r="S143" s="765"/>
    </row>
    <row r="144" ht="14.5">
      <c r="A144" s="779" t="s">
        <v>1246</v>
      </c>
      <c r="B144" s="779"/>
      <c r="C144" s="779"/>
      <c r="D144" s="779"/>
      <c r="E144" s="779"/>
      <c r="F144" s="779"/>
      <c r="G144" s="779"/>
      <c r="H144" s="779"/>
      <c r="I144" s="779"/>
      <c r="J144" s="779"/>
      <c r="K144" s="779"/>
      <c r="L144" s="779"/>
      <c r="M144" s="779"/>
      <c r="N144" s="779"/>
      <c r="O144" s="765"/>
      <c r="P144" s="765"/>
      <c r="Q144" s="765"/>
      <c r="R144" s="765"/>
      <c r="S144" s="765"/>
    </row>
    <row r="145">
      <c r="A145" s="884" t="s">
        <v>354</v>
      </c>
      <c r="B145" s="884"/>
      <c r="C145" s="884"/>
      <c r="D145" s="884" t="s">
        <v>1247</v>
      </c>
      <c r="E145" s="884"/>
      <c r="F145" s="884"/>
      <c r="G145" s="884" t="s">
        <v>1248</v>
      </c>
      <c r="H145" s="884"/>
      <c r="I145" s="884"/>
      <c r="J145" s="884" t="s">
        <v>1249</v>
      </c>
      <c r="K145" s="884"/>
      <c r="L145" s="884"/>
      <c r="M145" s="884" t="s">
        <v>1250</v>
      </c>
      <c r="N145" s="884"/>
      <c r="O145" s="765"/>
      <c r="P145" s="765"/>
      <c r="Q145" s="765"/>
      <c r="R145" s="765"/>
      <c r="S145" s="765"/>
    </row>
    <row r="146">
      <c r="A146" s="885" t="n">
        <f>'VALUATION &amp; RETURNS'!$DA$15</f>
        <v>418.7585512846001</v>
      </c>
      <c r="B146" s="886"/>
      <c r="C146" s="886"/>
      <c r="D146" s="885" t="n">
        <f>'INVESTOR REPORT'!$F$43</f>
        <v>679.6470279122067</v>
      </c>
      <c r="E146" s="886"/>
      <c r="F146" s="886"/>
      <c r="G146" s="887" t="n">
        <f>D146-A146</f>
        <v>260.88847662760656</v>
      </c>
      <c r="H146" s="886"/>
      <c r="I146" s="886"/>
      <c r="J146" s="888" t="n">
        <f>IF(A146=0,0,D146/A146)</f>
        <v>1.6230045352561635</v>
      </c>
      <c r="K146" s="889"/>
      <c r="L146" s="889"/>
      <c r="M146" s="890" t="n">
        <f>IF(D146=0,0,Underwriting!$E$191/1000000/D146)</f>
        <v>-0.3134256829811721</v>
      </c>
      <c r="N146" s="891"/>
      <c r="O146" s="765"/>
      <c r="P146" s="765"/>
      <c r="Q146" s="765"/>
      <c r="R146" s="765"/>
      <c r="S146" s="765"/>
    </row>
    <row r="147">
      <c r="A147" s="886"/>
      <c r="B147" s="886"/>
      <c r="C147" s="886"/>
      <c r="D147" s="886"/>
      <c r="E147" s="886"/>
      <c r="F147" s="886"/>
      <c r="G147" s="886"/>
      <c r="H147" s="886"/>
      <c r="I147" s="886"/>
      <c r="J147" s="889"/>
      <c r="K147" s="889"/>
      <c r="L147" s="889"/>
      <c r="M147" s="891"/>
      <c r="N147" s="891"/>
      <c r="O147" s="765"/>
      <c r="P147" s="765"/>
      <c r="Q147" s="765"/>
      <c r="R147" s="765"/>
      <c r="S147" s="765"/>
    </row>
    <row r="148">
      <c r="A148" s="886"/>
      <c r="B148" s="886"/>
      <c r="C148" s="886"/>
      <c r="D148" s="886"/>
      <c r="E148" s="886"/>
      <c r="F148" s="886"/>
      <c r="G148" s="886"/>
      <c r="H148" s="886"/>
      <c r="I148" s="886"/>
      <c r="J148" s="889"/>
      <c r="K148" s="889"/>
      <c r="L148" s="889"/>
      <c r="M148" s="891"/>
      <c r="N148" s="891"/>
      <c r="O148" s="765"/>
      <c r="P148" s="765"/>
      <c r="Q148" s="765"/>
      <c r="R148" s="765"/>
      <c r="S148" s="765"/>
    </row>
    <row r="149">
      <c r="A149" s="892" t="s">
        <v>1251</v>
      </c>
      <c r="B149" s="892"/>
      <c r="C149" s="892"/>
      <c r="D149" s="892" t="s">
        <v>1252</v>
      </c>
      <c r="E149" s="892"/>
      <c r="F149" s="892"/>
      <c r="G149" s="892" t="s">
        <v>1253</v>
      </c>
      <c r="H149" s="892"/>
      <c r="I149" s="892"/>
      <c r="J149" s="892" t="s">
        <v>1254</v>
      </c>
      <c r="K149" s="892"/>
      <c r="L149" s="892"/>
      <c r="M149" s="892" t="s">
        <v>1255</v>
      </c>
      <c r="N149" s="892"/>
      <c r="O149" s="765"/>
      <c r="P149" s="765"/>
      <c r="Q149" s="765"/>
      <c r="R149" s="765"/>
      <c r="S149" s="765"/>
    </row>
    <row r="150">
      <c r="A150" s="780"/>
      <c r="B150" s="780"/>
      <c r="C150" s="780"/>
      <c r="D150" s="780"/>
      <c r="E150" s="780"/>
      <c r="F150" s="780"/>
      <c r="G150" s="780"/>
      <c r="H150" s="780"/>
      <c r="I150" s="780"/>
      <c r="J150" s="780"/>
      <c r="K150" s="780"/>
      <c r="L150" s="780"/>
      <c r="M150" s="780"/>
      <c r="N150" s="780"/>
      <c r="O150" s="765"/>
      <c r="P150" s="765"/>
      <c r="Q150" s="765"/>
      <c r="R150" s="765"/>
      <c r="S150" s="765"/>
    </row>
    <row r="151" ht="14.5">
      <c r="A151" s="779" t="s">
        <v>1256</v>
      </c>
      <c r="B151" s="779"/>
      <c r="C151" s="779"/>
      <c r="D151" s="779"/>
      <c r="E151" s="779"/>
      <c r="F151" s="779"/>
      <c r="G151" s="779"/>
      <c r="H151" s="779"/>
      <c r="I151" s="779"/>
      <c r="J151" s="779"/>
      <c r="K151" s="779"/>
      <c r="L151" s="779"/>
      <c r="M151" s="779"/>
      <c r="N151" s="779"/>
      <c r="O151" s="765"/>
      <c r="P151" s="765"/>
      <c r="Q151" s="765"/>
      <c r="R151" s="765"/>
      <c r="S151" s="765"/>
    </row>
    <row r="152">
      <c r="A152" s="780"/>
      <c r="B152" s="780"/>
      <c r="C152" s="780"/>
      <c r="D152" s="780"/>
      <c r="E152" s="780"/>
      <c r="F152" s="780"/>
      <c r="G152" s="780"/>
      <c r="H152" s="780"/>
      <c r="I152" s="780"/>
      <c r="J152" s="780"/>
      <c r="K152" s="780"/>
      <c r="L152" s="780"/>
      <c r="M152" s="780"/>
      <c r="N152" s="780"/>
      <c r="O152" s="765"/>
      <c r="P152" s="765"/>
      <c r="Q152" s="765"/>
      <c r="R152" s="765"/>
      <c r="S152" s="765"/>
    </row>
    <row r="153">
      <c r="A153" s="792" t="s">
        <v>1257</v>
      </c>
      <c r="B153" s="792"/>
      <c r="C153" s="792"/>
      <c r="D153" s="792"/>
      <c r="E153" s="792" t="s">
        <v>1036</v>
      </c>
      <c r="F153" s="792"/>
      <c r="G153" s="792" t="s">
        <v>1005</v>
      </c>
      <c r="H153" s="792"/>
      <c r="I153" s="866"/>
      <c r="J153" s="866"/>
      <c r="K153" s="866"/>
      <c r="L153" s="866"/>
      <c r="M153" s="866"/>
      <c r="N153" s="866"/>
      <c r="O153" s="765"/>
      <c r="P153" s="765"/>
      <c r="Q153" s="765"/>
      <c r="R153" s="765"/>
      <c r="S153" s="765"/>
    </row>
    <row r="154">
      <c r="A154" s="801" t="s">
        <v>1258</v>
      </c>
      <c r="B154" s="801"/>
      <c r="C154" s="801"/>
      <c r="D154" s="801"/>
      <c r="E154" s="802" t="n">
        <f>DEBT!$K$7/1000000</f>
        <v>209.36565023643186</v>
      </c>
      <c r="F154" s="803"/>
      <c r="G154" s="801" t="s">
        <v>1259</v>
      </c>
      <c r="H154" s="801"/>
      <c r="I154" s="868"/>
      <c r="J154" s="868"/>
      <c r="K154" s="868"/>
      <c r="L154" s="868"/>
      <c r="M154" s="868"/>
      <c r="N154" s="868"/>
      <c r="O154" s="765"/>
      <c r="P154" s="765"/>
      <c r="Q154" s="765"/>
      <c r="R154" s="765"/>
      <c r="S154" s="765"/>
    </row>
    <row r="155">
      <c r="A155" s="801" t="s">
        <v>746</v>
      </c>
      <c r="B155" s="801"/>
      <c r="C155" s="801"/>
      <c r="D155" s="801"/>
      <c r="E155" s="802" t="n">
        <f>SUM(INDEX(DEBT!$F$92:$DV$92,1,MATCH($M$3,DEBT!$F$64:$DV$64,1)),INDEX(DEBT!$F$110:$DV$110,1,MATCH($M$3,DEBT!$F$64:$DV$64,1)),INDEX(DEBT!$F$128:$DV$128,1,MATCH($M$3,DEBT!$F$64:$DV$64,1)))/1000000</f>
        <v>192.4791117946737</v>
      </c>
      <c r="F155" s="803"/>
      <c r="G155" s="801" t="s">
        <v>1260</v>
      </c>
      <c r="H155" s="801"/>
      <c r="I155" s="868"/>
      <c r="J155" s="868"/>
      <c r="K155" s="868"/>
      <c r="L155" s="868"/>
      <c r="M155" s="868"/>
      <c r="N155" s="868"/>
      <c r="O155" s="765"/>
      <c r="P155" s="765"/>
      <c r="Q155" s="765"/>
      <c r="R155" s="765"/>
      <c r="S155" s="765"/>
    </row>
    <row r="156">
      <c r="A156" s="801" t="s">
        <v>1261</v>
      </c>
      <c r="B156" s="801"/>
      <c r="C156" s="801"/>
      <c r="D156" s="801"/>
      <c r="E156" s="804" t="n">
        <f>MAX(0,E154-E155)</f>
        <v>16.886538441758148</v>
      </c>
      <c r="F156" s="803"/>
      <c r="G156" s="801" t="s">
        <v>1262</v>
      </c>
      <c r="H156" s="801"/>
      <c r="I156" s="868"/>
      <c r="J156" s="868"/>
      <c r="K156" s="868"/>
      <c r="L156" s="868"/>
      <c r="M156" s="868"/>
      <c r="N156" s="868"/>
      <c r="O156" s="765"/>
      <c r="P156" s="765"/>
      <c r="Q156" s="765"/>
      <c r="R156" s="765"/>
      <c r="S156" s="765"/>
    </row>
    <row r="157">
      <c r="A157" s="801" t="s">
        <v>1263</v>
      </c>
      <c r="B157" s="801"/>
      <c r="C157" s="801"/>
      <c r="D157" s="801"/>
      <c r="E157" s="893" t="n">
        <f>DEBT!$K$17</f>
        <v>3.991703485831749</v>
      </c>
      <c r="F157" s="894"/>
      <c r="G157" s="801" t="s">
        <v>1264</v>
      </c>
      <c r="H157" s="801"/>
      <c r="I157" s="868"/>
      <c r="J157" s="868"/>
      <c r="K157" s="868"/>
      <c r="L157" s="868"/>
      <c r="M157" s="868"/>
      <c r="N157" s="868"/>
      <c r="O157" s="765"/>
      <c r="P157" s="765"/>
      <c r="Q157" s="765"/>
      <c r="R157" s="765"/>
      <c r="S157" s="765"/>
    </row>
    <row r="158">
      <c r="A158" s="801" t="s">
        <v>1265</v>
      </c>
      <c r="B158" s="801"/>
      <c r="C158" s="801"/>
      <c r="D158" s="801"/>
      <c r="E158" s="893" t="n">
        <f>DEBT!$K$18</f>
        <v>9.967454522221619</v>
      </c>
      <c r="F158" s="894"/>
      <c r="G158" s="801" t="s">
        <v>1266</v>
      </c>
      <c r="H158" s="801"/>
      <c r="I158" s="868"/>
      <c r="J158" s="868"/>
      <c r="K158" s="868"/>
      <c r="L158" s="868"/>
      <c r="M158" s="868"/>
      <c r="N158" s="868"/>
      <c r="O158" s="765"/>
      <c r="P158" s="765"/>
      <c r="Q158" s="765"/>
      <c r="R158" s="765"/>
      <c r="S158" s="765"/>
    </row>
    <row r="159">
      <c r="A159" s="801" t="s">
        <v>1267</v>
      </c>
      <c r="B159" s="801"/>
      <c r="C159" s="801"/>
      <c r="D159" s="801"/>
      <c r="E159" s="802" t="n">
        <f>(SUMIFS(DEBT!$F$145:$DV$145,DEBT!$F$64:$DV$64,"&gt;"&amp;EOMONTH(DEBT!$B$35,-12),DEBT!$F$64:$DV$64,"&lt;="&amp;DEBT!$B$35)+SUMIFS(DEBT!$F$146:$DV$146,DEBT!$F$64:$DV$64,"&gt;"&amp;EOMONTH(DEBT!$B$35,-12),DEBT!$F$64:$DV$64,"&lt;="&amp;DEBT!$B$35)+SUMIFS(DEBT!$F$147:$DV$147,DEBT!$F$64:$DV$64,"&gt;"&amp;EOMONTH(DEBT!$B$35,-12),DEBT!$F$64:$DV$64,"&lt;="&amp;DEBT!$B$35)+SUMIFS(DEBT!$F$148:$DV$148,DEBT!$F$64:$DV$64,"&gt;"&amp;EOMONTH(DEBT!$B$35,-12),DEBT!$F$64:$DV$64,"&lt;="&amp;DEBT!$B$35)+SUMIFS(DEBT!$F$149:$DV$149,DEBT!$F$64:$DV$64,"&gt;"&amp;EOMONTH(DEBT!$B$35,-12),DEBT!$F$64:$DV$64,"&lt;="&amp;DEBT!$B$35))/1000000</f>
        <v>13.036639780092592</v>
      </c>
      <c r="F159" s="803"/>
      <c r="G159" s="801" t="s">
        <v>1268</v>
      </c>
      <c r="H159" s="801"/>
      <c r="I159" s="868"/>
      <c r="J159" s="868"/>
      <c r="K159" s="868"/>
      <c r="L159" s="868"/>
      <c r="M159" s="868"/>
      <c r="N159" s="868"/>
      <c r="O159" s="765"/>
      <c r="P159" s="765"/>
      <c r="Q159" s="765"/>
      <c r="R159" s="765"/>
      <c r="S159" s="765"/>
    </row>
    <row r="160">
      <c r="A160" s="801" t="s">
        <v>1269</v>
      </c>
      <c r="B160" s="801"/>
      <c r="C160" s="801"/>
      <c r="D160" s="801"/>
      <c r="E160" s="825" t="n">
        <f>DEBT!$K$21</f>
        <v>48060</v>
      </c>
      <c r="F160" s="826"/>
      <c r="G160" s="801" t="s">
        <v>1270</v>
      </c>
      <c r="H160" s="801"/>
      <c r="I160" s="868"/>
      <c r="J160" s="868"/>
      <c r="K160" s="868"/>
      <c r="L160" s="868"/>
      <c r="M160" s="868"/>
      <c r="N160" s="868"/>
      <c r="O160" s="765"/>
      <c r="P160" s="765"/>
      <c r="Q160" s="765"/>
      <c r="R160" s="765"/>
      <c r="S160" s="765"/>
    </row>
    <row r="161">
      <c r="A161" s="780"/>
      <c r="B161" s="780"/>
      <c r="C161" s="780"/>
      <c r="D161" s="780"/>
      <c r="E161" s="780"/>
      <c r="F161" s="780"/>
      <c r="G161" s="780"/>
      <c r="H161" s="780"/>
      <c r="I161" s="780"/>
      <c r="J161" s="780"/>
      <c r="K161" s="780"/>
      <c r="L161" s="780"/>
      <c r="M161" s="780"/>
      <c r="N161" s="780"/>
      <c r="O161" s="765"/>
      <c r="P161" s="765"/>
      <c r="Q161" s="765"/>
      <c r="R161" s="765"/>
      <c r="S161" s="765"/>
    </row>
    <row r="162">
      <c r="A162" s="780"/>
      <c r="B162" s="780"/>
      <c r="C162" s="780"/>
      <c r="D162" s="780"/>
      <c r="E162" s="780"/>
      <c r="F162" s="780"/>
      <c r="G162" s="780"/>
      <c r="H162" s="780"/>
      <c r="I162" s="780"/>
      <c r="J162" s="780"/>
      <c r="K162" s="780"/>
      <c r="L162" s="780"/>
      <c r="M162" s="780"/>
      <c r="N162" s="780"/>
      <c r="O162" s="765"/>
      <c r="P162" s="765"/>
      <c r="Q162" s="765"/>
      <c r="R162" s="765"/>
      <c r="S162" s="765"/>
    </row>
    <row r="163" ht="14.5">
      <c r="A163" s="779" t="s">
        <v>1271</v>
      </c>
      <c r="B163" s="779"/>
      <c r="C163" s="779"/>
      <c r="D163" s="779"/>
      <c r="E163" s="779"/>
      <c r="F163" s="779"/>
      <c r="G163" s="779"/>
      <c r="H163" s="779"/>
      <c r="I163" s="779"/>
      <c r="J163" s="779"/>
      <c r="K163" s="779"/>
      <c r="L163" s="779"/>
      <c r="M163" s="779"/>
      <c r="N163" s="779"/>
      <c r="O163" s="765"/>
      <c r="P163" s="765"/>
      <c r="Q163" s="765"/>
      <c r="R163" s="765"/>
      <c r="S163" s="765"/>
    </row>
    <row r="164">
      <c r="A164" s="780"/>
      <c r="B164" s="780"/>
      <c r="C164" s="780"/>
      <c r="D164" s="780"/>
      <c r="E164" s="780"/>
      <c r="F164" s="780"/>
      <c r="G164" s="780"/>
      <c r="H164" s="780"/>
      <c r="I164" s="780"/>
      <c r="J164" s="780"/>
      <c r="K164" s="780"/>
      <c r="L164" s="780"/>
      <c r="M164" s="780"/>
      <c r="N164" s="780"/>
      <c r="O164" s="765"/>
      <c r="P164" s="765"/>
      <c r="Q164" s="765"/>
      <c r="R164" s="765"/>
      <c r="S164" s="765"/>
    </row>
    <row r="165">
      <c r="A165" s="792" t="s">
        <v>1006</v>
      </c>
      <c r="B165" s="792"/>
      <c r="C165" s="792"/>
      <c r="D165" s="793" t="s">
        <v>1272</v>
      </c>
      <c r="E165" s="793" t="s">
        <v>1273</v>
      </c>
      <c r="F165" s="793" t="s">
        <v>1274</v>
      </c>
      <c r="G165" s="793" t="s">
        <v>1275</v>
      </c>
      <c r="H165" s="866"/>
      <c r="I165" s="866"/>
      <c r="J165" s="866"/>
      <c r="K165" s="866"/>
      <c r="L165" s="866"/>
      <c r="M165" s="866"/>
      <c r="N165" s="866"/>
      <c r="O165" s="765"/>
      <c r="P165" s="765"/>
      <c r="Q165" s="765"/>
      <c r="R165" s="765"/>
      <c r="S165" s="765"/>
    </row>
    <row r="166">
      <c r="A166" s="801" t="s">
        <v>1276</v>
      </c>
      <c r="B166" s="801"/>
      <c r="C166" s="801"/>
      <c r="D166" s="895" t="n">
        <f>'Financial Statements'!$H$11/1000000</f>
        <v>4.200875651869525</v>
      </c>
      <c r="E166" s="895" t="n">
        <f>'Financial Statements'!$L$11/1000000</f>
        <v>72.4187580655309</v>
      </c>
      <c r="F166" s="895" t="n">
        <f>'Financial Statements'!$M$11/1000000</f>
        <v>6.144235225963997</v>
      </c>
      <c r="G166" s="869" t="n">
        <f>F166-D166</f>
        <v>1.9433595740944716</v>
      </c>
      <c r="H166" s="868"/>
      <c r="I166" s="868"/>
      <c r="J166" s="868"/>
      <c r="K166" s="868"/>
      <c r="L166" s="868"/>
      <c r="M166" s="868"/>
      <c r="N166" s="868"/>
      <c r="O166" s="765"/>
      <c r="P166" s="765"/>
      <c r="Q166" s="765"/>
      <c r="R166" s="765"/>
      <c r="S166" s="765"/>
    </row>
    <row r="167">
      <c r="A167" s="801" t="s">
        <v>1277</v>
      </c>
      <c r="B167" s="801"/>
      <c r="C167" s="801"/>
      <c r="D167" s="895" t="n">
        <f>('Financial Statements'!$H$8+'Financial Statements'!$H$10)/1000000</f>
        <v>4.200875651869525</v>
      </c>
      <c r="E167" s="895" t="n">
        <f>SUM('Financial Statements'!$L$8,'Financial Statements'!$L$10)/1000000</f>
        <v>69.02520419744091</v>
      </c>
      <c r="F167" s="895" t="n">
        <f>SUM('Financial Statements'!$M$8,'Financial Statements'!$M$10)/1000000</f>
        <v>5.858693979285373</v>
      </c>
      <c r="G167" s="869" t="n">
        <f>F167-D167</f>
        <v>1.657818327415848</v>
      </c>
      <c r="H167" s="868"/>
      <c r="I167" s="868"/>
      <c r="J167" s="868"/>
      <c r="K167" s="868"/>
      <c r="L167" s="868"/>
      <c r="M167" s="868"/>
      <c r="N167" s="868"/>
      <c r="O167" s="765"/>
      <c r="P167" s="765"/>
      <c r="Q167" s="765"/>
      <c r="R167" s="765"/>
      <c r="S167" s="765"/>
    </row>
    <row r="168">
      <c r="A168" s="801" t="s">
        <v>1278</v>
      </c>
      <c r="B168" s="801"/>
      <c r="C168" s="801"/>
      <c r="D168" s="895" t="n">
        <f>'Financial Statements'!$H$22/1000000</f>
        <v>3.5148423140540914</v>
      </c>
      <c r="E168" s="895" t="n">
        <f>SUM('Financial Statements'!$L$22)/1000000</f>
        <v>69.02520419744091</v>
      </c>
      <c r="F168" s="895" t="n">
        <f>'Financial Statements'!$M$22/1000000</f>
        <v>5.858693979285373</v>
      </c>
      <c r="G168" s="869" t="n">
        <f>F168-D168</f>
        <v>2.343851665231282</v>
      </c>
      <c r="H168" s="868"/>
      <c r="I168" s="868"/>
      <c r="J168" s="868"/>
      <c r="K168" s="868"/>
      <c r="L168" s="868"/>
      <c r="M168" s="868"/>
      <c r="N168" s="868"/>
      <c r="O168" s="765"/>
      <c r="P168" s="765"/>
      <c r="Q168" s="765"/>
      <c r="R168" s="765"/>
      <c r="S168" s="765"/>
    </row>
    <row r="169">
      <c r="A169" s="801" t="s">
        <v>1279</v>
      </c>
      <c r="B169" s="801"/>
      <c r="C169" s="801"/>
      <c r="D169" s="895" t="n">
        <f>SUMIFS(DEBT!$F$144:$DV$144,DEBT!$F$64:$DV$64,"&gt;"&amp;EOMONTH('Financial Statements'!$H$6,-12),DEBT!$F$64:$DV$64,"&lt;="&amp;'Financial Statements'!$H$6)/1000000</f>
        <v>2.214148726851852</v>
      </c>
      <c r="E169" s="895" t="n">
        <f>SUMIFS(DEBT!$F$144:$DV$144,DEBT!$F$64:$DV$64,"&gt;"&amp;EOMONTH('Financial Statements'!$L$6,-12),DEBT!$F$64:$DV$64,"&lt;="&amp;'Financial Statements'!$L$6)/1000000</f>
        <v>54.36399584490741</v>
      </c>
      <c r="F169" s="895" t="n">
        <f>SUMIFS(DEBT!$F$144:$DV$144,DEBT!$F$64:$DV$64,"&gt;"&amp;EOMONTH('Financial Statements'!$M$6,-12),DEBT!$F$64:$DV$64,"&lt;="&amp;'Financial Statements'!$M$6)/1000000</f>
        <v>50.03347427083333</v>
      </c>
      <c r="G169" s="869" t="n">
        <f>F169-D169</f>
        <v>47.81932554248008</v>
      </c>
      <c r="H169" s="868"/>
      <c r="I169" s="868"/>
      <c r="J169" s="868"/>
      <c r="K169" s="868"/>
      <c r="L169" s="868"/>
      <c r="M169" s="868"/>
      <c r="N169" s="868"/>
      <c r="O169" s="765"/>
      <c r="P169" s="765"/>
      <c r="Q169" s="765"/>
      <c r="R169" s="765"/>
      <c r="S169" s="765"/>
    </row>
    <row r="170">
      <c r="A170" s="801" t="s">
        <v>1280</v>
      </c>
      <c r="B170" s="801"/>
      <c r="C170" s="801"/>
      <c r="D170" s="895" t="n">
        <f>(SUMIFS(DEBT!$F$145:$DV$145,DEBT!$F$64:$DV$64,"&gt;"&amp;EOMONTH('Financial Statements'!$H$6,-12),DEBT!$F$64:$DV$64,"&lt;="&amp;'Financial Statements'!$H$6)+SUMIFS(DEBT!$F$146:$DV$146,DEBT!$F$64:$DV$64,"&gt;"&amp;EOMONTH('Financial Statements'!$H$6,-12),DEBT!$F$64:$DV$64,"&lt;="&amp;'Financial Statements'!$H$6)+SUMIFS(DEBT!$F$147:$DV$147,DEBT!$F$64:$DV$64,"&gt;"&amp;EOMONTH('Financial Statements'!$H$6,-12),DEBT!$F$64:$DV$64,"&lt;="&amp;'Financial Statements'!$H$6)+SUMIFS(DEBT!$F$148:$DV$148,DEBT!$F$64:$DV$64,"&gt;"&amp;EOMONTH('Financial Statements'!$H$6,-12),DEBT!$F$64:$DV$64,"&lt;="&amp;'Financial Statements'!$H$6)+SUMIFS(DEBT!$F$149:$DV$149,DEBT!$F$64:$DV$64,"&gt;"&amp;EOMONTH('Financial Statements'!$H$6,-12),DEBT!$F$64:$DV$64,"&lt;="&amp;'Financial Statements'!$H$6))/1000000</f>
        <v>0.8467678587962963</v>
      </c>
      <c r="E170" s="895" t="n">
        <f>(SUMIFS(DEBT!$F$145:$DV$145,DEBT!$F$64:$DV$64,"&gt;"&amp;EOMONTH('Financial Statements'!$L$6,-12),DEBT!$F$64:$DV$64,"&lt;="&amp;'Financial Statements'!$L$6)+SUMIFS(DEBT!$F$146:$DV$146,DEBT!$F$64:$DV$64,"&gt;"&amp;EOMONTH('Financial Statements'!$L$6,-12),DEBT!$F$64:$DV$64,"&lt;="&amp;'Financial Statements'!$L$6)+SUMIFS(DEBT!$F$147:$DV$147,DEBT!$F$64:$DV$64,"&gt;"&amp;EOMONTH('Financial Statements'!$L$6,-12),DEBT!$F$64:$DV$64,"&lt;="&amp;'Financial Statements'!$L$6)+SUMIFS(DEBT!$F$148:$DV$148,DEBT!$F$64:$DV$64,"&gt;"&amp;EOMONTH('Financial Statements'!$L$6,-12),DEBT!$F$64:$DV$64,"&lt;="&amp;'Financial Statements'!$L$6)+SUMIFS(DEBT!$F$149:$DV$149,DEBT!$F$64:$DV$64,"&gt;"&amp;EOMONTH('Financial Statements'!$L$6,-12),DEBT!$F$64:$DV$64,"&lt;="&amp;'Financial Statements'!$L$6))/1000000</f>
        <v>31.636964953703703</v>
      </c>
      <c r="F170" s="895" t="n">
        <f>(SUMIFS(DEBT!$F$145:$DV$145,DEBT!$F$64:$DV$64,"&gt;"&amp;EOMONTH('Financial Statements'!$M$6,-12),DEBT!$F$64:$DV$64,"&lt;="&amp;'Financial Statements'!$M$6)+SUMIFS(DEBT!$F$146:$DV$146,DEBT!$F$64:$DV$64,"&gt;"&amp;EOMONTH('Financial Statements'!$M$6,-12),DEBT!$F$64:$DV$64,"&lt;="&amp;'Financial Statements'!$M$6)+SUMIFS(DEBT!$F$147:$DV$147,DEBT!$F$64:$DV$64,"&gt;"&amp;EOMONTH('Financial Statements'!$M$6,-12),DEBT!$F$64:$DV$64,"&lt;="&amp;'Financial Statements'!$M$6)+SUMIFS(DEBT!$F$148:$DV$148,DEBT!$F$64:$DV$64,"&gt;"&amp;EOMONTH('Financial Statements'!$M$6,-12),DEBT!$F$64:$DV$64,"&lt;="&amp;'Financial Statements'!$M$6)+SUMIFS(DEBT!$F$149:$DV$149,DEBT!$F$64:$DV$64,"&gt;"&amp;EOMONTH('Financial Statements'!$M$6,-12),DEBT!$F$64:$DV$64,"&lt;="&amp;'Financial Statements'!$M$6))/1000000</f>
        <v>31.053279328703702</v>
      </c>
      <c r="G170" s="827" t="n">
        <f>F170-D170</f>
        <v>30.20651147122389</v>
      </c>
      <c r="H170" s="868"/>
      <c r="I170" s="868"/>
      <c r="J170" s="868"/>
      <c r="K170" s="868"/>
      <c r="L170" s="868"/>
      <c r="M170" s="868"/>
      <c r="N170" s="868"/>
      <c r="O170" s="765"/>
      <c r="P170" s="765"/>
      <c r="Q170" s="765"/>
      <c r="R170" s="765"/>
      <c r="S170" s="765"/>
    </row>
    <row r="171">
      <c r="A171" s="801" t="s">
        <v>1281</v>
      </c>
      <c r="B171" s="801"/>
      <c r="C171" s="801"/>
      <c r="D171" s="896" t="n">
        <f>IF(D170=0,0,D169/D170)</f>
        <v>2.6148237895322834</v>
      </c>
      <c r="E171" s="896" t="n">
        <f>IF(E170=0,0,E169/E170)</f>
        <v>1.7183695066712423</v>
      </c>
      <c r="F171" s="896" t="n">
        <f>IF(F170=0,0,F169/F170)</f>
        <v>1.6112138671762202</v>
      </c>
      <c r="G171" s="897" t="n">
        <f>F171-D171</f>
        <v>-1.0036099223560633</v>
      </c>
      <c r="H171" s="868"/>
      <c r="I171" s="868"/>
      <c r="J171" s="868"/>
      <c r="K171" s="868"/>
      <c r="L171" s="868"/>
      <c r="M171" s="868"/>
      <c r="N171" s="868"/>
      <c r="O171" s="765"/>
      <c r="P171" s="765"/>
      <c r="Q171" s="765"/>
      <c r="R171" s="765"/>
      <c r="S171" s="765"/>
    </row>
    <row r="172">
      <c r="A172" s="801" t="s">
        <v>1282</v>
      </c>
      <c r="B172" s="801"/>
      <c r="C172" s="801"/>
      <c r="D172" s="898" t="n">
        <f>MAX(0,D169-D170)</f>
        <v>1.3673808728662804</v>
      </c>
      <c r="E172" s="898" t="n">
        <f>MAX(0,E169-E170)</f>
        <v>22.727030899864268</v>
      </c>
      <c r="F172" s="898" t="n">
        <f>MAX(0,F169-F170)</f>
        <v>18.98019494412247</v>
      </c>
      <c r="G172" s="827" t="n">
        <f>F172-D172</f>
        <v>17.61281407125619</v>
      </c>
      <c r="H172" s="868"/>
      <c r="I172" s="868"/>
      <c r="J172" s="868"/>
      <c r="K172" s="868"/>
      <c r="L172" s="868"/>
      <c r="M172" s="868"/>
      <c r="N172" s="868"/>
      <c r="O172" s="765"/>
      <c r="P172" s="765"/>
      <c r="Q172" s="765"/>
      <c r="R172" s="765"/>
      <c r="S172" s="765"/>
    </row>
    <row r="173">
      <c r="A173" s="801" t="s">
        <v>1283</v>
      </c>
      <c r="B173" s="801"/>
      <c r="C173" s="801"/>
      <c r="D173" s="895" t="n">
        <f>SUM(INDEX(DEBT!$F$92:$DV$92,1,MATCH('Financial Statements'!$H$6,DEBT!$F$64:$DV$64,1)),INDEX(DEBT!$F$110:$DV$110,1,MATCH('Financial Statements'!$H$6,DEBT!$F$64:$DV$64,1)),INDEX(DEBT!$F$128:$DV$128,1,MATCH('Financial Statements'!$H$6,DEBT!$F$64:$DV$64,1)))/1000000</f>
        <v>3.1305555555555555</v>
      </c>
      <c r="E173" s="895" t="n">
        <f>SUM(INDEX(DEBT!$F$92:$DV$92,1,MATCH('Financial Statements'!$L$6,DEBT!$F$64:$DV$64,1)),INDEX(DEBT!$F$110:$DV$110,1,MATCH('Financial Statements'!$L$6,DEBT!$F$64:$DV$64,1)),INDEX(DEBT!$F$128:$DV$128,1,MATCH('Financial Statements'!$L$6,DEBT!$F$64:$DV$64,1)))/1000000</f>
        <v>192.4791117946737</v>
      </c>
      <c r="F173" s="895" t="n">
        <f>IFERROR(SUM(INDEX(DEBT!$F$92:$DV$92,1,MATCH('Financial Statements'!$M$6,DEBT!$F$64:$DV$64,1)),INDEX(DEBT!$F$110:$DV$110,1,MATCH('Financial Statements'!$M$6,DEBT!$F$64:$DV$64,1)),INDEX(DEBT!$F$128:$DV$128,1,MATCH('Financial Statements'!$M$6,DEBT!$F$64:$DV$64,1)))/1000000,0)</f>
        <v>192.4791117946737</v>
      </c>
      <c r="G173" s="827" t="n">
        <f>F173-D173</f>
        <v>189.34855623911815</v>
      </c>
      <c r="H173" s="868"/>
      <c r="I173" s="868"/>
      <c r="J173" s="868"/>
      <c r="K173" s="868"/>
      <c r="L173" s="868"/>
      <c r="M173" s="868"/>
      <c r="N173" s="868"/>
      <c r="O173" s="765"/>
      <c r="P173" s="765"/>
      <c r="Q173" s="765"/>
      <c r="R173" s="765"/>
      <c r="S173" s="765"/>
    </row>
    <row r="174">
      <c r="A174" s="801" t="s">
        <v>1284</v>
      </c>
      <c r="B174" s="801"/>
      <c r="C174" s="801"/>
      <c r="D174" s="895" t="n">
        <f>INDEX(DEBT!$F$153:$DV$153,1,MATCH('Financial Statements'!$H$6,DEBT!$F$64:$DV$64,1))/1000000</f>
        <v>0.1</v>
      </c>
      <c r="E174" s="895" t="n">
        <f>INDEX(DEBT!$F$153:$DV$153,1,MATCH('Financial Statements'!$L$6,DEBT!$F$64:$DV$64,1))/1000000</f>
        <v>0.1</v>
      </c>
      <c r="F174" s="895" t="n">
        <f>IFERROR(INDEX(DEBT!$F$153:$DV$153,1,MATCH('Financial Statements'!$M$6,DEBT!$F$64:$DV$64,1))/1000000,0)</f>
        <v>0.1</v>
      </c>
      <c r="G174" s="827" t="n">
        <f>F174-D174</f>
        <v>0</v>
      </c>
      <c r="H174" s="868"/>
      <c r="I174" s="868"/>
      <c r="J174" s="868"/>
      <c r="K174" s="868"/>
      <c r="L174" s="868"/>
      <c r="M174" s="868"/>
      <c r="N174" s="868"/>
      <c r="O174" s="765"/>
      <c r="P174" s="765"/>
      <c r="Q174" s="765"/>
      <c r="R174" s="765"/>
      <c r="S174" s="765"/>
    </row>
    <row r="175">
      <c r="A175" s="780"/>
      <c r="B175" s="780"/>
      <c r="C175" s="780"/>
      <c r="D175" s="780"/>
      <c r="E175" s="780"/>
      <c r="F175" s="780"/>
      <c r="G175" s="780"/>
      <c r="H175" s="780"/>
      <c r="I175" s="780"/>
      <c r="J175" s="780"/>
      <c r="K175" s="780"/>
      <c r="L175" s="780"/>
      <c r="M175" s="780"/>
      <c r="N175" s="780"/>
      <c r="O175" s="765"/>
      <c r="P175" s="765"/>
      <c r="Q175" s="765"/>
      <c r="R175" s="765"/>
      <c r="S175" s="765"/>
    </row>
    <row r="176">
      <c r="A176" s="899" t="str">
        <f>"Operating interpretation: Year 1 gross revenue is A$"&amp;TEXT($D$166,"0.00")&amp;"m, sale-year gross revenue is A$"&amp;TEXT($F$166,"0.00")&amp;"m, sale-year CFADS is A$"&amp;TEXT($F$169,"0.00")&amp;"m and DSCR is "&amp;TEXT($F$171,"0.00x")&amp;". Tax and working-capital schedules are formula-linked in DEBT and Financial Statements."</f>
        <v>Operating interpretation: Year 1 gross revenue is A$4.20m, sale-year gross revenue is A$6.14m, sale-year CFADS is A$50.03m and DSCR is 1.61x. Tax and working-capital schedules are formula-linked in DEBT and Financial Statements.</v>
      </c>
      <c r="B176" s="872"/>
      <c r="C176" s="872"/>
      <c r="D176" s="872"/>
      <c r="E176" s="872"/>
      <c r="F176" s="872"/>
      <c r="G176" s="872"/>
      <c r="H176" s="872"/>
      <c r="I176" s="872"/>
      <c r="J176" s="872"/>
      <c r="K176" s="872"/>
      <c r="L176" s="872"/>
      <c r="M176" s="872"/>
      <c r="N176" s="873"/>
      <c r="O176" s="765"/>
      <c r="P176" s="765"/>
      <c r="Q176" s="765"/>
      <c r="R176" s="765"/>
      <c r="S176" s="765"/>
    </row>
    <row r="177">
      <c r="A177" s="900" t="s">
        <v>1285</v>
      </c>
      <c r="B177" s="901"/>
      <c r="C177" s="901"/>
      <c r="D177" s="901"/>
      <c r="E177" s="901"/>
      <c r="F177" s="901"/>
      <c r="G177" s="901"/>
      <c r="H177" s="901"/>
      <c r="I177" s="901"/>
      <c r="J177" s="901"/>
      <c r="K177" s="901"/>
      <c r="L177" s="901"/>
      <c r="M177" s="901"/>
      <c r="N177" s="902"/>
      <c r="O177" s="765"/>
      <c r="P177" s="765"/>
      <c r="Q177" s="765"/>
      <c r="R177" s="765"/>
      <c r="S177" s="765"/>
    </row>
    <row r="178">
      <c r="A178" s="903" t="s">
        <v>1286</v>
      </c>
      <c r="B178" s="904"/>
      <c r="C178" s="904"/>
      <c r="D178" s="904"/>
      <c r="E178" s="905" t="n">
        <f>IFERROR('Financial Statements'!$L$11/'VALUATION &amp; RETURNS'!$CS$38,0)</f>
        <v>924.7421425007245</v>
      </c>
      <c r="F178" s="904"/>
      <c r="G178" s="904" t="s">
        <v>517</v>
      </c>
      <c r="H178" s="904"/>
      <c r="I178" s="904"/>
      <c r="J178" s="904"/>
      <c r="K178" s="904"/>
      <c r="L178" s="904"/>
      <c r="M178" s="904"/>
      <c r="N178" s="906"/>
      <c r="O178" s="765"/>
      <c r="P178" s="765"/>
      <c r="Q178" s="765"/>
      <c r="R178" s="765"/>
      <c r="S178" s="765"/>
    </row>
    <row r="179">
      <c r="A179" s="780" t="s">
        <v>1287</v>
      </c>
      <c r="B179" s="780"/>
      <c r="C179" s="780"/>
      <c r="D179" s="780"/>
      <c r="E179" s="907" t="n">
        <f>IFERROR('Financial Statements'!$L$22/'VALUATION &amp; RETURNS'!$CS$38,0)</f>
        <v>881.408586962124</v>
      </c>
      <c r="F179" s="780"/>
      <c r="G179" s="780" t="s">
        <v>517</v>
      </c>
      <c r="H179" s="780"/>
      <c r="I179" s="780"/>
      <c r="J179" s="780"/>
      <c r="K179" s="780"/>
      <c r="L179" s="780"/>
      <c r="M179" s="780"/>
      <c r="N179" s="780"/>
      <c r="O179" s="765"/>
      <c r="P179" s="765"/>
      <c r="Q179" s="765"/>
      <c r="R179" s="765"/>
      <c r="S179" s="765"/>
    </row>
    <row r="180">
      <c r="A180" s="780" t="s">
        <v>1288</v>
      </c>
      <c r="B180" s="780"/>
      <c r="C180" s="780"/>
      <c r="D180" s="780"/>
      <c r="E180" s="780" t="s">
        <v>1289</v>
      </c>
      <c r="F180" s="780"/>
      <c r="G180" s="780" t="s">
        <v>1290</v>
      </c>
      <c r="H180" s="780"/>
      <c r="I180" s="780"/>
      <c r="J180" s="780"/>
      <c r="K180" s="780"/>
      <c r="L180" s="780"/>
      <c r="M180" s="780"/>
      <c r="N180" s="780"/>
      <c r="O180" s="765"/>
      <c r="P180" s="765"/>
      <c r="Q180" s="765"/>
      <c r="R180" s="765"/>
      <c r="S180" s="765"/>
    </row>
    <row r="181" ht="16">
      <c r="A181" s="764" t="s">
        <v>1291</v>
      </c>
      <c r="B181" s="764"/>
      <c r="C181" s="764"/>
      <c r="D181" s="764"/>
      <c r="E181" s="764"/>
      <c r="F181" s="764"/>
      <c r="G181" s="764"/>
      <c r="H181" s="764"/>
      <c r="I181" s="764"/>
      <c r="J181" s="764"/>
      <c r="K181" s="764"/>
      <c r="L181" s="764"/>
      <c r="M181" s="764"/>
      <c r="N181" s="764"/>
      <c r="O181" s="765"/>
      <c r="P181" s="765"/>
      <c r="Q181" s="765"/>
      <c r="R181" s="765"/>
      <c r="S181" s="765"/>
    </row>
    <row r="182">
      <c r="A182" s="838" t="str">
        <f>"Underlying revenue mix, valuation settings and funding context for "&amp;$C$3&amp;"."</f>
        <v>Underlying revenue mix, valuation settings and funding context for David Gifford.</v>
      </c>
      <c r="B182" s="767"/>
      <c r="C182" s="767"/>
      <c r="D182" s="767"/>
      <c r="E182" s="767"/>
      <c r="F182" s="767"/>
      <c r="G182" s="767"/>
      <c r="H182" s="767"/>
      <c r="I182" s="767"/>
      <c r="J182" s="767"/>
      <c r="K182" s="767"/>
      <c r="L182" s="767"/>
      <c r="M182" s="767"/>
      <c r="N182" s="767"/>
      <c r="O182" s="765"/>
      <c r="P182" s="765"/>
      <c r="Q182" s="765"/>
      <c r="R182" s="765"/>
      <c r="S182" s="765"/>
    </row>
    <row r="183">
      <c r="A183" s="780"/>
      <c r="B183" s="780"/>
      <c r="C183" s="780"/>
      <c r="D183" s="780"/>
      <c r="E183" s="780"/>
      <c r="F183" s="780"/>
      <c r="G183" s="780"/>
      <c r="H183" s="780"/>
      <c r="I183" s="780"/>
      <c r="J183" s="780"/>
      <c r="K183" s="780"/>
      <c r="L183" s="780"/>
      <c r="M183" s="780"/>
      <c r="N183" s="780"/>
      <c r="O183" s="765"/>
      <c r="P183" s="765"/>
      <c r="Q183" s="765"/>
      <c r="R183" s="765"/>
      <c r="S183" s="765"/>
    </row>
    <row r="184" ht="14.5">
      <c r="A184" s="779" t="s">
        <v>1292</v>
      </c>
      <c r="B184" s="779"/>
      <c r="C184" s="779"/>
      <c r="D184" s="779"/>
      <c r="E184" s="779"/>
      <c r="F184" s="779"/>
      <c r="G184" s="779"/>
      <c r="H184" s="779"/>
      <c r="I184" s="779"/>
      <c r="J184" s="779"/>
      <c r="K184" s="779"/>
      <c r="L184" s="779"/>
      <c r="M184" s="779"/>
      <c r="N184" s="779"/>
      <c r="O184" s="765"/>
      <c r="P184" s="765"/>
      <c r="Q184" s="765"/>
      <c r="R184" s="765"/>
      <c r="S184" s="765"/>
    </row>
    <row r="185">
      <c r="A185" s="780"/>
      <c r="B185" s="780"/>
      <c r="C185" s="780"/>
      <c r="D185" s="780"/>
      <c r="E185" s="780"/>
      <c r="F185" s="780"/>
      <c r="G185" s="780"/>
      <c r="H185" s="780"/>
      <c r="I185" s="780"/>
      <c r="J185" s="780"/>
      <c r="K185" s="780"/>
      <c r="L185" s="780"/>
      <c r="M185" s="780"/>
      <c r="N185" s="780"/>
      <c r="O185" s="765"/>
      <c r="P185" s="765"/>
      <c r="Q185" s="765"/>
      <c r="R185" s="765"/>
      <c r="S185" s="765"/>
    </row>
    <row r="186">
      <c r="A186" s="792" t="s">
        <v>1293</v>
      </c>
      <c r="B186" s="792"/>
      <c r="C186" s="792"/>
      <c r="D186" s="792"/>
      <c r="E186" s="792" t="s">
        <v>515</v>
      </c>
      <c r="F186" s="792"/>
      <c r="G186" s="793" t="s">
        <v>1294</v>
      </c>
      <c r="H186" s="866"/>
      <c r="I186" s="866"/>
      <c r="J186" s="866"/>
      <c r="K186" s="866"/>
      <c r="L186" s="866"/>
      <c r="M186" s="866"/>
      <c r="N186" s="866"/>
      <c r="O186" s="765"/>
      <c r="P186" s="765"/>
      <c r="Q186" s="765"/>
      <c r="R186" s="765"/>
      <c r="S186" s="765"/>
    </row>
    <row r="187">
      <c r="A187" s="801" t="s">
        <v>238</v>
      </c>
      <c r="B187" s="801"/>
      <c r="C187" s="801"/>
      <c r="D187" s="801"/>
      <c r="E187" s="802" t="n">
        <f>Underwriting!$I$93/1000000</f>
        <v>8.6</v>
      </c>
      <c r="F187" s="803"/>
      <c r="G187" s="869" t="n">
        <f>IF(SUM($E$187:$E$192)=0,0,E187/SUM($E$187:$E$192))</f>
        <v>0.5282555282555282</v>
      </c>
      <c r="H187" s="868"/>
      <c r="I187" s="868"/>
      <c r="J187" s="868"/>
      <c r="K187" s="868"/>
      <c r="L187" s="868"/>
      <c r="M187" s="868"/>
      <c r="N187" s="868"/>
      <c r="O187" s="765"/>
      <c r="P187" s="765"/>
      <c r="Q187" s="765"/>
      <c r="R187" s="765"/>
      <c r="S187" s="765"/>
    </row>
    <row r="188">
      <c r="A188" s="801" t="s">
        <v>1295</v>
      </c>
      <c r="B188" s="801"/>
      <c r="C188" s="801"/>
      <c r="D188" s="801"/>
      <c r="E188" s="802" t="n">
        <f>Underwriting!$I$94/1000000</f>
        <v>0</v>
      </c>
      <c r="F188" s="803"/>
      <c r="G188" s="869" t="n">
        <f>IF(SUM($E$187:$E$192)=0,0,E188/SUM($E$187:$E$192))</f>
        <v>0</v>
      </c>
      <c r="H188" s="868"/>
      <c r="I188" s="868"/>
      <c r="J188" s="868"/>
      <c r="K188" s="868"/>
      <c r="L188" s="868"/>
      <c r="M188" s="868"/>
      <c r="N188" s="868"/>
      <c r="O188" s="765"/>
      <c r="P188" s="765"/>
      <c r="Q188" s="765"/>
      <c r="R188" s="765"/>
      <c r="S188" s="765"/>
    </row>
    <row r="189">
      <c r="A189" s="801" t="s">
        <v>242</v>
      </c>
      <c r="B189" s="801"/>
      <c r="C189" s="801"/>
      <c r="D189" s="801"/>
      <c r="E189" s="802" t="n">
        <f>Underwriting!$I$95/1000000</f>
        <v>2.6</v>
      </c>
      <c r="F189" s="803"/>
      <c r="G189" s="869" t="n">
        <f>IF(SUM($E$187:$E$192)=0,0,E189/SUM($E$187:$E$192))</f>
        <v>0.1597051597051597</v>
      </c>
      <c r="H189" s="868"/>
      <c r="I189" s="868"/>
      <c r="J189" s="868"/>
      <c r="K189" s="868"/>
      <c r="L189" s="868"/>
      <c r="M189" s="868"/>
      <c r="N189" s="868"/>
      <c r="O189" s="765"/>
      <c r="P189" s="765"/>
      <c r="Q189" s="765"/>
      <c r="R189" s="765"/>
      <c r="S189" s="765"/>
    </row>
    <row r="190">
      <c r="A190" s="801" t="s">
        <v>1296</v>
      </c>
      <c r="B190" s="801"/>
      <c r="C190" s="801"/>
      <c r="D190" s="801"/>
      <c r="E190" s="802" t="n">
        <f>Underwriting!$I$97/1000000</f>
        <v>2</v>
      </c>
      <c r="F190" s="803"/>
      <c r="G190" s="869" t="n">
        <f>IF(SUM($E$187:$E$192)=0,0,E190/SUM($E$187:$E$192))</f>
        <v>0.12285012285012284</v>
      </c>
      <c r="H190" s="868"/>
      <c r="I190" s="868"/>
      <c r="J190" s="868"/>
      <c r="K190" s="868"/>
      <c r="L190" s="868"/>
      <c r="M190" s="868"/>
      <c r="N190" s="868"/>
      <c r="O190" s="765"/>
      <c r="P190" s="765"/>
      <c r="Q190" s="765"/>
      <c r="R190" s="765"/>
      <c r="S190" s="765"/>
    </row>
    <row r="191">
      <c r="A191" s="801" t="s">
        <v>1297</v>
      </c>
      <c r="B191" s="801"/>
      <c r="C191" s="801"/>
      <c r="D191" s="801"/>
      <c r="E191" s="802" t="n">
        <f>Underwriting!$I$98/1000000</f>
        <v>0</v>
      </c>
      <c r="F191" s="803"/>
      <c r="G191" s="869" t="n">
        <f>IF(SUM($E$187:$E$192)=0,0,E191/SUM($E$187:$E$192))</f>
        <v>0</v>
      </c>
      <c r="H191" s="868"/>
      <c r="I191" s="868"/>
      <c r="J191" s="868"/>
      <c r="K191" s="868"/>
      <c r="L191" s="868"/>
      <c r="M191" s="868"/>
      <c r="N191" s="868"/>
      <c r="O191" s="765"/>
      <c r="P191" s="765"/>
      <c r="Q191" s="765"/>
      <c r="R191" s="765"/>
      <c r="S191" s="765"/>
    </row>
    <row r="192">
      <c r="A192" s="801" t="s">
        <v>1298</v>
      </c>
      <c r="B192" s="801"/>
      <c r="C192" s="801"/>
      <c r="D192" s="801"/>
      <c r="E192" s="802" t="n">
        <f>SUM(Underwriting!$I$96,Underwriting!$I$99:$I$104)/1000000</f>
        <v>3.08</v>
      </c>
      <c r="F192" s="803"/>
      <c r="G192" s="869" t="n">
        <f>IF(SUM($E$187:$E$192)=0,0,E192/SUM($E$187:$E$192))</f>
        <v>0.18918918918918917</v>
      </c>
      <c r="H192" s="868"/>
      <c r="I192" s="868"/>
      <c r="J192" s="868"/>
      <c r="K192" s="868"/>
      <c r="L192" s="868"/>
      <c r="M192" s="868"/>
      <c r="N192" s="868"/>
      <c r="O192" s="765"/>
      <c r="P192" s="765"/>
      <c r="Q192" s="765"/>
      <c r="R192" s="765"/>
      <c r="S192" s="765"/>
    </row>
    <row r="193">
      <c r="A193" s="780" t="s">
        <v>1299</v>
      </c>
      <c r="B193" s="780"/>
      <c r="C193" s="780"/>
      <c r="D193" s="780"/>
      <c r="E193" s="780"/>
      <c r="F193" s="780"/>
      <c r="G193" s="780"/>
      <c r="H193" s="780"/>
      <c r="I193" s="780"/>
      <c r="J193" s="780"/>
      <c r="K193" s="780"/>
      <c r="L193" s="780"/>
      <c r="M193" s="780"/>
      <c r="N193" s="780"/>
      <c r="O193" s="765"/>
      <c r="P193" s="765"/>
      <c r="Q193" s="765"/>
      <c r="R193" s="765"/>
      <c r="S193" s="765"/>
    </row>
    <row r="194">
      <c r="A194" s="780"/>
      <c r="B194" s="780"/>
      <c r="C194" s="780"/>
      <c r="D194" s="780"/>
      <c r="E194" s="780"/>
      <c r="F194" s="780"/>
      <c r="G194" s="780"/>
      <c r="H194" s="780"/>
      <c r="I194" s="780"/>
      <c r="J194" s="780"/>
      <c r="K194" s="780"/>
      <c r="L194" s="780"/>
      <c r="M194" s="780"/>
      <c r="N194" s="780"/>
      <c r="O194" s="765"/>
      <c r="P194" s="765"/>
      <c r="Q194" s="765"/>
      <c r="R194" s="765"/>
      <c r="S194" s="765"/>
    </row>
    <row r="195" ht="14.5">
      <c r="A195" s="779" t="s">
        <v>1300</v>
      </c>
      <c r="B195" s="779"/>
      <c r="C195" s="779"/>
      <c r="D195" s="779"/>
      <c r="E195" s="779"/>
      <c r="F195" s="779"/>
      <c r="G195" s="779"/>
      <c r="H195" s="779"/>
      <c r="I195" s="779"/>
      <c r="J195" s="779"/>
      <c r="K195" s="779"/>
      <c r="L195" s="779"/>
      <c r="M195" s="779"/>
      <c r="N195" s="779"/>
      <c r="O195" s="765"/>
      <c r="P195" s="765"/>
      <c r="Q195" s="765"/>
      <c r="R195" s="765"/>
      <c r="S195" s="765"/>
    </row>
    <row r="196">
      <c r="A196" s="780"/>
      <c r="B196" s="780"/>
      <c r="C196" s="780"/>
      <c r="D196" s="780"/>
      <c r="E196" s="780"/>
      <c r="F196" s="780"/>
      <c r="G196" s="780"/>
      <c r="H196" s="780"/>
      <c r="I196" s="780"/>
      <c r="J196" s="780"/>
      <c r="K196" s="780"/>
      <c r="L196" s="780"/>
      <c r="M196" s="780"/>
      <c r="N196" s="780"/>
      <c r="O196" s="765"/>
      <c r="P196" s="765"/>
      <c r="Q196" s="765"/>
      <c r="R196" s="765"/>
      <c r="S196" s="765"/>
    </row>
    <row r="197">
      <c r="A197" s="792" t="s">
        <v>1301</v>
      </c>
      <c r="B197" s="792"/>
      <c r="C197" s="792"/>
      <c r="D197" s="792"/>
      <c r="E197" s="792" t="s">
        <v>1302</v>
      </c>
      <c r="F197" s="792"/>
      <c r="G197" s="792" t="s">
        <v>1303</v>
      </c>
      <c r="H197" s="792"/>
      <c r="I197" s="792"/>
      <c r="J197" s="792"/>
      <c r="K197" s="792"/>
      <c r="L197" s="792"/>
      <c r="M197" s="792"/>
      <c r="N197" s="792"/>
      <c r="O197" s="765"/>
      <c r="P197" s="765"/>
      <c r="Q197" s="765"/>
      <c r="R197" s="765"/>
      <c r="S197" s="765"/>
    </row>
    <row r="198">
      <c r="A198" s="801" t="s">
        <v>1304</v>
      </c>
      <c r="B198" s="801"/>
      <c r="C198" s="801"/>
      <c r="D198" s="801"/>
      <c r="E198" s="908" t="n">
        <f>INDEX('VALUATION &amp; RETURNS'!$CT$75:$CT$77,MATCH('INVESTOR REPORT'!$I$3,'VALUATION &amp; RETURNS'!$CQ$75:$CQ$77,0))</f>
        <v>0.06700819672131147</v>
      </c>
      <c r="F198" s="852"/>
      <c r="G198" s="801" t="s">
        <v>1305</v>
      </c>
      <c r="H198" s="801"/>
      <c r="I198" s="801"/>
      <c r="J198" s="801"/>
      <c r="K198" s="801"/>
      <c r="L198" s="801"/>
      <c r="M198" s="801"/>
      <c r="N198" s="801"/>
      <c r="O198" s="765"/>
      <c r="P198" s="765"/>
      <c r="Q198" s="765"/>
      <c r="R198" s="765"/>
      <c r="S198" s="765"/>
    </row>
    <row r="199">
      <c r="A199" s="801" t="s">
        <v>1306</v>
      </c>
      <c r="B199" s="801"/>
      <c r="C199" s="801"/>
      <c r="D199" s="801"/>
      <c r="E199" s="893" t="n">
        <f>PROJECTS!$AP$115</f>
        <v>8</v>
      </c>
      <c r="F199" s="894"/>
      <c r="G199" s="801" t="s">
        <v>1305</v>
      </c>
      <c r="H199" s="801"/>
      <c r="I199" s="801"/>
      <c r="J199" s="801"/>
      <c r="K199" s="801"/>
      <c r="L199" s="801"/>
      <c r="M199" s="801"/>
      <c r="N199" s="801"/>
      <c r="O199" s="765"/>
      <c r="P199" s="765"/>
      <c r="Q199" s="765"/>
      <c r="R199" s="765"/>
      <c r="S199" s="765"/>
    </row>
    <row r="200">
      <c r="A200" s="801" t="s">
        <v>1307</v>
      </c>
      <c r="B200" s="801"/>
      <c r="C200" s="801"/>
      <c r="D200" s="801"/>
      <c r="E200" s="908" t="n">
        <f>PROJECTS!$AP$112</f>
        <v>0.08</v>
      </c>
      <c r="F200" s="852"/>
      <c r="G200" s="801" t="s">
        <v>1308</v>
      </c>
      <c r="H200" s="801"/>
      <c r="I200" s="801"/>
      <c r="J200" s="801"/>
      <c r="K200" s="801"/>
      <c r="L200" s="801"/>
      <c r="M200" s="801"/>
      <c r="N200" s="801"/>
      <c r="O200" s="765"/>
      <c r="P200" s="765"/>
      <c r="Q200" s="765"/>
      <c r="R200" s="765"/>
      <c r="S200" s="765"/>
    </row>
    <row r="201">
      <c r="A201" s="801" t="s">
        <v>744</v>
      </c>
      <c r="B201" s="801"/>
      <c r="C201" s="801"/>
      <c r="D201" s="801"/>
      <c r="E201" s="908" t="n">
        <f>PROJECTS!$AP$113</f>
        <v>0.2</v>
      </c>
      <c r="F201" s="852"/>
      <c r="G201" s="801" t="s">
        <v>1305</v>
      </c>
      <c r="H201" s="801"/>
      <c r="I201" s="801"/>
      <c r="J201" s="801"/>
      <c r="K201" s="801"/>
      <c r="L201" s="801"/>
      <c r="M201" s="801"/>
      <c r="N201" s="801"/>
      <c r="O201" s="765"/>
      <c r="P201" s="765"/>
      <c r="Q201" s="765"/>
      <c r="R201" s="765"/>
      <c r="S201" s="765"/>
    </row>
    <row r="202">
      <c r="A202" s="801" t="s">
        <v>1309</v>
      </c>
      <c r="B202" s="801"/>
      <c r="C202" s="801"/>
      <c r="D202" s="801"/>
      <c r="E202" s="839" t="str">
        <f>IF(SUM(DEBT!$F$142:$DV$142)=0,"No","Yes")</f>
        <v>Yes</v>
      </c>
      <c r="F202" s="801"/>
      <c r="G202" s="801" t="s">
        <v>1310</v>
      </c>
      <c r="H202" s="801"/>
      <c r="I202" s="801"/>
      <c r="J202" s="801"/>
      <c r="K202" s="801"/>
      <c r="L202" s="801"/>
      <c r="M202" s="801"/>
      <c r="N202" s="801"/>
      <c r="O202" s="765"/>
      <c r="P202" s="765"/>
      <c r="Q202" s="765"/>
      <c r="R202" s="765"/>
      <c r="S202" s="765"/>
    </row>
    <row r="203">
      <c r="A203" s="801" t="s">
        <v>1311</v>
      </c>
      <c r="B203" s="801"/>
      <c r="C203" s="801"/>
      <c r="D203" s="801"/>
      <c r="E203" s="839" t="str">
        <f>IF(COUNTIF(DEBT!$F$143:$DV$143,"&gt;0.01")+COUNTIF(DEBT!$F$143:$DV$143,"&lt;-0.01")=0,"No","Yes")</f>
        <v>Yes</v>
      </c>
      <c r="F203" s="801"/>
      <c r="G203" s="801" t="s">
        <v>1310</v>
      </c>
      <c r="H203" s="801"/>
      <c r="I203" s="801"/>
      <c r="J203" s="801"/>
      <c r="K203" s="801"/>
      <c r="L203" s="801"/>
      <c r="M203" s="801"/>
      <c r="N203" s="801"/>
      <c r="O203" s="765"/>
      <c r="P203" s="765"/>
      <c r="Q203" s="765"/>
      <c r="R203" s="765"/>
      <c r="S203" s="765"/>
    </row>
    <row r="204">
      <c r="A204" s="780" t="s">
        <v>1312</v>
      </c>
      <c r="B204" s="780"/>
      <c r="C204" s="780"/>
      <c r="D204" s="780"/>
      <c r="E204" s="780"/>
      <c r="F204" s="780"/>
      <c r="G204" s="780"/>
      <c r="H204" s="780"/>
      <c r="I204" s="780"/>
      <c r="J204" s="780"/>
      <c r="K204" s="780"/>
      <c r="L204" s="780"/>
      <c r="M204" s="780"/>
      <c r="N204" s="780"/>
      <c r="O204" s="765"/>
      <c r="P204" s="765"/>
      <c r="Q204" s="765"/>
      <c r="R204" s="765"/>
      <c r="S204" s="765"/>
    </row>
    <row r="205">
      <c r="A205" s="780"/>
      <c r="B205" s="780"/>
      <c r="C205" s="780"/>
      <c r="D205" s="780"/>
      <c r="E205" s="780"/>
      <c r="F205" s="780"/>
      <c r="G205" s="780"/>
      <c r="H205" s="780"/>
      <c r="I205" s="780"/>
      <c r="J205" s="780"/>
      <c r="K205" s="780"/>
      <c r="L205" s="780"/>
      <c r="M205" s="780"/>
      <c r="N205" s="780"/>
      <c r="O205" s="765"/>
      <c r="P205" s="765"/>
      <c r="Q205" s="765"/>
      <c r="R205" s="765"/>
      <c r="S205" s="765"/>
    </row>
    <row r="206" ht="14.5">
      <c r="A206" s="779" t="s">
        <v>1313</v>
      </c>
      <c r="B206" s="779"/>
      <c r="C206" s="779"/>
      <c r="D206" s="779"/>
      <c r="E206" s="779"/>
      <c r="F206" s="779"/>
      <c r="G206" s="779"/>
      <c r="H206" s="779"/>
      <c r="I206" s="779"/>
      <c r="J206" s="779"/>
      <c r="K206" s="779"/>
      <c r="L206" s="779"/>
      <c r="M206" s="779"/>
      <c r="N206" s="779"/>
      <c r="O206" s="765"/>
      <c r="P206" s="765"/>
      <c r="Q206" s="765"/>
      <c r="R206" s="765"/>
      <c r="S206" s="765"/>
    </row>
    <row r="207">
      <c r="A207" s="780"/>
      <c r="B207" s="780"/>
      <c r="C207" s="780"/>
      <c r="D207" s="780"/>
      <c r="E207" s="780"/>
      <c r="F207" s="780"/>
      <c r="G207" s="780"/>
      <c r="H207" s="780"/>
      <c r="I207" s="780"/>
      <c r="J207" s="780"/>
      <c r="K207" s="780"/>
      <c r="L207" s="780"/>
      <c r="M207" s="780"/>
      <c r="N207" s="780"/>
      <c r="O207" s="765"/>
      <c r="P207" s="765"/>
      <c r="Q207" s="765"/>
      <c r="R207" s="765"/>
      <c r="S207" s="765"/>
    </row>
    <row r="208">
      <c r="A208" s="909" t="str">
        <f>"TARGET MODEL FUNDING"&amp;CHAR(10)&amp;CHAR(10)&amp;"Total development cost: A$"&amp;TEXT('VALUATION &amp; RETURNS'!$DA$15,"0.00")&amp;"m"&amp;CHAR(10)&amp;"Target equity requirement: A$"&amp;TEXT(Underwriting!$I$69/1000000,"0.00")&amp;"m"&amp;CHAR(10)&amp;"Named investor register: A$"&amp;TEXT('VALUATION &amp; RETURNS'!$G$34,"0.00")&amp;"m"&amp;CHAR(10)&amp;"Peak construction debt: A$"&amp;TEXT(DEBT!$K$7/1000000,"0.00")&amp;"m"&amp;CHAR(10)&amp;"Register less target equity: A$"&amp;TEXT('VALUATION &amp; RETURNS'!$G$34-Underwriting!$I$69/1000000,"0.00")&amp;"m"</f>
        <v>TARGET MODEL FUNDING
Total development cost: A$418.76m
Target equity requirement: A$119.20m
Named investor register: A$205.74m
Peak construction debt: A$209.37m
Register less target equity: A$86.54m</v>
      </c>
      <c r="B208" s="910"/>
      <c r="C208" s="910"/>
      <c r="D208" s="910"/>
      <c r="E208" s="910"/>
      <c r="F208" s="910"/>
      <c r="G208" s="911"/>
      <c r="H208" s="912" t="s">
        <v>1314</v>
      </c>
      <c r="I208" s="910"/>
      <c r="J208" s="910"/>
      <c r="K208" s="910"/>
      <c r="L208" s="910"/>
      <c r="M208" s="910"/>
      <c r="N208" s="911"/>
      <c r="O208" s="765"/>
      <c r="P208" s="765"/>
      <c r="Q208" s="765"/>
      <c r="R208" s="765"/>
      <c r="S208" s="765"/>
    </row>
    <row r="209">
      <c r="A209" s="913"/>
      <c r="B209" s="914"/>
      <c r="C209" s="914"/>
      <c r="D209" s="914"/>
      <c r="E209" s="914"/>
      <c r="F209" s="914"/>
      <c r="G209" s="915"/>
      <c r="H209" s="913"/>
      <c r="I209" s="914"/>
      <c r="J209" s="914"/>
      <c r="K209" s="914"/>
      <c r="L209" s="914"/>
      <c r="M209" s="914"/>
      <c r="N209" s="915"/>
      <c r="O209" s="765"/>
      <c r="P209" s="765"/>
      <c r="Q209" s="765"/>
      <c r="R209" s="765"/>
      <c r="S209" s="765"/>
    </row>
    <row r="210">
      <c r="A210" s="913"/>
      <c r="B210" s="914"/>
      <c r="C210" s="914"/>
      <c r="D210" s="914"/>
      <c r="E210" s="914"/>
      <c r="F210" s="914"/>
      <c r="G210" s="915"/>
      <c r="H210" s="913"/>
      <c r="I210" s="914"/>
      <c r="J210" s="914"/>
      <c r="K210" s="914"/>
      <c r="L210" s="914"/>
      <c r="M210" s="914"/>
      <c r="N210" s="915"/>
      <c r="O210" s="765"/>
      <c r="P210" s="765"/>
      <c r="Q210" s="765"/>
      <c r="R210" s="765"/>
      <c r="S210" s="765"/>
    </row>
    <row r="211">
      <c r="A211" s="913"/>
      <c r="B211" s="914"/>
      <c r="C211" s="914"/>
      <c r="D211" s="914"/>
      <c r="E211" s="914"/>
      <c r="F211" s="914"/>
      <c r="G211" s="915"/>
      <c r="H211" s="913"/>
      <c r="I211" s="914"/>
      <c r="J211" s="914"/>
      <c r="K211" s="914"/>
      <c r="L211" s="914"/>
      <c r="M211" s="914"/>
      <c r="N211" s="915"/>
      <c r="O211" s="765"/>
      <c r="P211" s="765"/>
      <c r="Q211" s="765"/>
      <c r="R211" s="765"/>
      <c r="S211" s="765"/>
    </row>
    <row r="212">
      <c r="A212" s="913"/>
      <c r="B212" s="914"/>
      <c r="C212" s="914"/>
      <c r="D212" s="914"/>
      <c r="E212" s="914"/>
      <c r="F212" s="914"/>
      <c r="G212" s="915"/>
      <c r="H212" s="913"/>
      <c r="I212" s="914"/>
      <c r="J212" s="914"/>
      <c r="K212" s="914"/>
      <c r="L212" s="914"/>
      <c r="M212" s="914"/>
      <c r="N212" s="915"/>
      <c r="O212" s="765"/>
      <c r="P212" s="765"/>
      <c r="Q212" s="765"/>
      <c r="R212" s="765"/>
      <c r="S212" s="765"/>
    </row>
    <row r="213">
      <c r="A213" s="913"/>
      <c r="B213" s="914"/>
      <c r="C213" s="914"/>
      <c r="D213" s="914"/>
      <c r="E213" s="914"/>
      <c r="F213" s="914"/>
      <c r="G213" s="915"/>
      <c r="H213" s="913"/>
      <c r="I213" s="914"/>
      <c r="J213" s="914"/>
      <c r="K213" s="914"/>
      <c r="L213" s="914"/>
      <c r="M213" s="914"/>
      <c r="N213" s="915"/>
      <c r="O213" s="765"/>
      <c r="P213" s="765"/>
      <c r="Q213" s="765"/>
      <c r="R213" s="765"/>
      <c r="S213" s="765"/>
    </row>
    <row r="214">
      <c r="A214" s="913"/>
      <c r="B214" s="914"/>
      <c r="C214" s="914"/>
      <c r="D214" s="914"/>
      <c r="E214" s="914"/>
      <c r="F214" s="914"/>
      <c r="G214" s="915"/>
      <c r="H214" s="913"/>
      <c r="I214" s="914"/>
      <c r="J214" s="914"/>
      <c r="K214" s="914"/>
      <c r="L214" s="914"/>
      <c r="M214" s="914"/>
      <c r="N214" s="915"/>
      <c r="O214" s="765"/>
      <c r="P214" s="765"/>
      <c r="Q214" s="765"/>
      <c r="R214" s="765"/>
      <c r="S214" s="765"/>
    </row>
    <row r="215">
      <c r="A215" s="916"/>
      <c r="B215" s="917"/>
      <c r="C215" s="917"/>
      <c r="D215" s="917"/>
      <c r="E215" s="917"/>
      <c r="F215" s="917"/>
      <c r="G215" s="918"/>
      <c r="H215" s="916"/>
      <c r="I215" s="917"/>
      <c r="J215" s="917"/>
      <c r="K215" s="917"/>
      <c r="L215" s="917"/>
      <c r="M215" s="917"/>
      <c r="N215" s="918"/>
      <c r="O215" s="765"/>
      <c r="P215" s="765"/>
      <c r="Q215" s="765"/>
      <c r="R215" s="765"/>
      <c r="S215" s="765"/>
    </row>
    <row r="216">
      <c r="A216" s="780"/>
      <c r="B216" s="780"/>
      <c r="C216" s="780"/>
      <c r="D216" s="780"/>
      <c r="E216" s="780"/>
      <c r="F216" s="780"/>
      <c r="G216" s="780"/>
      <c r="H216" s="780"/>
      <c r="I216" s="780"/>
      <c r="J216" s="780"/>
      <c r="K216" s="780"/>
      <c r="L216" s="780"/>
      <c r="M216" s="780"/>
      <c r="N216" s="780"/>
      <c r="O216" s="765"/>
      <c r="P216" s="765"/>
      <c r="Q216" s="765"/>
      <c r="R216" s="765"/>
      <c r="S216" s="765"/>
    </row>
    <row r="217">
      <c r="A217" s="780"/>
      <c r="B217" s="780"/>
      <c r="C217" s="780"/>
      <c r="D217" s="780"/>
      <c r="E217" s="780"/>
      <c r="F217" s="780"/>
      <c r="G217" s="780"/>
      <c r="H217" s="780"/>
      <c r="I217" s="780"/>
      <c r="J217" s="780"/>
      <c r="K217" s="780"/>
      <c r="L217" s="780"/>
      <c r="M217" s="780"/>
      <c r="N217" s="780"/>
      <c r="O217" s="765"/>
      <c r="P217" s="765"/>
      <c r="Q217" s="765"/>
      <c r="R217" s="765"/>
      <c r="S217" s="765"/>
    </row>
  </sheetData>
  <mergeCells>
    <mergeCell ref="A118:S118"/>
    <mergeCell ref="A141:N141"/>
    <mergeCell ref="A142:N142"/>
    <mergeCell ref="A144:N144"/>
    <mergeCell ref="A145:C145"/>
    <mergeCell ref="D145:F145"/>
    <mergeCell ref="G145:I145"/>
    <mergeCell ref="J145:L145"/>
    <mergeCell ref="M145:N145"/>
    <mergeCell ref="A149:C149"/>
    <mergeCell ref="D149:F149"/>
    <mergeCell ref="G149:I149"/>
    <mergeCell ref="J149:L149"/>
    <mergeCell ref="M149:N149"/>
    <mergeCell ref="A146:C148"/>
    <mergeCell ref="D146:F148"/>
    <mergeCell ref="G146:I148"/>
    <mergeCell ref="J146:L148"/>
    <mergeCell ref="M146:N148"/>
    <mergeCell ref="A151:N151"/>
    <mergeCell ref="A153:D153"/>
    <mergeCell ref="E153:F153"/>
    <mergeCell ref="G153:H153"/>
    <mergeCell ref="A154:D154"/>
    <mergeCell ref="E154:F154"/>
    <mergeCell ref="G154:H154"/>
    <mergeCell ref="A155:D155"/>
    <mergeCell ref="E155:F155"/>
    <mergeCell ref="G155:H155"/>
    <mergeCell ref="A156:D156"/>
    <mergeCell ref="E156:F156"/>
    <mergeCell ref="G156:H156"/>
    <mergeCell ref="A157:D157"/>
    <mergeCell ref="E157:F157"/>
    <mergeCell ref="G157:H157"/>
    <mergeCell ref="A158:D158"/>
    <mergeCell ref="E158:F158"/>
    <mergeCell ref="G158:H158"/>
    <mergeCell ref="A169:C169"/>
    <mergeCell ref="A159:D159"/>
    <mergeCell ref="E159:F159"/>
    <mergeCell ref="G159:H159"/>
    <mergeCell ref="A160:D160"/>
    <mergeCell ref="E160:F160"/>
    <mergeCell ref="G160:H160"/>
    <mergeCell ref="A163:N163"/>
    <mergeCell ref="A165:C165"/>
    <mergeCell ref="A166:C166"/>
    <mergeCell ref="A167:C167"/>
    <mergeCell ref="A168:C168"/>
    <mergeCell ref="A187:D187"/>
    <mergeCell ref="E187:F187"/>
    <mergeCell ref="A170:C170"/>
    <mergeCell ref="A171:C171"/>
    <mergeCell ref="A172:C172"/>
    <mergeCell ref="A173:C173"/>
    <mergeCell ref="A174:C174"/>
    <mergeCell ref="A176:N178"/>
    <mergeCell ref="A181:N181"/>
    <mergeCell ref="A182:N182"/>
    <mergeCell ref="A184:N184"/>
    <mergeCell ref="A186:D186"/>
    <mergeCell ref="E186:F186"/>
    <mergeCell ref="A197:D197"/>
    <mergeCell ref="E197:F197"/>
    <mergeCell ref="G197:N197"/>
    <mergeCell ref="A188:D188"/>
    <mergeCell ref="E188:F188"/>
    <mergeCell ref="A189:D189"/>
    <mergeCell ref="E189:F189"/>
    <mergeCell ref="A190:D190"/>
    <mergeCell ref="E190:F190"/>
    <mergeCell ref="A191:D191"/>
    <mergeCell ref="E191:F191"/>
    <mergeCell ref="A192:D192"/>
    <mergeCell ref="E192:F192"/>
    <mergeCell ref="A195:N195"/>
    <mergeCell ref="A198:D198"/>
    <mergeCell ref="E198:F198"/>
    <mergeCell ref="G198:N198"/>
    <mergeCell ref="A199:D199"/>
    <mergeCell ref="E199:F199"/>
    <mergeCell ref="G199:N199"/>
    <mergeCell ref="A133:N133"/>
    <mergeCell ref="A206:N206"/>
    <mergeCell ref="A208:G215"/>
    <mergeCell ref="H208:N215"/>
    <mergeCell ref="A202:D202"/>
    <mergeCell ref="E202:F202"/>
    <mergeCell ref="G202:N202"/>
    <mergeCell ref="A203:D203"/>
    <mergeCell ref="E203:F203"/>
    <mergeCell ref="G203:N203"/>
    <mergeCell ref="A200:D200"/>
    <mergeCell ref="E200:F200"/>
    <mergeCell ref="G200:N200"/>
    <mergeCell ref="A201:D201"/>
    <mergeCell ref="E201:F201"/>
    <mergeCell ref="G201:N201"/>
    <mergeCell ref="A135:C135"/>
    <mergeCell ref="D135:E135"/>
    <mergeCell ref="J135:N138"/>
    <mergeCell ref="A136:C136"/>
    <mergeCell ref="D136:E136"/>
    <mergeCell ref="A137:C137"/>
    <mergeCell ref="D137:E137"/>
    <mergeCell ref="A138:C138"/>
    <mergeCell ref="D138:E138"/>
    <mergeCell ref="A124:D124"/>
    <mergeCell ref="E124:F124"/>
    <mergeCell ref="A120:N120"/>
    <mergeCell ref="A122:D122"/>
    <mergeCell ref="E122:F122"/>
    <mergeCell ref="A123:D123"/>
    <mergeCell ref="E123:F123"/>
    <mergeCell ref="A128:D128"/>
    <mergeCell ref="E128:F128"/>
    <mergeCell ref="A125:D125"/>
    <mergeCell ref="E125:F125"/>
    <mergeCell ref="A126:D126"/>
    <mergeCell ref="E126:F126"/>
    <mergeCell ref="A127:D127"/>
    <mergeCell ref="E127:F127"/>
    <mergeCell ref="A105:G105"/>
    <mergeCell ref="H105:N105"/>
    <mergeCell ref="A106:G113"/>
    <mergeCell ref="H106:N113"/>
    <mergeCell ref="A115:N117"/>
    <mergeCell ref="A95:G98"/>
    <mergeCell ref="H95:N98"/>
    <mergeCell ref="A99:G99"/>
    <mergeCell ref="H99:N99"/>
    <mergeCell ref="A100:G104"/>
    <mergeCell ref="H100:N104"/>
    <mergeCell ref="I71:N82"/>
    <mergeCell ref="A84:N86"/>
    <mergeCell ref="A89:N89"/>
    <mergeCell ref="A91:N92"/>
    <mergeCell ref="A94:G94"/>
    <mergeCell ref="H94:N94"/>
    <mergeCell ref="M69:N69"/>
    <mergeCell ref="A68:C68"/>
    <mergeCell ref="D68:E68"/>
    <mergeCell ref="F68:G68"/>
    <mergeCell ref="H68:I68"/>
    <mergeCell ref="J68:K68"/>
    <mergeCell ref="M68:N68"/>
    <mergeCell ref="A69:C69"/>
    <mergeCell ref="D69:E69"/>
    <mergeCell ref="F69:G69"/>
    <mergeCell ref="H69:I69"/>
    <mergeCell ref="J69:K69"/>
    <mergeCell ref="M67:N67"/>
    <mergeCell ref="A66:C66"/>
    <mergeCell ref="D66:E66"/>
    <mergeCell ref="F66:G66"/>
    <mergeCell ref="H66:I66"/>
    <mergeCell ref="J66:K66"/>
    <mergeCell ref="M66:N66"/>
    <mergeCell ref="A67:C67"/>
    <mergeCell ref="D67:E67"/>
    <mergeCell ref="F67:G67"/>
    <mergeCell ref="H67:I67"/>
    <mergeCell ref="J67:K67"/>
    <mergeCell ref="M65:N65"/>
    <mergeCell ref="A64:C64"/>
    <mergeCell ref="D64:E64"/>
    <mergeCell ref="F64:G64"/>
    <mergeCell ref="H64:I64"/>
    <mergeCell ref="J64:K64"/>
    <mergeCell ref="M64:N64"/>
    <mergeCell ref="A65:C65"/>
    <mergeCell ref="D65:E65"/>
    <mergeCell ref="F65:G65"/>
    <mergeCell ref="H65:I65"/>
    <mergeCell ref="J65:K65"/>
    <mergeCell ref="A59:N59"/>
    <mergeCell ref="A61:N61"/>
    <mergeCell ref="A63:C63"/>
    <mergeCell ref="D63:E63"/>
    <mergeCell ref="F63:G63"/>
    <mergeCell ref="H63:I63"/>
    <mergeCell ref="J63:K63"/>
    <mergeCell ref="M63:N63"/>
    <mergeCell ref="L58:N58"/>
    <mergeCell ref="A57:C57"/>
    <mergeCell ref="D57:E57"/>
    <mergeCell ref="F57:G57"/>
    <mergeCell ref="H57:I57"/>
    <mergeCell ref="J57:K57"/>
    <mergeCell ref="L57:N57"/>
    <mergeCell ref="A58:C58"/>
    <mergeCell ref="D58:E58"/>
    <mergeCell ref="F58:G58"/>
    <mergeCell ref="H58:I58"/>
    <mergeCell ref="J58:K58"/>
    <mergeCell ref="L56:N56"/>
    <mergeCell ref="A55:C55"/>
    <mergeCell ref="D55:E55"/>
    <mergeCell ref="F55:G55"/>
    <mergeCell ref="H55:I55"/>
    <mergeCell ref="J55:K55"/>
    <mergeCell ref="L55:N55"/>
    <mergeCell ref="A56:C56"/>
    <mergeCell ref="D56:E56"/>
    <mergeCell ref="F56:G56"/>
    <mergeCell ref="H56:I56"/>
    <mergeCell ref="J56:K56"/>
    <mergeCell ref="L54:N54"/>
    <mergeCell ref="A53:C53"/>
    <mergeCell ref="D53:E53"/>
    <mergeCell ref="F53:G53"/>
    <mergeCell ref="H53:I53"/>
    <mergeCell ref="J53:K53"/>
    <mergeCell ref="L53:N53"/>
    <mergeCell ref="A54:C54"/>
    <mergeCell ref="D54:E54"/>
    <mergeCell ref="F54:G54"/>
    <mergeCell ref="H54:I54"/>
    <mergeCell ref="J54:K54"/>
    <mergeCell ref="L52:N52"/>
    <mergeCell ref="A47:N47"/>
    <mergeCell ref="A48:N48"/>
    <mergeCell ref="A50:N50"/>
    <mergeCell ref="A51:C51"/>
    <mergeCell ref="D51:E51"/>
    <mergeCell ref="F51:G51"/>
    <mergeCell ref="H51:I51"/>
    <mergeCell ref="J51:K51"/>
    <mergeCell ref="L51:N51"/>
    <mergeCell ref="A52:C52"/>
    <mergeCell ref="D52:E52"/>
    <mergeCell ref="F52:G52"/>
    <mergeCell ref="H52:I52"/>
    <mergeCell ref="J52:K52"/>
    <mergeCell ref="A45:N45"/>
    <mergeCell ref="A42:C42"/>
    <mergeCell ref="D42:E42"/>
    <mergeCell ref="F42:G42"/>
    <mergeCell ref="H42:I42"/>
    <mergeCell ref="J42:K42"/>
    <mergeCell ref="A43:C43"/>
    <mergeCell ref="D43:E43"/>
    <mergeCell ref="F43:G43"/>
    <mergeCell ref="H43:I43"/>
    <mergeCell ref="J43:K43"/>
    <mergeCell ref="A44:C44"/>
    <mergeCell ref="D44:E44"/>
    <mergeCell ref="F44:G44"/>
    <mergeCell ref="H44:I44"/>
    <mergeCell ref="J44:K44"/>
    <mergeCell ref="A40:C40"/>
    <mergeCell ref="D40:E40"/>
    <mergeCell ref="F40:G40"/>
    <mergeCell ref="H40:I40"/>
    <mergeCell ref="J40:K40"/>
    <mergeCell ref="A41:C41"/>
    <mergeCell ref="D41:E41"/>
    <mergeCell ref="F41:G41"/>
    <mergeCell ref="H41:I41"/>
    <mergeCell ref="J41:K41"/>
    <mergeCell ref="A38:C38"/>
    <mergeCell ref="D38:E38"/>
    <mergeCell ref="F38:G38"/>
    <mergeCell ref="H38:I38"/>
    <mergeCell ref="J38:K38"/>
    <mergeCell ref="A39:C39"/>
    <mergeCell ref="D39:E39"/>
    <mergeCell ref="F39:G39"/>
    <mergeCell ref="H39:I39"/>
    <mergeCell ref="J39:K39"/>
    <mergeCell ref="A36:N36"/>
    <mergeCell ref="A18:D18"/>
    <mergeCell ref="E18:F18"/>
    <mergeCell ref="G18:H18"/>
    <mergeCell ref="I18:J18"/>
    <mergeCell ref="A19:D19"/>
    <mergeCell ref="E19:F19"/>
    <mergeCell ref="G19:H19"/>
    <mergeCell ref="I19:J19"/>
    <mergeCell ref="A20:D20"/>
    <mergeCell ref="E20:F20"/>
    <mergeCell ref="G20:H20"/>
    <mergeCell ref="I20:J20"/>
    <mergeCell ref="I22:N34"/>
    <mergeCell ref="A16:D16"/>
    <mergeCell ref="E16:F16"/>
    <mergeCell ref="G16:H16"/>
    <mergeCell ref="I16:J16"/>
    <mergeCell ref="A17:D17"/>
    <mergeCell ref="E17:F17"/>
    <mergeCell ref="G17:H17"/>
    <mergeCell ref="I17:J17"/>
    <mergeCell ref="A13:N13"/>
    <mergeCell ref="A15:D15"/>
    <mergeCell ref="E15:F15"/>
    <mergeCell ref="G15:H15"/>
    <mergeCell ref="I15:J15"/>
    <mergeCell ref="A11:S11"/>
    <mergeCell ref="A9:C9"/>
    <mergeCell ref="D9:F9"/>
    <mergeCell ref="G9:I9"/>
    <mergeCell ref="J9:L9"/>
    <mergeCell ref="M9:N9"/>
    <mergeCell ref="A10:C10"/>
    <mergeCell ref="D10:F10"/>
    <mergeCell ref="G10:I10"/>
    <mergeCell ref="J10:L10"/>
    <mergeCell ref="M10:N10"/>
    <mergeCell ref="A6:N6"/>
    <mergeCell ref="A8:C8"/>
    <mergeCell ref="D8:F8"/>
    <mergeCell ref="G8:I8"/>
    <mergeCell ref="J8:L8"/>
    <mergeCell ref="M8:N8"/>
    <mergeCell ref="A5:N5"/>
    <mergeCell ref="M4:N4"/>
    <mergeCell ref="A1:N1"/>
    <mergeCell ref="A2:N2"/>
    <mergeCell ref="A3:B3"/>
    <mergeCell ref="C3:F3"/>
    <mergeCell ref="G3:H3"/>
    <mergeCell ref="I3:J3"/>
    <mergeCell ref="K3:L3"/>
    <mergeCell ref="M3:N3"/>
    <mergeCell ref="A4:B4"/>
    <mergeCell ref="C4:F4"/>
    <mergeCell ref="G4:H4"/>
    <mergeCell ref="I4:J4"/>
    <mergeCell ref="K4:L4"/>
  </mergeCells>
  <conditionalFormatting sqref="A16:N20">
    <cfRule type="expression" dxfId="0" priority="1">
      <formula>$N16="Selected"</formula>
    </cfRule>
  </conditionalFormatting>
  <dataValidations count="2">
    <dataValidation type="list" showInputMessage="1" showErrorMessage="1" sqref="I3">
      <formula1>"Downside,Base,Upside"</formula1>
    </dataValidation>
    <dataValidation type="list" showInputMessage="1" showErrorMessage="1" sqref="C3">
      <formula1>_InvestorSelectorList</formula1>
    </dataValidation>
  </dataValidations>
  <pageMargins left="0.7" right="0.7" top="0.75" bottom="0.75" header="0.3" footer="0.3"/>
  <drawing xmlns:r="http://schemas.openxmlformats.org/officeDocument/2006/relationships" r:id="R0999983613454463"/>
</worksheet>
</file>

<file path=xl/worksheets/sheet9.xml><?xml version="1.0" encoding="utf-8"?>
<worksheet xmlns="http://schemas.openxmlformats.org/spreadsheetml/2006/main">
  <sheetPr>
    <tabColor rgb="FF9D8F42"/>
  </sheetPr>
  <sheetViews>
    <sheetView showGridLines="0" workbookViewId="0"/>
  </sheetViews>
  <sheetFormatPr defaultRowHeight="14.5"/>
  <cols>
    <col min="1" max="1" width="34" customWidth="1"/>
    <col min="2" max="2" width="38" customWidth="1"/>
    <col min="3" max="4" width="24" customWidth="1"/>
    <col min="5" max="5" width="3" hidden="1" customWidth="1"/>
    <col min="6" max="9" width="12" customWidth="1"/>
    <col min="10" max="10" width="34" customWidth="1"/>
    <col min="11" max="11" width="18" customWidth="1"/>
    <col min="12" max="12" width="12" customWidth="1"/>
    <col min="13" max="18" width="14" customWidth="1"/>
    <col min="19" max="126" width="12" customWidth="1"/>
  </cols>
  <sheetData>
    <row r="2" ht="25" customHeight="1">
      <c r="A2" s="696" t="s">
        <v>660</v>
      </c>
      <c r="B2" s="699"/>
      <c r="C2" s="699"/>
      <c r="D2" s="699"/>
      <c r="E2" s="699"/>
      <c r="F2" s="699"/>
      <c r="G2" s="699"/>
      <c r="H2" s="699"/>
      <c r="I2" s="699"/>
      <c r="J2" s="699"/>
      <c r="K2" s="699"/>
      <c r="L2" s="697" t="str">
        <f>UPPER(Underwriting!$I$2)&amp;" | "&amp;UPPER('VALUATION &amp; RETURNS'!$CR$7)</f>
        <v>MAYABAY ACTIVE (MELBOURNE) PTY LTD | BASE</v>
      </c>
      <c r="M2" s="699"/>
      <c r="N2" s="699"/>
      <c r="O2" s="699"/>
      <c r="P2" s="699"/>
      <c r="Q2" s="699"/>
      <c r="R2" s="699"/>
    </row>
    <row r="4" ht="24" customHeight="1">
      <c r="A4" s="698" t="s">
        <v>1315</v>
      </c>
      <c r="B4" s="699"/>
      <c r="C4" s="699"/>
      <c r="D4" s="699"/>
      <c r="E4" s="699"/>
      <c r="F4" s="699"/>
      <c r="G4" s="699"/>
      <c r="H4" s="699"/>
      <c r="I4" s="699"/>
      <c r="J4" s="699"/>
      <c r="K4" s="699"/>
      <c r="L4" s="699"/>
      <c r="M4" s="699"/>
      <c r="N4" s="699"/>
      <c r="O4" s="699"/>
      <c r="P4" s="699"/>
      <c r="Q4" s="699"/>
      <c r="R4" s="699"/>
    </row>
    <row r="5" ht="21" customHeight="1">
      <c r="A5" s="704" t="s">
        <v>1316</v>
      </c>
      <c r="B5" s="699"/>
      <c r="C5" s="699"/>
      <c r="D5" s="699"/>
      <c r="E5" s="699"/>
      <c r="F5" s="699"/>
      <c r="G5" s="699"/>
      <c r="J5" s="704" t="s">
        <v>1317</v>
      </c>
      <c r="K5" s="699"/>
      <c r="L5" s="699"/>
      <c r="M5" s="699"/>
      <c r="N5" s="699"/>
      <c r="O5" s="699"/>
      <c r="P5" s="699"/>
      <c r="Q5" s="699"/>
      <c r="R5" s="699"/>
    </row>
    <row r="6" ht="15" customHeight="1">
      <c r="A6" s="311" t="s">
        <v>1318</v>
      </c>
      <c r="B6" s="327" t="str">
        <f>'VALUATION &amp; RETURNS'!$CR$7</f>
        <v>Base</v>
      </c>
      <c r="C6" s="702" t="s">
        <v>1319</v>
      </c>
      <c r="D6" s="703"/>
      <c r="E6" s="703"/>
      <c r="F6" s="703"/>
      <c r="G6" s="703"/>
      <c r="J6" s="311" t="s">
        <v>1320</v>
      </c>
      <c r="K6" s="313" t="n">
        <f>SUM($B$9,$B$24,$B$37)</f>
        <v>421850097.47017086</v>
      </c>
      <c r="L6" s="312" t="s">
        <v>1321</v>
      </c>
      <c r="M6" s="699"/>
      <c r="N6" s="699"/>
      <c r="O6" s="699"/>
      <c r="P6" s="699"/>
      <c r="Q6" s="699"/>
      <c r="R6" s="699"/>
    </row>
    <row r="7" ht="15" customHeight="1">
      <c r="A7" s="311" t="s">
        <v>1322</v>
      </c>
      <c r="B7" s="327" t="str">
        <f>PROJECTS!$AP$85</f>
        <v>Equity First</v>
      </c>
      <c r="C7" s="702" t="s">
        <v>1323</v>
      </c>
      <c r="D7" s="703"/>
      <c r="E7" s="703"/>
      <c r="F7" s="703"/>
      <c r="G7" s="703"/>
      <c r="J7" s="311" t="s">
        <v>1258</v>
      </c>
      <c r="K7" s="313" t="n">
        <f>MAX($F$92:$DV$92)</f>
        <v>209365650.23643187</v>
      </c>
      <c r="L7" s="312" t="s">
        <v>1321</v>
      </c>
      <c r="M7" s="699"/>
      <c r="N7" s="699"/>
      <c r="O7" s="699"/>
      <c r="P7" s="699"/>
      <c r="Q7" s="699"/>
      <c r="R7" s="699"/>
    </row>
    <row r="8" ht="15" customHeight="1">
      <c r="A8" s="311" t="s">
        <v>1324</v>
      </c>
      <c r="B8" s="315" t="n">
        <f>PROJECTS!$AP$162*PROJECTS!$AP$166*1000000</f>
        <v>209379275.64230004</v>
      </c>
      <c r="C8" s="702" t="s">
        <v>1325</v>
      </c>
      <c r="D8" s="703"/>
      <c r="E8" s="703"/>
      <c r="F8" s="703"/>
      <c r="G8" s="703"/>
      <c r="J8" s="311" t="s">
        <v>1326</v>
      </c>
      <c r="K8" s="313" t="n">
        <f>MAX($F$110:$DV$110)</f>
        <v>976604.0073657166</v>
      </c>
      <c r="L8" s="312" t="s">
        <v>1321</v>
      </c>
      <c r="M8" s="699"/>
      <c r="N8" s="699"/>
      <c r="O8" s="699"/>
      <c r="P8" s="699"/>
      <c r="Q8" s="699"/>
      <c r="R8" s="699"/>
    </row>
    <row r="9" ht="15" customHeight="1">
      <c r="A9" s="311" t="s">
        <v>1327</v>
      </c>
      <c r="B9" s="315" t="n">
        <f>PROJECTS!$AP$167*1000000</f>
        <v>209379275.64230004</v>
      </c>
      <c r="C9" s="702" t="s">
        <v>1328</v>
      </c>
      <c r="D9" s="703"/>
      <c r="E9" s="703"/>
      <c r="F9" s="703"/>
      <c r="G9" s="703"/>
      <c r="J9" s="311" t="s">
        <v>1329</v>
      </c>
      <c r="K9" s="313" t="n">
        <f>SUM($F$120:$DV$120)</f>
        <v>211459306.73879617</v>
      </c>
      <c r="L9" s="312" t="s">
        <v>1321</v>
      </c>
      <c r="M9" s="699"/>
      <c r="N9" s="699"/>
      <c r="O9" s="699"/>
      <c r="P9" s="699"/>
      <c r="Q9" s="699"/>
      <c r="R9" s="699"/>
    </row>
    <row r="10" ht="15" customHeight="1">
      <c r="A10" s="311" t="s">
        <v>1330</v>
      </c>
      <c r="B10" s="316" t="n">
        <f>Underwriting!$C$61</f>
        <v>0.5</v>
      </c>
      <c r="C10" s="702" t="s">
        <v>1331</v>
      </c>
      <c r="D10" s="703"/>
      <c r="E10" s="703"/>
      <c r="F10" s="703"/>
      <c r="G10" s="703"/>
      <c r="J10" s="311" t="s">
        <v>1332</v>
      </c>
      <c r="K10" s="313" t="n">
        <f>SUM($F$82:$DV$82)</f>
        <v>10836678.06625885</v>
      </c>
      <c r="L10" s="312" t="s">
        <v>1321</v>
      </c>
      <c r="M10" s="699"/>
      <c r="N10" s="699"/>
      <c r="O10" s="699"/>
      <c r="P10" s="699"/>
      <c r="Q10" s="699"/>
      <c r="R10" s="699"/>
    </row>
    <row r="11" ht="15" customHeight="1">
      <c r="A11" s="311" t="s">
        <v>1333</v>
      </c>
      <c r="B11" s="317" t="n">
        <f>PROJECTS!$AP$86</f>
        <v>0.65</v>
      </c>
      <c r="C11" s="702" t="s">
        <v>1334</v>
      </c>
      <c r="D11" s="703"/>
      <c r="E11" s="703"/>
      <c r="F11" s="703"/>
      <c r="G11" s="703"/>
      <c r="J11" s="311" t="s">
        <v>1335</v>
      </c>
      <c r="K11" s="313" t="n">
        <f>SUM($F$84:$DV$84,$F$108:$DV$108,$F$123:$DV$123)</f>
        <v>39251917.15010296</v>
      </c>
      <c r="L11" s="312" t="s">
        <v>1321</v>
      </c>
      <c r="M11" s="699"/>
      <c r="N11" s="699"/>
      <c r="O11" s="699"/>
      <c r="P11" s="699"/>
      <c r="Q11" s="699"/>
      <c r="R11" s="699"/>
    </row>
    <row r="12" ht="15" customHeight="1">
      <c r="A12" s="311" t="s">
        <v>1336</v>
      </c>
      <c r="B12" s="317" t="str">
        <f>PROJECTS!$AP$87</f>
      </c>
      <c r="C12" s="702" t="s">
        <v>1337</v>
      </c>
      <c r="D12" s="703"/>
      <c r="E12" s="703"/>
      <c r="F12" s="703"/>
      <c r="G12" s="703"/>
      <c r="J12" s="311" t="s">
        <v>1338</v>
      </c>
      <c r="K12" s="313" t="n">
        <f>SUM($F$86:$DV$88,$F$109:$DV$109,$F$119:$DV$119)</f>
        <v>2093656.5023643188</v>
      </c>
      <c r="L12" s="312" t="s">
        <v>1321</v>
      </c>
      <c r="M12" s="699"/>
      <c r="N12" s="699"/>
      <c r="O12" s="699"/>
      <c r="P12" s="699"/>
      <c r="Q12" s="699"/>
      <c r="R12" s="699"/>
    </row>
    <row r="13" ht="15" customHeight="1">
      <c r="A13" s="311" t="s">
        <v>1339</v>
      </c>
      <c r="B13" s="316" t="n">
        <f>MAX(0,PROJECTS!$AP$82-B12)</f>
        <v>0.065</v>
      </c>
      <c r="C13" s="702" t="s">
        <v>1340</v>
      </c>
      <c r="D13" s="703"/>
      <c r="E13" s="703"/>
      <c r="F13" s="703"/>
      <c r="G13" s="703"/>
      <c r="J13" s="311" t="s">
        <v>1341</v>
      </c>
      <c r="K13" s="316" t="n">
        <f>IF(SUMPRODUCT($F$65:$DV$65/365,($F$74:$DV$74+$F$92:$DV$92+$F$101:$DV$101+$F$110:$DV$110+$F$116:$DV$116+$F$128:$DV$128)/2)=0,0,SUM($F$82:$DV$82,$F$84:$DV$84,$F$108:$DV$108,$F$123:$DV$123)/SUMPRODUCT($F$65:$DV$65/365,($F$74:$DV$74+$F$92:$DV$92+$F$101:$DV$101+$F$110:$DV$110+$F$116:$DV$116+$F$128:$DV$128)/2))</f>
        <v>0.07214410648629492</v>
      </c>
      <c r="L13" s="312" t="s">
        <v>78</v>
      </c>
      <c r="M13" s="699"/>
      <c r="N13" s="699"/>
      <c r="O13" s="699"/>
      <c r="P13" s="699"/>
      <c r="Q13" s="699"/>
      <c r="R13" s="699"/>
    </row>
    <row r="14" ht="15" customHeight="1">
      <c r="A14" s="311" t="s">
        <v>1342</v>
      </c>
      <c r="B14" s="317" t="str">
        <f>PROJECTS!$AP$88</f>
      </c>
      <c r="C14" s="702" t="s">
        <v>1334</v>
      </c>
      <c r="D14" s="703"/>
      <c r="E14" s="703"/>
      <c r="F14" s="703"/>
      <c r="G14" s="703"/>
      <c r="J14" s="311" t="s">
        <v>950</v>
      </c>
      <c r="K14" s="316" t="n">
        <f>IF(SUM($F$77:$DV$77)=0,0,MAX($F$92:$DV$92)/SUM($F$77:$DV$77))</f>
        <v>0.6454773495802439</v>
      </c>
      <c r="L14" s="312" t="s">
        <v>78</v>
      </c>
      <c r="M14" s="699"/>
      <c r="N14" s="699"/>
      <c r="O14" s="699"/>
      <c r="P14" s="699"/>
      <c r="Q14" s="699"/>
      <c r="R14" s="699"/>
    </row>
    <row r="15" ht="15" customHeight="1">
      <c r="A15" s="311" t="s">
        <v>1343</v>
      </c>
      <c r="B15" s="315">
        <v>0</v>
      </c>
      <c r="C15" s="702" t="s">
        <v>1344</v>
      </c>
      <c r="D15" s="703"/>
      <c r="E15" s="703"/>
      <c r="F15" s="703"/>
      <c r="G15" s="703"/>
      <c r="J15" s="311" t="s">
        <v>774</v>
      </c>
      <c r="K15" s="316" t="n">
        <f>MAX($F$134:$DV$134)</f>
        <v>0.3111310695911869</v>
      </c>
      <c r="L15" s="312" t="s">
        <v>78</v>
      </c>
      <c r="M15" s="699"/>
      <c r="N15" s="699"/>
      <c r="O15" s="699"/>
      <c r="P15" s="699"/>
      <c r="Q15" s="699"/>
      <c r="R15" s="699"/>
    </row>
    <row r="16" ht="15" customHeight="1">
      <c r="A16" s="311" t="s">
        <v>1345</v>
      </c>
      <c r="B16" s="317" t="str">
        <f>PROJECTS!$AP$89</f>
      </c>
      <c r="C16" s="702" t="s">
        <v>1334</v>
      </c>
      <c r="D16" s="703"/>
      <c r="E16" s="703"/>
      <c r="F16" s="703"/>
      <c r="G16" s="703"/>
      <c r="J16" s="311" t="s">
        <v>1346</v>
      </c>
      <c r="K16" s="316" t="n">
        <f>IF($K$15=0,0,Underwriting!$H$190*INDEX($P$31:$P$33,MATCH($B$6,$J$31:$J$33,0))/($K$15*'VALUATION &amp; RETURNS'!$DA$8*1000000*INDEX($O$31:$O$33,MATCH($B$6,$J$31:$J$33,0))))</f>
        <v>0.2153696730106621</v>
      </c>
      <c r="L16" s="312" t="s">
        <v>78</v>
      </c>
      <c r="M16" s="699"/>
      <c r="N16" s="699"/>
      <c r="O16" s="699"/>
      <c r="P16" s="699"/>
      <c r="Q16" s="699"/>
      <c r="R16" s="699"/>
    </row>
    <row r="17" ht="15" customHeight="1">
      <c r="A17" s="311" t="s">
        <v>1347</v>
      </c>
      <c r="B17" s="321" t="n">
        <f>PROJECTS!$AP$90</f>
        <v>365</v>
      </c>
      <c r="C17" s="702" t="s">
        <v>1348</v>
      </c>
      <c r="D17" s="703"/>
      <c r="E17" s="703"/>
      <c r="F17" s="703"/>
      <c r="G17" s="703"/>
      <c r="J17" s="311" t="s">
        <v>1263</v>
      </c>
      <c r="K17" s="318" t="n">
        <f>IF(COUNTIF($F$131:$DV$131,"&gt;0")=0,0,SMALL($F$131:$DV$131,COUNTIF($F$131:$DV$131,"&lt;=0")+1))</f>
        <v>3.991703485831749</v>
      </c>
      <c r="L17" s="312" t="s">
        <v>780</v>
      </c>
      <c r="M17" s="699"/>
      <c r="N17" s="699"/>
      <c r="O17" s="699"/>
      <c r="P17" s="699"/>
      <c r="Q17" s="699"/>
      <c r="R17" s="699"/>
    </row>
    <row r="18" ht="15" customHeight="1">
      <c r="A18" s="311" t="s">
        <v>1349</v>
      </c>
      <c r="B18" s="319" t="n">
        <f>INDEX(Underwriting!$L$24:$EN$24,1,Underwriting!$E$57+1)</f>
        <v>47299</v>
      </c>
      <c r="C18" s="702" t="s">
        <v>1350</v>
      </c>
      <c r="D18" s="703"/>
      <c r="E18" s="703"/>
      <c r="F18" s="703"/>
      <c r="G18" s="703"/>
      <c r="J18" s="311" t="s">
        <v>1265</v>
      </c>
      <c r="K18" s="318" t="n">
        <f>IF(COUNTIF($F$131:$DV$131,"&gt;0")=0,0,AVERAGEIF($F$131:$DV$131,"&gt;0"))</f>
        <v>9.967454522221619</v>
      </c>
      <c r="L18" s="312" t="s">
        <v>780</v>
      </c>
      <c r="M18" s="699"/>
      <c r="N18" s="699"/>
      <c r="O18" s="699"/>
      <c r="P18" s="699"/>
      <c r="Q18" s="699"/>
      <c r="R18" s="699"/>
    </row>
    <row r="19" ht="15" customHeight="1">
      <c r="A19" s="311" t="s">
        <v>1351</v>
      </c>
      <c r="B19" s="603" t="n">
        <f>EOMONTH(B35,3)</f>
        <v>47787</v>
      </c>
      <c r="C19" s="702" t="s">
        <v>1352</v>
      </c>
      <c r="D19" s="703"/>
      <c r="E19" s="703"/>
      <c r="F19" s="703"/>
      <c r="G19" s="703"/>
      <c r="J19" s="311" t="s">
        <v>1353</v>
      </c>
      <c r="K19" s="318" t="n">
        <f>IF(COUNTIF($F$132:$DV$132,"&gt;0")=0,0,SMALL($F$132:$DV$132,COUNTIF($F$132:$DV$132,"&lt;=0")+1))</f>
        <v>4.1597812474164995</v>
      </c>
      <c r="L19" s="312" t="s">
        <v>780</v>
      </c>
      <c r="M19" s="699"/>
      <c r="N19" s="699"/>
      <c r="O19" s="699"/>
      <c r="P19" s="699"/>
      <c r="Q19" s="699"/>
      <c r="R19" s="699"/>
    </row>
    <row r="20" ht="15" customHeight="1">
      <c r="A20" s="311" t="s">
        <v>1354</v>
      </c>
      <c r="B20" s="603" t="n">
        <f>MAX(EOMONTH(B18,6),B35)</f>
        <v>47695</v>
      </c>
      <c r="C20" s="702" t="s">
        <v>1355</v>
      </c>
      <c r="D20" s="703"/>
      <c r="E20" s="703"/>
      <c r="F20" s="703"/>
      <c r="G20" s="703"/>
      <c r="J20" s="311" t="s">
        <v>1356</v>
      </c>
      <c r="K20" s="313" t="n">
        <f>MAX($F$130:$DV$130)</f>
        <v>0</v>
      </c>
      <c r="L20" s="312" t="s">
        <v>1321</v>
      </c>
      <c r="M20" s="699"/>
      <c r="N20" s="699"/>
      <c r="O20" s="699"/>
      <c r="P20" s="699"/>
      <c r="Q20" s="699"/>
      <c r="R20" s="699"/>
    </row>
    <row r="21" ht="15" customHeight="1">
      <c r="A21" s="311" t="s">
        <v>1357</v>
      </c>
      <c r="B21" s="327" t="str">
        <f>PROJECTS!$AP$91</f>
        <v>Yes</v>
      </c>
      <c r="C21" s="702" t="s">
        <v>1358</v>
      </c>
      <c r="D21" s="703"/>
      <c r="E21" s="703"/>
      <c r="F21" s="703"/>
      <c r="G21" s="703"/>
      <c r="J21" s="311" t="s">
        <v>1359</v>
      </c>
      <c r="K21" s="319" t="n">
        <f>IF(COUNTIF($F$92:$DV$92,"&gt;0")+COUNTIF($F$110:$DV$110,"&gt;0")+COUNTIF($F$128:$DV$128,"&gt;0")=0,"",LOOKUP(2,1/(($F$92:$DV$92+$F$110:$DV$110+$F$128:$DV$128)&gt;0),$F$64:$DV$64))</f>
        <v>48060</v>
      </c>
      <c r="L21" s="312" t="s">
        <v>772</v>
      </c>
      <c r="M21" s="699"/>
      <c r="N21" s="699"/>
      <c r="O21" s="699"/>
      <c r="P21" s="699"/>
      <c r="Q21" s="699"/>
      <c r="R21" s="699"/>
    </row>
    <row r="22" ht="15" customHeight="1">
      <c r="J22" s="311" t="s">
        <v>1360</v>
      </c>
      <c r="K22" s="319" t="n">
        <f>$B$52</f>
        <v>49521</v>
      </c>
      <c r="L22" s="312" t="s">
        <v>772</v>
      </c>
      <c r="M22" s="699"/>
      <c r="N22" s="699"/>
      <c r="O22" s="699"/>
      <c r="P22" s="699"/>
      <c r="Q22" s="699"/>
      <c r="R22" s="699"/>
    </row>
    <row r="23" ht="21" customHeight="1">
      <c r="A23" s="704" t="s">
        <v>1361</v>
      </c>
      <c r="B23" s="699"/>
      <c r="C23" s="699"/>
      <c r="D23" s="699"/>
      <c r="E23" s="699"/>
      <c r="F23" s="699"/>
      <c r="G23" s="699"/>
      <c r="J23" s="311" t="s">
        <v>1362</v>
      </c>
      <c r="K23" s="313" t="n">
        <f>MAX($F$129:$DV$129)</f>
        <v>0</v>
      </c>
      <c r="L23" s="312" t="s">
        <v>1321</v>
      </c>
      <c r="M23" s="699"/>
      <c r="N23" s="699"/>
      <c r="O23" s="699"/>
      <c r="P23" s="699"/>
      <c r="Q23" s="699"/>
      <c r="R23" s="699"/>
    </row>
    <row r="24" ht="15" customHeight="1">
      <c r="A24" s="311" t="s">
        <v>1363</v>
      </c>
      <c r="B24" s="315" t="n">
        <f>MAX(Underwriting!$I$74,PROJECTS!$AP$199*Underwriting!$I$130)</f>
        <v>976604.0073657166</v>
      </c>
      <c r="C24" s="702" t="s">
        <v>1364</v>
      </c>
      <c r="D24" s="703"/>
      <c r="E24" s="703"/>
      <c r="F24" s="703"/>
      <c r="G24" s="703"/>
      <c r="J24" s="311" t="s">
        <v>1365</v>
      </c>
      <c r="K24" s="313" t="n">
        <f>SUM($F$117:$DV$119,$F$121:$DV$121)</f>
        <v>211459306.73879617</v>
      </c>
      <c r="L24" s="312" t="s">
        <v>1321</v>
      </c>
      <c r="M24" s="699"/>
      <c r="N24" s="699"/>
      <c r="O24" s="699"/>
      <c r="P24" s="699"/>
      <c r="Q24" s="699"/>
      <c r="R24" s="699"/>
    </row>
    <row r="25" ht="15" customHeight="1">
      <c r="A25" s="311" t="s">
        <v>1366</v>
      </c>
      <c r="B25" s="317" t="str">
        <f>PROJECTS!$AP$92</f>
      </c>
      <c r="C25" s="702" t="s">
        <v>1367</v>
      </c>
      <c r="D25" s="703"/>
      <c r="E25" s="703"/>
      <c r="F25" s="703"/>
      <c r="G25" s="703"/>
      <c r="J25" s="311" t="s">
        <v>1368</v>
      </c>
      <c r="K25" s="313" t="n">
        <f>SUM($F$121:$DV$121)</f>
        <v>0</v>
      </c>
      <c r="L25" s="312" t="s">
        <v>1321</v>
      </c>
      <c r="M25" s="699"/>
      <c r="N25" s="699"/>
      <c r="O25" s="699"/>
      <c r="P25" s="699"/>
      <c r="Q25" s="699"/>
      <c r="R25" s="699"/>
    </row>
    <row r="26" ht="15" customHeight="1">
      <c r="A26" s="311" t="s">
        <v>1369</v>
      </c>
      <c r="B26" s="316" t="n">
        <f>MAX(0,PROJECTS!$AP$82-B25)</f>
        <v>0.065</v>
      </c>
      <c r="C26" s="702" t="s">
        <v>1340</v>
      </c>
      <c r="D26" s="703"/>
      <c r="E26" s="703"/>
      <c r="F26" s="703"/>
      <c r="G26" s="703"/>
      <c r="J26" s="311" t="s">
        <v>1370</v>
      </c>
      <c r="K26" s="313" t="n">
        <f>SUM($F$78:$DV$78,$F$121:$DV$121,$F$151:$DV$151)</f>
        <v>310758852.4397549</v>
      </c>
      <c r="L26" s="312" t="s">
        <v>1321</v>
      </c>
      <c r="M26" s="699"/>
      <c r="N26" s="699"/>
      <c r="O26" s="699"/>
      <c r="P26" s="699"/>
      <c r="Q26" s="699"/>
      <c r="R26" s="699"/>
    </row>
    <row r="27" ht="15" customHeight="1">
      <c r="A27" s="311" t="s">
        <v>1371</v>
      </c>
      <c r="B27" s="314" t="n">
        <f>PROJECTS!$AP$93</f>
        <v>100000</v>
      </c>
      <c r="C27" s="702" t="s">
        <v>1372</v>
      </c>
      <c r="D27" s="703"/>
      <c r="E27" s="703"/>
      <c r="F27" s="703"/>
      <c r="G27" s="703"/>
      <c r="J27" s="311" t="s">
        <v>1373</v>
      </c>
      <c r="K27" s="313" t="n">
        <f>IF(COUNTIF($F$93:$DV$93,"&gt;0")=0,0,SMALL($F$94:$DV$94,COUNTIF($F$93:$DV$93,"&lt;=0")+1))</f>
        <v>13625.405868172646</v>
      </c>
      <c r="L27" s="312" t="s">
        <v>1321</v>
      </c>
      <c r="M27" s="699"/>
      <c r="N27" s="699"/>
      <c r="O27" s="699"/>
      <c r="P27" s="699"/>
      <c r="Q27" s="699"/>
      <c r="R27" s="699"/>
    </row>
    <row r="28" ht="15" customHeight="1">
      <c r="A28" s="311" t="s">
        <v>1374</v>
      </c>
      <c r="B28" s="317" t="str">
        <f>PROJECTS!$AP$94</f>
      </c>
      <c r="C28" s="702" t="s">
        <v>1372</v>
      </c>
      <c r="D28" s="703"/>
      <c r="E28" s="703"/>
      <c r="F28" s="703"/>
      <c r="G28" s="703"/>
    </row>
    <row r="29" ht="21" customHeight="1">
      <c r="A29" s="311" t="s">
        <v>1375</v>
      </c>
      <c r="B29" s="603" t="n">
        <f>EOMONTH($B$35,12)</f>
        <v>48060</v>
      </c>
      <c r="C29" s="702" t="s">
        <v>1376</v>
      </c>
      <c r="D29" s="703"/>
      <c r="E29" s="703"/>
      <c r="F29" s="703"/>
      <c r="G29" s="703"/>
      <c r="J29" s="704" t="s">
        <v>1377</v>
      </c>
      <c r="K29" s="699"/>
      <c r="L29" s="699"/>
      <c r="M29" s="699"/>
      <c r="N29" s="699"/>
      <c r="O29" s="699"/>
      <c r="P29" s="699"/>
      <c r="Q29" s="699"/>
      <c r="R29" s="699"/>
    </row>
    <row r="30" ht="15" customHeight="1">
      <c r="A30" s="311" t="s">
        <v>1378</v>
      </c>
      <c r="B30" s="327" t="s">
        <v>1379</v>
      </c>
      <c r="C30" s="702" t="s">
        <v>1380</v>
      </c>
      <c r="D30" s="703"/>
      <c r="E30" s="703"/>
      <c r="F30" s="703"/>
      <c r="G30" s="703"/>
      <c r="J30" s="310" t="s">
        <v>790</v>
      </c>
      <c r="K30" s="310" t="s">
        <v>1381</v>
      </c>
      <c r="L30" s="310" t="s">
        <v>1382</v>
      </c>
      <c r="M30" s="310" t="s">
        <v>1383</v>
      </c>
      <c r="N30" s="310" t="s">
        <v>1384</v>
      </c>
      <c r="O30" s="310" t="s">
        <v>1385</v>
      </c>
      <c r="P30" s="310" t="s">
        <v>355</v>
      </c>
      <c r="Q30" s="310" t="s">
        <v>1386</v>
      </c>
      <c r="R30" s="310" t="s">
        <v>1387</v>
      </c>
    </row>
    <row r="31" ht="15" customHeight="1">
      <c r="J31" s="311" t="s">
        <v>811</v>
      </c>
      <c r="K31" s="317">
        <v>0.1</v>
      </c>
      <c r="L31" s="321">
        <v>6</v>
      </c>
      <c r="M31" s="317">
        <v>0.02</v>
      </c>
      <c r="N31" s="317">
        <v>0.8</v>
      </c>
      <c r="O31" s="317">
        <v>0.85</v>
      </c>
      <c r="P31" s="317">
        <v>0.85</v>
      </c>
      <c r="Q31" s="317">
        <v>0.8</v>
      </c>
      <c r="R31" s="317">
        <v>-0.05</v>
      </c>
    </row>
    <row r="32" ht="21" customHeight="1">
      <c r="A32" s="704" t="s">
        <v>1388</v>
      </c>
      <c r="B32" s="699"/>
      <c r="C32" s="699"/>
      <c r="D32" s="699"/>
      <c r="E32" s="699"/>
      <c r="F32" s="699"/>
      <c r="G32" s="699"/>
      <c r="J32" s="311" t="s">
        <v>815</v>
      </c>
      <c r="K32" s="317">
        <v>0</v>
      </c>
      <c r="L32" s="321">
        <v>0</v>
      </c>
      <c r="M32" s="317">
        <v>0</v>
      </c>
      <c r="N32" s="317">
        <v>1</v>
      </c>
      <c r="O32" s="317">
        <v>1</v>
      </c>
      <c r="P32" s="317">
        <v>1</v>
      </c>
      <c r="Q32" s="317">
        <v>1</v>
      </c>
      <c r="R32" s="317">
        <v>0</v>
      </c>
    </row>
    <row r="33" ht="15" customHeight="1">
      <c r="A33" s="311" t="s">
        <v>1389</v>
      </c>
      <c r="B33" s="327" t="str">
        <f>PROJECTS!$AP$95</f>
        <v>Stabilisation</v>
      </c>
      <c r="C33" s="702" t="s">
        <v>1390</v>
      </c>
      <c r="D33" s="703"/>
      <c r="E33" s="703"/>
      <c r="F33" s="703"/>
      <c r="G33" s="703"/>
      <c r="J33" s="311" t="s">
        <v>819</v>
      </c>
      <c r="K33" s="317">
        <v>-0.05</v>
      </c>
      <c r="L33" s="321">
        <v>-2</v>
      </c>
      <c r="M33" s="317">
        <v>-5.0000000000000001E-3</v>
      </c>
      <c r="N33" s="317">
        <v>1.05</v>
      </c>
      <c r="O33" s="317">
        <v>1.1000000000000001</v>
      </c>
      <c r="P33" s="317">
        <v>1.05</v>
      </c>
      <c r="Q33" s="317">
        <v>1.05</v>
      </c>
      <c r="R33" s="317">
        <v>2.5000000000000001E-2</v>
      </c>
    </row>
    <row r="34" ht="15" customHeight="1">
      <c r="A34" s="311" t="s">
        <v>1391</v>
      </c>
      <c r="B34" s="67">
        <v>47149</v>
      </c>
      <c r="C34" s="702" t="s">
        <v>1392</v>
      </c>
      <c r="D34" s="703"/>
      <c r="E34" s="703"/>
      <c r="F34" s="703"/>
      <c r="G34" s="703"/>
    </row>
    <row r="35" ht="21" customHeight="1">
      <c r="A35" s="311" t="s">
        <v>1393</v>
      </c>
      <c r="B35" s="319" t="n">
        <f>EOMONTH(EDATE(IF(B33="Practical Completion",B18,IF(B33="Stabilisation",EOMONTH(B18,13),B34)),INDEX(L31:L33,MATCH(B6,J31:J33,0))),0)</f>
        <v>47695</v>
      </c>
      <c r="C35" s="702" t="s">
        <v>1394</v>
      </c>
      <c r="D35" s="703"/>
      <c r="E35" s="703"/>
      <c r="F35" s="703"/>
      <c r="G35" s="703"/>
      <c r="J35" s="704" t="s">
        <v>1395</v>
      </c>
      <c r="K35" s="699"/>
      <c r="L35" s="699"/>
      <c r="M35" s="699"/>
      <c r="N35" s="699"/>
      <c r="O35" s="699"/>
      <c r="P35" s="699"/>
      <c r="Q35" s="699"/>
      <c r="R35" s="699"/>
    </row>
    <row r="36" ht="15" customHeight="1">
      <c r="A36" s="311" t="s">
        <v>1396</v>
      </c>
      <c r="B36" s="327" t="str">
        <f>PROJECTS!$AP$96</f>
        <v>Yes</v>
      </c>
      <c r="C36" s="702" t="s">
        <v>1358</v>
      </c>
      <c r="D36" s="703"/>
      <c r="E36" s="703"/>
      <c r="F36" s="703"/>
      <c r="G36" s="703"/>
      <c r="J36" s="310" t="s">
        <v>790</v>
      </c>
      <c r="K36" s="310" t="s">
        <v>948</v>
      </c>
      <c r="L36" s="310" t="s">
        <v>1397</v>
      </c>
      <c r="M36" s="310" t="s">
        <v>1122</v>
      </c>
      <c r="N36" s="310" t="s">
        <v>1398</v>
      </c>
      <c r="O36" s="310" t="s">
        <v>1263</v>
      </c>
      <c r="P36" s="310" t="s">
        <v>799</v>
      </c>
      <c r="Q36" s="310" t="s">
        <v>1399</v>
      </c>
      <c r="R36" s="310" t="s">
        <v>1400</v>
      </c>
    </row>
    <row r="37" ht="15" customHeight="1">
      <c r="A37" s="311" t="s">
        <v>1401</v>
      </c>
      <c r="B37" s="315" t="n">
        <f>INDEX($N$37:$N$39,MATCH($B$6,$J$37:$J$39,0))</f>
        <v>211494217.82050508</v>
      </c>
      <c r="C37" s="702" t="s">
        <v>1402</v>
      </c>
      <c r="D37" s="703"/>
      <c r="E37" s="703"/>
      <c r="F37" s="703"/>
      <c r="G37" s="703"/>
      <c r="J37" s="311" t="str">
        <f>$J$31</f>
        <v>Downside</v>
      </c>
      <c r="K37" s="313" t="n">
        <f>MAX(0,MIN(PROJECTS!$AP$162*1000000*(1+$K$31)*PROJECTS!$AP$165,(PROJECTS!$AP$162*1000000*(1+$K$31))*MAX(0,$B$10+$R$31),'VALUATION &amp; RETURNS'!$CU$75*1000000*MAX(0,$B$11+$R$31)))</f>
        <v>207285482.88587707</v>
      </c>
      <c r="L37" s="313" t="n">
        <f>MIN(K37,K37/2*MAX(0,$B$12+$B$13+$M$31)*MAX(0,PROJECTS!$AP$14+$L$31)/12)</f>
        <v>30833715.57927422</v>
      </c>
      <c r="M37" s="313" t="n">
        <f>MAX(0,PROJECTS!$AP$162*1000000*(1+$K$31)-K37)</f>
        <v>253348923.52718306</v>
      </c>
      <c r="N37" s="313" t="n">
        <f>MIN(K37/(1-$B$47),'VALUATION &amp; RETURNS'!$CU$75*1000000*MAX(0,$B$38+$R$31),MAX(0,(Underwriting!$I$190*$P$31*$N$31-Underwriting!$I$153)*(1-PROJECTS!$AP$194))/$B$48/MAX(0.0001,$B$39+$B$40+$M$31+1/MAX(1,$B$42)))</f>
        <v>209379275.64230007</v>
      </c>
      <c r="O37" s="318" t="n">
        <f>IF(N37=0,0,MAX(0,(Underwriting!$I$190*$P$31*$N$31-Underwriting!$I$153)*(1-PROJECTS!$AP$194))/(N37*MAX(0.0001,$B$39+$B$40+$M$31+1/MAX(1,$B$42))))</f>
        <v>1.3409101488384407</v>
      </c>
      <c r="P37" s="316" t="n">
        <f>IF('VALUATION &amp; RETURNS'!CU75*1000000=0,0,N37/('VALUATION &amp; RETURNS'!CU75*1000000))</f>
        <v>0.3310581436032304</v>
      </c>
      <c r="Q37" s="319" t="n">
        <f>$B$52</f>
        <v>49521</v>
      </c>
      <c r="R37" s="313" t="n">
        <f>MAX(0,K37+K37*$B$47-N37)</f>
        <v>0</v>
      </c>
    </row>
    <row r="38" ht="15" customHeight="1">
      <c r="A38" s="311" t="s">
        <v>1403</v>
      </c>
      <c r="B38" s="317" t="n">
        <f>PROJECTS!$AP$97</f>
        <v>0.65</v>
      </c>
      <c r="C38" s="702" t="s">
        <v>1372</v>
      </c>
      <c r="D38" s="703"/>
      <c r="E38" s="703"/>
      <c r="F38" s="703"/>
      <c r="G38" s="703"/>
      <c r="J38" s="311" t="str">
        <f>$J$32</f>
        <v>Base</v>
      </c>
      <c r="K38" s="313" t="n">
        <f>MAX(0,MIN(PROJECTS!$AP$162*1000000*(1+$K$32)*PROJECTS!$AP$165,(PROJECTS!$AP$162*1000000*(1+$K$32))*MAX(0,$B$10+$R$32),'VALUATION &amp; RETURNS'!$CU$76*1000000*MAX(0,$B$11+$R$32)))</f>
        <v>209379275.64230004</v>
      </c>
      <c r="L38" s="313" t="n">
        <f>MIN(K38,K38/2*MAX(0,$B$12+$B$13+$M$32)*MAX(0,PROJECTS!$AP$14+$L$32)/12)</f>
        <v>20414479.375124257</v>
      </c>
      <c r="M38" s="313" t="n">
        <f>MAX(0,PROJECTS!$AP$162*1000000*(1+$K$32)-K38)</f>
        <v>209379275.64230004</v>
      </c>
      <c r="N38" s="313" t="n">
        <f>MIN(K38/(1-$B$47),'VALUATION &amp; RETURNS'!$CU$76*1000000*MAX(0,$B$38+$R$32),MAX(0,(Underwriting!$I$190*$P$32*$N$32-Underwriting!$I$153)*(1-PROJECTS!$AP$194))/$B$48/MAX(0.0001,$B$39+$B$40+$M$32+1/MAX(1,$B$42)))</f>
        <v>211494217.82050508</v>
      </c>
      <c r="O38" s="318" t="n">
        <f>IF(N38=0,0,MAX(0,(Underwriting!$I$190*$P$32*$N$32-Underwriting!$I$153)*(1-PROJECTS!$AP$194))/(N38*MAX(0.0001,$B$39+$B$40+$M$32+1/MAX(1,$B$42))))</f>
        <v>2.3661095494342628</v>
      </c>
      <c r="P38" s="316" t="n">
        <f>IF('VALUATION &amp; RETURNS'!CU76*1000000=0,0,N38/('VALUATION &amp; RETURNS'!CU76*1000000))</f>
        <v>0.31118243608037205</v>
      </c>
      <c r="Q38" s="319" t="n">
        <f>$B$52</f>
        <v>49521</v>
      </c>
      <c r="R38" s="313" t="n">
        <f>MAX(0,K38+K38*$B$47-N38)</f>
        <v>0</v>
      </c>
    </row>
    <row r="39" ht="15" customHeight="1">
      <c r="A39" s="311" t="s">
        <v>1404</v>
      </c>
      <c r="B39" s="317" t="n">
        <f>0</f>
        <v>0</v>
      </c>
      <c r="C39" s="702" t="s">
        <v>1405</v>
      </c>
      <c r="D39" s="703"/>
      <c r="E39" s="703"/>
      <c r="F39" s="703"/>
      <c r="G39" s="703"/>
      <c r="J39" s="311" t="str">
        <f>$J$33</f>
        <v>Upside</v>
      </c>
      <c r="K39" s="313" t="n">
        <f>MAX(0,MIN(PROJECTS!$AP$162*1000000*(1+$K$33)*PROJECTS!$AP$165,(PROJECTS!$AP$162*1000000*(1+$K$33))*MAX(0,$B$10+$R$33),'VALUATION &amp; RETURNS'!$CU$77*1000000*MAX(0,$B$11+$R$33)))</f>
        <v>198910311.86018503</v>
      </c>
      <c r="L39" s="313" t="n">
        <f>MIN(K39,K39/2*MAX(0,$B$12+$B$13+$M$33)*MAX(0,PROJECTS!$AP$14+$L$33)/12)</f>
        <v>16907376.508115727</v>
      </c>
      <c r="M39" s="313" t="n">
        <f>MAX(0,PROJECTS!$AP$162*1000000*(1+$K$33)-K39)</f>
        <v>198910311.86018503</v>
      </c>
      <c r="N39" s="313" t="n">
        <f>MIN(K39/(1-$B$47),'VALUATION &amp; RETURNS'!$CU$77*1000000*MAX(0,$B$38+$R$33),MAX(0,(Underwriting!$I$190*$P$33*$N$33-Underwriting!$I$153)*(1-PROJECTS!$AP$194))/$B$48/MAX(0.0001,$B$39+$B$40+$M$33+1/MAX(1,$B$42)))</f>
        <v>200919506.92947984</v>
      </c>
      <c r="O39" s="318" t="n">
        <f>IF(N39=0,0,MAX(0,(Underwriting!$I$190*$P$33*$N$33-Underwriting!$I$153)*(1-PROJECTS!$AP$194))/(N39*MAX(0.0001,$B$39+$B$40+$M$33+1/MAX(1,$B$42))))</f>
        <v>2.8971044949149753</v>
      </c>
      <c r="P39" s="316" t="n">
        <f>IF('VALUATION &amp; RETURNS'!CU77*1000000=0,0,N39/('VALUATION &amp; RETURNS'!CU77*1000000))</f>
        <v>0.2735645715597081</v>
      </c>
      <c r="Q39" s="319" t="n">
        <f>$B$52</f>
        <v>49521</v>
      </c>
      <c r="R39" s="313" t="n">
        <f>MAX(0,K39+K39*$B$47-N39)</f>
        <v>0</v>
      </c>
    </row>
    <row r="40" ht="15" customHeight="1">
      <c r="A40" s="311" t="s">
        <v>1406</v>
      </c>
      <c r="B40" s="316" t="n">
        <f>MAX(0,PROJECTS!$AP$83-B39)</f>
        <v>0.065</v>
      </c>
      <c r="C40" s="702" t="s">
        <v>1407</v>
      </c>
      <c r="D40" s="703"/>
      <c r="E40" s="703"/>
      <c r="F40" s="703"/>
      <c r="G40" s="703"/>
    </row>
    <row r="41" ht="15" customHeight="1">
      <c r="A41" s="311" t="s">
        <v>1408</v>
      </c>
      <c r="B41" s="321" t="n">
        <f>PROJECTS!$AP$98</f>
        <v>5</v>
      </c>
      <c r="C41" s="702" t="s">
        <v>1409</v>
      </c>
      <c r="D41" s="703"/>
      <c r="E41" s="703"/>
      <c r="F41" s="703"/>
      <c r="G41" s="703"/>
    </row>
    <row r="42" ht="15" customHeight="1">
      <c r="A42" s="311" t="s">
        <v>1410</v>
      </c>
      <c r="B42" s="321" t="n">
        <f>Underwriting!$G$81</f>
        <v>30</v>
      </c>
      <c r="C42" s="702" t="s">
        <v>1411</v>
      </c>
      <c r="D42" s="703"/>
      <c r="E42" s="703"/>
      <c r="F42" s="703"/>
      <c r="G42" s="703"/>
    </row>
    <row r="43" ht="15" customHeight="1">
      <c r="A43" s="311" t="s">
        <v>1412</v>
      </c>
      <c r="B43" s="321" t="n">
        <f>PROJECTS!$AP$99</f>
        <v>12</v>
      </c>
      <c r="C43" s="702" t="s">
        <v>1413</v>
      </c>
      <c r="D43" s="703"/>
      <c r="E43" s="703"/>
      <c r="F43" s="703"/>
      <c r="G43" s="703"/>
    </row>
    <row r="44" ht="15" customHeight="1">
      <c r="A44" s="311" t="s">
        <v>1414</v>
      </c>
      <c r="B44" s="327" t="str">
        <f>PROJECTS!$AP$100</f>
        <v>Interest-only followed by amortisation</v>
      </c>
      <c r="C44" s="702" t="s">
        <v>1415</v>
      </c>
      <c r="D44" s="703"/>
      <c r="E44" s="703"/>
      <c r="F44" s="703"/>
      <c r="G44" s="703"/>
    </row>
    <row r="45" ht="15" customHeight="1">
      <c r="A45" s="311" t="s">
        <v>1416</v>
      </c>
      <c r="B45" s="317" t="n">
        <f>PROJECTS!$AP$101</f>
        <v>0.5</v>
      </c>
      <c r="C45" s="702" t="s">
        <v>1417</v>
      </c>
      <c r="D45" s="703"/>
      <c r="E45" s="703"/>
      <c r="F45" s="703"/>
      <c r="G45" s="703"/>
    </row>
    <row r="46" ht="15" customHeight="1">
      <c r="A46" s="311" t="s">
        <v>1418</v>
      </c>
      <c r="B46" s="317" t="n">
        <f>PROJECTS!$AP$102</f>
        <v>0.5</v>
      </c>
      <c r="C46" s="702" t="s">
        <v>1372</v>
      </c>
      <c r="D46" s="703"/>
      <c r="E46" s="703"/>
      <c r="F46" s="703"/>
      <c r="G46" s="703"/>
    </row>
    <row r="47" ht="15" customHeight="1">
      <c r="A47" s="311" t="s">
        <v>1419</v>
      </c>
      <c r="B47" s="316" t="n">
        <f>PROJECTS!$AP$84</f>
        <v>0.01</v>
      </c>
      <c r="C47" s="702" t="s">
        <v>1420</v>
      </c>
      <c r="D47" s="703"/>
      <c r="E47" s="703"/>
      <c r="F47" s="703"/>
      <c r="G47" s="703"/>
    </row>
    <row r="48" ht="15" customHeight="1">
      <c r="A48" s="311" t="s">
        <v>1421</v>
      </c>
      <c r="B48" s="318" t="n">
        <f>PROJECTS!$AP$103</f>
        <v>1.25</v>
      </c>
      <c r="C48" s="702" t="s">
        <v>1372</v>
      </c>
      <c r="D48" s="703"/>
      <c r="E48" s="703"/>
      <c r="F48" s="703"/>
      <c r="G48" s="703"/>
    </row>
    <row r="49" ht="15" customHeight="1">
      <c r="A49" s="311" t="s">
        <v>1353</v>
      </c>
      <c r="B49" s="318" t="n">
        <f>PROJECTS!$AP$104</f>
        <v>1.5</v>
      </c>
      <c r="C49" s="702" t="s">
        <v>1372</v>
      </c>
      <c r="D49" s="703"/>
      <c r="E49" s="703"/>
      <c r="F49" s="703"/>
      <c r="G49" s="703"/>
    </row>
    <row r="50" ht="15" customHeight="1">
      <c r="A50" s="311" t="s">
        <v>1422</v>
      </c>
      <c r="B50" s="317" t="n">
        <f>PROJECTS!$AP$105</f>
        <v>0.08</v>
      </c>
      <c r="C50" s="702" t="s">
        <v>1372</v>
      </c>
      <c r="D50" s="703"/>
      <c r="E50" s="703"/>
      <c r="F50" s="703"/>
      <c r="G50" s="703"/>
    </row>
    <row r="51" ht="15" customHeight="1">
      <c r="A51" s="311" t="s">
        <v>1423</v>
      </c>
      <c r="B51" s="321" t="str">
        <f>PROJECTS!$AP$106</f>
      </c>
      <c r="C51" s="702" t="s">
        <v>1413</v>
      </c>
      <c r="D51" s="703"/>
      <c r="E51" s="703"/>
      <c r="F51" s="703"/>
      <c r="G51" s="703"/>
    </row>
    <row r="52" ht="15" customHeight="1">
      <c r="A52" s="311" t="s">
        <v>1360</v>
      </c>
      <c r="B52" s="319" t="n">
        <f>EOMONTH($B$35,$B$41*12)</f>
        <v>49521</v>
      </c>
      <c r="C52" s="702" t="s">
        <v>1424</v>
      </c>
      <c r="D52" s="703"/>
      <c r="E52" s="703"/>
      <c r="F52" s="703"/>
      <c r="G52" s="703"/>
    </row>
    <row r="53" ht="15" customHeight="1">
      <c r="A53" s="311" t="s">
        <v>1425</v>
      </c>
      <c r="B53" s="327" t="s">
        <v>1426</v>
      </c>
      <c r="C53" s="702" t="s">
        <v>1427</v>
      </c>
      <c r="D53" s="703"/>
      <c r="E53" s="703"/>
      <c r="F53" s="703"/>
      <c r="G53" s="703"/>
    </row>
    <row r="60" ht="22" customHeight="1">
      <c r="A60" s="704" t="s">
        <v>1428</v>
      </c>
      <c r="B60" s="699"/>
      <c r="C60" s="699"/>
      <c r="D60" s="699"/>
      <c r="E60" s="699"/>
      <c r="F60" s="699"/>
      <c r="G60" s="699"/>
      <c r="H60" s="699"/>
      <c r="I60" s="699"/>
      <c r="J60" s="699"/>
      <c r="K60" s="699"/>
      <c r="L60" s="699"/>
      <c r="M60" s="699"/>
      <c r="N60" s="699"/>
      <c r="O60" s="699"/>
      <c r="P60" s="699"/>
      <c r="Q60" s="699"/>
      <c r="R60" s="699"/>
      <c r="S60" s="699"/>
      <c r="T60" s="699"/>
      <c r="U60" s="699"/>
      <c r="V60" s="699"/>
      <c r="W60" s="699"/>
      <c r="X60" s="699"/>
      <c r="Y60" s="699"/>
      <c r="Z60" s="699"/>
      <c r="AA60" s="699"/>
      <c r="AB60" s="699"/>
      <c r="AC60" s="699"/>
      <c r="AD60" s="699"/>
      <c r="AE60" s="699"/>
      <c r="AF60" s="699"/>
      <c r="AG60" s="699"/>
      <c r="AH60" s="699"/>
      <c r="AI60" s="699"/>
      <c r="AJ60" s="699"/>
      <c r="AK60" s="699"/>
      <c r="AL60" s="699"/>
      <c r="AM60" s="699"/>
      <c r="AN60" s="699"/>
      <c r="AO60" s="699"/>
      <c r="AP60" s="699"/>
      <c r="AQ60" s="699"/>
      <c r="AR60" s="699"/>
      <c r="AS60" s="699"/>
      <c r="AT60" s="699"/>
      <c r="AU60" s="699"/>
      <c r="AV60" s="699"/>
      <c r="AW60" s="699"/>
      <c r="AX60" s="699"/>
      <c r="AY60" s="699"/>
      <c r="AZ60" s="699"/>
      <c r="BA60" s="699"/>
      <c r="BB60" s="699"/>
      <c r="BC60" s="699"/>
      <c r="BD60" s="699"/>
      <c r="BE60" s="699"/>
      <c r="BF60" s="699"/>
      <c r="BG60" s="699"/>
      <c r="BH60" s="699"/>
      <c r="BI60" s="699"/>
      <c r="BJ60" s="699"/>
      <c r="BK60" s="699"/>
      <c r="BL60" s="699"/>
      <c r="BM60" s="699"/>
      <c r="BN60" s="699"/>
      <c r="BO60" s="699"/>
      <c r="BP60" s="699"/>
      <c r="BQ60" s="699"/>
      <c r="BR60" s="699"/>
      <c r="BS60" s="699"/>
      <c r="BT60" s="699"/>
      <c r="BU60" s="699"/>
      <c r="BV60" s="699"/>
      <c r="BW60" s="699"/>
      <c r="BX60" s="699"/>
      <c r="BY60" s="699"/>
      <c r="BZ60" s="699"/>
      <c r="CA60" s="699"/>
      <c r="CB60" s="699"/>
      <c r="CC60" s="699"/>
      <c r="CD60" s="699"/>
      <c r="CE60" s="699"/>
      <c r="CF60" s="699"/>
      <c r="CG60" s="699"/>
      <c r="CH60" s="699"/>
      <c r="CI60" s="699"/>
      <c r="CJ60" s="699"/>
      <c r="CK60" s="699"/>
      <c r="CL60" s="699"/>
      <c r="CM60" s="699"/>
      <c r="CN60" s="699"/>
      <c r="CO60" s="699"/>
      <c r="CP60" s="699"/>
      <c r="CQ60" s="699"/>
      <c r="CR60" s="699"/>
      <c r="CS60" s="699"/>
      <c r="CT60" s="699"/>
      <c r="CU60" s="699"/>
      <c r="CV60" s="699"/>
      <c r="CW60" s="699"/>
      <c r="CX60" s="699"/>
      <c r="CY60" s="699"/>
      <c r="CZ60" s="699"/>
      <c r="DA60" s="699"/>
      <c r="DB60" s="699"/>
      <c r="DC60" s="699"/>
      <c r="DD60" s="699"/>
      <c r="DE60" s="699"/>
      <c r="DF60" s="699"/>
      <c r="DG60" s="699"/>
      <c r="DH60" s="699"/>
      <c r="DI60" s="699"/>
      <c r="DJ60" s="699"/>
      <c r="DK60" s="699"/>
      <c r="DL60" s="699"/>
      <c r="DM60" s="699"/>
      <c r="DN60" s="699"/>
      <c r="DO60" s="699"/>
      <c r="DP60" s="699"/>
      <c r="DQ60" s="699"/>
      <c r="DR60" s="699"/>
      <c r="DS60" s="699"/>
      <c r="DT60" s="699"/>
      <c r="DU60" s="699"/>
      <c r="DV60" s="699"/>
    </row>
    <row r="61" ht="15" customHeight="1">
      <c r="A61" s="310" t="s">
        <v>1429</v>
      </c>
      <c r="B61" s="310" t="s">
        <v>1430</v>
      </c>
      <c r="C61" s="700" t="s">
        <v>1431</v>
      </c>
      <c r="D61" s="699"/>
    </row>
    <row r="62" ht="21" customHeight="1">
      <c r="A62" s="704" t="s">
        <v>1432</v>
      </c>
      <c r="B62" s="699"/>
      <c r="C62" s="699"/>
      <c r="D62" s="699"/>
      <c r="E62" s="699"/>
      <c r="F62" s="699"/>
      <c r="G62" s="699"/>
      <c r="H62" s="699"/>
      <c r="I62" s="699"/>
      <c r="J62" s="699"/>
      <c r="K62" s="699"/>
      <c r="L62" s="699"/>
      <c r="M62" s="699"/>
      <c r="N62" s="699"/>
      <c r="O62" s="699"/>
      <c r="P62" s="699"/>
      <c r="Q62" s="699"/>
      <c r="R62" s="699"/>
      <c r="S62" s="699"/>
      <c r="T62" s="699"/>
      <c r="U62" s="699"/>
      <c r="V62" s="699"/>
      <c r="W62" s="699"/>
      <c r="X62" s="699"/>
      <c r="Y62" s="699"/>
      <c r="Z62" s="699"/>
      <c r="AA62" s="699"/>
      <c r="AB62" s="699"/>
      <c r="AC62" s="699"/>
      <c r="AD62" s="699"/>
      <c r="AE62" s="699"/>
      <c r="AF62" s="699"/>
      <c r="AG62" s="699"/>
      <c r="AH62" s="699"/>
      <c r="AI62" s="699"/>
      <c r="AJ62" s="699"/>
      <c r="AK62" s="699"/>
      <c r="AL62" s="699"/>
      <c r="AM62" s="699"/>
      <c r="AN62" s="699"/>
      <c r="AO62" s="699"/>
      <c r="AP62" s="699"/>
      <c r="AQ62" s="699"/>
      <c r="AR62" s="699"/>
      <c r="AS62" s="699"/>
      <c r="AT62" s="699"/>
      <c r="AU62" s="699"/>
      <c r="AV62" s="699"/>
      <c r="AW62" s="699"/>
      <c r="AX62" s="699"/>
      <c r="AY62" s="699"/>
      <c r="AZ62" s="699"/>
      <c r="BA62" s="699"/>
      <c r="BB62" s="699"/>
      <c r="BC62" s="699"/>
      <c r="BD62" s="699"/>
      <c r="BE62" s="699"/>
      <c r="BF62" s="699"/>
      <c r="BG62" s="699"/>
      <c r="BH62" s="699"/>
      <c r="BI62" s="699"/>
      <c r="BJ62" s="699"/>
      <c r="BK62" s="699"/>
      <c r="BL62" s="699"/>
      <c r="BM62" s="699"/>
      <c r="BN62" s="699"/>
      <c r="BO62" s="699"/>
      <c r="BP62" s="699"/>
      <c r="BQ62" s="699"/>
      <c r="BR62" s="699"/>
      <c r="BS62" s="699"/>
      <c r="BT62" s="699"/>
      <c r="BU62" s="699"/>
      <c r="BV62" s="699"/>
      <c r="BW62" s="699"/>
      <c r="BX62" s="699"/>
      <c r="BY62" s="699"/>
      <c r="BZ62" s="699"/>
      <c r="CA62" s="699"/>
      <c r="CB62" s="699"/>
      <c r="CC62" s="699"/>
      <c r="CD62" s="699"/>
      <c r="CE62" s="699"/>
      <c r="CF62" s="699"/>
      <c r="CG62" s="699"/>
      <c r="CH62" s="699"/>
      <c r="CI62" s="699"/>
      <c r="CJ62" s="699"/>
      <c r="CK62" s="699"/>
      <c r="CL62" s="699"/>
      <c r="CM62" s="699"/>
      <c r="CN62" s="699"/>
      <c r="CO62" s="699"/>
      <c r="CP62" s="699"/>
      <c r="CQ62" s="699"/>
      <c r="CR62" s="699"/>
      <c r="CS62" s="699"/>
      <c r="CT62" s="699"/>
      <c r="CU62" s="699"/>
      <c r="CV62" s="699"/>
      <c r="CW62" s="699"/>
      <c r="CX62" s="699"/>
      <c r="CY62" s="699"/>
      <c r="CZ62" s="699"/>
      <c r="DA62" s="699"/>
      <c r="DB62" s="699"/>
      <c r="DC62" s="699"/>
      <c r="DD62" s="699"/>
      <c r="DE62" s="699"/>
      <c r="DF62" s="699"/>
      <c r="DG62" s="699"/>
      <c r="DH62" s="699"/>
      <c r="DI62" s="699"/>
      <c r="DJ62" s="699"/>
      <c r="DK62" s="699"/>
      <c r="DL62" s="699"/>
      <c r="DM62" s="699"/>
      <c r="DN62" s="699"/>
      <c r="DO62" s="699"/>
      <c r="DP62" s="699"/>
      <c r="DQ62" s="699"/>
      <c r="DR62" s="699"/>
      <c r="DS62" s="699"/>
      <c r="DT62" s="699"/>
      <c r="DU62" s="699"/>
      <c r="DV62" s="699"/>
    </row>
    <row r="63" ht="15" customHeight="1">
      <c r="A63" s="311" t="s">
        <v>1433</v>
      </c>
      <c r="B63" s="312" t="s">
        <v>521</v>
      </c>
      <c r="C63" s="702" t="s">
        <v>1434</v>
      </c>
      <c r="D63" s="703"/>
      <c r="F63" s="320" t="n">
        <f>Underwriting!$L$23</f>
        <v>0</v>
      </c>
      <c r="G63" s="320" t="n">
        <f>Underwriting!$M$23</f>
        <v>1</v>
      </c>
      <c r="H63" s="320" t="n">
        <f>Underwriting!$N$23</f>
        <v>2</v>
      </c>
      <c r="I63" s="320" t="n">
        <f>Underwriting!$O$23</f>
        <v>3</v>
      </c>
      <c r="J63" s="320" t="n">
        <f>Underwriting!$P$23</f>
        <v>4</v>
      </c>
      <c r="K63" s="320" t="n">
        <f>Underwriting!$Q$23</f>
        <v>5</v>
      </c>
      <c r="L63" s="320" t="n">
        <f>Underwriting!$R$23</f>
        <v>6</v>
      </c>
      <c r="M63" s="320" t="n">
        <f>Underwriting!$S$23</f>
        <v>7</v>
      </c>
      <c r="N63" s="320" t="n">
        <f>Underwriting!$T$23</f>
        <v>8</v>
      </c>
      <c r="O63" s="320" t="n">
        <f>Underwriting!$U$23</f>
        <v>9</v>
      </c>
      <c r="P63" s="320" t="n">
        <f>Underwriting!$V$23</f>
        <v>10</v>
      </c>
      <c r="Q63" s="320" t="n">
        <f>Underwriting!$W$23</f>
        <v>11</v>
      </c>
      <c r="R63" s="320" t="n">
        <f>Underwriting!$X$23</f>
        <v>12</v>
      </c>
      <c r="S63" s="320" t="n">
        <f>Underwriting!$Y$23</f>
        <v>13</v>
      </c>
      <c r="T63" s="320" t="n">
        <f>Underwriting!$Z$23</f>
        <v>14</v>
      </c>
      <c r="U63" s="320" t="n">
        <f>Underwriting!$AA$23</f>
        <v>15</v>
      </c>
      <c r="V63" s="320" t="n">
        <f>Underwriting!$AB$23</f>
        <v>16</v>
      </c>
      <c r="W63" s="320" t="n">
        <f>Underwriting!$AC$23</f>
        <v>17</v>
      </c>
      <c r="X63" s="320" t="n">
        <f>Underwriting!$AD$23</f>
        <v>18</v>
      </c>
      <c r="Y63" s="320" t="n">
        <f>Underwriting!$AE$23</f>
        <v>19</v>
      </c>
      <c r="Z63" s="320" t="n">
        <f>Underwriting!$AF$23</f>
        <v>20</v>
      </c>
      <c r="AA63" s="320" t="n">
        <f>Underwriting!$AG$23</f>
        <v>21</v>
      </c>
      <c r="AB63" s="320" t="n">
        <f>Underwriting!$AH$23</f>
        <v>22</v>
      </c>
      <c r="AC63" s="320" t="n">
        <f>Underwriting!$AI$23</f>
        <v>23</v>
      </c>
      <c r="AD63" s="320" t="n">
        <f>Underwriting!$AJ$23</f>
        <v>24</v>
      </c>
      <c r="AE63" s="320" t="n">
        <f>Underwriting!$AK$23</f>
        <v>25</v>
      </c>
      <c r="AF63" s="320" t="n">
        <f>Underwriting!$AL$23</f>
        <v>26</v>
      </c>
      <c r="AG63" s="320" t="n">
        <f>Underwriting!$AM$23</f>
        <v>27</v>
      </c>
      <c r="AH63" s="320" t="n">
        <f>Underwriting!$AN$23</f>
        <v>28</v>
      </c>
      <c r="AI63" s="320" t="n">
        <f>Underwriting!$AO$23</f>
        <v>29</v>
      </c>
      <c r="AJ63" s="320" t="n">
        <f>Underwriting!$AP$23</f>
        <v>30</v>
      </c>
      <c r="AK63" s="320" t="n">
        <f>Underwriting!$AQ$23</f>
        <v>31</v>
      </c>
      <c r="AL63" s="320" t="n">
        <f>Underwriting!$AR$23</f>
        <v>32</v>
      </c>
      <c r="AM63" s="320" t="n">
        <f>Underwriting!$AS$23</f>
        <v>33</v>
      </c>
      <c r="AN63" s="320" t="n">
        <f>Underwriting!$AT$23</f>
        <v>34</v>
      </c>
      <c r="AO63" s="320" t="n">
        <f>Underwriting!$AU$23</f>
        <v>35</v>
      </c>
      <c r="AP63" s="320" t="n">
        <f>Underwriting!$AV$23</f>
        <v>36</v>
      </c>
      <c r="AQ63" s="320" t="n">
        <f>Underwriting!$AW$23</f>
        <v>37</v>
      </c>
      <c r="AR63" s="320" t="n">
        <f>Underwriting!$AX$23</f>
        <v>38</v>
      </c>
      <c r="AS63" s="320" t="n">
        <f>Underwriting!$AY$23</f>
        <v>39</v>
      </c>
      <c r="AT63" s="320" t="n">
        <f>Underwriting!$AZ$23</f>
        <v>40</v>
      </c>
      <c r="AU63" s="320" t="n">
        <f>Underwriting!$BA$23</f>
        <v>41</v>
      </c>
      <c r="AV63" s="320" t="n">
        <f>Underwriting!$BB$23</f>
        <v>42</v>
      </c>
      <c r="AW63" s="320" t="n">
        <f>Underwriting!$BC$23</f>
        <v>43</v>
      </c>
      <c r="AX63" s="320" t="n">
        <f>Underwriting!$BD$23</f>
        <v>44</v>
      </c>
      <c r="AY63" s="320" t="n">
        <f>Underwriting!$BE$23</f>
        <v>45</v>
      </c>
      <c r="AZ63" s="320" t="n">
        <f>Underwriting!$BF$23</f>
        <v>46</v>
      </c>
      <c r="BA63" s="320" t="n">
        <f>Underwriting!$BG$23</f>
        <v>47</v>
      </c>
      <c r="BB63" s="320" t="n">
        <f>Underwriting!$BH$23</f>
        <v>48</v>
      </c>
      <c r="BC63" s="320" t="n">
        <f>Underwriting!$BI$23</f>
        <v>49</v>
      </c>
      <c r="BD63" s="320" t="n">
        <f>Underwriting!$BJ$23</f>
        <v>50</v>
      </c>
      <c r="BE63" s="320" t="n">
        <f>Underwriting!$BK$23</f>
        <v>51</v>
      </c>
      <c r="BF63" s="320" t="n">
        <f>Underwriting!$BL$23</f>
        <v>52</v>
      </c>
      <c r="BG63" s="320" t="n">
        <f>Underwriting!$BM$23</f>
        <v>53</v>
      </c>
      <c r="BH63" s="320" t="n">
        <f>Underwriting!$BN$23</f>
        <v>54</v>
      </c>
      <c r="BI63" s="320" t="n">
        <f>Underwriting!$BO$23</f>
        <v>55</v>
      </c>
      <c r="BJ63" s="320" t="n">
        <f>Underwriting!$BP$23</f>
        <v>56</v>
      </c>
      <c r="BK63" s="320" t="n">
        <f>Underwriting!$BQ$23</f>
        <v>57</v>
      </c>
      <c r="BL63" s="320" t="n">
        <f>Underwriting!$BR$23</f>
        <v>58</v>
      </c>
      <c r="BM63" s="320" t="n">
        <f>Underwriting!$BS$23</f>
        <v>59</v>
      </c>
      <c r="BN63" s="320" t="n">
        <f>Underwriting!$BT$23</f>
        <v>60</v>
      </c>
      <c r="BO63" s="320" t="n">
        <f>Underwriting!$BU$23</f>
        <v>61</v>
      </c>
      <c r="BP63" s="320" t="n">
        <f>Underwriting!$BV$23</f>
        <v>62</v>
      </c>
      <c r="BQ63" s="320" t="n">
        <f>Underwriting!$BW$23</f>
        <v>63</v>
      </c>
      <c r="BR63" s="320" t="n">
        <f>Underwriting!$BX$23</f>
        <v>64</v>
      </c>
      <c r="BS63" s="320" t="n">
        <f>Underwriting!$BY$23</f>
        <v>65</v>
      </c>
      <c r="BT63" s="320" t="n">
        <f>Underwriting!$BZ$23</f>
        <v>66</v>
      </c>
      <c r="BU63" s="320" t="n">
        <f>Underwriting!$CA$23</f>
        <v>67</v>
      </c>
      <c r="BV63" s="320" t="n">
        <f>Underwriting!$CB$23</f>
        <v>68</v>
      </c>
      <c r="BW63" s="320" t="n">
        <f>Underwriting!$CC$23</f>
        <v>69</v>
      </c>
      <c r="BX63" s="320" t="n">
        <f>Underwriting!$CD$23</f>
        <v>70</v>
      </c>
      <c r="BY63" s="320" t="n">
        <f>Underwriting!$CE$23</f>
        <v>71</v>
      </c>
      <c r="BZ63" s="320" t="n">
        <f>Underwriting!$CF$23</f>
        <v>72</v>
      </c>
      <c r="CA63" s="320" t="n">
        <f>Underwriting!$CG$23</f>
        <v>73</v>
      </c>
      <c r="CB63" s="320" t="n">
        <f>Underwriting!$CH$23</f>
        <v>74</v>
      </c>
      <c r="CC63" s="320" t="n">
        <f>Underwriting!$CI$23</f>
        <v>75</v>
      </c>
      <c r="CD63" s="320" t="n">
        <f>Underwriting!$CJ$23</f>
        <v>76</v>
      </c>
      <c r="CE63" s="320" t="n">
        <f>Underwriting!$CK$23</f>
        <v>77</v>
      </c>
      <c r="CF63" s="320" t="n">
        <f>Underwriting!$CL$23</f>
        <v>78</v>
      </c>
      <c r="CG63" s="320" t="n">
        <f>Underwriting!$CM$23</f>
        <v>79</v>
      </c>
      <c r="CH63" s="320" t="n">
        <f>Underwriting!$CN$23</f>
        <v>80</v>
      </c>
      <c r="CI63" s="320" t="n">
        <f>Underwriting!$CO$23</f>
        <v>81</v>
      </c>
      <c r="CJ63" s="320" t="n">
        <f>Underwriting!$CP$23</f>
        <v>82</v>
      </c>
      <c r="CK63" s="320" t="n">
        <f>Underwriting!$CQ$23</f>
        <v>83</v>
      </c>
      <c r="CL63" s="320" t="n">
        <f>Underwriting!$CR$23</f>
        <v>84</v>
      </c>
      <c r="CM63" s="320" t="n">
        <f>Underwriting!$CS$23</f>
        <v>85</v>
      </c>
      <c r="CN63" s="320" t="n">
        <f>Underwriting!$CT$23</f>
        <v>86</v>
      </c>
      <c r="CO63" s="320" t="n">
        <f>Underwriting!$CU$23</f>
        <v>87</v>
      </c>
      <c r="CP63" s="320" t="n">
        <f>Underwriting!$CV$23</f>
        <v>88</v>
      </c>
      <c r="CQ63" s="320" t="n">
        <f>Underwriting!$CW$23</f>
        <v>89</v>
      </c>
      <c r="CR63" s="320" t="n">
        <f>Underwriting!$CX$23</f>
        <v>90</v>
      </c>
      <c r="CS63" s="320" t="n">
        <f>Underwriting!$CY$23</f>
        <v>91</v>
      </c>
      <c r="CT63" s="320" t="n">
        <f>Underwriting!$CZ$23</f>
        <v>92</v>
      </c>
      <c r="CU63" s="320" t="n">
        <f>Underwriting!$DA$23</f>
        <v>93</v>
      </c>
      <c r="CV63" s="320" t="n">
        <f>Underwriting!$DB$23</f>
        <v>94</v>
      </c>
      <c r="CW63" s="320" t="n">
        <f>Underwriting!$DC$23</f>
        <v>95</v>
      </c>
      <c r="CX63" s="320" t="n">
        <f>Underwriting!$DD$23</f>
        <v>96</v>
      </c>
      <c r="CY63" s="320" t="n">
        <f>Underwriting!$DE$23</f>
        <v>97</v>
      </c>
      <c r="CZ63" s="320" t="n">
        <f>Underwriting!$DF$23</f>
        <v>98</v>
      </c>
      <c r="DA63" s="320" t="n">
        <f>Underwriting!$DG$23</f>
        <v>99</v>
      </c>
      <c r="DB63" s="320" t="n">
        <f>Underwriting!$DH$23</f>
        <v>100</v>
      </c>
      <c r="DC63" s="320" t="n">
        <f>Underwriting!$DI$23</f>
        <v>101</v>
      </c>
      <c r="DD63" s="320" t="n">
        <f>Underwriting!$DJ$23</f>
        <v>102</v>
      </c>
      <c r="DE63" s="320" t="n">
        <f>Underwriting!$DK$23</f>
        <v>103</v>
      </c>
      <c r="DF63" s="320" t="n">
        <f>Underwriting!$DL$23</f>
        <v>104</v>
      </c>
      <c r="DG63" s="320" t="n">
        <f>Underwriting!$DM$23</f>
        <v>105</v>
      </c>
      <c r="DH63" s="320" t="n">
        <f>Underwriting!$DN$23</f>
        <v>106</v>
      </c>
      <c r="DI63" s="320" t="n">
        <f>Underwriting!$DO$23</f>
        <v>107</v>
      </c>
      <c r="DJ63" s="320" t="n">
        <f>Underwriting!$DP$23</f>
        <v>108</v>
      </c>
      <c r="DK63" s="320" t="n">
        <f>Underwriting!$DQ$23</f>
        <v>109</v>
      </c>
      <c r="DL63" s="320" t="n">
        <f>Underwriting!$DR$23</f>
        <v>110</v>
      </c>
      <c r="DM63" s="320" t="n">
        <f>Underwriting!$DS$23</f>
        <v>111</v>
      </c>
      <c r="DN63" s="320" t="n">
        <f>Underwriting!$DT$23</f>
        <v>112</v>
      </c>
      <c r="DO63" s="320" t="n">
        <f>Underwriting!$DU$23</f>
        <v>113</v>
      </c>
      <c r="DP63" s="320" t="n">
        <f>Underwriting!$DV$23</f>
        <v>114</v>
      </c>
      <c r="DQ63" s="320" t="n">
        <f>Underwriting!$DW$23</f>
        <v>115</v>
      </c>
      <c r="DR63" s="320" t="n">
        <f>Underwriting!$DX$23</f>
        <v>116</v>
      </c>
      <c r="DS63" s="320" t="n">
        <f>Underwriting!$DY$23</f>
        <v>117</v>
      </c>
      <c r="DT63" s="320" t="n">
        <f>Underwriting!$DZ$23</f>
        <v>118</v>
      </c>
      <c r="DU63" s="320" t="n">
        <f>Underwriting!$EA$23</f>
        <v>119</v>
      </c>
      <c r="DV63" s="320" t="n">
        <f>Underwriting!$EB$23</f>
        <v>120</v>
      </c>
    </row>
    <row r="64" ht="15" customHeight="1">
      <c r="A64" s="311" t="s">
        <v>1126</v>
      </c>
      <c r="B64" s="312" t="s">
        <v>772</v>
      </c>
      <c r="C64" s="702" t="s">
        <v>1435</v>
      </c>
      <c r="D64" s="703"/>
      <c r="E64" s="313">
        <v>0</v>
      </c>
      <c r="F64" s="319" t="n">
        <f>Underwriting!$L$24</f>
        <v>46203</v>
      </c>
      <c r="G64" s="319" t="n">
        <f>Underwriting!$M$24</f>
        <v>46234</v>
      </c>
      <c r="H64" s="319" t="n">
        <f>Underwriting!$N$24</f>
        <v>46265</v>
      </c>
      <c r="I64" s="319" t="n">
        <f>Underwriting!$O$24</f>
        <v>46295</v>
      </c>
      <c r="J64" s="319" t="n">
        <f>Underwriting!$P$24</f>
        <v>46326</v>
      </c>
      <c r="K64" s="319" t="n">
        <f>Underwriting!$Q$24</f>
        <v>46356</v>
      </c>
      <c r="L64" s="319" t="n">
        <f>Underwriting!$R$24</f>
        <v>46387</v>
      </c>
      <c r="M64" s="319" t="n">
        <f>Underwriting!$S$24</f>
        <v>46418</v>
      </c>
      <c r="N64" s="319" t="n">
        <f>Underwriting!$T$24</f>
        <v>46446</v>
      </c>
      <c r="O64" s="319" t="n">
        <f>Underwriting!$U$24</f>
        <v>46477</v>
      </c>
      <c r="P64" s="319" t="n">
        <f>Underwriting!$V$24</f>
        <v>46507</v>
      </c>
      <c r="Q64" s="319" t="n">
        <f>Underwriting!$W$24</f>
        <v>46538</v>
      </c>
      <c r="R64" s="319" t="n">
        <f>Underwriting!$X$24</f>
        <v>46568</v>
      </c>
      <c r="S64" s="319" t="n">
        <f>Underwriting!$Y$24</f>
        <v>46599</v>
      </c>
      <c r="T64" s="319" t="n">
        <f>Underwriting!$Z$24</f>
        <v>46630</v>
      </c>
      <c r="U64" s="319" t="n">
        <f>Underwriting!$AA$24</f>
        <v>46660</v>
      </c>
      <c r="V64" s="319" t="n">
        <f>Underwriting!$AB$24</f>
        <v>46691</v>
      </c>
      <c r="W64" s="319" t="n">
        <f>Underwriting!$AC$24</f>
        <v>46721</v>
      </c>
      <c r="X64" s="319" t="n">
        <f>Underwriting!$AD$24</f>
        <v>46752</v>
      </c>
      <c r="Y64" s="319" t="n">
        <f>Underwriting!$AE$24</f>
        <v>46783</v>
      </c>
      <c r="Z64" s="319" t="n">
        <f>Underwriting!$AF$24</f>
        <v>46812</v>
      </c>
      <c r="AA64" s="319" t="n">
        <f>Underwriting!$AG$24</f>
        <v>46843</v>
      </c>
      <c r="AB64" s="319" t="n">
        <f>Underwriting!$AH$24</f>
        <v>46873</v>
      </c>
      <c r="AC64" s="319" t="n">
        <f>Underwriting!$AI$24</f>
        <v>46904</v>
      </c>
      <c r="AD64" s="319" t="n">
        <f>Underwriting!$AJ$24</f>
        <v>46934</v>
      </c>
      <c r="AE64" s="319" t="n">
        <f>Underwriting!$AK$24</f>
        <v>46965</v>
      </c>
      <c r="AF64" s="319" t="n">
        <f>Underwriting!$AL$24</f>
        <v>46996</v>
      </c>
      <c r="AG64" s="319" t="n">
        <f>Underwriting!$AM$24</f>
        <v>47026</v>
      </c>
      <c r="AH64" s="319" t="n">
        <f>Underwriting!$AN$24</f>
        <v>47057</v>
      </c>
      <c r="AI64" s="319" t="n">
        <f>Underwriting!$AO$24</f>
        <v>47087</v>
      </c>
      <c r="AJ64" s="319" t="n">
        <f>Underwriting!$AP$24</f>
        <v>47118</v>
      </c>
      <c r="AK64" s="319" t="n">
        <f>Underwriting!$AQ$24</f>
        <v>47149</v>
      </c>
      <c r="AL64" s="319" t="n">
        <f>Underwriting!$AR$24</f>
        <v>47177</v>
      </c>
      <c r="AM64" s="319" t="n">
        <f>Underwriting!$AS$24</f>
        <v>47208</v>
      </c>
      <c r="AN64" s="319" t="n">
        <f>Underwriting!$AT$24</f>
        <v>47238</v>
      </c>
      <c r="AO64" s="319" t="n">
        <f>Underwriting!$AU$24</f>
        <v>47269</v>
      </c>
      <c r="AP64" s="319" t="n">
        <f>Underwriting!$AV$24</f>
        <v>47299</v>
      </c>
      <c r="AQ64" s="319" t="n">
        <f>Underwriting!$AW$24</f>
        <v>47330</v>
      </c>
      <c r="AR64" s="319" t="n">
        <f>Underwriting!$AX$24</f>
        <v>47361</v>
      </c>
      <c r="AS64" s="319" t="n">
        <f>Underwriting!$AY$24</f>
        <v>47391</v>
      </c>
      <c r="AT64" s="319" t="n">
        <f>Underwriting!$AZ$24</f>
        <v>47422</v>
      </c>
      <c r="AU64" s="319" t="n">
        <f>Underwriting!$BA$24</f>
        <v>47452</v>
      </c>
      <c r="AV64" s="319" t="n">
        <f>Underwriting!$BB$24</f>
        <v>47483</v>
      </c>
      <c r="AW64" s="319" t="n">
        <f>Underwriting!$BC$24</f>
        <v>47514</v>
      </c>
      <c r="AX64" s="319" t="n">
        <f>Underwriting!$BD$24</f>
        <v>47542</v>
      </c>
      <c r="AY64" s="319" t="n">
        <f>Underwriting!$BE$24</f>
        <v>47573</v>
      </c>
      <c r="AZ64" s="319" t="n">
        <f>Underwriting!$BF$24</f>
        <v>47603</v>
      </c>
      <c r="BA64" s="319" t="n">
        <f>Underwriting!$BG$24</f>
        <v>47634</v>
      </c>
      <c r="BB64" s="319" t="n">
        <f>Underwriting!$BH$24</f>
        <v>47664</v>
      </c>
      <c r="BC64" s="319" t="n">
        <f>Underwriting!$BI$24</f>
        <v>47695</v>
      </c>
      <c r="BD64" s="319" t="n">
        <f>Underwriting!$BJ$24</f>
        <v>47726</v>
      </c>
      <c r="BE64" s="319" t="n">
        <f>Underwriting!$BK$24</f>
        <v>47756</v>
      </c>
      <c r="BF64" s="319" t="n">
        <f>Underwriting!$BL$24</f>
        <v>47787</v>
      </c>
      <c r="BG64" s="319" t="n">
        <f>Underwriting!$BM$24</f>
        <v>47817</v>
      </c>
      <c r="BH64" s="319" t="n">
        <f>Underwriting!$BN$24</f>
        <v>47848</v>
      </c>
      <c r="BI64" s="319" t="n">
        <f>Underwriting!$BO$24</f>
        <v>47879</v>
      </c>
      <c r="BJ64" s="319" t="n">
        <f>Underwriting!$BP$24</f>
        <v>47907</v>
      </c>
      <c r="BK64" s="319" t="n">
        <f>Underwriting!$BQ$24</f>
        <v>47938</v>
      </c>
      <c r="BL64" s="319" t="n">
        <f>Underwriting!$BR$24</f>
        <v>47968</v>
      </c>
      <c r="BM64" s="319" t="n">
        <f>Underwriting!$BS$24</f>
        <v>47999</v>
      </c>
      <c r="BN64" s="319" t="n">
        <f>Underwriting!$BT$24</f>
        <v>48029</v>
      </c>
      <c r="BO64" s="319" t="n">
        <f>Underwriting!$BU$24</f>
        <v>48060</v>
      </c>
      <c r="BP64" s="319" t="n">
        <f>Underwriting!$BV$24</f>
        <v>48091</v>
      </c>
      <c r="BQ64" s="319" t="n">
        <f>Underwriting!$BW$24</f>
        <v>48121</v>
      </c>
      <c r="BR64" s="319" t="n">
        <f>Underwriting!$BX$24</f>
        <v>48152</v>
      </c>
      <c r="BS64" s="319" t="n">
        <f>Underwriting!$BY$24</f>
        <v>48182</v>
      </c>
      <c r="BT64" s="319" t="n">
        <f>Underwriting!$BZ$24</f>
        <v>48213</v>
      </c>
      <c r="BU64" s="319" t="n">
        <f>Underwriting!$CA$24</f>
        <v>48244</v>
      </c>
      <c r="BV64" s="319" t="n">
        <f>Underwriting!$CB$24</f>
        <v>48273</v>
      </c>
      <c r="BW64" s="319" t="n">
        <f>Underwriting!$CC$24</f>
        <v>48304</v>
      </c>
      <c r="BX64" s="319" t="n">
        <f>Underwriting!$CD$24</f>
        <v>48334</v>
      </c>
      <c r="BY64" s="319" t="n">
        <f>Underwriting!$CE$24</f>
        <v>48365</v>
      </c>
      <c r="BZ64" s="319" t="n">
        <f>Underwriting!$CF$24</f>
        <v>48395</v>
      </c>
      <c r="CA64" s="319" t="n">
        <f>Underwriting!$CG$24</f>
        <v>48426</v>
      </c>
      <c r="CB64" s="319" t="n">
        <f>Underwriting!$CH$24</f>
        <v>48457</v>
      </c>
      <c r="CC64" s="319" t="n">
        <f>Underwriting!$CI$24</f>
        <v>48487</v>
      </c>
      <c r="CD64" s="319" t="n">
        <f>Underwriting!$CJ$24</f>
        <v>48518</v>
      </c>
      <c r="CE64" s="319" t="n">
        <f>Underwriting!$CK$24</f>
        <v>48548</v>
      </c>
      <c r="CF64" s="319" t="n">
        <f>Underwriting!$CL$24</f>
        <v>48579</v>
      </c>
      <c r="CG64" s="319" t="n">
        <f>Underwriting!$CM$24</f>
        <v>48610</v>
      </c>
      <c r="CH64" s="319" t="n">
        <f>Underwriting!$CN$24</f>
        <v>48638</v>
      </c>
      <c r="CI64" s="319" t="n">
        <f>Underwriting!$CO$24</f>
        <v>48669</v>
      </c>
      <c r="CJ64" s="319" t="n">
        <f>Underwriting!$CP$24</f>
        <v>48699</v>
      </c>
      <c r="CK64" s="319" t="n">
        <f>Underwriting!$CQ$24</f>
        <v>48730</v>
      </c>
      <c r="CL64" s="319" t="n">
        <f>Underwriting!$CR$24</f>
        <v>48760</v>
      </c>
      <c r="CM64" s="319" t="n">
        <f>Underwriting!$CS$24</f>
        <v>48791</v>
      </c>
      <c r="CN64" s="319" t="n">
        <f>Underwriting!$CT$24</f>
        <v>48822</v>
      </c>
      <c r="CO64" s="319" t="n">
        <f>Underwriting!$CU$24</f>
        <v>48852</v>
      </c>
      <c r="CP64" s="319" t="n">
        <f>Underwriting!$CV$24</f>
        <v>48883</v>
      </c>
      <c r="CQ64" s="319" t="n">
        <f>Underwriting!$CW$24</f>
        <v>48913</v>
      </c>
      <c r="CR64" s="319" t="n">
        <f>Underwriting!$CX$24</f>
        <v>48944</v>
      </c>
      <c r="CS64" s="319" t="n">
        <f>Underwriting!$CY$24</f>
        <v>48975</v>
      </c>
      <c r="CT64" s="319" t="n">
        <f>Underwriting!$CZ$24</f>
        <v>49003</v>
      </c>
      <c r="CU64" s="319" t="n">
        <f>Underwriting!$DA$24</f>
        <v>49034</v>
      </c>
      <c r="CV64" s="319" t="n">
        <f>Underwriting!$DB$24</f>
        <v>49064</v>
      </c>
      <c r="CW64" s="319" t="n">
        <f>Underwriting!$DC$24</f>
        <v>49095</v>
      </c>
      <c r="CX64" s="319" t="n">
        <f>Underwriting!$DD$24</f>
        <v>49125</v>
      </c>
      <c r="CY64" s="319" t="n">
        <f>Underwriting!$DE$24</f>
        <v>49156</v>
      </c>
      <c r="CZ64" s="319" t="n">
        <f>Underwriting!$DF$24</f>
        <v>49187</v>
      </c>
      <c r="DA64" s="319" t="n">
        <f>Underwriting!$DG$24</f>
        <v>49217</v>
      </c>
      <c r="DB64" s="319" t="n">
        <f>Underwriting!$DH$24</f>
        <v>49248</v>
      </c>
      <c r="DC64" s="319" t="n">
        <f>Underwriting!$DI$24</f>
        <v>49278</v>
      </c>
      <c r="DD64" s="319" t="n">
        <f>Underwriting!$DJ$24</f>
        <v>49309</v>
      </c>
      <c r="DE64" s="319" t="n">
        <f>Underwriting!$DK$24</f>
        <v>49340</v>
      </c>
      <c r="DF64" s="319" t="n">
        <f>Underwriting!$DL$24</f>
        <v>49368</v>
      </c>
      <c r="DG64" s="319" t="n">
        <f>Underwriting!$DM$24</f>
        <v>49399</v>
      </c>
      <c r="DH64" s="319" t="n">
        <f>Underwriting!$DN$24</f>
        <v>49429</v>
      </c>
      <c r="DI64" s="319" t="n">
        <f>Underwriting!$DO$24</f>
        <v>49460</v>
      </c>
      <c r="DJ64" s="319" t="n">
        <f>Underwriting!$DP$24</f>
        <v>49490</v>
      </c>
      <c r="DK64" s="319" t="n">
        <f>Underwriting!$DQ$24</f>
        <v>49521</v>
      </c>
      <c r="DL64" s="319" t="n">
        <f>Underwriting!$DR$24</f>
        <v>49552</v>
      </c>
      <c r="DM64" s="319" t="n">
        <f>Underwriting!$DS$24</f>
        <v>49582</v>
      </c>
      <c r="DN64" s="319" t="n">
        <f>Underwriting!$DT$24</f>
        <v>49613</v>
      </c>
      <c r="DO64" s="319" t="n">
        <f>Underwriting!$DU$24</f>
        <v>49643</v>
      </c>
      <c r="DP64" s="319" t="n">
        <f>Underwriting!$DV$24</f>
        <v>49674</v>
      </c>
      <c r="DQ64" s="319" t="n">
        <f>Underwriting!$DW$24</f>
        <v>49705</v>
      </c>
      <c r="DR64" s="319" t="n">
        <f>Underwriting!$DX$24</f>
        <v>49734</v>
      </c>
      <c r="DS64" s="319" t="n">
        <f>Underwriting!$DY$24</f>
        <v>49765</v>
      </c>
      <c r="DT64" s="319" t="n">
        <f>Underwriting!$DZ$24</f>
        <v>49795</v>
      </c>
      <c r="DU64" s="319" t="n">
        <f>Underwriting!$EA$24</f>
        <v>49826</v>
      </c>
      <c r="DV64" s="319" t="n">
        <f>Underwriting!$EB$24</f>
        <v>49856</v>
      </c>
    </row>
    <row r="65" ht="15" customHeight="1">
      <c r="A65" s="311" t="s">
        <v>1436</v>
      </c>
      <c r="B65" s="312" t="s">
        <v>1437</v>
      </c>
      <c r="C65" s="702" t="s">
        <v>1438</v>
      </c>
      <c r="D65" s="703"/>
      <c r="F65" s="320" t="n">
        <f>0</f>
        <v>0</v>
      </c>
      <c r="G65" s="320" t="n">
        <f t="shared" ref="G65:AL65" si="0">MAX(0,G$64-F$64)</f>
        <v>31</v>
      </c>
      <c r="H65" s="320">
        <f t="shared" si="0"/>
        <v>31</v>
      </c>
      <c r="I65" s="320">
        <f t="shared" si="0"/>
        <v>30</v>
      </c>
      <c r="J65" s="320">
        <f t="shared" si="0"/>
        <v>31</v>
      </c>
      <c r="K65" s="320">
        <f t="shared" si="0"/>
        <v>30</v>
      </c>
      <c r="L65" s="320">
        <f t="shared" si="0"/>
        <v>31</v>
      </c>
      <c r="M65" s="320">
        <f t="shared" si="0"/>
        <v>31</v>
      </c>
      <c r="N65" s="320">
        <f t="shared" si="0"/>
        <v>28</v>
      </c>
      <c r="O65" s="320">
        <f t="shared" si="0"/>
        <v>31</v>
      </c>
      <c r="P65" s="320">
        <f t="shared" si="0"/>
        <v>30</v>
      </c>
      <c r="Q65" s="320">
        <f t="shared" si="0"/>
        <v>31</v>
      </c>
      <c r="R65" s="320">
        <f t="shared" si="0"/>
        <v>30</v>
      </c>
      <c r="S65" s="320">
        <f t="shared" si="0"/>
        <v>31</v>
      </c>
      <c r="T65" s="320">
        <f t="shared" si="0"/>
        <v>31</v>
      </c>
      <c r="U65" s="320">
        <f t="shared" si="0"/>
        <v>30</v>
      </c>
      <c r="V65" s="320">
        <f t="shared" si="0"/>
        <v>31</v>
      </c>
      <c r="W65" s="320">
        <f t="shared" si="0"/>
        <v>30</v>
      </c>
      <c r="X65" s="320">
        <f t="shared" si="0"/>
        <v>31</v>
      </c>
      <c r="Y65" s="320">
        <f t="shared" si="0"/>
        <v>31</v>
      </c>
      <c r="Z65" s="320">
        <f t="shared" si="0"/>
        <v>29</v>
      </c>
      <c r="AA65" s="320">
        <f t="shared" si="0"/>
        <v>31</v>
      </c>
      <c r="AB65" s="320">
        <f t="shared" si="0"/>
        <v>30</v>
      </c>
      <c r="AC65" s="320">
        <f t="shared" si="0"/>
        <v>31</v>
      </c>
      <c r="AD65" s="320">
        <f t="shared" si="0"/>
        <v>30</v>
      </c>
      <c r="AE65" s="320">
        <f t="shared" si="0"/>
        <v>31</v>
      </c>
      <c r="AF65" s="320">
        <f t="shared" si="0"/>
        <v>31</v>
      </c>
      <c r="AG65" s="320">
        <f t="shared" si="0"/>
        <v>30</v>
      </c>
      <c r="AH65" s="320">
        <f t="shared" si="0"/>
        <v>31</v>
      </c>
      <c r="AI65" s="320">
        <f t="shared" si="0"/>
        <v>30</v>
      </c>
      <c r="AJ65" s="320">
        <f t="shared" si="0"/>
        <v>31</v>
      </c>
      <c r="AK65" s="320">
        <f t="shared" si="0"/>
        <v>31</v>
      </c>
      <c r="AL65" s="320">
        <f t="shared" si="0"/>
        <v>28</v>
      </c>
      <c r="AM65" s="320" t="n">
        <f t="shared" ref="AM65:BR65" si="1">MAX(0,AM$64-AL$64)</f>
        <v>31</v>
      </c>
      <c r="AN65" s="320">
        <f t="shared" si="1"/>
        <v>30</v>
      </c>
      <c r="AO65" s="320">
        <f t="shared" si="1"/>
        <v>31</v>
      </c>
      <c r="AP65" s="320">
        <f t="shared" si="1"/>
        <v>30</v>
      </c>
      <c r="AQ65" s="320">
        <f t="shared" si="1"/>
        <v>31</v>
      </c>
      <c r="AR65" s="320">
        <f t="shared" si="1"/>
        <v>31</v>
      </c>
      <c r="AS65" s="320">
        <f t="shared" si="1"/>
        <v>30</v>
      </c>
      <c r="AT65" s="320">
        <f t="shared" si="1"/>
        <v>31</v>
      </c>
      <c r="AU65" s="320">
        <f t="shared" si="1"/>
        <v>30</v>
      </c>
      <c r="AV65" s="320">
        <f t="shared" si="1"/>
        <v>31</v>
      </c>
      <c r="AW65" s="320">
        <f t="shared" si="1"/>
        <v>31</v>
      </c>
      <c r="AX65" s="320">
        <f t="shared" si="1"/>
        <v>28</v>
      </c>
      <c r="AY65" s="320">
        <f t="shared" si="1"/>
        <v>31</v>
      </c>
      <c r="AZ65" s="320">
        <f t="shared" si="1"/>
        <v>30</v>
      </c>
      <c r="BA65" s="320">
        <f t="shared" si="1"/>
        <v>31</v>
      </c>
      <c r="BB65" s="320">
        <f t="shared" si="1"/>
        <v>30</v>
      </c>
      <c r="BC65" s="320">
        <f t="shared" si="1"/>
        <v>31</v>
      </c>
      <c r="BD65" s="320">
        <f t="shared" si="1"/>
        <v>31</v>
      </c>
      <c r="BE65" s="320">
        <f t="shared" si="1"/>
        <v>30</v>
      </c>
      <c r="BF65" s="320">
        <f t="shared" si="1"/>
        <v>31</v>
      </c>
      <c r="BG65" s="320">
        <f t="shared" si="1"/>
        <v>30</v>
      </c>
      <c r="BH65" s="320">
        <f t="shared" si="1"/>
        <v>31</v>
      </c>
      <c r="BI65" s="320">
        <f t="shared" si="1"/>
        <v>31</v>
      </c>
      <c r="BJ65" s="320">
        <f t="shared" si="1"/>
        <v>28</v>
      </c>
      <c r="BK65" s="320">
        <f t="shared" si="1"/>
        <v>31</v>
      </c>
      <c r="BL65" s="320">
        <f t="shared" si="1"/>
        <v>30</v>
      </c>
      <c r="BM65" s="320">
        <f t="shared" si="1"/>
        <v>31</v>
      </c>
      <c r="BN65" s="320">
        <f t="shared" si="1"/>
        <v>30</v>
      </c>
      <c r="BO65" s="320">
        <f t="shared" si="1"/>
        <v>31</v>
      </c>
      <c r="BP65" s="320">
        <f t="shared" si="1"/>
        <v>31</v>
      </c>
      <c r="BQ65" s="320">
        <f t="shared" si="1"/>
        <v>30</v>
      </c>
      <c r="BR65" s="320">
        <f t="shared" si="1"/>
        <v>31</v>
      </c>
      <c r="BS65" s="320" t="n">
        <f t="shared" ref="BS65:CX65" si="2">MAX(0,BS$64-BR$64)</f>
        <v>30</v>
      </c>
      <c r="BT65" s="320">
        <f t="shared" si="2"/>
        <v>31</v>
      </c>
      <c r="BU65" s="320">
        <f t="shared" si="2"/>
        <v>31</v>
      </c>
      <c r="BV65" s="320">
        <f t="shared" si="2"/>
        <v>29</v>
      </c>
      <c r="BW65" s="320">
        <f t="shared" si="2"/>
        <v>31</v>
      </c>
      <c r="BX65" s="320">
        <f t="shared" si="2"/>
        <v>30</v>
      </c>
      <c r="BY65" s="320">
        <f t="shared" si="2"/>
        <v>31</v>
      </c>
      <c r="BZ65" s="320">
        <f t="shared" si="2"/>
        <v>30</v>
      </c>
      <c r="CA65" s="320">
        <f t="shared" si="2"/>
        <v>31</v>
      </c>
      <c r="CB65" s="320">
        <f t="shared" si="2"/>
        <v>31</v>
      </c>
      <c r="CC65" s="320">
        <f t="shared" si="2"/>
        <v>30</v>
      </c>
      <c r="CD65" s="320">
        <f t="shared" si="2"/>
        <v>31</v>
      </c>
      <c r="CE65" s="320">
        <f t="shared" si="2"/>
        <v>30</v>
      </c>
      <c r="CF65" s="320">
        <f t="shared" si="2"/>
        <v>31</v>
      </c>
      <c r="CG65" s="320">
        <f t="shared" si="2"/>
        <v>31</v>
      </c>
      <c r="CH65" s="320">
        <f t="shared" si="2"/>
        <v>28</v>
      </c>
      <c r="CI65" s="320">
        <f t="shared" si="2"/>
        <v>31</v>
      </c>
      <c r="CJ65" s="320">
        <f t="shared" si="2"/>
        <v>30</v>
      </c>
      <c r="CK65" s="320">
        <f t="shared" si="2"/>
        <v>31</v>
      </c>
      <c r="CL65" s="320">
        <f t="shared" si="2"/>
        <v>30</v>
      </c>
      <c r="CM65" s="320">
        <f t="shared" si="2"/>
        <v>31</v>
      </c>
      <c r="CN65" s="320">
        <f t="shared" si="2"/>
        <v>31</v>
      </c>
      <c r="CO65" s="320">
        <f t="shared" si="2"/>
        <v>30</v>
      </c>
      <c r="CP65" s="320">
        <f t="shared" si="2"/>
        <v>31</v>
      </c>
      <c r="CQ65" s="320">
        <f t="shared" si="2"/>
        <v>30</v>
      </c>
      <c r="CR65" s="320">
        <f t="shared" si="2"/>
        <v>31</v>
      </c>
      <c r="CS65" s="320">
        <f t="shared" si="2"/>
        <v>31</v>
      </c>
      <c r="CT65" s="320">
        <f t="shared" si="2"/>
        <v>28</v>
      </c>
      <c r="CU65" s="320">
        <f t="shared" si="2"/>
        <v>31</v>
      </c>
      <c r="CV65" s="320">
        <f t="shared" si="2"/>
        <v>30</v>
      </c>
      <c r="CW65" s="320">
        <f t="shared" si="2"/>
        <v>31</v>
      </c>
      <c r="CX65" s="320">
        <f t="shared" si="2"/>
        <v>30</v>
      </c>
      <c r="CY65" s="320" t="n">
        <f t="shared" ref="CY65:DV65" si="3">MAX(0,CY$64-CX$64)</f>
        <v>31</v>
      </c>
      <c r="CZ65" s="320">
        <f t="shared" si="3"/>
        <v>31</v>
      </c>
      <c r="DA65" s="320">
        <f t="shared" si="3"/>
        <v>30</v>
      </c>
      <c r="DB65" s="320">
        <f t="shared" si="3"/>
        <v>31</v>
      </c>
      <c r="DC65" s="320">
        <f t="shared" si="3"/>
        <v>30</v>
      </c>
      <c r="DD65" s="320">
        <f t="shared" si="3"/>
        <v>31</v>
      </c>
      <c r="DE65" s="320">
        <f t="shared" si="3"/>
        <v>31</v>
      </c>
      <c r="DF65" s="320">
        <f t="shared" si="3"/>
        <v>28</v>
      </c>
      <c r="DG65" s="320">
        <f t="shared" si="3"/>
        <v>31</v>
      </c>
      <c r="DH65" s="320">
        <f t="shared" si="3"/>
        <v>30</v>
      </c>
      <c r="DI65" s="320">
        <f t="shared" si="3"/>
        <v>31</v>
      </c>
      <c r="DJ65" s="320">
        <f t="shared" si="3"/>
        <v>30</v>
      </c>
      <c r="DK65" s="320">
        <f t="shared" si="3"/>
        <v>31</v>
      </c>
      <c r="DL65" s="320">
        <f t="shared" si="3"/>
        <v>31</v>
      </c>
      <c r="DM65" s="320">
        <f t="shared" si="3"/>
        <v>30</v>
      </c>
      <c r="DN65" s="320">
        <f t="shared" si="3"/>
        <v>31</v>
      </c>
      <c r="DO65" s="320">
        <f t="shared" si="3"/>
        <v>30</v>
      </c>
      <c r="DP65" s="320">
        <f t="shared" si="3"/>
        <v>31</v>
      </c>
      <c r="DQ65" s="320">
        <f t="shared" si="3"/>
        <v>31</v>
      </c>
      <c r="DR65" s="320">
        <f t="shared" si="3"/>
        <v>29</v>
      </c>
      <c r="DS65" s="320">
        <f t="shared" si="3"/>
        <v>31</v>
      </c>
      <c r="DT65" s="320">
        <f t="shared" si="3"/>
        <v>30</v>
      </c>
      <c r="DU65" s="320">
        <f t="shared" si="3"/>
        <v>31</v>
      </c>
      <c r="DV65" s="320">
        <f t="shared" si="3"/>
        <v>30</v>
      </c>
    </row>
    <row r="66" ht="15" customHeight="1">
      <c r="A66" s="311" t="s">
        <v>1439</v>
      </c>
      <c r="B66" s="312" t="s">
        <v>1440</v>
      </c>
      <c r="C66" s="702" t="s">
        <v>1441</v>
      </c>
      <c r="D66" s="703"/>
      <c r="F66" s="327" t="str">
        <f t="shared" ref="F66:AK66" si="4">IF(F$64&lt;EOMONTH(EDATE($B$18,INDEX($L$31:$L$33,MATCH($B$6,$J$31:$J$33,0))),0),"Construction",IF(F$64&lt;$B$35,"Completion / stabilisation","Operations / term"))</f>
        <v>Construction</v>
      </c>
      <c r="G66" s="327" t="str">
        <f t="shared" si="4"/>
        <v>Construction</v>
      </c>
      <c r="H66" s="327" t="str">
        <f t="shared" si="4"/>
        <v>Construction</v>
      </c>
      <c r="I66" s="327" t="str">
        <f t="shared" si="4"/>
        <v>Construction</v>
      </c>
      <c r="J66" s="327" t="str">
        <f t="shared" si="4"/>
        <v>Construction</v>
      </c>
      <c r="K66" s="327" t="str">
        <f t="shared" si="4"/>
        <v>Construction</v>
      </c>
      <c r="L66" s="327" t="str">
        <f t="shared" si="4"/>
        <v>Construction</v>
      </c>
      <c r="M66" s="327" t="str">
        <f t="shared" si="4"/>
        <v>Construction</v>
      </c>
      <c r="N66" s="327" t="str">
        <f t="shared" si="4"/>
        <v>Construction</v>
      </c>
      <c r="O66" s="327" t="str">
        <f t="shared" si="4"/>
        <v>Construction</v>
      </c>
      <c r="P66" s="327" t="str">
        <f t="shared" si="4"/>
        <v>Construction</v>
      </c>
      <c r="Q66" s="327" t="str">
        <f t="shared" si="4"/>
        <v>Construction</v>
      </c>
      <c r="R66" s="327" t="str">
        <f t="shared" si="4"/>
        <v>Construction</v>
      </c>
      <c r="S66" s="327" t="str">
        <f t="shared" si="4"/>
        <v>Construction</v>
      </c>
      <c r="T66" s="327" t="str">
        <f t="shared" si="4"/>
        <v>Construction</v>
      </c>
      <c r="U66" s="327" t="str">
        <f t="shared" si="4"/>
        <v>Construction</v>
      </c>
      <c r="V66" s="327" t="str">
        <f t="shared" si="4"/>
        <v>Construction</v>
      </c>
      <c r="W66" s="327" t="str">
        <f t="shared" si="4"/>
        <v>Construction</v>
      </c>
      <c r="X66" s="327" t="str">
        <f t="shared" si="4"/>
        <v>Construction</v>
      </c>
      <c r="Y66" s="327" t="str">
        <f t="shared" si="4"/>
        <v>Construction</v>
      </c>
      <c r="Z66" s="327" t="str">
        <f t="shared" si="4"/>
        <v>Construction</v>
      </c>
      <c r="AA66" s="327" t="str">
        <f t="shared" si="4"/>
        <v>Construction</v>
      </c>
      <c r="AB66" s="327" t="str">
        <f t="shared" si="4"/>
        <v>Construction</v>
      </c>
      <c r="AC66" s="327" t="str">
        <f t="shared" si="4"/>
        <v>Construction</v>
      </c>
      <c r="AD66" s="327" t="str">
        <f t="shared" si="4"/>
        <v>Construction</v>
      </c>
      <c r="AE66" s="327" t="str">
        <f t="shared" si="4"/>
        <v>Construction</v>
      </c>
      <c r="AF66" s="327" t="str">
        <f t="shared" si="4"/>
        <v>Construction</v>
      </c>
      <c r="AG66" s="327" t="str">
        <f t="shared" si="4"/>
        <v>Construction</v>
      </c>
      <c r="AH66" s="327" t="str">
        <f t="shared" si="4"/>
        <v>Construction</v>
      </c>
      <c r="AI66" s="327" t="str">
        <f t="shared" si="4"/>
        <v>Construction</v>
      </c>
      <c r="AJ66" s="327" t="str">
        <f t="shared" si="4"/>
        <v>Construction</v>
      </c>
      <c r="AK66" s="327" t="str">
        <f t="shared" si="4"/>
        <v>Construction</v>
      </c>
      <c r="AL66" s="327" t="str">
        <f t="shared" ref="AL66:BQ66" si="5">IF(AL$64&lt;EOMONTH(EDATE($B$18,INDEX($L$31:$L$33,MATCH($B$6,$J$31:$J$33,0))),0),"Construction",IF(AL$64&lt;$B$35,"Completion / stabilisation","Operations / term"))</f>
        <v>Construction</v>
      </c>
      <c r="AM66" s="327" t="str">
        <f t="shared" si="5"/>
        <v>Construction</v>
      </c>
      <c r="AN66" s="327" t="str">
        <f t="shared" si="5"/>
        <v>Construction</v>
      </c>
      <c r="AO66" s="327" t="str">
        <f t="shared" si="5"/>
        <v>Construction</v>
      </c>
      <c r="AP66" s="327" t="str">
        <f t="shared" si="5"/>
        <v>Completion / stabilisation</v>
      </c>
      <c r="AQ66" s="327" t="str">
        <f t="shared" si="5"/>
        <v>Completion / stabilisation</v>
      </c>
      <c r="AR66" s="327" t="str">
        <f t="shared" si="5"/>
        <v>Completion / stabilisation</v>
      </c>
      <c r="AS66" s="327" t="str">
        <f t="shared" si="5"/>
        <v>Completion / stabilisation</v>
      </c>
      <c r="AT66" s="327" t="str">
        <f t="shared" si="5"/>
        <v>Completion / stabilisation</v>
      </c>
      <c r="AU66" s="327" t="str">
        <f t="shared" si="5"/>
        <v>Completion / stabilisation</v>
      </c>
      <c r="AV66" s="327" t="str">
        <f t="shared" si="5"/>
        <v>Completion / stabilisation</v>
      </c>
      <c r="AW66" s="327" t="str">
        <f t="shared" si="5"/>
        <v>Completion / stabilisation</v>
      </c>
      <c r="AX66" s="327" t="str">
        <f t="shared" si="5"/>
        <v>Completion / stabilisation</v>
      </c>
      <c r="AY66" s="327" t="str">
        <f t="shared" si="5"/>
        <v>Completion / stabilisation</v>
      </c>
      <c r="AZ66" s="327" t="str">
        <f t="shared" si="5"/>
        <v>Completion / stabilisation</v>
      </c>
      <c r="BA66" s="327" t="str">
        <f t="shared" si="5"/>
        <v>Completion / stabilisation</v>
      </c>
      <c r="BB66" s="327" t="str">
        <f t="shared" si="5"/>
        <v>Completion / stabilisation</v>
      </c>
      <c r="BC66" s="327" t="str">
        <f t="shared" si="5"/>
        <v>Operations / term</v>
      </c>
      <c r="BD66" s="327" t="str">
        <f t="shared" si="5"/>
        <v>Operations / term</v>
      </c>
      <c r="BE66" s="327" t="str">
        <f t="shared" si="5"/>
        <v>Operations / term</v>
      </c>
      <c r="BF66" s="327" t="str">
        <f t="shared" si="5"/>
        <v>Operations / term</v>
      </c>
      <c r="BG66" s="327" t="str">
        <f t="shared" si="5"/>
        <v>Operations / term</v>
      </c>
      <c r="BH66" s="327" t="str">
        <f t="shared" si="5"/>
        <v>Operations / term</v>
      </c>
      <c r="BI66" s="327" t="str">
        <f t="shared" si="5"/>
        <v>Operations / term</v>
      </c>
      <c r="BJ66" s="327" t="str">
        <f t="shared" si="5"/>
        <v>Operations / term</v>
      </c>
      <c r="BK66" s="327" t="str">
        <f t="shared" si="5"/>
        <v>Operations / term</v>
      </c>
      <c r="BL66" s="327" t="str">
        <f t="shared" si="5"/>
        <v>Operations / term</v>
      </c>
      <c r="BM66" s="327" t="str">
        <f t="shared" si="5"/>
        <v>Operations / term</v>
      </c>
      <c r="BN66" s="327" t="str">
        <f t="shared" si="5"/>
        <v>Operations / term</v>
      </c>
      <c r="BO66" s="327" t="str">
        <f t="shared" si="5"/>
        <v>Operations / term</v>
      </c>
      <c r="BP66" s="327" t="str">
        <f t="shared" si="5"/>
        <v>Operations / term</v>
      </c>
      <c r="BQ66" s="327" t="str">
        <f t="shared" si="5"/>
        <v>Operations / term</v>
      </c>
      <c r="BR66" s="327" t="str">
        <f t="shared" ref="BR66:CW66" si="6">IF(BR$64&lt;EOMONTH(EDATE($B$18,INDEX($L$31:$L$33,MATCH($B$6,$J$31:$J$33,0))),0),"Construction",IF(BR$64&lt;$B$35,"Completion / stabilisation","Operations / term"))</f>
        <v>Operations / term</v>
      </c>
      <c r="BS66" s="327" t="str">
        <f t="shared" si="6"/>
        <v>Operations / term</v>
      </c>
      <c r="BT66" s="327" t="str">
        <f t="shared" si="6"/>
        <v>Operations / term</v>
      </c>
      <c r="BU66" s="327" t="str">
        <f t="shared" si="6"/>
        <v>Operations / term</v>
      </c>
      <c r="BV66" s="327" t="str">
        <f t="shared" si="6"/>
        <v>Operations / term</v>
      </c>
      <c r="BW66" s="327" t="str">
        <f t="shared" si="6"/>
        <v>Operations / term</v>
      </c>
      <c r="BX66" s="327" t="str">
        <f t="shared" si="6"/>
        <v>Operations / term</v>
      </c>
      <c r="BY66" s="327" t="str">
        <f t="shared" si="6"/>
        <v>Operations / term</v>
      </c>
      <c r="BZ66" s="327" t="str">
        <f t="shared" si="6"/>
        <v>Operations / term</v>
      </c>
      <c r="CA66" s="327" t="str">
        <f t="shared" si="6"/>
        <v>Operations / term</v>
      </c>
      <c r="CB66" s="327" t="str">
        <f t="shared" si="6"/>
        <v>Operations / term</v>
      </c>
      <c r="CC66" s="327" t="str">
        <f t="shared" si="6"/>
        <v>Operations / term</v>
      </c>
      <c r="CD66" s="327" t="str">
        <f t="shared" si="6"/>
        <v>Operations / term</v>
      </c>
      <c r="CE66" s="327" t="str">
        <f t="shared" si="6"/>
        <v>Operations / term</v>
      </c>
      <c r="CF66" s="327" t="str">
        <f t="shared" si="6"/>
        <v>Operations / term</v>
      </c>
      <c r="CG66" s="327" t="str">
        <f t="shared" si="6"/>
        <v>Operations / term</v>
      </c>
      <c r="CH66" s="327" t="str">
        <f t="shared" si="6"/>
        <v>Operations / term</v>
      </c>
      <c r="CI66" s="327" t="str">
        <f t="shared" si="6"/>
        <v>Operations / term</v>
      </c>
      <c r="CJ66" s="327" t="str">
        <f t="shared" si="6"/>
        <v>Operations / term</v>
      </c>
      <c r="CK66" s="327" t="str">
        <f t="shared" si="6"/>
        <v>Operations / term</v>
      </c>
      <c r="CL66" s="327" t="str">
        <f t="shared" si="6"/>
        <v>Operations / term</v>
      </c>
      <c r="CM66" s="327" t="str">
        <f t="shared" si="6"/>
        <v>Operations / term</v>
      </c>
      <c r="CN66" s="327" t="str">
        <f t="shared" si="6"/>
        <v>Operations / term</v>
      </c>
      <c r="CO66" s="327" t="str">
        <f t="shared" si="6"/>
        <v>Operations / term</v>
      </c>
      <c r="CP66" s="327" t="str">
        <f t="shared" si="6"/>
        <v>Operations / term</v>
      </c>
      <c r="CQ66" s="327" t="str">
        <f t="shared" si="6"/>
        <v>Operations / term</v>
      </c>
      <c r="CR66" s="327" t="str">
        <f t="shared" si="6"/>
        <v>Operations / term</v>
      </c>
      <c r="CS66" s="327" t="str">
        <f t="shared" si="6"/>
        <v>Operations / term</v>
      </c>
      <c r="CT66" s="327" t="str">
        <f t="shared" si="6"/>
        <v>Operations / term</v>
      </c>
      <c r="CU66" s="327" t="str">
        <f t="shared" si="6"/>
        <v>Operations / term</v>
      </c>
      <c r="CV66" s="327" t="str">
        <f t="shared" si="6"/>
        <v>Operations / term</v>
      </c>
      <c r="CW66" s="327" t="str">
        <f t="shared" si="6"/>
        <v>Operations / term</v>
      </c>
      <c r="CX66" s="327" t="str">
        <f t="shared" ref="CX66:DV66" si="7">IF(CX$64&lt;EOMONTH(EDATE($B$18,INDEX($L$31:$L$33,MATCH($B$6,$J$31:$J$33,0))),0),"Construction",IF(CX$64&lt;$B$35,"Completion / stabilisation","Operations / term"))</f>
        <v>Operations / term</v>
      </c>
      <c r="CY66" s="327" t="str">
        <f t="shared" si="7"/>
        <v>Operations / term</v>
      </c>
      <c r="CZ66" s="327" t="str">
        <f t="shared" si="7"/>
        <v>Operations / term</v>
      </c>
      <c r="DA66" s="327" t="str">
        <f t="shared" si="7"/>
        <v>Operations / term</v>
      </c>
      <c r="DB66" s="327" t="str">
        <f t="shared" si="7"/>
        <v>Operations / term</v>
      </c>
      <c r="DC66" s="327" t="str">
        <f t="shared" si="7"/>
        <v>Operations / term</v>
      </c>
      <c r="DD66" s="327" t="str">
        <f t="shared" si="7"/>
        <v>Operations / term</v>
      </c>
      <c r="DE66" s="327" t="str">
        <f t="shared" si="7"/>
        <v>Operations / term</v>
      </c>
      <c r="DF66" s="327" t="str">
        <f t="shared" si="7"/>
        <v>Operations / term</v>
      </c>
      <c r="DG66" s="327" t="str">
        <f t="shared" si="7"/>
        <v>Operations / term</v>
      </c>
      <c r="DH66" s="327" t="str">
        <f t="shared" si="7"/>
        <v>Operations / term</v>
      </c>
      <c r="DI66" s="327" t="str">
        <f t="shared" si="7"/>
        <v>Operations / term</v>
      </c>
      <c r="DJ66" s="327" t="str">
        <f t="shared" si="7"/>
        <v>Operations / term</v>
      </c>
      <c r="DK66" s="327" t="str">
        <f t="shared" si="7"/>
        <v>Operations / term</v>
      </c>
      <c r="DL66" s="327" t="str">
        <f t="shared" si="7"/>
        <v>Operations / term</v>
      </c>
      <c r="DM66" s="327" t="str">
        <f t="shared" si="7"/>
        <v>Operations / term</v>
      </c>
      <c r="DN66" s="327" t="str">
        <f t="shared" si="7"/>
        <v>Operations / term</v>
      </c>
      <c r="DO66" s="327" t="str">
        <f t="shared" si="7"/>
        <v>Operations / term</v>
      </c>
      <c r="DP66" s="327" t="str">
        <f t="shared" si="7"/>
        <v>Operations / term</v>
      </c>
      <c r="DQ66" s="327" t="str">
        <f t="shared" si="7"/>
        <v>Operations / term</v>
      </c>
      <c r="DR66" s="327" t="str">
        <f t="shared" si="7"/>
        <v>Operations / term</v>
      </c>
      <c r="DS66" s="327" t="str">
        <f t="shared" si="7"/>
        <v>Operations / term</v>
      </c>
      <c r="DT66" s="327" t="str">
        <f t="shared" si="7"/>
        <v>Operations / term</v>
      </c>
      <c r="DU66" s="327" t="str">
        <f t="shared" si="7"/>
        <v>Operations / term</v>
      </c>
      <c r="DV66" s="327" t="str">
        <f t="shared" si="7"/>
        <v>Operations / term</v>
      </c>
    </row>
    <row r="67" ht="15" customHeight="1">
      <c r="A67" s="311" t="s">
        <v>1442</v>
      </c>
      <c r="B67" s="312" t="s">
        <v>1443</v>
      </c>
      <c r="C67" s="702" t="s">
        <v>1444</v>
      </c>
      <c r="D67" s="703"/>
      <c r="F67" s="320" t="n">
        <f t="shared" ref="F67:AK67" si="8">--(AND(F$64&gt;=EOMONTH(EDATE($B$18,INDEX($L$31:$L$33,MATCH($B$6,$J$31:$J$33,0))),0),E$64&lt;EOMONTH(EDATE($B$18,INDEX($L$31:$L$33,MATCH($B$6,$J$31:$J$33,0))),0)))</f>
        <v>0</v>
      </c>
      <c r="G67" s="320">
        <f t="shared" si="8"/>
        <v>0</v>
      </c>
      <c r="H67" s="320">
        <f t="shared" si="8"/>
        <v>0</v>
      </c>
      <c r="I67" s="320">
        <f t="shared" si="8"/>
        <v>0</v>
      </c>
      <c r="J67" s="320">
        <f t="shared" si="8"/>
        <v>0</v>
      </c>
      <c r="K67" s="320">
        <f t="shared" si="8"/>
        <v>0</v>
      </c>
      <c r="L67" s="320">
        <f t="shared" si="8"/>
        <v>0</v>
      </c>
      <c r="M67" s="320">
        <f t="shared" si="8"/>
        <v>0</v>
      </c>
      <c r="N67" s="320">
        <f t="shared" si="8"/>
        <v>0</v>
      </c>
      <c r="O67" s="320">
        <f t="shared" si="8"/>
        <v>0</v>
      </c>
      <c r="P67" s="320">
        <f t="shared" si="8"/>
        <v>0</v>
      </c>
      <c r="Q67" s="320">
        <f t="shared" si="8"/>
        <v>0</v>
      </c>
      <c r="R67" s="320">
        <f t="shared" si="8"/>
        <v>0</v>
      </c>
      <c r="S67" s="320">
        <f t="shared" si="8"/>
        <v>0</v>
      </c>
      <c r="T67" s="320">
        <f t="shared" si="8"/>
        <v>0</v>
      </c>
      <c r="U67" s="320">
        <f t="shared" si="8"/>
        <v>0</v>
      </c>
      <c r="V67" s="320">
        <f t="shared" si="8"/>
        <v>0</v>
      </c>
      <c r="W67" s="320">
        <f t="shared" si="8"/>
        <v>0</v>
      </c>
      <c r="X67" s="320">
        <f t="shared" si="8"/>
        <v>0</v>
      </c>
      <c r="Y67" s="320">
        <f t="shared" si="8"/>
        <v>0</v>
      </c>
      <c r="Z67" s="320">
        <f t="shared" si="8"/>
        <v>0</v>
      </c>
      <c r="AA67" s="320">
        <f t="shared" si="8"/>
        <v>0</v>
      </c>
      <c r="AB67" s="320">
        <f t="shared" si="8"/>
        <v>0</v>
      </c>
      <c r="AC67" s="320">
        <f t="shared" si="8"/>
        <v>0</v>
      </c>
      <c r="AD67" s="320">
        <f t="shared" si="8"/>
        <v>0</v>
      </c>
      <c r="AE67" s="320">
        <f t="shared" si="8"/>
        <v>0</v>
      </c>
      <c r="AF67" s="320">
        <f t="shared" si="8"/>
        <v>0</v>
      </c>
      <c r="AG67" s="320">
        <f t="shared" si="8"/>
        <v>0</v>
      </c>
      <c r="AH67" s="320">
        <f t="shared" si="8"/>
        <v>0</v>
      </c>
      <c r="AI67" s="320">
        <f t="shared" si="8"/>
        <v>0</v>
      </c>
      <c r="AJ67" s="320">
        <f t="shared" si="8"/>
        <v>0</v>
      </c>
      <c r="AK67" s="320">
        <f t="shared" si="8"/>
        <v>0</v>
      </c>
      <c r="AL67" s="320" t="n">
        <f t="shared" ref="AL67:BQ67" si="9">--(AND(AL$64&gt;=EOMONTH(EDATE($B$18,INDEX($L$31:$L$33,MATCH($B$6,$J$31:$J$33,0))),0),AK$64&lt;EOMONTH(EDATE($B$18,INDEX($L$31:$L$33,MATCH($B$6,$J$31:$J$33,0))),0)))</f>
        <v>0</v>
      </c>
      <c r="AM67" s="320">
        <f t="shared" si="9"/>
        <v>0</v>
      </c>
      <c r="AN67" s="320">
        <f t="shared" si="9"/>
        <v>0</v>
      </c>
      <c r="AO67" s="320">
        <f t="shared" si="9"/>
        <v>0</v>
      </c>
      <c r="AP67" s="320">
        <f t="shared" si="9"/>
        <v>1</v>
      </c>
      <c r="AQ67" s="320">
        <f t="shared" si="9"/>
        <v>0</v>
      </c>
      <c r="AR67" s="320">
        <f t="shared" si="9"/>
        <v>0</v>
      </c>
      <c r="AS67" s="320">
        <f t="shared" si="9"/>
        <v>0</v>
      </c>
      <c r="AT67" s="320">
        <f t="shared" si="9"/>
        <v>0</v>
      </c>
      <c r="AU67" s="320">
        <f t="shared" si="9"/>
        <v>0</v>
      </c>
      <c r="AV67" s="320">
        <f t="shared" si="9"/>
        <v>0</v>
      </c>
      <c r="AW67" s="320">
        <f t="shared" si="9"/>
        <v>0</v>
      </c>
      <c r="AX67" s="320">
        <f t="shared" si="9"/>
        <v>0</v>
      </c>
      <c r="AY67" s="320">
        <f t="shared" si="9"/>
        <v>0</v>
      </c>
      <c r="AZ67" s="320">
        <f t="shared" si="9"/>
        <v>0</v>
      </c>
      <c r="BA67" s="320">
        <f t="shared" si="9"/>
        <v>0</v>
      </c>
      <c r="BB67" s="320">
        <f t="shared" si="9"/>
        <v>0</v>
      </c>
      <c r="BC67" s="320">
        <f t="shared" si="9"/>
        <v>0</v>
      </c>
      <c r="BD67" s="320">
        <f t="shared" si="9"/>
        <v>0</v>
      </c>
      <c r="BE67" s="320">
        <f t="shared" si="9"/>
        <v>0</v>
      </c>
      <c r="BF67" s="320">
        <f t="shared" si="9"/>
        <v>0</v>
      </c>
      <c r="BG67" s="320">
        <f t="shared" si="9"/>
        <v>0</v>
      </c>
      <c r="BH67" s="320">
        <f t="shared" si="9"/>
        <v>0</v>
      </c>
      <c r="BI67" s="320">
        <f t="shared" si="9"/>
        <v>0</v>
      </c>
      <c r="BJ67" s="320">
        <f t="shared" si="9"/>
        <v>0</v>
      </c>
      <c r="BK67" s="320">
        <f t="shared" si="9"/>
        <v>0</v>
      </c>
      <c r="BL67" s="320">
        <f t="shared" si="9"/>
        <v>0</v>
      </c>
      <c r="BM67" s="320">
        <f t="shared" si="9"/>
        <v>0</v>
      </c>
      <c r="BN67" s="320">
        <f t="shared" si="9"/>
        <v>0</v>
      </c>
      <c r="BO67" s="320">
        <f t="shared" si="9"/>
        <v>0</v>
      </c>
      <c r="BP67" s="320">
        <f t="shared" si="9"/>
        <v>0</v>
      </c>
      <c r="BQ67" s="320">
        <f t="shared" si="9"/>
        <v>0</v>
      </c>
      <c r="BR67" s="320" t="n">
        <f t="shared" ref="BR67:CW67" si="10">--(AND(BR$64&gt;=EOMONTH(EDATE($B$18,INDEX($L$31:$L$33,MATCH($B$6,$J$31:$J$33,0))),0),BQ$64&lt;EOMONTH(EDATE($B$18,INDEX($L$31:$L$33,MATCH($B$6,$J$31:$J$33,0))),0)))</f>
        <v>0</v>
      </c>
      <c r="BS67" s="320">
        <f t="shared" si="10"/>
        <v>0</v>
      </c>
      <c r="BT67" s="320">
        <f t="shared" si="10"/>
        <v>0</v>
      </c>
      <c r="BU67" s="320">
        <f t="shared" si="10"/>
        <v>0</v>
      </c>
      <c r="BV67" s="320">
        <f t="shared" si="10"/>
        <v>0</v>
      </c>
      <c r="BW67" s="320">
        <f t="shared" si="10"/>
        <v>0</v>
      </c>
      <c r="BX67" s="320">
        <f t="shared" si="10"/>
        <v>0</v>
      </c>
      <c r="BY67" s="320">
        <f t="shared" si="10"/>
        <v>0</v>
      </c>
      <c r="BZ67" s="320">
        <f t="shared" si="10"/>
        <v>0</v>
      </c>
      <c r="CA67" s="320">
        <f t="shared" si="10"/>
        <v>0</v>
      </c>
      <c r="CB67" s="320">
        <f t="shared" si="10"/>
        <v>0</v>
      </c>
      <c r="CC67" s="320">
        <f t="shared" si="10"/>
        <v>0</v>
      </c>
      <c r="CD67" s="320">
        <f t="shared" si="10"/>
        <v>0</v>
      </c>
      <c r="CE67" s="320">
        <f t="shared" si="10"/>
        <v>0</v>
      </c>
      <c r="CF67" s="320">
        <f t="shared" si="10"/>
        <v>0</v>
      </c>
      <c r="CG67" s="320">
        <f t="shared" si="10"/>
        <v>0</v>
      </c>
      <c r="CH67" s="320">
        <f t="shared" si="10"/>
        <v>0</v>
      </c>
      <c r="CI67" s="320">
        <f t="shared" si="10"/>
        <v>0</v>
      </c>
      <c r="CJ67" s="320">
        <f t="shared" si="10"/>
        <v>0</v>
      </c>
      <c r="CK67" s="320">
        <f t="shared" si="10"/>
        <v>0</v>
      </c>
      <c r="CL67" s="320">
        <f t="shared" si="10"/>
        <v>0</v>
      </c>
      <c r="CM67" s="320">
        <f t="shared" si="10"/>
        <v>0</v>
      </c>
      <c r="CN67" s="320">
        <f t="shared" si="10"/>
        <v>0</v>
      </c>
      <c r="CO67" s="320">
        <f t="shared" si="10"/>
        <v>0</v>
      </c>
      <c r="CP67" s="320">
        <f t="shared" si="10"/>
        <v>0</v>
      </c>
      <c r="CQ67" s="320">
        <f t="shared" si="10"/>
        <v>0</v>
      </c>
      <c r="CR67" s="320">
        <f t="shared" si="10"/>
        <v>0</v>
      </c>
      <c r="CS67" s="320">
        <f t="shared" si="10"/>
        <v>0</v>
      </c>
      <c r="CT67" s="320">
        <f t="shared" si="10"/>
        <v>0</v>
      </c>
      <c r="CU67" s="320">
        <f t="shared" si="10"/>
        <v>0</v>
      </c>
      <c r="CV67" s="320">
        <f t="shared" si="10"/>
        <v>0</v>
      </c>
      <c r="CW67" s="320">
        <f t="shared" si="10"/>
        <v>0</v>
      </c>
      <c r="CX67" s="320" t="n">
        <f t="shared" ref="CX67:DV67" si="11">--(AND(CX$64&gt;=EOMONTH(EDATE($B$18,INDEX($L$31:$L$33,MATCH($B$6,$J$31:$J$33,0))),0),CW$64&lt;EOMONTH(EDATE($B$18,INDEX($L$31:$L$33,MATCH($B$6,$J$31:$J$33,0))),0)))</f>
        <v>0</v>
      </c>
      <c r="CY67" s="320">
        <f t="shared" si="11"/>
        <v>0</v>
      </c>
      <c r="CZ67" s="320">
        <f t="shared" si="11"/>
        <v>0</v>
      </c>
      <c r="DA67" s="320">
        <f t="shared" si="11"/>
        <v>0</v>
      </c>
      <c r="DB67" s="320">
        <f t="shared" si="11"/>
        <v>0</v>
      </c>
      <c r="DC67" s="320">
        <f t="shared" si="11"/>
        <v>0</v>
      </c>
      <c r="DD67" s="320">
        <f t="shared" si="11"/>
        <v>0</v>
      </c>
      <c r="DE67" s="320">
        <f t="shared" si="11"/>
        <v>0</v>
      </c>
      <c r="DF67" s="320">
        <f t="shared" si="11"/>
        <v>0</v>
      </c>
      <c r="DG67" s="320">
        <f t="shared" si="11"/>
        <v>0</v>
      </c>
      <c r="DH67" s="320">
        <f t="shared" si="11"/>
        <v>0</v>
      </c>
      <c r="DI67" s="320">
        <f t="shared" si="11"/>
        <v>0</v>
      </c>
      <c r="DJ67" s="320">
        <f t="shared" si="11"/>
        <v>0</v>
      </c>
      <c r="DK67" s="320">
        <f t="shared" si="11"/>
        <v>0</v>
      </c>
      <c r="DL67" s="320">
        <f t="shared" si="11"/>
        <v>0</v>
      </c>
      <c r="DM67" s="320">
        <f t="shared" si="11"/>
        <v>0</v>
      </c>
      <c r="DN67" s="320">
        <f t="shared" si="11"/>
        <v>0</v>
      </c>
      <c r="DO67" s="320">
        <f t="shared" si="11"/>
        <v>0</v>
      </c>
      <c r="DP67" s="320">
        <f t="shared" si="11"/>
        <v>0</v>
      </c>
      <c r="DQ67" s="320">
        <f t="shared" si="11"/>
        <v>0</v>
      </c>
      <c r="DR67" s="320">
        <f t="shared" si="11"/>
        <v>0</v>
      </c>
      <c r="DS67" s="320">
        <f t="shared" si="11"/>
        <v>0</v>
      </c>
      <c r="DT67" s="320">
        <f t="shared" si="11"/>
        <v>0</v>
      </c>
      <c r="DU67" s="320">
        <f t="shared" si="11"/>
        <v>0</v>
      </c>
      <c r="DV67" s="320">
        <f t="shared" si="11"/>
        <v>0</v>
      </c>
    </row>
    <row r="68" ht="15" customHeight="1">
      <c r="A68" s="311" t="s">
        <v>1445</v>
      </c>
      <c r="B68" s="312" t="s">
        <v>1443</v>
      </c>
      <c r="C68" s="702" t="s">
        <v>1444</v>
      </c>
      <c r="D68" s="703"/>
      <c r="F68" s="320" t="n">
        <f>--(AND(F$64&gt;=EOMONTH(EDATE(INDEX(Underwriting!$L$24:$EN$24,1,Underwriting!$D$89+1),INDEX($L$31:$L$33,MATCH($B$6,$J$31:$J$33,0))),0),E$64&lt;EOMONTH(EDATE(INDEX(Underwriting!$L$24:$EN$24,1,Underwriting!$D$89+1),INDEX($L$31:$L$33,MATCH($B$6,$J$31:$J$33,0))),0)))</f>
        <v>0</v>
      </c>
      <c r="G68" s="320" t="n">
        <f>--(AND(G$64&gt;=EOMONTH(EDATE(INDEX(Underwriting!$L$24:$EN$24,1,Underwriting!$D$89+1),INDEX($L$31:$L$33,MATCH($B$6,$J$31:$J$33,0))),0),F$64&lt;EOMONTH(EDATE(INDEX(Underwriting!$L$24:$EN$24,1,Underwriting!$D$89+1),INDEX($L$31:$L$33,MATCH($B$6,$J$31:$J$33,0))),0)))</f>
        <v>0</v>
      </c>
      <c r="H68" s="320" t="n">
        <f>--(AND(H$64&gt;=EOMONTH(EDATE(INDEX(Underwriting!$L$24:$EN$24,1,Underwriting!$D$89+1),INDEX($L$31:$L$33,MATCH($B$6,$J$31:$J$33,0))),0),G$64&lt;EOMONTH(EDATE(INDEX(Underwriting!$L$24:$EN$24,1,Underwriting!$D$89+1),INDEX($L$31:$L$33,MATCH($B$6,$J$31:$J$33,0))),0)))</f>
        <v>0</v>
      </c>
      <c r="I68" s="320" t="n">
        <f>--(AND(I$64&gt;=EOMONTH(EDATE(INDEX(Underwriting!$L$24:$EN$24,1,Underwriting!$D$89+1),INDEX($L$31:$L$33,MATCH($B$6,$J$31:$J$33,0))),0),H$64&lt;EOMONTH(EDATE(INDEX(Underwriting!$L$24:$EN$24,1,Underwriting!$D$89+1),INDEX($L$31:$L$33,MATCH($B$6,$J$31:$J$33,0))),0)))</f>
        <v>0</v>
      </c>
      <c r="J68" s="320" t="n">
        <f>--(AND(J$64&gt;=EOMONTH(EDATE(INDEX(Underwriting!$L$24:$EN$24,1,Underwriting!$D$89+1),INDEX($L$31:$L$33,MATCH($B$6,$J$31:$J$33,0))),0),I$64&lt;EOMONTH(EDATE(INDEX(Underwriting!$L$24:$EN$24,1,Underwriting!$D$89+1),INDEX($L$31:$L$33,MATCH($B$6,$J$31:$J$33,0))),0)))</f>
        <v>0</v>
      </c>
      <c r="K68" s="320" t="n">
        <f>--(AND(K$64&gt;=EOMONTH(EDATE(INDEX(Underwriting!$L$24:$EN$24,1,Underwriting!$D$89+1),INDEX($L$31:$L$33,MATCH($B$6,$J$31:$J$33,0))),0),J$64&lt;EOMONTH(EDATE(INDEX(Underwriting!$L$24:$EN$24,1,Underwriting!$D$89+1),INDEX($L$31:$L$33,MATCH($B$6,$J$31:$J$33,0))),0)))</f>
        <v>0</v>
      </c>
      <c r="L68" s="320" t="n">
        <f>--(AND(L$64&gt;=EOMONTH(EDATE(INDEX(Underwriting!$L$24:$EN$24,1,Underwriting!$D$89+1),INDEX($L$31:$L$33,MATCH($B$6,$J$31:$J$33,0))),0),K$64&lt;EOMONTH(EDATE(INDEX(Underwriting!$L$24:$EN$24,1,Underwriting!$D$89+1),INDEX($L$31:$L$33,MATCH($B$6,$J$31:$J$33,0))),0)))</f>
        <v>0</v>
      </c>
      <c r="M68" s="320" t="n">
        <f>--(AND(M$64&gt;=EOMONTH(EDATE(INDEX(Underwriting!$L$24:$EN$24,1,Underwriting!$D$89+1),INDEX($L$31:$L$33,MATCH($B$6,$J$31:$J$33,0))),0),L$64&lt;EOMONTH(EDATE(INDEX(Underwriting!$L$24:$EN$24,1,Underwriting!$D$89+1),INDEX($L$31:$L$33,MATCH($B$6,$J$31:$J$33,0))),0)))</f>
        <v>0</v>
      </c>
      <c r="N68" s="320" t="n">
        <f>--(AND(N$64&gt;=EOMONTH(EDATE(INDEX(Underwriting!$L$24:$EN$24,1,Underwriting!$D$89+1),INDEX($L$31:$L$33,MATCH($B$6,$J$31:$J$33,0))),0),M$64&lt;EOMONTH(EDATE(INDEX(Underwriting!$L$24:$EN$24,1,Underwriting!$D$89+1),INDEX($L$31:$L$33,MATCH($B$6,$J$31:$J$33,0))),0)))</f>
        <v>0</v>
      </c>
      <c r="O68" s="320" t="n">
        <f>--(AND(O$64&gt;=EOMONTH(EDATE(INDEX(Underwriting!$L$24:$EN$24,1,Underwriting!$D$89+1),INDEX($L$31:$L$33,MATCH($B$6,$J$31:$J$33,0))),0),N$64&lt;EOMONTH(EDATE(INDEX(Underwriting!$L$24:$EN$24,1,Underwriting!$D$89+1),INDEX($L$31:$L$33,MATCH($B$6,$J$31:$J$33,0))),0)))</f>
        <v>0</v>
      </c>
      <c r="P68" s="320" t="n">
        <f>--(AND(P$64&gt;=EOMONTH(EDATE(INDEX(Underwriting!$L$24:$EN$24,1,Underwriting!$D$89+1),INDEX($L$31:$L$33,MATCH($B$6,$J$31:$J$33,0))),0),O$64&lt;EOMONTH(EDATE(INDEX(Underwriting!$L$24:$EN$24,1,Underwriting!$D$89+1),INDEX($L$31:$L$33,MATCH($B$6,$J$31:$J$33,0))),0)))</f>
        <v>0</v>
      </c>
      <c r="Q68" s="320" t="n">
        <f>--(AND(Q$64&gt;=EOMONTH(EDATE(INDEX(Underwriting!$L$24:$EN$24,1,Underwriting!$D$89+1),INDEX($L$31:$L$33,MATCH($B$6,$J$31:$J$33,0))),0),P$64&lt;EOMONTH(EDATE(INDEX(Underwriting!$L$24:$EN$24,1,Underwriting!$D$89+1),INDEX($L$31:$L$33,MATCH($B$6,$J$31:$J$33,0))),0)))</f>
        <v>0</v>
      </c>
      <c r="R68" s="320" t="n">
        <f>--(AND(R$64&gt;=EOMONTH(EDATE(INDEX(Underwriting!$L$24:$EN$24,1,Underwriting!$D$89+1),INDEX($L$31:$L$33,MATCH($B$6,$J$31:$J$33,0))),0),Q$64&lt;EOMONTH(EDATE(INDEX(Underwriting!$L$24:$EN$24,1,Underwriting!$D$89+1),INDEX($L$31:$L$33,MATCH($B$6,$J$31:$J$33,0))),0)))</f>
        <v>0</v>
      </c>
      <c r="S68" s="320" t="n">
        <f>--(AND(S$64&gt;=EOMONTH(EDATE(INDEX(Underwriting!$L$24:$EN$24,1,Underwriting!$D$89+1),INDEX($L$31:$L$33,MATCH($B$6,$J$31:$J$33,0))),0),R$64&lt;EOMONTH(EDATE(INDEX(Underwriting!$L$24:$EN$24,1,Underwriting!$D$89+1),INDEX($L$31:$L$33,MATCH($B$6,$J$31:$J$33,0))),0)))</f>
        <v>0</v>
      </c>
      <c r="T68" s="320" t="n">
        <f>--(AND(T$64&gt;=EOMONTH(EDATE(INDEX(Underwriting!$L$24:$EN$24,1,Underwriting!$D$89+1),INDEX($L$31:$L$33,MATCH($B$6,$J$31:$J$33,0))),0),S$64&lt;EOMONTH(EDATE(INDEX(Underwriting!$L$24:$EN$24,1,Underwriting!$D$89+1),INDEX($L$31:$L$33,MATCH($B$6,$J$31:$J$33,0))),0)))</f>
        <v>0</v>
      </c>
      <c r="U68" s="320" t="n">
        <f>--(AND(U$64&gt;=EOMONTH(EDATE(INDEX(Underwriting!$L$24:$EN$24,1,Underwriting!$D$89+1),INDEX($L$31:$L$33,MATCH($B$6,$J$31:$J$33,0))),0),T$64&lt;EOMONTH(EDATE(INDEX(Underwriting!$L$24:$EN$24,1,Underwriting!$D$89+1),INDEX($L$31:$L$33,MATCH($B$6,$J$31:$J$33,0))),0)))</f>
        <v>0</v>
      </c>
      <c r="V68" s="320" t="n">
        <f>--(AND(V$64&gt;=EOMONTH(EDATE(INDEX(Underwriting!$L$24:$EN$24,1,Underwriting!$D$89+1),INDEX($L$31:$L$33,MATCH($B$6,$J$31:$J$33,0))),0),U$64&lt;EOMONTH(EDATE(INDEX(Underwriting!$L$24:$EN$24,1,Underwriting!$D$89+1),INDEX($L$31:$L$33,MATCH($B$6,$J$31:$J$33,0))),0)))</f>
        <v>0</v>
      </c>
      <c r="W68" s="320" t="n">
        <f>--(AND(W$64&gt;=EOMONTH(EDATE(INDEX(Underwriting!$L$24:$EN$24,1,Underwriting!$D$89+1),INDEX($L$31:$L$33,MATCH($B$6,$J$31:$J$33,0))),0),V$64&lt;EOMONTH(EDATE(INDEX(Underwriting!$L$24:$EN$24,1,Underwriting!$D$89+1),INDEX($L$31:$L$33,MATCH($B$6,$J$31:$J$33,0))),0)))</f>
        <v>0</v>
      </c>
      <c r="X68" s="320" t="n">
        <f>--(AND(X$64&gt;=EOMONTH(EDATE(INDEX(Underwriting!$L$24:$EN$24,1,Underwriting!$D$89+1),INDEX($L$31:$L$33,MATCH($B$6,$J$31:$J$33,0))),0),W$64&lt;EOMONTH(EDATE(INDEX(Underwriting!$L$24:$EN$24,1,Underwriting!$D$89+1),INDEX($L$31:$L$33,MATCH($B$6,$J$31:$J$33,0))),0)))</f>
        <v>0</v>
      </c>
      <c r="Y68" s="320" t="n">
        <f>--(AND(Y$64&gt;=EOMONTH(EDATE(INDEX(Underwriting!$L$24:$EN$24,1,Underwriting!$D$89+1),INDEX($L$31:$L$33,MATCH($B$6,$J$31:$J$33,0))),0),X$64&lt;EOMONTH(EDATE(INDEX(Underwriting!$L$24:$EN$24,1,Underwriting!$D$89+1),INDEX($L$31:$L$33,MATCH($B$6,$J$31:$J$33,0))),0)))</f>
        <v>0</v>
      </c>
      <c r="Z68" s="320" t="n">
        <f>--(AND(Z$64&gt;=EOMONTH(EDATE(INDEX(Underwriting!$L$24:$EN$24,1,Underwriting!$D$89+1),INDEX($L$31:$L$33,MATCH($B$6,$J$31:$J$33,0))),0),Y$64&lt;EOMONTH(EDATE(INDEX(Underwriting!$L$24:$EN$24,1,Underwriting!$D$89+1),INDEX($L$31:$L$33,MATCH($B$6,$J$31:$J$33,0))),0)))</f>
        <v>0</v>
      </c>
      <c r="AA68" s="320" t="n">
        <f>--(AND(AA$64&gt;=EOMONTH(EDATE(INDEX(Underwriting!$L$24:$EN$24,1,Underwriting!$D$89+1),INDEX($L$31:$L$33,MATCH($B$6,$J$31:$J$33,0))),0),Z$64&lt;EOMONTH(EDATE(INDEX(Underwriting!$L$24:$EN$24,1,Underwriting!$D$89+1),INDEX($L$31:$L$33,MATCH($B$6,$J$31:$J$33,0))),0)))</f>
        <v>0</v>
      </c>
      <c r="AB68" s="320" t="n">
        <f>--(AND(AB$64&gt;=EOMONTH(EDATE(INDEX(Underwriting!$L$24:$EN$24,1,Underwriting!$D$89+1),INDEX($L$31:$L$33,MATCH($B$6,$J$31:$J$33,0))),0),AA$64&lt;EOMONTH(EDATE(INDEX(Underwriting!$L$24:$EN$24,1,Underwriting!$D$89+1),INDEX($L$31:$L$33,MATCH($B$6,$J$31:$J$33,0))),0)))</f>
        <v>0</v>
      </c>
      <c r="AC68" s="320" t="n">
        <f>--(AND(AC$64&gt;=EOMONTH(EDATE(INDEX(Underwriting!$L$24:$EN$24,1,Underwriting!$D$89+1),INDEX($L$31:$L$33,MATCH($B$6,$J$31:$J$33,0))),0),AB$64&lt;EOMONTH(EDATE(INDEX(Underwriting!$L$24:$EN$24,1,Underwriting!$D$89+1),INDEX($L$31:$L$33,MATCH($B$6,$J$31:$J$33,0))),0)))</f>
        <v>0</v>
      </c>
      <c r="AD68" s="320" t="n">
        <f>--(AND(AD$64&gt;=EOMONTH(EDATE(INDEX(Underwriting!$L$24:$EN$24,1,Underwriting!$D$89+1),INDEX($L$31:$L$33,MATCH($B$6,$J$31:$J$33,0))),0),AC$64&lt;EOMONTH(EDATE(INDEX(Underwriting!$L$24:$EN$24,1,Underwriting!$D$89+1),INDEX($L$31:$L$33,MATCH($B$6,$J$31:$J$33,0))),0)))</f>
        <v>0</v>
      </c>
      <c r="AE68" s="320" t="n">
        <f>--(AND(AE$64&gt;=EOMONTH(EDATE(INDEX(Underwriting!$L$24:$EN$24,1,Underwriting!$D$89+1),INDEX($L$31:$L$33,MATCH($B$6,$J$31:$J$33,0))),0),AD$64&lt;EOMONTH(EDATE(INDEX(Underwriting!$L$24:$EN$24,1,Underwriting!$D$89+1),INDEX($L$31:$L$33,MATCH($B$6,$J$31:$J$33,0))),0)))</f>
        <v>0</v>
      </c>
      <c r="AF68" s="320" t="n">
        <f>--(AND(AF$64&gt;=EOMONTH(EDATE(INDEX(Underwriting!$L$24:$EN$24,1,Underwriting!$D$89+1),INDEX($L$31:$L$33,MATCH($B$6,$J$31:$J$33,0))),0),AE$64&lt;EOMONTH(EDATE(INDEX(Underwriting!$L$24:$EN$24,1,Underwriting!$D$89+1),INDEX($L$31:$L$33,MATCH($B$6,$J$31:$J$33,0))),0)))</f>
        <v>0</v>
      </c>
      <c r="AG68" s="320" t="n">
        <f>--(AND(AG$64&gt;=EOMONTH(EDATE(INDEX(Underwriting!$L$24:$EN$24,1,Underwriting!$D$89+1),INDEX($L$31:$L$33,MATCH($B$6,$J$31:$J$33,0))),0),AF$64&lt;EOMONTH(EDATE(INDEX(Underwriting!$L$24:$EN$24,1,Underwriting!$D$89+1),INDEX($L$31:$L$33,MATCH($B$6,$J$31:$J$33,0))),0)))</f>
        <v>0</v>
      </c>
      <c r="AH68" s="320" t="n">
        <f>--(AND(AH$64&gt;=EOMONTH(EDATE(INDEX(Underwriting!$L$24:$EN$24,1,Underwriting!$D$89+1),INDEX($L$31:$L$33,MATCH($B$6,$J$31:$J$33,0))),0),AG$64&lt;EOMONTH(EDATE(INDEX(Underwriting!$L$24:$EN$24,1,Underwriting!$D$89+1),INDEX($L$31:$L$33,MATCH($B$6,$J$31:$J$33,0))),0)))</f>
        <v>0</v>
      </c>
      <c r="AI68" s="320" t="n">
        <f>--(AND(AI$64&gt;=EOMONTH(EDATE(INDEX(Underwriting!$L$24:$EN$24,1,Underwriting!$D$89+1),INDEX($L$31:$L$33,MATCH($B$6,$J$31:$J$33,0))),0),AH$64&lt;EOMONTH(EDATE(INDEX(Underwriting!$L$24:$EN$24,1,Underwriting!$D$89+1),INDEX($L$31:$L$33,MATCH($B$6,$J$31:$J$33,0))),0)))</f>
        <v>0</v>
      </c>
      <c r="AJ68" s="320" t="n">
        <f>--(AND(AJ$64&gt;=EOMONTH(EDATE(INDEX(Underwriting!$L$24:$EN$24,1,Underwriting!$D$89+1),INDEX($L$31:$L$33,MATCH($B$6,$J$31:$J$33,0))),0),AI$64&lt;EOMONTH(EDATE(INDEX(Underwriting!$L$24:$EN$24,1,Underwriting!$D$89+1),INDEX($L$31:$L$33,MATCH($B$6,$J$31:$J$33,0))),0)))</f>
        <v>0</v>
      </c>
      <c r="AK68" s="320" t="n">
        <f>--(AND(AK$64&gt;=EOMONTH(EDATE(INDEX(Underwriting!$L$24:$EN$24,1,Underwriting!$D$89+1),INDEX($L$31:$L$33,MATCH($B$6,$J$31:$J$33,0))),0),AJ$64&lt;EOMONTH(EDATE(INDEX(Underwriting!$L$24:$EN$24,1,Underwriting!$D$89+1),INDEX($L$31:$L$33,MATCH($B$6,$J$31:$J$33,0))),0)))</f>
        <v>0</v>
      </c>
      <c r="AL68" s="320" t="n">
        <f>--(AND(AL$64&gt;=EOMONTH(EDATE(INDEX(Underwriting!$L$24:$EN$24,1,Underwriting!$D$89+1),INDEX($L$31:$L$33,MATCH($B$6,$J$31:$J$33,0))),0),AK$64&lt;EOMONTH(EDATE(INDEX(Underwriting!$L$24:$EN$24,1,Underwriting!$D$89+1),INDEX($L$31:$L$33,MATCH($B$6,$J$31:$J$33,0))),0)))</f>
        <v>0</v>
      </c>
      <c r="AM68" s="320" t="n">
        <f>--(AND(AM$64&gt;=EOMONTH(EDATE(INDEX(Underwriting!$L$24:$EN$24,1,Underwriting!$D$89+1),INDEX($L$31:$L$33,MATCH($B$6,$J$31:$J$33,0))),0),AL$64&lt;EOMONTH(EDATE(INDEX(Underwriting!$L$24:$EN$24,1,Underwriting!$D$89+1),INDEX($L$31:$L$33,MATCH($B$6,$J$31:$J$33,0))),0)))</f>
        <v>0</v>
      </c>
      <c r="AN68" s="320" t="n">
        <f>--(AND(AN$64&gt;=EOMONTH(EDATE(INDEX(Underwriting!$L$24:$EN$24,1,Underwriting!$D$89+1),INDEX($L$31:$L$33,MATCH($B$6,$J$31:$J$33,0))),0),AM$64&lt;EOMONTH(EDATE(INDEX(Underwriting!$L$24:$EN$24,1,Underwriting!$D$89+1),INDEX($L$31:$L$33,MATCH($B$6,$J$31:$J$33,0))),0)))</f>
        <v>0</v>
      </c>
      <c r="AO68" s="320" t="n">
        <f>--(AND(AO$64&gt;=EOMONTH(EDATE(INDEX(Underwriting!$L$24:$EN$24,1,Underwriting!$D$89+1),INDEX($L$31:$L$33,MATCH($B$6,$J$31:$J$33,0))),0),AN$64&lt;EOMONTH(EDATE(INDEX(Underwriting!$L$24:$EN$24,1,Underwriting!$D$89+1),INDEX($L$31:$L$33,MATCH($B$6,$J$31:$J$33,0))),0)))</f>
        <v>0</v>
      </c>
      <c r="AP68" s="320" t="n">
        <f>--(AND(AP$64&gt;=EOMONTH(EDATE(INDEX(Underwriting!$L$24:$EN$24,1,Underwriting!$D$89+1),INDEX($L$31:$L$33,MATCH($B$6,$J$31:$J$33,0))),0),AO$64&lt;EOMONTH(EDATE(INDEX(Underwriting!$L$24:$EN$24,1,Underwriting!$D$89+1),INDEX($L$31:$L$33,MATCH($B$6,$J$31:$J$33,0))),0)))</f>
        <v>0</v>
      </c>
      <c r="AQ68" s="320" t="n">
        <f>--(AND(AQ$64&gt;=EOMONTH(EDATE(INDEX(Underwriting!$L$24:$EN$24,1,Underwriting!$D$89+1),INDEX($L$31:$L$33,MATCH($B$6,$J$31:$J$33,0))),0),AP$64&lt;EOMONTH(EDATE(INDEX(Underwriting!$L$24:$EN$24,1,Underwriting!$D$89+1),INDEX($L$31:$L$33,MATCH($B$6,$J$31:$J$33,0))),0)))</f>
        <v>0</v>
      </c>
      <c r="AR68" s="320" t="n">
        <f>--(AND(AR$64&gt;=EOMONTH(EDATE(INDEX(Underwriting!$L$24:$EN$24,1,Underwriting!$D$89+1),INDEX($L$31:$L$33,MATCH($B$6,$J$31:$J$33,0))),0),AQ$64&lt;EOMONTH(EDATE(INDEX(Underwriting!$L$24:$EN$24,1,Underwriting!$D$89+1),INDEX($L$31:$L$33,MATCH($B$6,$J$31:$J$33,0))),0)))</f>
        <v>0</v>
      </c>
      <c r="AS68" s="320" t="n">
        <f>--(AND(AS$64&gt;=EOMONTH(EDATE(INDEX(Underwriting!$L$24:$EN$24,1,Underwriting!$D$89+1),INDEX($L$31:$L$33,MATCH($B$6,$J$31:$J$33,0))),0),AR$64&lt;EOMONTH(EDATE(INDEX(Underwriting!$L$24:$EN$24,1,Underwriting!$D$89+1),INDEX($L$31:$L$33,MATCH($B$6,$J$31:$J$33,0))),0)))</f>
        <v>0</v>
      </c>
      <c r="AT68" s="320" t="n">
        <f>--(AND(AT$64&gt;=EOMONTH(EDATE(INDEX(Underwriting!$L$24:$EN$24,1,Underwriting!$D$89+1),INDEX($L$31:$L$33,MATCH($B$6,$J$31:$J$33,0))),0),AS$64&lt;EOMONTH(EDATE(INDEX(Underwriting!$L$24:$EN$24,1,Underwriting!$D$89+1),INDEX($L$31:$L$33,MATCH($B$6,$J$31:$J$33,0))),0)))</f>
        <v>0</v>
      </c>
      <c r="AU68" s="320" t="n">
        <f>--(AND(AU$64&gt;=EOMONTH(EDATE(INDEX(Underwriting!$L$24:$EN$24,1,Underwriting!$D$89+1),INDEX($L$31:$L$33,MATCH($B$6,$J$31:$J$33,0))),0),AT$64&lt;EOMONTH(EDATE(INDEX(Underwriting!$L$24:$EN$24,1,Underwriting!$D$89+1),INDEX($L$31:$L$33,MATCH($B$6,$J$31:$J$33,0))),0)))</f>
        <v>0</v>
      </c>
      <c r="AV68" s="320" t="n">
        <f>--(AND(AV$64&gt;=EOMONTH(EDATE(INDEX(Underwriting!$L$24:$EN$24,1,Underwriting!$D$89+1),INDEX($L$31:$L$33,MATCH($B$6,$J$31:$J$33,0))),0),AU$64&lt;EOMONTH(EDATE(INDEX(Underwriting!$L$24:$EN$24,1,Underwriting!$D$89+1),INDEX($L$31:$L$33,MATCH($B$6,$J$31:$J$33,0))),0)))</f>
        <v>0</v>
      </c>
      <c r="AW68" s="320" t="n">
        <f>--(AND(AW$64&gt;=EOMONTH(EDATE(INDEX(Underwriting!$L$24:$EN$24,1,Underwriting!$D$89+1),INDEX($L$31:$L$33,MATCH($B$6,$J$31:$J$33,0))),0),AV$64&lt;EOMONTH(EDATE(INDEX(Underwriting!$L$24:$EN$24,1,Underwriting!$D$89+1),INDEX($L$31:$L$33,MATCH($B$6,$J$31:$J$33,0))),0)))</f>
        <v>0</v>
      </c>
      <c r="AX68" s="320" t="n">
        <f>--(AND(AX$64&gt;=EOMONTH(EDATE(INDEX(Underwriting!$L$24:$EN$24,1,Underwriting!$D$89+1),INDEX($L$31:$L$33,MATCH($B$6,$J$31:$J$33,0))),0),AW$64&lt;EOMONTH(EDATE(INDEX(Underwriting!$L$24:$EN$24,1,Underwriting!$D$89+1),INDEX($L$31:$L$33,MATCH($B$6,$J$31:$J$33,0))),0)))</f>
        <v>0</v>
      </c>
      <c r="AY68" s="320" t="n">
        <f>--(AND(AY$64&gt;=EOMONTH(EDATE(INDEX(Underwriting!$L$24:$EN$24,1,Underwriting!$D$89+1),INDEX($L$31:$L$33,MATCH($B$6,$J$31:$J$33,0))),0),AX$64&lt;EOMONTH(EDATE(INDEX(Underwriting!$L$24:$EN$24,1,Underwriting!$D$89+1),INDEX($L$31:$L$33,MATCH($B$6,$J$31:$J$33,0))),0)))</f>
        <v>0</v>
      </c>
      <c r="AZ68" s="320" t="n">
        <f>--(AND(AZ$64&gt;=EOMONTH(EDATE(INDEX(Underwriting!$L$24:$EN$24,1,Underwriting!$D$89+1),INDEX($L$31:$L$33,MATCH($B$6,$J$31:$J$33,0))),0),AY$64&lt;EOMONTH(EDATE(INDEX(Underwriting!$L$24:$EN$24,1,Underwriting!$D$89+1),INDEX($L$31:$L$33,MATCH($B$6,$J$31:$J$33,0))),0)))</f>
        <v>0</v>
      </c>
      <c r="BA68" s="320" t="n">
        <f>--(AND(BA$64&gt;=EOMONTH(EDATE(INDEX(Underwriting!$L$24:$EN$24,1,Underwriting!$D$89+1),INDEX($L$31:$L$33,MATCH($B$6,$J$31:$J$33,0))),0),AZ$64&lt;EOMONTH(EDATE(INDEX(Underwriting!$L$24:$EN$24,1,Underwriting!$D$89+1),INDEX($L$31:$L$33,MATCH($B$6,$J$31:$J$33,0))),0)))</f>
        <v>0</v>
      </c>
      <c r="BB68" s="320" t="n">
        <f>--(AND(BB$64&gt;=EOMONTH(EDATE(INDEX(Underwriting!$L$24:$EN$24,1,Underwriting!$D$89+1),INDEX($L$31:$L$33,MATCH($B$6,$J$31:$J$33,0))),0),BA$64&lt;EOMONTH(EDATE(INDEX(Underwriting!$L$24:$EN$24,1,Underwriting!$D$89+1),INDEX($L$31:$L$33,MATCH($B$6,$J$31:$J$33,0))),0)))</f>
        <v>0</v>
      </c>
      <c r="BC68" s="320" t="n">
        <f>--(AND(BC$64&gt;=EOMONTH(EDATE(INDEX(Underwriting!$L$24:$EN$24,1,Underwriting!$D$89+1),INDEX($L$31:$L$33,MATCH($B$6,$J$31:$J$33,0))),0),BB$64&lt;EOMONTH(EDATE(INDEX(Underwriting!$L$24:$EN$24,1,Underwriting!$D$89+1),INDEX($L$31:$L$33,MATCH($B$6,$J$31:$J$33,0))),0)))</f>
        <v>1</v>
      </c>
      <c r="BD68" s="320" t="n">
        <f>--(AND(BD$64&gt;=EOMONTH(EDATE(INDEX(Underwriting!$L$24:$EN$24,1,Underwriting!$D$89+1),INDEX($L$31:$L$33,MATCH($B$6,$J$31:$J$33,0))),0),BC$64&lt;EOMONTH(EDATE(INDEX(Underwriting!$L$24:$EN$24,1,Underwriting!$D$89+1),INDEX($L$31:$L$33,MATCH($B$6,$J$31:$J$33,0))),0)))</f>
        <v>0</v>
      </c>
      <c r="BE68" s="320" t="n">
        <f>--(AND(BE$64&gt;=EOMONTH(EDATE(INDEX(Underwriting!$L$24:$EN$24,1,Underwriting!$D$89+1),INDEX($L$31:$L$33,MATCH($B$6,$J$31:$J$33,0))),0),BD$64&lt;EOMONTH(EDATE(INDEX(Underwriting!$L$24:$EN$24,1,Underwriting!$D$89+1),INDEX($L$31:$L$33,MATCH($B$6,$J$31:$J$33,0))),0)))</f>
        <v>0</v>
      </c>
      <c r="BF68" s="320" t="n">
        <f>--(AND(BF$64&gt;=EOMONTH(EDATE(INDEX(Underwriting!$L$24:$EN$24,1,Underwriting!$D$89+1),INDEX($L$31:$L$33,MATCH($B$6,$J$31:$J$33,0))),0),BE$64&lt;EOMONTH(EDATE(INDEX(Underwriting!$L$24:$EN$24,1,Underwriting!$D$89+1),INDEX($L$31:$L$33,MATCH($B$6,$J$31:$J$33,0))),0)))</f>
        <v>0</v>
      </c>
      <c r="BG68" s="320" t="n">
        <f>--(AND(BG$64&gt;=EOMONTH(EDATE(INDEX(Underwriting!$L$24:$EN$24,1,Underwriting!$D$89+1),INDEX($L$31:$L$33,MATCH($B$6,$J$31:$J$33,0))),0),BF$64&lt;EOMONTH(EDATE(INDEX(Underwriting!$L$24:$EN$24,1,Underwriting!$D$89+1),INDEX($L$31:$L$33,MATCH($B$6,$J$31:$J$33,0))),0)))</f>
        <v>0</v>
      </c>
      <c r="BH68" s="320" t="n">
        <f>--(AND(BH$64&gt;=EOMONTH(EDATE(INDEX(Underwriting!$L$24:$EN$24,1,Underwriting!$D$89+1),INDEX($L$31:$L$33,MATCH($B$6,$J$31:$J$33,0))),0),BG$64&lt;EOMONTH(EDATE(INDEX(Underwriting!$L$24:$EN$24,1,Underwriting!$D$89+1),INDEX($L$31:$L$33,MATCH($B$6,$J$31:$J$33,0))),0)))</f>
        <v>0</v>
      </c>
      <c r="BI68" s="320" t="n">
        <f>--(AND(BI$64&gt;=EOMONTH(EDATE(INDEX(Underwriting!$L$24:$EN$24,1,Underwriting!$D$89+1),INDEX($L$31:$L$33,MATCH($B$6,$J$31:$J$33,0))),0),BH$64&lt;EOMONTH(EDATE(INDEX(Underwriting!$L$24:$EN$24,1,Underwriting!$D$89+1),INDEX($L$31:$L$33,MATCH($B$6,$J$31:$J$33,0))),0)))</f>
        <v>0</v>
      </c>
      <c r="BJ68" s="320" t="n">
        <f>--(AND(BJ$64&gt;=EOMONTH(EDATE(INDEX(Underwriting!$L$24:$EN$24,1,Underwriting!$D$89+1),INDEX($L$31:$L$33,MATCH($B$6,$J$31:$J$33,0))),0),BI$64&lt;EOMONTH(EDATE(INDEX(Underwriting!$L$24:$EN$24,1,Underwriting!$D$89+1),INDEX($L$31:$L$33,MATCH($B$6,$J$31:$J$33,0))),0)))</f>
        <v>0</v>
      </c>
      <c r="BK68" s="320" t="n">
        <f>--(AND(BK$64&gt;=EOMONTH(EDATE(INDEX(Underwriting!$L$24:$EN$24,1,Underwriting!$D$89+1),INDEX($L$31:$L$33,MATCH($B$6,$J$31:$J$33,0))),0),BJ$64&lt;EOMONTH(EDATE(INDEX(Underwriting!$L$24:$EN$24,1,Underwriting!$D$89+1),INDEX($L$31:$L$33,MATCH($B$6,$J$31:$J$33,0))),0)))</f>
        <v>0</v>
      </c>
      <c r="BL68" s="320" t="n">
        <f>--(AND(BL$64&gt;=EOMONTH(EDATE(INDEX(Underwriting!$L$24:$EN$24,1,Underwriting!$D$89+1),INDEX($L$31:$L$33,MATCH($B$6,$J$31:$J$33,0))),0),BK$64&lt;EOMONTH(EDATE(INDEX(Underwriting!$L$24:$EN$24,1,Underwriting!$D$89+1),INDEX($L$31:$L$33,MATCH($B$6,$J$31:$J$33,0))),0)))</f>
        <v>0</v>
      </c>
      <c r="BM68" s="320" t="n">
        <f>--(AND(BM$64&gt;=EOMONTH(EDATE(INDEX(Underwriting!$L$24:$EN$24,1,Underwriting!$D$89+1),INDEX($L$31:$L$33,MATCH($B$6,$J$31:$J$33,0))),0),BL$64&lt;EOMONTH(EDATE(INDEX(Underwriting!$L$24:$EN$24,1,Underwriting!$D$89+1),INDEX($L$31:$L$33,MATCH($B$6,$J$31:$J$33,0))),0)))</f>
        <v>0</v>
      </c>
      <c r="BN68" s="320" t="n">
        <f>--(AND(BN$64&gt;=EOMONTH(EDATE(INDEX(Underwriting!$L$24:$EN$24,1,Underwriting!$D$89+1),INDEX($L$31:$L$33,MATCH($B$6,$J$31:$J$33,0))),0),BM$64&lt;EOMONTH(EDATE(INDEX(Underwriting!$L$24:$EN$24,1,Underwriting!$D$89+1),INDEX($L$31:$L$33,MATCH($B$6,$J$31:$J$33,0))),0)))</f>
        <v>0</v>
      </c>
      <c r="BO68" s="320" t="n">
        <f>--(AND(BO$64&gt;=EOMONTH(EDATE(INDEX(Underwriting!$L$24:$EN$24,1,Underwriting!$D$89+1),INDEX($L$31:$L$33,MATCH($B$6,$J$31:$J$33,0))),0),BN$64&lt;EOMONTH(EDATE(INDEX(Underwriting!$L$24:$EN$24,1,Underwriting!$D$89+1),INDEX($L$31:$L$33,MATCH($B$6,$J$31:$J$33,0))),0)))</f>
        <v>0</v>
      </c>
      <c r="BP68" s="320" t="n">
        <f>--(AND(BP$64&gt;=EOMONTH(EDATE(INDEX(Underwriting!$L$24:$EN$24,1,Underwriting!$D$89+1),INDEX($L$31:$L$33,MATCH($B$6,$J$31:$J$33,0))),0),BO$64&lt;EOMONTH(EDATE(INDEX(Underwriting!$L$24:$EN$24,1,Underwriting!$D$89+1),INDEX($L$31:$L$33,MATCH($B$6,$J$31:$J$33,0))),0)))</f>
        <v>0</v>
      </c>
      <c r="BQ68" s="320" t="n">
        <f>--(AND(BQ$64&gt;=EOMONTH(EDATE(INDEX(Underwriting!$L$24:$EN$24,1,Underwriting!$D$89+1),INDEX($L$31:$L$33,MATCH($B$6,$J$31:$J$33,0))),0),BP$64&lt;EOMONTH(EDATE(INDEX(Underwriting!$L$24:$EN$24,1,Underwriting!$D$89+1),INDEX($L$31:$L$33,MATCH($B$6,$J$31:$J$33,0))),0)))</f>
        <v>0</v>
      </c>
      <c r="BR68" s="320" t="n">
        <f>--(AND(BR$64&gt;=EOMONTH(EDATE(INDEX(Underwriting!$L$24:$EN$24,1,Underwriting!$D$89+1),INDEX($L$31:$L$33,MATCH($B$6,$J$31:$J$33,0))),0),BQ$64&lt;EOMONTH(EDATE(INDEX(Underwriting!$L$24:$EN$24,1,Underwriting!$D$89+1),INDEX($L$31:$L$33,MATCH($B$6,$J$31:$J$33,0))),0)))</f>
        <v>0</v>
      </c>
      <c r="BS68" s="320" t="n">
        <f>--(AND(BS$64&gt;=EOMONTH(EDATE(INDEX(Underwriting!$L$24:$EN$24,1,Underwriting!$D$89+1),INDEX($L$31:$L$33,MATCH($B$6,$J$31:$J$33,0))),0),BR$64&lt;EOMONTH(EDATE(INDEX(Underwriting!$L$24:$EN$24,1,Underwriting!$D$89+1),INDEX($L$31:$L$33,MATCH($B$6,$J$31:$J$33,0))),0)))</f>
        <v>0</v>
      </c>
      <c r="BT68" s="320" t="n">
        <f>--(AND(BT$64&gt;=EOMONTH(EDATE(INDEX(Underwriting!$L$24:$EN$24,1,Underwriting!$D$89+1),INDEX($L$31:$L$33,MATCH($B$6,$J$31:$J$33,0))),0),BS$64&lt;EOMONTH(EDATE(INDEX(Underwriting!$L$24:$EN$24,1,Underwriting!$D$89+1),INDEX($L$31:$L$33,MATCH($B$6,$J$31:$J$33,0))),0)))</f>
        <v>0</v>
      </c>
      <c r="BU68" s="320" t="n">
        <f>--(AND(BU$64&gt;=EOMONTH(EDATE(INDEX(Underwriting!$L$24:$EN$24,1,Underwriting!$D$89+1),INDEX($L$31:$L$33,MATCH($B$6,$J$31:$J$33,0))),0),BT$64&lt;EOMONTH(EDATE(INDEX(Underwriting!$L$24:$EN$24,1,Underwriting!$D$89+1),INDEX($L$31:$L$33,MATCH($B$6,$J$31:$J$33,0))),0)))</f>
        <v>0</v>
      </c>
      <c r="BV68" s="320" t="n">
        <f>--(AND(BV$64&gt;=EOMONTH(EDATE(INDEX(Underwriting!$L$24:$EN$24,1,Underwriting!$D$89+1),INDEX($L$31:$L$33,MATCH($B$6,$J$31:$J$33,0))),0),BU$64&lt;EOMONTH(EDATE(INDEX(Underwriting!$L$24:$EN$24,1,Underwriting!$D$89+1),INDEX($L$31:$L$33,MATCH($B$6,$J$31:$J$33,0))),0)))</f>
        <v>0</v>
      </c>
      <c r="BW68" s="320" t="n">
        <f>--(AND(BW$64&gt;=EOMONTH(EDATE(INDEX(Underwriting!$L$24:$EN$24,1,Underwriting!$D$89+1),INDEX($L$31:$L$33,MATCH($B$6,$J$31:$J$33,0))),0),BV$64&lt;EOMONTH(EDATE(INDEX(Underwriting!$L$24:$EN$24,1,Underwriting!$D$89+1),INDEX($L$31:$L$33,MATCH($B$6,$J$31:$J$33,0))),0)))</f>
        <v>0</v>
      </c>
      <c r="BX68" s="320" t="n">
        <f>--(AND(BX$64&gt;=EOMONTH(EDATE(INDEX(Underwriting!$L$24:$EN$24,1,Underwriting!$D$89+1),INDEX($L$31:$L$33,MATCH($B$6,$J$31:$J$33,0))),0),BW$64&lt;EOMONTH(EDATE(INDEX(Underwriting!$L$24:$EN$24,1,Underwriting!$D$89+1),INDEX($L$31:$L$33,MATCH($B$6,$J$31:$J$33,0))),0)))</f>
        <v>0</v>
      </c>
      <c r="BY68" s="320" t="n">
        <f>--(AND(BY$64&gt;=EOMONTH(EDATE(INDEX(Underwriting!$L$24:$EN$24,1,Underwriting!$D$89+1),INDEX($L$31:$L$33,MATCH($B$6,$J$31:$J$33,0))),0),BX$64&lt;EOMONTH(EDATE(INDEX(Underwriting!$L$24:$EN$24,1,Underwriting!$D$89+1),INDEX($L$31:$L$33,MATCH($B$6,$J$31:$J$33,0))),0)))</f>
        <v>0</v>
      </c>
      <c r="BZ68" s="320" t="n">
        <f>--(AND(BZ$64&gt;=EOMONTH(EDATE(INDEX(Underwriting!$L$24:$EN$24,1,Underwriting!$D$89+1),INDEX($L$31:$L$33,MATCH($B$6,$J$31:$J$33,0))),0),BY$64&lt;EOMONTH(EDATE(INDEX(Underwriting!$L$24:$EN$24,1,Underwriting!$D$89+1),INDEX($L$31:$L$33,MATCH($B$6,$J$31:$J$33,0))),0)))</f>
        <v>0</v>
      </c>
      <c r="CA68" s="320" t="n">
        <f>--(AND(CA$64&gt;=EOMONTH(EDATE(INDEX(Underwriting!$L$24:$EN$24,1,Underwriting!$D$89+1),INDEX($L$31:$L$33,MATCH($B$6,$J$31:$J$33,0))),0),BZ$64&lt;EOMONTH(EDATE(INDEX(Underwriting!$L$24:$EN$24,1,Underwriting!$D$89+1),INDEX($L$31:$L$33,MATCH($B$6,$J$31:$J$33,0))),0)))</f>
        <v>0</v>
      </c>
      <c r="CB68" s="320" t="n">
        <f>--(AND(CB$64&gt;=EOMONTH(EDATE(INDEX(Underwriting!$L$24:$EN$24,1,Underwriting!$D$89+1),INDEX($L$31:$L$33,MATCH($B$6,$J$31:$J$33,0))),0),CA$64&lt;EOMONTH(EDATE(INDEX(Underwriting!$L$24:$EN$24,1,Underwriting!$D$89+1),INDEX($L$31:$L$33,MATCH($B$6,$J$31:$J$33,0))),0)))</f>
        <v>0</v>
      </c>
      <c r="CC68" s="320" t="n">
        <f>--(AND(CC$64&gt;=EOMONTH(EDATE(INDEX(Underwriting!$L$24:$EN$24,1,Underwriting!$D$89+1),INDEX($L$31:$L$33,MATCH($B$6,$J$31:$J$33,0))),0),CB$64&lt;EOMONTH(EDATE(INDEX(Underwriting!$L$24:$EN$24,1,Underwriting!$D$89+1),INDEX($L$31:$L$33,MATCH($B$6,$J$31:$J$33,0))),0)))</f>
        <v>0</v>
      </c>
      <c r="CD68" s="320" t="n">
        <f>--(AND(CD$64&gt;=EOMONTH(EDATE(INDEX(Underwriting!$L$24:$EN$24,1,Underwriting!$D$89+1),INDEX($L$31:$L$33,MATCH($B$6,$J$31:$J$33,0))),0),CC$64&lt;EOMONTH(EDATE(INDEX(Underwriting!$L$24:$EN$24,1,Underwriting!$D$89+1),INDEX($L$31:$L$33,MATCH($B$6,$J$31:$J$33,0))),0)))</f>
        <v>0</v>
      </c>
      <c r="CE68" s="320" t="n">
        <f>--(AND(CE$64&gt;=EOMONTH(EDATE(INDEX(Underwriting!$L$24:$EN$24,1,Underwriting!$D$89+1),INDEX($L$31:$L$33,MATCH($B$6,$J$31:$J$33,0))),0),CD$64&lt;EOMONTH(EDATE(INDEX(Underwriting!$L$24:$EN$24,1,Underwriting!$D$89+1),INDEX($L$31:$L$33,MATCH($B$6,$J$31:$J$33,0))),0)))</f>
        <v>0</v>
      </c>
      <c r="CF68" s="320" t="n">
        <f>--(AND(CF$64&gt;=EOMONTH(EDATE(INDEX(Underwriting!$L$24:$EN$24,1,Underwriting!$D$89+1),INDEX($L$31:$L$33,MATCH($B$6,$J$31:$J$33,0))),0),CE$64&lt;EOMONTH(EDATE(INDEX(Underwriting!$L$24:$EN$24,1,Underwriting!$D$89+1),INDEX($L$31:$L$33,MATCH($B$6,$J$31:$J$33,0))),0)))</f>
        <v>0</v>
      </c>
      <c r="CG68" s="320" t="n">
        <f>--(AND(CG$64&gt;=EOMONTH(EDATE(INDEX(Underwriting!$L$24:$EN$24,1,Underwriting!$D$89+1),INDEX($L$31:$L$33,MATCH($B$6,$J$31:$J$33,0))),0),CF$64&lt;EOMONTH(EDATE(INDEX(Underwriting!$L$24:$EN$24,1,Underwriting!$D$89+1),INDEX($L$31:$L$33,MATCH($B$6,$J$31:$J$33,0))),0)))</f>
        <v>0</v>
      </c>
      <c r="CH68" s="320" t="n">
        <f>--(AND(CH$64&gt;=EOMONTH(EDATE(INDEX(Underwriting!$L$24:$EN$24,1,Underwriting!$D$89+1),INDEX($L$31:$L$33,MATCH($B$6,$J$31:$J$33,0))),0),CG$64&lt;EOMONTH(EDATE(INDEX(Underwriting!$L$24:$EN$24,1,Underwriting!$D$89+1),INDEX($L$31:$L$33,MATCH($B$6,$J$31:$J$33,0))),0)))</f>
        <v>0</v>
      </c>
      <c r="CI68" s="320" t="n">
        <f>--(AND(CI$64&gt;=EOMONTH(EDATE(INDEX(Underwriting!$L$24:$EN$24,1,Underwriting!$D$89+1),INDEX($L$31:$L$33,MATCH($B$6,$J$31:$J$33,0))),0),CH$64&lt;EOMONTH(EDATE(INDEX(Underwriting!$L$24:$EN$24,1,Underwriting!$D$89+1),INDEX($L$31:$L$33,MATCH($B$6,$J$31:$J$33,0))),0)))</f>
        <v>0</v>
      </c>
      <c r="CJ68" s="320" t="n">
        <f>--(AND(CJ$64&gt;=EOMONTH(EDATE(INDEX(Underwriting!$L$24:$EN$24,1,Underwriting!$D$89+1),INDEX($L$31:$L$33,MATCH($B$6,$J$31:$J$33,0))),0),CI$64&lt;EOMONTH(EDATE(INDEX(Underwriting!$L$24:$EN$24,1,Underwriting!$D$89+1),INDEX($L$31:$L$33,MATCH($B$6,$J$31:$J$33,0))),0)))</f>
        <v>0</v>
      </c>
      <c r="CK68" s="320" t="n">
        <f>--(AND(CK$64&gt;=EOMONTH(EDATE(INDEX(Underwriting!$L$24:$EN$24,1,Underwriting!$D$89+1),INDEX($L$31:$L$33,MATCH($B$6,$J$31:$J$33,0))),0),CJ$64&lt;EOMONTH(EDATE(INDEX(Underwriting!$L$24:$EN$24,1,Underwriting!$D$89+1),INDEX($L$31:$L$33,MATCH($B$6,$J$31:$J$33,0))),0)))</f>
        <v>0</v>
      </c>
      <c r="CL68" s="320" t="n">
        <f>--(AND(CL$64&gt;=EOMONTH(EDATE(INDEX(Underwriting!$L$24:$EN$24,1,Underwriting!$D$89+1),INDEX($L$31:$L$33,MATCH($B$6,$J$31:$J$33,0))),0),CK$64&lt;EOMONTH(EDATE(INDEX(Underwriting!$L$24:$EN$24,1,Underwriting!$D$89+1),INDEX($L$31:$L$33,MATCH($B$6,$J$31:$J$33,0))),0)))</f>
        <v>0</v>
      </c>
      <c r="CM68" s="320" t="n">
        <f>--(AND(CM$64&gt;=EOMONTH(EDATE(INDEX(Underwriting!$L$24:$EN$24,1,Underwriting!$D$89+1),INDEX($L$31:$L$33,MATCH($B$6,$J$31:$J$33,0))),0),CL$64&lt;EOMONTH(EDATE(INDEX(Underwriting!$L$24:$EN$24,1,Underwriting!$D$89+1),INDEX($L$31:$L$33,MATCH($B$6,$J$31:$J$33,0))),0)))</f>
        <v>0</v>
      </c>
      <c r="CN68" s="320" t="n">
        <f>--(AND(CN$64&gt;=EOMONTH(EDATE(INDEX(Underwriting!$L$24:$EN$24,1,Underwriting!$D$89+1),INDEX($L$31:$L$33,MATCH($B$6,$J$31:$J$33,0))),0),CM$64&lt;EOMONTH(EDATE(INDEX(Underwriting!$L$24:$EN$24,1,Underwriting!$D$89+1),INDEX($L$31:$L$33,MATCH($B$6,$J$31:$J$33,0))),0)))</f>
        <v>0</v>
      </c>
      <c r="CO68" s="320" t="n">
        <f>--(AND(CO$64&gt;=EOMONTH(EDATE(INDEX(Underwriting!$L$24:$EN$24,1,Underwriting!$D$89+1),INDEX($L$31:$L$33,MATCH($B$6,$J$31:$J$33,0))),0),CN$64&lt;EOMONTH(EDATE(INDEX(Underwriting!$L$24:$EN$24,1,Underwriting!$D$89+1),INDEX($L$31:$L$33,MATCH($B$6,$J$31:$J$33,0))),0)))</f>
        <v>0</v>
      </c>
      <c r="CP68" s="320" t="n">
        <f>--(AND(CP$64&gt;=EOMONTH(EDATE(INDEX(Underwriting!$L$24:$EN$24,1,Underwriting!$D$89+1),INDEX($L$31:$L$33,MATCH($B$6,$J$31:$J$33,0))),0),CO$64&lt;EOMONTH(EDATE(INDEX(Underwriting!$L$24:$EN$24,1,Underwriting!$D$89+1),INDEX($L$31:$L$33,MATCH($B$6,$J$31:$J$33,0))),0)))</f>
        <v>0</v>
      </c>
      <c r="CQ68" s="320" t="n">
        <f>--(AND(CQ$64&gt;=EOMONTH(EDATE(INDEX(Underwriting!$L$24:$EN$24,1,Underwriting!$D$89+1),INDEX($L$31:$L$33,MATCH($B$6,$J$31:$J$33,0))),0),CP$64&lt;EOMONTH(EDATE(INDEX(Underwriting!$L$24:$EN$24,1,Underwriting!$D$89+1),INDEX($L$31:$L$33,MATCH($B$6,$J$31:$J$33,0))),0)))</f>
        <v>0</v>
      </c>
      <c r="CR68" s="320" t="n">
        <f>--(AND(CR$64&gt;=EOMONTH(EDATE(INDEX(Underwriting!$L$24:$EN$24,1,Underwriting!$D$89+1),INDEX($L$31:$L$33,MATCH($B$6,$J$31:$J$33,0))),0),CQ$64&lt;EOMONTH(EDATE(INDEX(Underwriting!$L$24:$EN$24,1,Underwriting!$D$89+1),INDEX($L$31:$L$33,MATCH($B$6,$J$31:$J$33,0))),0)))</f>
        <v>0</v>
      </c>
      <c r="CS68" s="320" t="n">
        <f>--(AND(CS$64&gt;=EOMONTH(EDATE(INDEX(Underwriting!$L$24:$EN$24,1,Underwriting!$D$89+1),INDEX($L$31:$L$33,MATCH($B$6,$J$31:$J$33,0))),0),CR$64&lt;EOMONTH(EDATE(INDEX(Underwriting!$L$24:$EN$24,1,Underwriting!$D$89+1),INDEX($L$31:$L$33,MATCH($B$6,$J$31:$J$33,0))),0)))</f>
        <v>0</v>
      </c>
      <c r="CT68" s="320" t="n">
        <f>--(AND(CT$64&gt;=EOMONTH(EDATE(INDEX(Underwriting!$L$24:$EN$24,1,Underwriting!$D$89+1),INDEX($L$31:$L$33,MATCH($B$6,$J$31:$J$33,0))),0),CS$64&lt;EOMONTH(EDATE(INDEX(Underwriting!$L$24:$EN$24,1,Underwriting!$D$89+1),INDEX($L$31:$L$33,MATCH($B$6,$J$31:$J$33,0))),0)))</f>
        <v>0</v>
      </c>
      <c r="CU68" s="320" t="n">
        <f>--(AND(CU$64&gt;=EOMONTH(EDATE(INDEX(Underwriting!$L$24:$EN$24,1,Underwriting!$D$89+1),INDEX($L$31:$L$33,MATCH($B$6,$J$31:$J$33,0))),0),CT$64&lt;EOMONTH(EDATE(INDEX(Underwriting!$L$24:$EN$24,1,Underwriting!$D$89+1),INDEX($L$31:$L$33,MATCH($B$6,$J$31:$J$33,0))),0)))</f>
        <v>0</v>
      </c>
      <c r="CV68" s="320" t="n">
        <f>--(AND(CV$64&gt;=EOMONTH(EDATE(INDEX(Underwriting!$L$24:$EN$24,1,Underwriting!$D$89+1),INDEX($L$31:$L$33,MATCH($B$6,$J$31:$J$33,0))),0),CU$64&lt;EOMONTH(EDATE(INDEX(Underwriting!$L$24:$EN$24,1,Underwriting!$D$89+1),INDEX($L$31:$L$33,MATCH($B$6,$J$31:$J$33,0))),0)))</f>
        <v>0</v>
      </c>
      <c r="CW68" s="320" t="n">
        <f>--(AND(CW$64&gt;=EOMONTH(EDATE(INDEX(Underwriting!$L$24:$EN$24,1,Underwriting!$D$89+1),INDEX($L$31:$L$33,MATCH($B$6,$J$31:$J$33,0))),0),CV$64&lt;EOMONTH(EDATE(INDEX(Underwriting!$L$24:$EN$24,1,Underwriting!$D$89+1),INDEX($L$31:$L$33,MATCH($B$6,$J$31:$J$33,0))),0)))</f>
        <v>0</v>
      </c>
      <c r="CX68" s="320" t="n">
        <f>--(AND(CX$64&gt;=EOMONTH(EDATE(INDEX(Underwriting!$L$24:$EN$24,1,Underwriting!$D$89+1),INDEX($L$31:$L$33,MATCH($B$6,$J$31:$J$33,0))),0),CW$64&lt;EOMONTH(EDATE(INDEX(Underwriting!$L$24:$EN$24,1,Underwriting!$D$89+1),INDEX($L$31:$L$33,MATCH($B$6,$J$31:$J$33,0))),0)))</f>
        <v>0</v>
      </c>
      <c r="CY68" s="320" t="n">
        <f>--(AND(CY$64&gt;=EOMONTH(EDATE(INDEX(Underwriting!$L$24:$EN$24,1,Underwriting!$D$89+1),INDEX($L$31:$L$33,MATCH($B$6,$J$31:$J$33,0))),0),CX$64&lt;EOMONTH(EDATE(INDEX(Underwriting!$L$24:$EN$24,1,Underwriting!$D$89+1),INDEX($L$31:$L$33,MATCH($B$6,$J$31:$J$33,0))),0)))</f>
        <v>0</v>
      </c>
      <c r="CZ68" s="320" t="n">
        <f>--(AND(CZ$64&gt;=EOMONTH(EDATE(INDEX(Underwriting!$L$24:$EN$24,1,Underwriting!$D$89+1),INDEX($L$31:$L$33,MATCH($B$6,$J$31:$J$33,0))),0),CY$64&lt;EOMONTH(EDATE(INDEX(Underwriting!$L$24:$EN$24,1,Underwriting!$D$89+1),INDEX($L$31:$L$33,MATCH($B$6,$J$31:$J$33,0))),0)))</f>
        <v>0</v>
      </c>
      <c r="DA68" s="320" t="n">
        <f>--(AND(DA$64&gt;=EOMONTH(EDATE(INDEX(Underwriting!$L$24:$EN$24,1,Underwriting!$D$89+1),INDEX($L$31:$L$33,MATCH($B$6,$J$31:$J$33,0))),0),CZ$64&lt;EOMONTH(EDATE(INDEX(Underwriting!$L$24:$EN$24,1,Underwriting!$D$89+1),INDEX($L$31:$L$33,MATCH($B$6,$J$31:$J$33,0))),0)))</f>
        <v>0</v>
      </c>
      <c r="DB68" s="320" t="n">
        <f>--(AND(DB$64&gt;=EOMONTH(EDATE(INDEX(Underwriting!$L$24:$EN$24,1,Underwriting!$D$89+1),INDEX($L$31:$L$33,MATCH($B$6,$J$31:$J$33,0))),0),DA$64&lt;EOMONTH(EDATE(INDEX(Underwriting!$L$24:$EN$24,1,Underwriting!$D$89+1),INDEX($L$31:$L$33,MATCH($B$6,$J$31:$J$33,0))),0)))</f>
        <v>0</v>
      </c>
      <c r="DC68" s="320" t="n">
        <f>--(AND(DC$64&gt;=EOMONTH(EDATE(INDEX(Underwriting!$L$24:$EN$24,1,Underwriting!$D$89+1),INDEX($L$31:$L$33,MATCH($B$6,$J$31:$J$33,0))),0),DB$64&lt;EOMONTH(EDATE(INDEX(Underwriting!$L$24:$EN$24,1,Underwriting!$D$89+1),INDEX($L$31:$L$33,MATCH($B$6,$J$31:$J$33,0))),0)))</f>
        <v>0</v>
      </c>
      <c r="DD68" s="320" t="n">
        <f>--(AND(DD$64&gt;=EOMONTH(EDATE(INDEX(Underwriting!$L$24:$EN$24,1,Underwriting!$D$89+1),INDEX($L$31:$L$33,MATCH($B$6,$J$31:$J$33,0))),0),DC$64&lt;EOMONTH(EDATE(INDEX(Underwriting!$L$24:$EN$24,1,Underwriting!$D$89+1),INDEX($L$31:$L$33,MATCH($B$6,$J$31:$J$33,0))),0)))</f>
        <v>0</v>
      </c>
      <c r="DE68" s="320" t="n">
        <f>--(AND(DE$64&gt;=EOMONTH(EDATE(INDEX(Underwriting!$L$24:$EN$24,1,Underwriting!$D$89+1),INDEX($L$31:$L$33,MATCH($B$6,$J$31:$J$33,0))),0),DD$64&lt;EOMONTH(EDATE(INDEX(Underwriting!$L$24:$EN$24,1,Underwriting!$D$89+1),INDEX($L$31:$L$33,MATCH($B$6,$J$31:$J$33,0))),0)))</f>
        <v>0</v>
      </c>
      <c r="DF68" s="320" t="n">
        <f>--(AND(DF$64&gt;=EOMONTH(EDATE(INDEX(Underwriting!$L$24:$EN$24,1,Underwriting!$D$89+1),INDEX($L$31:$L$33,MATCH($B$6,$J$31:$J$33,0))),0),DE$64&lt;EOMONTH(EDATE(INDEX(Underwriting!$L$24:$EN$24,1,Underwriting!$D$89+1),INDEX($L$31:$L$33,MATCH($B$6,$J$31:$J$33,0))),0)))</f>
        <v>0</v>
      </c>
      <c r="DG68" s="320" t="n">
        <f>--(AND(DG$64&gt;=EOMONTH(EDATE(INDEX(Underwriting!$L$24:$EN$24,1,Underwriting!$D$89+1),INDEX($L$31:$L$33,MATCH($B$6,$J$31:$J$33,0))),0),DF$64&lt;EOMONTH(EDATE(INDEX(Underwriting!$L$24:$EN$24,1,Underwriting!$D$89+1),INDEX($L$31:$L$33,MATCH($B$6,$J$31:$J$33,0))),0)))</f>
        <v>0</v>
      </c>
      <c r="DH68" s="320" t="n">
        <f>--(AND(DH$64&gt;=EOMONTH(EDATE(INDEX(Underwriting!$L$24:$EN$24,1,Underwriting!$D$89+1),INDEX($L$31:$L$33,MATCH($B$6,$J$31:$J$33,0))),0),DG$64&lt;EOMONTH(EDATE(INDEX(Underwriting!$L$24:$EN$24,1,Underwriting!$D$89+1),INDEX($L$31:$L$33,MATCH($B$6,$J$31:$J$33,0))),0)))</f>
        <v>0</v>
      </c>
      <c r="DI68" s="320" t="n">
        <f>--(AND(DI$64&gt;=EOMONTH(EDATE(INDEX(Underwriting!$L$24:$EN$24,1,Underwriting!$D$89+1),INDEX($L$31:$L$33,MATCH($B$6,$J$31:$J$33,0))),0),DH$64&lt;EOMONTH(EDATE(INDEX(Underwriting!$L$24:$EN$24,1,Underwriting!$D$89+1),INDEX($L$31:$L$33,MATCH($B$6,$J$31:$J$33,0))),0)))</f>
        <v>0</v>
      </c>
      <c r="DJ68" s="320" t="n">
        <f>--(AND(DJ$64&gt;=EOMONTH(EDATE(INDEX(Underwriting!$L$24:$EN$24,1,Underwriting!$D$89+1),INDEX($L$31:$L$33,MATCH($B$6,$J$31:$J$33,0))),0),DI$64&lt;EOMONTH(EDATE(INDEX(Underwriting!$L$24:$EN$24,1,Underwriting!$D$89+1),INDEX($L$31:$L$33,MATCH($B$6,$J$31:$J$33,0))),0)))</f>
        <v>0</v>
      </c>
      <c r="DK68" s="320" t="n">
        <f>--(AND(DK$64&gt;=EOMONTH(EDATE(INDEX(Underwriting!$L$24:$EN$24,1,Underwriting!$D$89+1),INDEX($L$31:$L$33,MATCH($B$6,$J$31:$J$33,0))),0),DJ$64&lt;EOMONTH(EDATE(INDEX(Underwriting!$L$24:$EN$24,1,Underwriting!$D$89+1),INDEX($L$31:$L$33,MATCH($B$6,$J$31:$J$33,0))),0)))</f>
        <v>0</v>
      </c>
      <c r="DL68" s="320" t="n">
        <f>--(AND(DL$64&gt;=EOMONTH(EDATE(INDEX(Underwriting!$L$24:$EN$24,1,Underwriting!$D$89+1),INDEX($L$31:$L$33,MATCH($B$6,$J$31:$J$33,0))),0),DK$64&lt;EOMONTH(EDATE(INDEX(Underwriting!$L$24:$EN$24,1,Underwriting!$D$89+1),INDEX($L$31:$L$33,MATCH($B$6,$J$31:$J$33,0))),0)))</f>
        <v>0</v>
      </c>
      <c r="DM68" s="320" t="n">
        <f>--(AND(DM$64&gt;=EOMONTH(EDATE(INDEX(Underwriting!$L$24:$EN$24,1,Underwriting!$D$89+1),INDEX($L$31:$L$33,MATCH($B$6,$J$31:$J$33,0))),0),DL$64&lt;EOMONTH(EDATE(INDEX(Underwriting!$L$24:$EN$24,1,Underwriting!$D$89+1),INDEX($L$31:$L$33,MATCH($B$6,$J$31:$J$33,0))),0)))</f>
        <v>0</v>
      </c>
      <c r="DN68" s="320" t="n">
        <f>--(AND(DN$64&gt;=EOMONTH(EDATE(INDEX(Underwriting!$L$24:$EN$24,1,Underwriting!$D$89+1),INDEX($L$31:$L$33,MATCH($B$6,$J$31:$J$33,0))),0),DM$64&lt;EOMONTH(EDATE(INDEX(Underwriting!$L$24:$EN$24,1,Underwriting!$D$89+1),INDEX($L$31:$L$33,MATCH($B$6,$J$31:$J$33,0))),0)))</f>
        <v>0</v>
      </c>
      <c r="DO68" s="320" t="n">
        <f>--(AND(DO$64&gt;=EOMONTH(EDATE(INDEX(Underwriting!$L$24:$EN$24,1,Underwriting!$D$89+1),INDEX($L$31:$L$33,MATCH($B$6,$J$31:$J$33,0))),0),DN$64&lt;EOMONTH(EDATE(INDEX(Underwriting!$L$24:$EN$24,1,Underwriting!$D$89+1),INDEX($L$31:$L$33,MATCH($B$6,$J$31:$J$33,0))),0)))</f>
        <v>0</v>
      </c>
      <c r="DP68" s="320" t="n">
        <f>--(AND(DP$64&gt;=EOMONTH(EDATE(INDEX(Underwriting!$L$24:$EN$24,1,Underwriting!$D$89+1),INDEX($L$31:$L$33,MATCH($B$6,$J$31:$J$33,0))),0),DO$64&lt;EOMONTH(EDATE(INDEX(Underwriting!$L$24:$EN$24,1,Underwriting!$D$89+1),INDEX($L$31:$L$33,MATCH($B$6,$J$31:$J$33,0))),0)))</f>
        <v>0</v>
      </c>
      <c r="DQ68" s="320" t="n">
        <f>--(AND(DQ$64&gt;=EOMONTH(EDATE(INDEX(Underwriting!$L$24:$EN$24,1,Underwriting!$D$89+1),INDEX($L$31:$L$33,MATCH($B$6,$J$31:$J$33,0))),0),DP$64&lt;EOMONTH(EDATE(INDEX(Underwriting!$L$24:$EN$24,1,Underwriting!$D$89+1),INDEX($L$31:$L$33,MATCH($B$6,$J$31:$J$33,0))),0)))</f>
        <v>0</v>
      </c>
      <c r="DR68" s="320" t="n">
        <f>--(AND(DR$64&gt;=EOMONTH(EDATE(INDEX(Underwriting!$L$24:$EN$24,1,Underwriting!$D$89+1),INDEX($L$31:$L$33,MATCH($B$6,$J$31:$J$33,0))),0),DQ$64&lt;EOMONTH(EDATE(INDEX(Underwriting!$L$24:$EN$24,1,Underwriting!$D$89+1),INDEX($L$31:$L$33,MATCH($B$6,$J$31:$J$33,0))),0)))</f>
        <v>0</v>
      </c>
      <c r="DS68" s="320" t="n">
        <f>--(AND(DS$64&gt;=EOMONTH(EDATE(INDEX(Underwriting!$L$24:$EN$24,1,Underwriting!$D$89+1),INDEX($L$31:$L$33,MATCH($B$6,$J$31:$J$33,0))),0),DR$64&lt;EOMONTH(EDATE(INDEX(Underwriting!$L$24:$EN$24,1,Underwriting!$D$89+1),INDEX($L$31:$L$33,MATCH($B$6,$J$31:$J$33,0))),0)))</f>
        <v>0</v>
      </c>
      <c r="DT68" s="320" t="n">
        <f>--(AND(DT$64&gt;=EOMONTH(EDATE(INDEX(Underwriting!$L$24:$EN$24,1,Underwriting!$D$89+1),INDEX($L$31:$L$33,MATCH($B$6,$J$31:$J$33,0))),0),DS$64&lt;EOMONTH(EDATE(INDEX(Underwriting!$L$24:$EN$24,1,Underwriting!$D$89+1),INDEX($L$31:$L$33,MATCH($B$6,$J$31:$J$33,0))),0)))</f>
        <v>0</v>
      </c>
      <c r="DU68" s="320" t="n">
        <f>--(AND(DU$64&gt;=EOMONTH(EDATE(INDEX(Underwriting!$L$24:$EN$24,1,Underwriting!$D$89+1),INDEX($L$31:$L$33,MATCH($B$6,$J$31:$J$33,0))),0),DT$64&lt;EOMONTH(EDATE(INDEX(Underwriting!$L$24:$EN$24,1,Underwriting!$D$89+1),INDEX($L$31:$L$33,MATCH($B$6,$J$31:$J$33,0))),0)))</f>
        <v>0</v>
      </c>
      <c r="DV68" s="320" t="n">
        <f>--(AND(DV$64&gt;=EOMONTH(EDATE(INDEX(Underwriting!$L$24:$EN$24,1,Underwriting!$D$89+1),INDEX($L$31:$L$33,MATCH($B$6,$J$31:$J$33,0))),0),DU$64&lt;EOMONTH(EDATE(INDEX(Underwriting!$L$24:$EN$24,1,Underwriting!$D$89+1),INDEX($L$31:$L$33,MATCH($B$6,$J$31:$J$33,0))),0)))</f>
        <v>0</v>
      </c>
    </row>
    <row r="69" ht="15" customHeight="1">
      <c r="A69" s="311" t="s">
        <v>1446</v>
      </c>
      <c r="B69" s="312" t="s">
        <v>1443</v>
      </c>
      <c r="C69" s="702" t="s">
        <v>1447</v>
      </c>
      <c r="D69" s="703"/>
      <c r="F69" s="320" t="n">
        <f t="shared" ref="F69:AK69" si="12">--(AND(F$64&gt;=$B$35,E$64&lt;$B$35))</f>
        <v>0</v>
      </c>
      <c r="G69" s="320">
        <f t="shared" si="12"/>
        <v>0</v>
      </c>
      <c r="H69" s="320">
        <f t="shared" si="12"/>
        <v>0</v>
      </c>
      <c r="I69" s="320">
        <f t="shared" si="12"/>
        <v>0</v>
      </c>
      <c r="J69" s="320">
        <f t="shared" si="12"/>
        <v>0</v>
      </c>
      <c r="K69" s="320">
        <f t="shared" si="12"/>
        <v>0</v>
      </c>
      <c r="L69" s="320">
        <f t="shared" si="12"/>
        <v>0</v>
      </c>
      <c r="M69" s="320">
        <f t="shared" si="12"/>
        <v>0</v>
      </c>
      <c r="N69" s="320">
        <f t="shared" si="12"/>
        <v>0</v>
      </c>
      <c r="O69" s="320">
        <f t="shared" si="12"/>
        <v>0</v>
      </c>
      <c r="P69" s="320">
        <f t="shared" si="12"/>
        <v>0</v>
      </c>
      <c r="Q69" s="320">
        <f t="shared" si="12"/>
        <v>0</v>
      </c>
      <c r="R69" s="320">
        <f t="shared" si="12"/>
        <v>0</v>
      </c>
      <c r="S69" s="320">
        <f t="shared" si="12"/>
        <v>0</v>
      </c>
      <c r="T69" s="320">
        <f t="shared" si="12"/>
        <v>0</v>
      </c>
      <c r="U69" s="320">
        <f t="shared" si="12"/>
        <v>0</v>
      </c>
      <c r="V69" s="320">
        <f t="shared" si="12"/>
        <v>0</v>
      </c>
      <c r="W69" s="320">
        <f t="shared" si="12"/>
        <v>0</v>
      </c>
      <c r="X69" s="320">
        <f t="shared" si="12"/>
        <v>0</v>
      </c>
      <c r="Y69" s="320">
        <f t="shared" si="12"/>
        <v>0</v>
      </c>
      <c r="Z69" s="320">
        <f t="shared" si="12"/>
        <v>0</v>
      </c>
      <c r="AA69" s="320">
        <f t="shared" si="12"/>
        <v>0</v>
      </c>
      <c r="AB69" s="320">
        <f t="shared" si="12"/>
        <v>0</v>
      </c>
      <c r="AC69" s="320">
        <f t="shared" si="12"/>
        <v>0</v>
      </c>
      <c r="AD69" s="320">
        <f t="shared" si="12"/>
        <v>0</v>
      </c>
      <c r="AE69" s="320">
        <f t="shared" si="12"/>
        <v>0</v>
      </c>
      <c r="AF69" s="320">
        <f t="shared" si="12"/>
        <v>0</v>
      </c>
      <c r="AG69" s="320">
        <f t="shared" si="12"/>
        <v>0</v>
      </c>
      <c r="AH69" s="320">
        <f t="shared" si="12"/>
        <v>0</v>
      </c>
      <c r="AI69" s="320">
        <f t="shared" si="12"/>
        <v>0</v>
      </c>
      <c r="AJ69" s="320">
        <f t="shared" si="12"/>
        <v>0</v>
      </c>
      <c r="AK69" s="320">
        <f t="shared" si="12"/>
        <v>0</v>
      </c>
      <c r="AL69" s="320" t="n">
        <f t="shared" ref="AL69:BQ69" si="13">--(AND(AL$64&gt;=$B$35,AK$64&lt;$B$35))</f>
        <v>0</v>
      </c>
      <c r="AM69" s="320">
        <f t="shared" si="13"/>
        <v>0</v>
      </c>
      <c r="AN69" s="320">
        <f t="shared" si="13"/>
        <v>0</v>
      </c>
      <c r="AO69" s="320">
        <f t="shared" si="13"/>
        <v>0</v>
      </c>
      <c r="AP69" s="320">
        <f t="shared" si="13"/>
        <v>0</v>
      </c>
      <c r="AQ69" s="320">
        <f t="shared" si="13"/>
        <v>0</v>
      </c>
      <c r="AR69" s="320">
        <f t="shared" si="13"/>
        <v>0</v>
      </c>
      <c r="AS69" s="320">
        <f t="shared" si="13"/>
        <v>0</v>
      </c>
      <c r="AT69" s="320">
        <f t="shared" si="13"/>
        <v>0</v>
      </c>
      <c r="AU69" s="320">
        <f t="shared" si="13"/>
        <v>0</v>
      </c>
      <c r="AV69" s="320">
        <f t="shared" si="13"/>
        <v>0</v>
      </c>
      <c r="AW69" s="320">
        <f t="shared" si="13"/>
        <v>0</v>
      </c>
      <c r="AX69" s="320">
        <f t="shared" si="13"/>
        <v>0</v>
      </c>
      <c r="AY69" s="320">
        <f t="shared" si="13"/>
        <v>0</v>
      </c>
      <c r="AZ69" s="320">
        <f t="shared" si="13"/>
        <v>0</v>
      </c>
      <c r="BA69" s="320">
        <f t="shared" si="13"/>
        <v>0</v>
      </c>
      <c r="BB69" s="320">
        <f t="shared" si="13"/>
        <v>0</v>
      </c>
      <c r="BC69" s="320">
        <f t="shared" si="13"/>
        <v>1</v>
      </c>
      <c r="BD69" s="320">
        <f t="shared" si="13"/>
        <v>0</v>
      </c>
      <c r="BE69" s="320">
        <f t="shared" si="13"/>
        <v>0</v>
      </c>
      <c r="BF69" s="320">
        <f t="shared" si="13"/>
        <v>0</v>
      </c>
      <c r="BG69" s="320">
        <f t="shared" si="13"/>
        <v>0</v>
      </c>
      <c r="BH69" s="320">
        <f t="shared" si="13"/>
        <v>0</v>
      </c>
      <c r="BI69" s="320">
        <f t="shared" si="13"/>
        <v>0</v>
      </c>
      <c r="BJ69" s="320">
        <f t="shared" si="13"/>
        <v>0</v>
      </c>
      <c r="BK69" s="320">
        <f t="shared" si="13"/>
        <v>0</v>
      </c>
      <c r="BL69" s="320">
        <f t="shared" si="13"/>
        <v>0</v>
      </c>
      <c r="BM69" s="320">
        <f t="shared" si="13"/>
        <v>0</v>
      </c>
      <c r="BN69" s="320">
        <f t="shared" si="13"/>
        <v>0</v>
      </c>
      <c r="BO69" s="320">
        <f t="shared" si="13"/>
        <v>0</v>
      </c>
      <c r="BP69" s="320">
        <f t="shared" si="13"/>
        <v>0</v>
      </c>
      <c r="BQ69" s="320">
        <f t="shared" si="13"/>
        <v>0</v>
      </c>
      <c r="BR69" s="320" t="n">
        <f t="shared" ref="BR69:CW69" si="14">--(AND(BR$64&gt;=$B$35,BQ$64&lt;$B$35))</f>
        <v>0</v>
      </c>
      <c r="BS69" s="320">
        <f t="shared" si="14"/>
        <v>0</v>
      </c>
      <c r="BT69" s="320">
        <f t="shared" si="14"/>
        <v>0</v>
      </c>
      <c r="BU69" s="320">
        <f t="shared" si="14"/>
        <v>0</v>
      </c>
      <c r="BV69" s="320">
        <f t="shared" si="14"/>
        <v>0</v>
      </c>
      <c r="BW69" s="320">
        <f t="shared" si="14"/>
        <v>0</v>
      </c>
      <c r="BX69" s="320">
        <f t="shared" si="14"/>
        <v>0</v>
      </c>
      <c r="BY69" s="320">
        <f t="shared" si="14"/>
        <v>0</v>
      </c>
      <c r="BZ69" s="320">
        <f t="shared" si="14"/>
        <v>0</v>
      </c>
      <c r="CA69" s="320">
        <f t="shared" si="14"/>
        <v>0</v>
      </c>
      <c r="CB69" s="320">
        <f t="shared" si="14"/>
        <v>0</v>
      </c>
      <c r="CC69" s="320">
        <f t="shared" si="14"/>
        <v>0</v>
      </c>
      <c r="CD69" s="320">
        <f t="shared" si="14"/>
        <v>0</v>
      </c>
      <c r="CE69" s="320">
        <f t="shared" si="14"/>
        <v>0</v>
      </c>
      <c r="CF69" s="320">
        <f t="shared" si="14"/>
        <v>0</v>
      </c>
      <c r="CG69" s="320">
        <f t="shared" si="14"/>
        <v>0</v>
      </c>
      <c r="CH69" s="320">
        <f t="shared" si="14"/>
        <v>0</v>
      </c>
      <c r="CI69" s="320">
        <f t="shared" si="14"/>
        <v>0</v>
      </c>
      <c r="CJ69" s="320">
        <f t="shared" si="14"/>
        <v>0</v>
      </c>
      <c r="CK69" s="320">
        <f t="shared" si="14"/>
        <v>0</v>
      </c>
      <c r="CL69" s="320">
        <f t="shared" si="14"/>
        <v>0</v>
      </c>
      <c r="CM69" s="320">
        <f t="shared" si="14"/>
        <v>0</v>
      </c>
      <c r="CN69" s="320">
        <f t="shared" si="14"/>
        <v>0</v>
      </c>
      <c r="CO69" s="320">
        <f t="shared" si="14"/>
        <v>0</v>
      </c>
      <c r="CP69" s="320">
        <f t="shared" si="14"/>
        <v>0</v>
      </c>
      <c r="CQ69" s="320">
        <f t="shared" si="14"/>
        <v>0</v>
      </c>
      <c r="CR69" s="320">
        <f t="shared" si="14"/>
        <v>0</v>
      </c>
      <c r="CS69" s="320">
        <f t="shared" si="14"/>
        <v>0</v>
      </c>
      <c r="CT69" s="320">
        <f t="shared" si="14"/>
        <v>0</v>
      </c>
      <c r="CU69" s="320">
        <f t="shared" si="14"/>
        <v>0</v>
      </c>
      <c r="CV69" s="320">
        <f t="shared" si="14"/>
        <v>0</v>
      </c>
      <c r="CW69" s="320">
        <f t="shared" si="14"/>
        <v>0</v>
      </c>
      <c r="CX69" s="320" t="n">
        <f t="shared" ref="CX69:DV69" si="15">--(AND(CX$64&gt;=$B$35,CW$64&lt;$B$35))</f>
        <v>0</v>
      </c>
      <c r="CY69" s="320">
        <f t="shared" si="15"/>
        <v>0</v>
      </c>
      <c r="CZ69" s="320">
        <f t="shared" si="15"/>
        <v>0</v>
      </c>
      <c r="DA69" s="320">
        <f t="shared" si="15"/>
        <v>0</v>
      </c>
      <c r="DB69" s="320">
        <f t="shared" si="15"/>
        <v>0</v>
      </c>
      <c r="DC69" s="320">
        <f t="shared" si="15"/>
        <v>0</v>
      </c>
      <c r="DD69" s="320">
        <f t="shared" si="15"/>
        <v>0</v>
      </c>
      <c r="DE69" s="320">
        <f t="shared" si="15"/>
        <v>0</v>
      </c>
      <c r="DF69" s="320">
        <f t="shared" si="15"/>
        <v>0</v>
      </c>
      <c r="DG69" s="320">
        <f t="shared" si="15"/>
        <v>0</v>
      </c>
      <c r="DH69" s="320">
        <f t="shared" si="15"/>
        <v>0</v>
      </c>
      <c r="DI69" s="320">
        <f t="shared" si="15"/>
        <v>0</v>
      </c>
      <c r="DJ69" s="320">
        <f t="shared" si="15"/>
        <v>0</v>
      </c>
      <c r="DK69" s="320">
        <f t="shared" si="15"/>
        <v>0</v>
      </c>
      <c r="DL69" s="320">
        <f t="shared" si="15"/>
        <v>0</v>
      </c>
      <c r="DM69" s="320">
        <f t="shared" si="15"/>
        <v>0</v>
      </c>
      <c r="DN69" s="320">
        <f t="shared" si="15"/>
        <v>0</v>
      </c>
      <c r="DO69" s="320">
        <f t="shared" si="15"/>
        <v>0</v>
      </c>
      <c r="DP69" s="320">
        <f t="shared" si="15"/>
        <v>0</v>
      </c>
      <c r="DQ69" s="320">
        <f t="shared" si="15"/>
        <v>0</v>
      </c>
      <c r="DR69" s="320">
        <f t="shared" si="15"/>
        <v>0</v>
      </c>
      <c r="DS69" s="320">
        <f t="shared" si="15"/>
        <v>0</v>
      </c>
      <c r="DT69" s="320">
        <f t="shared" si="15"/>
        <v>0</v>
      </c>
      <c r="DU69" s="320">
        <f t="shared" si="15"/>
        <v>0</v>
      </c>
      <c r="DV69" s="320">
        <f t="shared" si="15"/>
        <v>0</v>
      </c>
    </row>
    <row r="70" ht="15" customHeight="1">
      <c r="A70" s="311" t="s">
        <v>1448</v>
      </c>
      <c r="B70" s="312" t="s">
        <v>1443</v>
      </c>
      <c r="C70" s="702" t="s">
        <v>1449</v>
      </c>
      <c r="D70" s="703"/>
      <c r="F70" s="320" t="n">
        <f>--(F$63=Underwriting!$D$164)</f>
        <v>0</v>
      </c>
      <c r="G70" s="320" t="n">
        <f>--(G$63=Underwriting!$D$164)</f>
        <v>0</v>
      </c>
      <c r="H70" s="320" t="n">
        <f>--(H$63=Underwriting!$D$164)</f>
        <v>0</v>
      </c>
      <c r="I70" s="320" t="n">
        <f>--(I$63=Underwriting!$D$164)</f>
        <v>0</v>
      </c>
      <c r="J70" s="320" t="n">
        <f>--(J$63=Underwriting!$D$164)</f>
        <v>0</v>
      </c>
      <c r="K70" s="320" t="n">
        <f>--(K$63=Underwriting!$D$164)</f>
        <v>0</v>
      </c>
      <c r="L70" s="320" t="n">
        <f>--(L$63=Underwriting!$D$164)</f>
        <v>0</v>
      </c>
      <c r="M70" s="320" t="n">
        <f>--(M$63=Underwriting!$D$164)</f>
        <v>0</v>
      </c>
      <c r="N70" s="320" t="n">
        <f>--(N$63=Underwriting!$D$164)</f>
        <v>0</v>
      </c>
      <c r="O70" s="320" t="n">
        <f>--(O$63=Underwriting!$D$164)</f>
        <v>0</v>
      </c>
      <c r="P70" s="320" t="n">
        <f>--(P$63=Underwriting!$D$164)</f>
        <v>0</v>
      </c>
      <c r="Q70" s="320" t="n">
        <f>--(Q$63=Underwriting!$D$164)</f>
        <v>0</v>
      </c>
      <c r="R70" s="320" t="n">
        <f>--(R$63=Underwriting!$D$164)</f>
        <v>0</v>
      </c>
      <c r="S70" s="320" t="n">
        <f>--(S$63=Underwriting!$D$164)</f>
        <v>0</v>
      </c>
      <c r="T70" s="320" t="n">
        <f>--(T$63=Underwriting!$D$164)</f>
        <v>0</v>
      </c>
      <c r="U70" s="320" t="n">
        <f>--(U$63=Underwriting!$D$164)</f>
        <v>0</v>
      </c>
      <c r="V70" s="320" t="n">
        <f>--(V$63=Underwriting!$D$164)</f>
        <v>0</v>
      </c>
      <c r="W70" s="320" t="n">
        <f>--(W$63=Underwriting!$D$164)</f>
        <v>0</v>
      </c>
      <c r="X70" s="320" t="n">
        <f>--(X$63=Underwriting!$D$164)</f>
        <v>0</v>
      </c>
      <c r="Y70" s="320" t="n">
        <f>--(Y$63=Underwriting!$D$164)</f>
        <v>0</v>
      </c>
      <c r="Z70" s="320" t="n">
        <f>--(Z$63=Underwriting!$D$164)</f>
        <v>0</v>
      </c>
      <c r="AA70" s="320" t="n">
        <f>--(AA$63=Underwriting!$D$164)</f>
        <v>0</v>
      </c>
      <c r="AB70" s="320" t="n">
        <f>--(AB$63=Underwriting!$D$164)</f>
        <v>0</v>
      </c>
      <c r="AC70" s="320" t="n">
        <f>--(AC$63=Underwriting!$D$164)</f>
        <v>0</v>
      </c>
      <c r="AD70" s="320" t="n">
        <f>--(AD$63=Underwriting!$D$164)</f>
        <v>0</v>
      </c>
      <c r="AE70" s="320" t="n">
        <f>--(AE$63=Underwriting!$D$164)</f>
        <v>0</v>
      </c>
      <c r="AF70" s="320" t="n">
        <f>--(AF$63=Underwriting!$D$164)</f>
        <v>0</v>
      </c>
      <c r="AG70" s="320" t="n">
        <f>--(AG$63=Underwriting!$D$164)</f>
        <v>0</v>
      </c>
      <c r="AH70" s="320" t="n">
        <f>--(AH$63=Underwriting!$D$164)</f>
        <v>0</v>
      </c>
      <c r="AI70" s="320" t="n">
        <f>--(AI$63=Underwriting!$D$164)</f>
        <v>0</v>
      </c>
      <c r="AJ70" s="320" t="n">
        <f>--(AJ$63=Underwriting!$D$164)</f>
        <v>0</v>
      </c>
      <c r="AK70" s="320" t="n">
        <f>--(AK$63=Underwriting!$D$164)</f>
        <v>0</v>
      </c>
      <c r="AL70" s="320" t="n">
        <f>--(AL$63=Underwriting!$D$164)</f>
        <v>0</v>
      </c>
      <c r="AM70" s="320" t="n">
        <f>--(AM$63=Underwriting!$D$164)</f>
        <v>0</v>
      </c>
      <c r="AN70" s="320" t="n">
        <f>--(AN$63=Underwriting!$D$164)</f>
        <v>0</v>
      </c>
      <c r="AO70" s="320" t="n">
        <f>--(AO$63=Underwriting!$D$164)</f>
        <v>0</v>
      </c>
      <c r="AP70" s="320" t="n">
        <f>--(AP$63=Underwriting!$D$164)</f>
        <v>0</v>
      </c>
      <c r="AQ70" s="320" t="n">
        <f>--(AQ$63=Underwriting!$D$164)</f>
        <v>0</v>
      </c>
      <c r="AR70" s="320" t="n">
        <f>--(AR$63=Underwriting!$D$164)</f>
        <v>0</v>
      </c>
      <c r="AS70" s="320" t="n">
        <f>--(AS$63=Underwriting!$D$164)</f>
        <v>0</v>
      </c>
      <c r="AT70" s="320" t="n">
        <f>--(AT$63=Underwriting!$D$164)</f>
        <v>0</v>
      </c>
      <c r="AU70" s="320" t="n">
        <f>--(AU$63=Underwriting!$D$164)</f>
        <v>0</v>
      </c>
      <c r="AV70" s="320" t="n">
        <f>--(AV$63=Underwriting!$D$164)</f>
        <v>0</v>
      </c>
      <c r="AW70" s="320" t="n">
        <f>--(AW$63=Underwriting!$D$164)</f>
        <v>0</v>
      </c>
      <c r="AX70" s="320" t="n">
        <f>--(AX$63=Underwriting!$D$164)</f>
        <v>0</v>
      </c>
      <c r="AY70" s="320" t="n">
        <f>--(AY$63=Underwriting!$D$164)</f>
        <v>0</v>
      </c>
      <c r="AZ70" s="320" t="n">
        <f>--(AZ$63=Underwriting!$D$164)</f>
        <v>0</v>
      </c>
      <c r="BA70" s="320" t="n">
        <f>--(BA$63=Underwriting!$D$164)</f>
        <v>0</v>
      </c>
      <c r="BB70" s="320" t="n">
        <f>--(BB$63=Underwriting!$D$164)</f>
        <v>0</v>
      </c>
      <c r="BC70" s="320" t="n">
        <f>--(BC$63=Underwriting!$D$164)</f>
        <v>0</v>
      </c>
      <c r="BD70" s="320" t="n">
        <f>--(BD$63=Underwriting!$D$164)</f>
        <v>0</v>
      </c>
      <c r="BE70" s="320" t="n">
        <f>--(BE$63=Underwriting!$D$164)</f>
        <v>0</v>
      </c>
      <c r="BF70" s="320" t="n">
        <f>--(BF$63=Underwriting!$D$164)</f>
        <v>0</v>
      </c>
      <c r="BG70" s="320" t="n">
        <f>--(BG$63=Underwriting!$D$164)</f>
        <v>0</v>
      </c>
      <c r="BH70" s="320" t="n">
        <f>--(BH$63=Underwriting!$D$164)</f>
        <v>0</v>
      </c>
      <c r="BI70" s="320" t="n">
        <f>--(BI$63=Underwriting!$D$164)</f>
        <v>0</v>
      </c>
      <c r="BJ70" s="320" t="n">
        <f>--(BJ$63=Underwriting!$D$164)</f>
        <v>0</v>
      </c>
      <c r="BK70" s="320" t="n">
        <f>--(BK$63=Underwriting!$D$164)</f>
        <v>0</v>
      </c>
      <c r="BL70" s="320" t="n">
        <f>--(BL$63=Underwriting!$D$164)</f>
        <v>0</v>
      </c>
      <c r="BM70" s="320" t="n">
        <f>--(BM$63=Underwriting!$D$164)</f>
        <v>0</v>
      </c>
      <c r="BN70" s="320" t="n">
        <f>--(BN$63=Underwriting!$D$164)</f>
        <v>0</v>
      </c>
      <c r="BO70" s="320" t="n">
        <f>--(BO$63=Underwriting!$D$164)</f>
        <v>1</v>
      </c>
      <c r="BP70" s="320" t="n">
        <f>--(BP$63=Underwriting!$D$164)</f>
        <v>0</v>
      </c>
      <c r="BQ70" s="320" t="n">
        <f>--(BQ$63=Underwriting!$D$164)</f>
        <v>0</v>
      </c>
      <c r="BR70" s="320" t="n">
        <f>--(BR$63=Underwriting!$D$164)</f>
        <v>0</v>
      </c>
      <c r="BS70" s="320" t="n">
        <f>--(BS$63=Underwriting!$D$164)</f>
        <v>0</v>
      </c>
      <c r="BT70" s="320" t="n">
        <f>--(BT$63=Underwriting!$D$164)</f>
        <v>0</v>
      </c>
      <c r="BU70" s="320" t="n">
        <f>--(BU$63=Underwriting!$D$164)</f>
        <v>0</v>
      </c>
      <c r="BV70" s="320" t="n">
        <f>--(BV$63=Underwriting!$D$164)</f>
        <v>0</v>
      </c>
      <c r="BW70" s="320" t="n">
        <f>--(BW$63=Underwriting!$D$164)</f>
        <v>0</v>
      </c>
      <c r="BX70" s="320" t="n">
        <f>--(BX$63=Underwriting!$D$164)</f>
        <v>0</v>
      </c>
      <c r="BY70" s="320" t="n">
        <f>--(BY$63=Underwriting!$D$164)</f>
        <v>0</v>
      </c>
      <c r="BZ70" s="320" t="n">
        <f>--(BZ$63=Underwriting!$D$164)</f>
        <v>0</v>
      </c>
      <c r="CA70" s="320" t="n">
        <f>--(CA$63=Underwriting!$D$164)</f>
        <v>0</v>
      </c>
      <c r="CB70" s="320" t="n">
        <f>--(CB$63=Underwriting!$D$164)</f>
        <v>0</v>
      </c>
      <c r="CC70" s="320" t="n">
        <f>--(CC$63=Underwriting!$D$164)</f>
        <v>0</v>
      </c>
      <c r="CD70" s="320" t="n">
        <f>--(CD$63=Underwriting!$D$164)</f>
        <v>0</v>
      </c>
      <c r="CE70" s="320" t="n">
        <f>--(CE$63=Underwriting!$D$164)</f>
        <v>0</v>
      </c>
      <c r="CF70" s="320" t="n">
        <f>--(CF$63=Underwriting!$D$164)</f>
        <v>0</v>
      </c>
      <c r="CG70" s="320" t="n">
        <f>--(CG$63=Underwriting!$D$164)</f>
        <v>0</v>
      </c>
      <c r="CH70" s="320" t="n">
        <f>--(CH$63=Underwriting!$D$164)</f>
        <v>0</v>
      </c>
      <c r="CI70" s="320" t="n">
        <f>--(CI$63=Underwriting!$D$164)</f>
        <v>0</v>
      </c>
      <c r="CJ70" s="320" t="n">
        <f>--(CJ$63=Underwriting!$D$164)</f>
        <v>0</v>
      </c>
      <c r="CK70" s="320" t="n">
        <f>--(CK$63=Underwriting!$D$164)</f>
        <v>0</v>
      </c>
      <c r="CL70" s="320" t="n">
        <f>--(CL$63=Underwriting!$D$164)</f>
        <v>0</v>
      </c>
      <c r="CM70" s="320" t="n">
        <f>--(CM$63=Underwriting!$D$164)</f>
        <v>0</v>
      </c>
      <c r="CN70" s="320" t="n">
        <f>--(CN$63=Underwriting!$D$164)</f>
        <v>0</v>
      </c>
      <c r="CO70" s="320" t="n">
        <f>--(CO$63=Underwriting!$D$164)</f>
        <v>0</v>
      </c>
      <c r="CP70" s="320" t="n">
        <f>--(CP$63=Underwriting!$D$164)</f>
        <v>0</v>
      </c>
      <c r="CQ70" s="320" t="n">
        <f>--(CQ$63=Underwriting!$D$164)</f>
        <v>0</v>
      </c>
      <c r="CR70" s="320" t="n">
        <f>--(CR$63=Underwriting!$D$164)</f>
        <v>0</v>
      </c>
      <c r="CS70" s="320" t="n">
        <f>--(CS$63=Underwriting!$D$164)</f>
        <v>0</v>
      </c>
      <c r="CT70" s="320" t="n">
        <f>--(CT$63=Underwriting!$D$164)</f>
        <v>0</v>
      </c>
      <c r="CU70" s="320" t="n">
        <f>--(CU$63=Underwriting!$D$164)</f>
        <v>0</v>
      </c>
      <c r="CV70" s="320" t="n">
        <f>--(CV$63=Underwriting!$D$164)</f>
        <v>0</v>
      </c>
      <c r="CW70" s="320" t="n">
        <f>--(CW$63=Underwriting!$D$164)</f>
        <v>0</v>
      </c>
      <c r="CX70" s="320" t="n">
        <f>--(CX$63=Underwriting!$D$164)</f>
        <v>0</v>
      </c>
      <c r="CY70" s="320" t="n">
        <f>--(CY$63=Underwriting!$D$164)</f>
        <v>0</v>
      </c>
      <c r="CZ70" s="320" t="n">
        <f>--(CZ$63=Underwriting!$D$164)</f>
        <v>0</v>
      </c>
      <c r="DA70" s="320" t="n">
        <f>--(DA$63=Underwriting!$D$164)</f>
        <v>0</v>
      </c>
      <c r="DB70" s="320" t="n">
        <f>--(DB$63=Underwriting!$D$164)</f>
        <v>0</v>
      </c>
      <c r="DC70" s="320" t="n">
        <f>--(DC$63=Underwriting!$D$164)</f>
        <v>0</v>
      </c>
      <c r="DD70" s="320" t="n">
        <f>--(DD$63=Underwriting!$D$164)</f>
        <v>0</v>
      </c>
      <c r="DE70" s="320" t="n">
        <f>--(DE$63=Underwriting!$D$164)</f>
        <v>0</v>
      </c>
      <c r="DF70" s="320" t="n">
        <f>--(DF$63=Underwriting!$D$164)</f>
        <v>0</v>
      </c>
      <c r="DG70" s="320" t="n">
        <f>--(DG$63=Underwriting!$D$164)</f>
        <v>0</v>
      </c>
      <c r="DH70" s="320" t="n">
        <f>--(DH$63=Underwriting!$D$164)</f>
        <v>0</v>
      </c>
      <c r="DI70" s="320" t="n">
        <f>--(DI$63=Underwriting!$D$164)</f>
        <v>0</v>
      </c>
      <c r="DJ70" s="320" t="n">
        <f>--(DJ$63=Underwriting!$D$164)</f>
        <v>0</v>
      </c>
      <c r="DK70" s="320" t="n">
        <f>--(DK$63=Underwriting!$D$164)</f>
        <v>0</v>
      </c>
      <c r="DL70" s="320" t="n">
        <f>--(DL$63=Underwriting!$D$164)</f>
        <v>0</v>
      </c>
      <c r="DM70" s="320" t="n">
        <f>--(DM$63=Underwriting!$D$164)</f>
        <v>0</v>
      </c>
      <c r="DN70" s="320" t="n">
        <f>--(DN$63=Underwriting!$D$164)</f>
        <v>0</v>
      </c>
      <c r="DO70" s="320" t="n">
        <f>--(DO$63=Underwriting!$D$164)</f>
        <v>0</v>
      </c>
      <c r="DP70" s="320" t="n">
        <f>--(DP$63=Underwriting!$D$164)</f>
        <v>0</v>
      </c>
      <c r="DQ70" s="320" t="n">
        <f>--(DQ$63=Underwriting!$D$164)</f>
        <v>0</v>
      </c>
      <c r="DR70" s="320" t="n">
        <f>--(DR$63=Underwriting!$D$164)</f>
        <v>0</v>
      </c>
      <c r="DS70" s="320" t="n">
        <f>--(DS$63=Underwriting!$D$164)</f>
        <v>0</v>
      </c>
      <c r="DT70" s="320" t="n">
        <f>--(DT$63=Underwriting!$D$164)</f>
        <v>0</v>
      </c>
      <c r="DU70" s="320" t="n">
        <f>--(DU$63=Underwriting!$D$164)</f>
        <v>0</v>
      </c>
      <c r="DV70" s="320" t="n">
        <f>--(DV$63=Underwriting!$D$164)</f>
        <v>0</v>
      </c>
    </row>
    <row r="72" ht="21" customHeight="1">
      <c r="A72" s="704" t="s">
        <v>1450</v>
      </c>
      <c r="B72" s="699"/>
      <c r="C72" s="699"/>
      <c r="D72" s="699"/>
      <c r="E72" s="699"/>
      <c r="F72" s="699"/>
      <c r="G72" s="699"/>
      <c r="H72" s="699"/>
      <c r="I72" s="699"/>
      <c r="J72" s="699"/>
      <c r="K72" s="699"/>
      <c r="L72" s="699"/>
      <c r="M72" s="699"/>
      <c r="N72" s="699"/>
      <c r="O72" s="699"/>
      <c r="P72" s="699"/>
      <c r="Q72" s="699"/>
      <c r="R72" s="699"/>
      <c r="S72" s="699"/>
      <c r="T72" s="699"/>
      <c r="U72" s="699"/>
      <c r="V72" s="699"/>
      <c r="W72" s="699"/>
      <c r="X72" s="699"/>
      <c r="Y72" s="699"/>
      <c r="Z72" s="699"/>
      <c r="AA72" s="699"/>
      <c r="AB72" s="699"/>
      <c r="AC72" s="699"/>
      <c r="AD72" s="699"/>
      <c r="AE72" s="699"/>
      <c r="AF72" s="699"/>
      <c r="AG72" s="699"/>
      <c r="AH72" s="699"/>
      <c r="AI72" s="699"/>
      <c r="AJ72" s="699"/>
      <c r="AK72" s="699"/>
      <c r="AL72" s="699"/>
      <c r="AM72" s="699"/>
      <c r="AN72" s="699"/>
      <c r="AO72" s="699"/>
      <c r="AP72" s="699"/>
      <c r="AQ72" s="699"/>
      <c r="AR72" s="699"/>
      <c r="AS72" s="699"/>
      <c r="AT72" s="699"/>
      <c r="AU72" s="699"/>
      <c r="AV72" s="699"/>
      <c r="AW72" s="699"/>
      <c r="AX72" s="699"/>
      <c r="AY72" s="699"/>
      <c r="AZ72" s="699"/>
      <c r="BA72" s="699"/>
      <c r="BB72" s="699"/>
      <c r="BC72" s="699"/>
      <c r="BD72" s="699"/>
      <c r="BE72" s="699"/>
      <c r="BF72" s="699"/>
      <c r="BG72" s="699"/>
      <c r="BH72" s="699"/>
      <c r="BI72" s="699"/>
      <c r="BJ72" s="699"/>
      <c r="BK72" s="699"/>
      <c r="BL72" s="699"/>
      <c r="BM72" s="699"/>
      <c r="BN72" s="699"/>
      <c r="BO72" s="699"/>
      <c r="BP72" s="699"/>
      <c r="BQ72" s="699"/>
      <c r="BR72" s="699"/>
      <c r="BS72" s="699"/>
      <c r="BT72" s="699"/>
      <c r="BU72" s="699"/>
      <c r="BV72" s="699"/>
      <c r="BW72" s="699"/>
      <c r="BX72" s="699"/>
      <c r="BY72" s="699"/>
      <c r="BZ72" s="699"/>
      <c r="CA72" s="699"/>
      <c r="CB72" s="699"/>
      <c r="CC72" s="699"/>
      <c r="CD72" s="699"/>
      <c r="CE72" s="699"/>
      <c r="CF72" s="699"/>
      <c r="CG72" s="699"/>
      <c r="CH72" s="699"/>
      <c r="CI72" s="699"/>
      <c r="CJ72" s="699"/>
      <c r="CK72" s="699"/>
      <c r="CL72" s="699"/>
      <c r="CM72" s="699"/>
      <c r="CN72" s="699"/>
      <c r="CO72" s="699"/>
      <c r="CP72" s="699"/>
      <c r="CQ72" s="699"/>
      <c r="CR72" s="699"/>
      <c r="CS72" s="699"/>
      <c r="CT72" s="699"/>
      <c r="CU72" s="699"/>
      <c r="CV72" s="699"/>
      <c r="CW72" s="699"/>
      <c r="CX72" s="699"/>
      <c r="CY72" s="699"/>
      <c r="CZ72" s="699"/>
      <c r="DA72" s="699"/>
      <c r="DB72" s="699"/>
      <c r="DC72" s="699"/>
      <c r="DD72" s="699"/>
      <c r="DE72" s="699"/>
      <c r="DF72" s="699"/>
      <c r="DG72" s="699"/>
      <c r="DH72" s="699"/>
      <c r="DI72" s="699"/>
      <c r="DJ72" s="699"/>
      <c r="DK72" s="699"/>
      <c r="DL72" s="699"/>
      <c r="DM72" s="699"/>
      <c r="DN72" s="699"/>
      <c r="DO72" s="699"/>
      <c r="DP72" s="699"/>
      <c r="DQ72" s="699"/>
      <c r="DR72" s="699"/>
      <c r="DS72" s="699"/>
      <c r="DT72" s="699"/>
      <c r="DU72" s="699"/>
      <c r="DV72" s="699"/>
    </row>
    <row r="73" ht="15" customHeight="1">
      <c r="A73" s="311" t="s">
        <v>1451</v>
      </c>
      <c r="B73" s="312" t="s">
        <v>1321</v>
      </c>
      <c r="C73" s="702" t="s">
        <v>1452</v>
      </c>
      <c r="D73" s="703"/>
      <c r="F73" s="313" t="n">
        <f t="shared" ref="F73:AK73" si="16">IF(F$63=0,$B$9,E$93)</f>
        <v>209379275.64230004</v>
      </c>
      <c r="G73" s="313">
        <f t="shared" si="16"/>
        <v>209379275.64230004</v>
      </c>
      <c r="H73" s="313">
        <f t="shared" si="16"/>
        <v>209379275.64230004</v>
      </c>
      <c r="I73" s="313">
        <f t="shared" si="16"/>
        <v>209379275.64230004</v>
      </c>
      <c r="J73" s="313">
        <f t="shared" si="16"/>
        <v>209379275.64230004</v>
      </c>
      <c r="K73" s="313">
        <f t="shared" si="16"/>
        <v>209379275.64230004</v>
      </c>
      <c r="L73" s="313">
        <f t="shared" si="16"/>
        <v>209379275.64230004</v>
      </c>
      <c r="M73" s="313">
        <f t="shared" si="16"/>
        <v>209379275.64230004</v>
      </c>
      <c r="N73" s="313">
        <f t="shared" si="16"/>
        <v>209379275.64230004</v>
      </c>
      <c r="O73" s="313">
        <f t="shared" si="16"/>
        <v>209379275.64230004</v>
      </c>
      <c r="P73" s="313">
        <f t="shared" si="16"/>
        <v>209379275.64230004</v>
      </c>
      <c r="Q73" s="313">
        <f t="shared" si="16"/>
        <v>209379275.64230004</v>
      </c>
      <c r="R73" s="313">
        <f t="shared" si="16"/>
        <v>209379275.64230004</v>
      </c>
      <c r="S73" s="313">
        <f t="shared" si="16"/>
        <v>209379275.64230004</v>
      </c>
      <c r="T73" s="313">
        <f t="shared" si="16"/>
        <v>209379275.64230004</v>
      </c>
      <c r="U73" s="313">
        <f t="shared" si="16"/>
        <v>209379275.64230004</v>
      </c>
      <c r="V73" s="313">
        <f t="shared" si="16"/>
        <v>209379275.64230004</v>
      </c>
      <c r="W73" s="313">
        <f t="shared" si="16"/>
        <v>209379275.64230004</v>
      </c>
      <c r="X73" s="313">
        <f t="shared" si="16"/>
        <v>209379275.64230004</v>
      </c>
      <c r="Y73" s="313">
        <f t="shared" si="16"/>
        <v>209379275.64230004</v>
      </c>
      <c r="Z73" s="313">
        <f t="shared" si="16"/>
        <v>209379275.64230004</v>
      </c>
      <c r="AA73" s="313">
        <f t="shared" si="16"/>
        <v>209379275.64230004</v>
      </c>
      <c r="AB73" s="313">
        <f t="shared" si="16"/>
        <v>209379275.64230004</v>
      </c>
      <c r="AC73" s="313">
        <f t="shared" si="16"/>
        <v>209379275.64230004</v>
      </c>
      <c r="AD73" s="313">
        <f t="shared" si="16"/>
        <v>209379275.64230004</v>
      </c>
      <c r="AE73" s="313">
        <f t="shared" si="16"/>
        <v>209379275.64230004</v>
      </c>
      <c r="AF73" s="313">
        <f t="shared" si="16"/>
        <v>209379275.64230004</v>
      </c>
      <c r="AG73" s="313">
        <f t="shared" si="16"/>
        <v>209379275.64230004</v>
      </c>
      <c r="AH73" s="313">
        <f t="shared" si="16"/>
        <v>209379275.64230004</v>
      </c>
      <c r="AI73" s="313">
        <f t="shared" si="16"/>
        <v>209379275.64230004</v>
      </c>
      <c r="AJ73" s="313">
        <f t="shared" si="16"/>
        <v>209379275.64230004</v>
      </c>
      <c r="AK73" s="313">
        <f t="shared" si="16"/>
        <v>209379275.64230004</v>
      </c>
      <c r="AL73" s="313" t="n">
        <f t="shared" ref="AL73:BQ73" si="17">IF(AL$63=0,$B$9,AK$93)</f>
        <v>209379275.64230004</v>
      </c>
      <c r="AM73" s="313">
        <f t="shared" si="17"/>
        <v>209379275.64230004</v>
      </c>
      <c r="AN73" s="313">
        <f t="shared" si="17"/>
        <v>209379275.64230004</v>
      </c>
      <c r="AO73" s="313">
        <f t="shared" si="17"/>
        <v>209379275.64230004</v>
      </c>
      <c r="AP73" s="313">
        <f t="shared" si="17"/>
        <v>209379275.64230004</v>
      </c>
      <c r="AQ73" s="313">
        <f t="shared" si="17"/>
        <v>209379275.64230004</v>
      </c>
      <c r="AR73" s="313">
        <f t="shared" si="17"/>
        <v>209379275.64230004</v>
      </c>
      <c r="AS73" s="313">
        <f t="shared" si="17"/>
        <v>209379275.64230004</v>
      </c>
      <c r="AT73" s="313">
        <f t="shared" si="17"/>
        <v>209379275.64230004</v>
      </c>
      <c r="AU73" s="313">
        <f t="shared" si="17"/>
        <v>209379275.64230004</v>
      </c>
      <c r="AV73" s="313">
        <f t="shared" si="17"/>
        <v>209379275.64230004</v>
      </c>
      <c r="AW73" s="313">
        <f t="shared" si="17"/>
        <v>209379275.64230004</v>
      </c>
      <c r="AX73" s="313">
        <f t="shared" si="17"/>
        <v>209379275.64230004</v>
      </c>
      <c r="AY73" s="313">
        <f t="shared" si="17"/>
        <v>209379275.64230004</v>
      </c>
      <c r="AZ73" s="313">
        <f t="shared" si="17"/>
        <v>209379275.64230004</v>
      </c>
      <c r="BA73" s="313">
        <f t="shared" si="17"/>
        <v>209379275.64230004</v>
      </c>
      <c r="BB73" s="313">
        <f t="shared" si="17"/>
        <v>209379275.64230004</v>
      </c>
      <c r="BC73" s="313">
        <f t="shared" si="17"/>
        <v>209379275.64230004</v>
      </c>
      <c r="BD73" s="313">
        <f t="shared" si="17"/>
        <v>0</v>
      </c>
      <c r="BE73" s="313">
        <f t="shared" si="17"/>
        <v>0</v>
      </c>
      <c r="BF73" s="313">
        <f t="shared" si="17"/>
        <v>0</v>
      </c>
      <c r="BG73" s="313">
        <f t="shared" si="17"/>
        <v>0</v>
      </c>
      <c r="BH73" s="313">
        <f t="shared" si="17"/>
        <v>0</v>
      </c>
      <c r="BI73" s="313">
        <f t="shared" si="17"/>
        <v>0</v>
      </c>
      <c r="BJ73" s="313">
        <f t="shared" si="17"/>
        <v>0</v>
      </c>
      <c r="BK73" s="313">
        <f t="shared" si="17"/>
        <v>0</v>
      </c>
      <c r="BL73" s="313">
        <f t="shared" si="17"/>
        <v>0</v>
      </c>
      <c r="BM73" s="313">
        <f t="shared" si="17"/>
        <v>0</v>
      </c>
      <c r="BN73" s="313">
        <f t="shared" si="17"/>
        <v>0</v>
      </c>
      <c r="BO73" s="313">
        <f t="shared" si="17"/>
        <v>0</v>
      </c>
      <c r="BP73" s="313">
        <f t="shared" si="17"/>
        <v>0</v>
      </c>
      <c r="BQ73" s="313">
        <f t="shared" si="17"/>
        <v>0</v>
      </c>
      <c r="BR73" s="313" t="n">
        <f t="shared" ref="BR73:CW73" si="18">IF(BR$63=0,$B$9,BQ$93)</f>
        <v>0</v>
      </c>
      <c r="BS73" s="313">
        <f t="shared" si="18"/>
        <v>0</v>
      </c>
      <c r="BT73" s="313">
        <f t="shared" si="18"/>
        <v>0</v>
      </c>
      <c r="BU73" s="313">
        <f t="shared" si="18"/>
        <v>0</v>
      </c>
      <c r="BV73" s="313">
        <f t="shared" si="18"/>
        <v>0</v>
      </c>
      <c r="BW73" s="313">
        <f t="shared" si="18"/>
        <v>0</v>
      </c>
      <c r="BX73" s="313">
        <f t="shared" si="18"/>
        <v>0</v>
      </c>
      <c r="BY73" s="313">
        <f t="shared" si="18"/>
        <v>0</v>
      </c>
      <c r="BZ73" s="313">
        <f t="shared" si="18"/>
        <v>0</v>
      </c>
      <c r="CA73" s="313">
        <f t="shared" si="18"/>
        <v>0</v>
      </c>
      <c r="CB73" s="313">
        <f t="shared" si="18"/>
        <v>0</v>
      </c>
      <c r="CC73" s="313">
        <f t="shared" si="18"/>
        <v>0</v>
      </c>
      <c r="CD73" s="313">
        <f t="shared" si="18"/>
        <v>0</v>
      </c>
      <c r="CE73" s="313">
        <f t="shared" si="18"/>
        <v>0</v>
      </c>
      <c r="CF73" s="313">
        <f t="shared" si="18"/>
        <v>0</v>
      </c>
      <c r="CG73" s="313">
        <f t="shared" si="18"/>
        <v>0</v>
      </c>
      <c r="CH73" s="313">
        <f t="shared" si="18"/>
        <v>0</v>
      </c>
      <c r="CI73" s="313">
        <f t="shared" si="18"/>
        <v>0</v>
      </c>
      <c r="CJ73" s="313">
        <f t="shared" si="18"/>
        <v>0</v>
      </c>
      <c r="CK73" s="313">
        <f t="shared" si="18"/>
        <v>0</v>
      </c>
      <c r="CL73" s="313">
        <f t="shared" si="18"/>
        <v>0</v>
      </c>
      <c r="CM73" s="313">
        <f t="shared" si="18"/>
        <v>0</v>
      </c>
      <c r="CN73" s="313">
        <f t="shared" si="18"/>
        <v>0</v>
      </c>
      <c r="CO73" s="313">
        <f t="shared" si="18"/>
        <v>0</v>
      </c>
      <c r="CP73" s="313">
        <f t="shared" si="18"/>
        <v>0</v>
      </c>
      <c r="CQ73" s="313">
        <f t="shared" si="18"/>
        <v>0</v>
      </c>
      <c r="CR73" s="313">
        <f t="shared" si="18"/>
        <v>0</v>
      </c>
      <c r="CS73" s="313">
        <f t="shared" si="18"/>
        <v>0</v>
      </c>
      <c r="CT73" s="313">
        <f t="shared" si="18"/>
        <v>0</v>
      </c>
      <c r="CU73" s="313">
        <f t="shared" si="18"/>
        <v>0</v>
      </c>
      <c r="CV73" s="313">
        <f t="shared" si="18"/>
        <v>0</v>
      </c>
      <c r="CW73" s="313">
        <f t="shared" si="18"/>
        <v>0</v>
      </c>
      <c r="CX73" s="313" t="n">
        <f t="shared" ref="CX73:DV73" si="19">IF(CX$63=0,$B$9,CW$93)</f>
        <v>0</v>
      </c>
      <c r="CY73" s="313">
        <f t="shared" si="19"/>
        <v>0</v>
      </c>
      <c r="CZ73" s="313">
        <f t="shared" si="19"/>
        <v>0</v>
      </c>
      <c r="DA73" s="313">
        <f t="shared" si="19"/>
        <v>0</v>
      </c>
      <c r="DB73" s="313">
        <f t="shared" si="19"/>
        <v>0</v>
      </c>
      <c r="DC73" s="313">
        <f t="shared" si="19"/>
        <v>0</v>
      </c>
      <c r="DD73" s="313">
        <f t="shared" si="19"/>
        <v>0</v>
      </c>
      <c r="DE73" s="313">
        <f t="shared" si="19"/>
        <v>0</v>
      </c>
      <c r="DF73" s="313">
        <f t="shared" si="19"/>
        <v>0</v>
      </c>
      <c r="DG73" s="313">
        <f t="shared" si="19"/>
        <v>0</v>
      </c>
      <c r="DH73" s="313">
        <f t="shared" si="19"/>
        <v>0</v>
      </c>
      <c r="DI73" s="313">
        <f t="shared" si="19"/>
        <v>0</v>
      </c>
      <c r="DJ73" s="313">
        <f t="shared" si="19"/>
        <v>0</v>
      </c>
      <c r="DK73" s="313">
        <f t="shared" si="19"/>
        <v>0</v>
      </c>
      <c r="DL73" s="313">
        <f t="shared" si="19"/>
        <v>0</v>
      </c>
      <c r="DM73" s="313">
        <f t="shared" si="19"/>
        <v>0</v>
      </c>
      <c r="DN73" s="313">
        <f t="shared" si="19"/>
        <v>0</v>
      </c>
      <c r="DO73" s="313">
        <f t="shared" si="19"/>
        <v>0</v>
      </c>
      <c r="DP73" s="313">
        <f t="shared" si="19"/>
        <v>0</v>
      </c>
      <c r="DQ73" s="313">
        <f t="shared" si="19"/>
        <v>0</v>
      </c>
      <c r="DR73" s="313">
        <f t="shared" si="19"/>
        <v>0</v>
      </c>
      <c r="DS73" s="313">
        <f t="shared" si="19"/>
        <v>0</v>
      </c>
      <c r="DT73" s="313">
        <f t="shared" si="19"/>
        <v>0</v>
      </c>
      <c r="DU73" s="313">
        <f t="shared" si="19"/>
        <v>0</v>
      </c>
      <c r="DV73" s="313">
        <f t="shared" si="19"/>
        <v>0</v>
      </c>
    </row>
    <row r="74" ht="15" customHeight="1">
      <c r="A74" s="311" t="s">
        <v>1453</v>
      </c>
      <c r="B74" s="312" t="s">
        <v>1321</v>
      </c>
      <c r="C74" s="702" t="s">
        <v>1454</v>
      </c>
      <c r="D74" s="703"/>
      <c r="E74" s="313">
        <v>0</v>
      </c>
      <c r="F74" s="313" t="n">
        <f t="shared" ref="F74:AK74" si="20">E$92</f>
        <v>0</v>
      </c>
      <c r="G74" s="313">
        <f t="shared" si="20"/>
        <v>0</v>
      </c>
      <c r="H74" s="313">
        <f t="shared" si="20"/>
        <v>313055.55555555556</v>
      </c>
      <c r="I74" s="313">
        <f t="shared" si="20"/>
        <v>0</v>
      </c>
      <c r="J74" s="313">
        <f t="shared" si="20"/>
        <v>313055.55555555556</v>
      </c>
      <c r="K74" s="313">
        <f t="shared" si="20"/>
        <v>626111.11111111112</v>
      </c>
      <c r="L74" s="313">
        <f t="shared" si="20"/>
        <v>939166.66666666674</v>
      </c>
      <c r="M74" s="313">
        <f t="shared" si="20"/>
        <v>1252222.2222222222</v>
      </c>
      <c r="N74" s="313">
        <f t="shared" si="20"/>
        <v>1565277.7777777778</v>
      </c>
      <c r="O74" s="313">
        <f t="shared" si="20"/>
        <v>1878333.3333333333</v>
      </c>
      <c r="P74" s="313">
        <f t="shared" si="20"/>
        <v>2191388.888888889</v>
      </c>
      <c r="Q74" s="313">
        <f t="shared" si="20"/>
        <v>2504444.4444444445</v>
      </c>
      <c r="R74" s="313">
        <f t="shared" si="20"/>
        <v>2817500</v>
      </c>
      <c r="S74" s="313">
        <f t="shared" si="20"/>
        <v>3130555.5555555555</v>
      </c>
      <c r="T74" s="313">
        <f t="shared" si="20"/>
        <v>3443611.111111111</v>
      </c>
      <c r="U74" s="313">
        <f t="shared" si="20"/>
        <v>3756666.6666666665</v>
      </c>
      <c r="V74" s="313">
        <f t="shared" si="20"/>
        <v>4069722.222222222</v>
      </c>
      <c r="W74" s="313">
        <f t="shared" si="20"/>
        <v>20532445.400201876</v>
      </c>
      <c r="X74" s="313">
        <f t="shared" si="20"/>
        <v>42317530.785675153</v>
      </c>
      <c r="Y74" s="313">
        <f t="shared" si="20"/>
        <v>64308007.759826958</v>
      </c>
      <c r="Z74" s="313">
        <f t="shared" si="20"/>
        <v>85918539.532566577</v>
      </c>
      <c r="AA74" s="313">
        <f t="shared" si="20"/>
        <v>106593154.01911747</v>
      </c>
      <c r="AB74" s="313">
        <f t="shared" si="20"/>
        <v>125847212.01995246</v>
      </c>
      <c r="AC74" s="313">
        <f t="shared" si="20"/>
        <v>143300392.13068548</v>
      </c>
      <c r="AD74" s="313">
        <f t="shared" si="20"/>
        <v>158697029.43534297</v>
      </c>
      <c r="AE74" s="313">
        <f t="shared" si="20"/>
        <v>171912270.90136877</v>
      </c>
      <c r="AF74" s="313">
        <f t="shared" si="20"/>
        <v>182944736.7898353</v>
      </c>
      <c r="AG74" s="313">
        <f t="shared" si="20"/>
        <v>191898261.97474948</v>
      </c>
      <c r="AH74" s="313">
        <f t="shared" si="20"/>
        <v>198956509.82557639</v>
      </c>
      <c r="AI74" s="313">
        <f t="shared" si="20"/>
        <v>203726492.71715525</v>
      </c>
      <c r="AJ74" s="313">
        <f t="shared" si="20"/>
        <v>205732007.50672969</v>
      </c>
      <c r="AK74" s="313">
        <f t="shared" si="20"/>
        <v>207149389.69787142</v>
      </c>
      <c r="AL74" s="313" t="n">
        <f t="shared" ref="AL74:BQ74" si="21">AK$92</f>
        <v>208097017.97943097</v>
      </c>
      <c r="AM74" s="313">
        <f t="shared" si="21"/>
        <v>208681021.63807184</v>
      </c>
      <c r="AN74" s="313">
        <f t="shared" si="21"/>
        <v>208991960.55459377</v>
      </c>
      <c r="AO74" s="313">
        <f t="shared" si="21"/>
        <v>209231098.51726207</v>
      </c>
      <c r="AP74" s="313">
        <f t="shared" si="21"/>
        <v>209334663.58996806</v>
      </c>
      <c r="AQ74" s="313">
        <f t="shared" si="21"/>
        <v>209365650.23643187</v>
      </c>
      <c r="AR74" s="313">
        <f t="shared" si="21"/>
        <v>209365650.23643187</v>
      </c>
      <c r="AS74" s="313">
        <f t="shared" si="21"/>
        <v>209365650.23643187</v>
      </c>
      <c r="AT74" s="313">
        <f t="shared" si="21"/>
        <v>209365650.23643187</v>
      </c>
      <c r="AU74" s="313">
        <f t="shared" si="21"/>
        <v>209365650.23643187</v>
      </c>
      <c r="AV74" s="313">
        <f t="shared" si="21"/>
        <v>209365650.23643187</v>
      </c>
      <c r="AW74" s="313">
        <f t="shared" si="21"/>
        <v>209365650.23643187</v>
      </c>
      <c r="AX74" s="313">
        <f t="shared" si="21"/>
        <v>209365650.23643187</v>
      </c>
      <c r="AY74" s="313">
        <f t="shared" si="21"/>
        <v>209365650.23643187</v>
      </c>
      <c r="AZ74" s="313">
        <f t="shared" si="21"/>
        <v>209365650.23643187</v>
      </c>
      <c r="BA74" s="313">
        <f t="shared" si="21"/>
        <v>209365650.23643187</v>
      </c>
      <c r="BB74" s="313">
        <f t="shared" si="21"/>
        <v>209365650.23643187</v>
      </c>
      <c r="BC74" s="313">
        <f t="shared" si="21"/>
        <v>209365650.23643187</v>
      </c>
      <c r="BD74" s="313">
        <f t="shared" si="21"/>
        <v>0</v>
      </c>
      <c r="BE74" s="313">
        <f t="shared" si="21"/>
        <v>0</v>
      </c>
      <c r="BF74" s="313">
        <f t="shared" si="21"/>
        <v>0</v>
      </c>
      <c r="BG74" s="313">
        <f t="shared" si="21"/>
        <v>0</v>
      </c>
      <c r="BH74" s="313">
        <f t="shared" si="21"/>
        <v>0</v>
      </c>
      <c r="BI74" s="313">
        <f t="shared" si="21"/>
        <v>0</v>
      </c>
      <c r="BJ74" s="313">
        <f t="shared" si="21"/>
        <v>0</v>
      </c>
      <c r="BK74" s="313">
        <f t="shared" si="21"/>
        <v>0</v>
      </c>
      <c r="BL74" s="313">
        <f t="shared" si="21"/>
        <v>0</v>
      </c>
      <c r="BM74" s="313">
        <f t="shared" si="21"/>
        <v>0</v>
      </c>
      <c r="BN74" s="313">
        <f t="shared" si="21"/>
        <v>0</v>
      </c>
      <c r="BO74" s="313">
        <f t="shared" si="21"/>
        <v>0</v>
      </c>
      <c r="BP74" s="313">
        <f t="shared" si="21"/>
        <v>0</v>
      </c>
      <c r="BQ74" s="313">
        <f t="shared" si="21"/>
        <v>0</v>
      </c>
      <c r="BR74" s="313" t="n">
        <f t="shared" ref="BR74:CW74" si="22">BQ$92</f>
        <v>0</v>
      </c>
      <c r="BS74" s="313">
        <f t="shared" si="22"/>
        <v>0</v>
      </c>
      <c r="BT74" s="313">
        <f t="shared" si="22"/>
        <v>0</v>
      </c>
      <c r="BU74" s="313">
        <f t="shared" si="22"/>
        <v>0</v>
      </c>
      <c r="BV74" s="313">
        <f t="shared" si="22"/>
        <v>0</v>
      </c>
      <c r="BW74" s="313">
        <f t="shared" si="22"/>
        <v>0</v>
      </c>
      <c r="BX74" s="313">
        <f t="shared" si="22"/>
        <v>0</v>
      </c>
      <c r="BY74" s="313">
        <f t="shared" si="22"/>
        <v>0</v>
      </c>
      <c r="BZ74" s="313">
        <f t="shared" si="22"/>
        <v>0</v>
      </c>
      <c r="CA74" s="313">
        <f t="shared" si="22"/>
        <v>0</v>
      </c>
      <c r="CB74" s="313">
        <f t="shared" si="22"/>
        <v>0</v>
      </c>
      <c r="CC74" s="313">
        <f t="shared" si="22"/>
        <v>0</v>
      </c>
      <c r="CD74" s="313">
        <f t="shared" si="22"/>
        <v>0</v>
      </c>
      <c r="CE74" s="313">
        <f t="shared" si="22"/>
        <v>0</v>
      </c>
      <c r="CF74" s="313">
        <f t="shared" si="22"/>
        <v>0</v>
      </c>
      <c r="CG74" s="313">
        <f t="shared" si="22"/>
        <v>0</v>
      </c>
      <c r="CH74" s="313">
        <f t="shared" si="22"/>
        <v>0</v>
      </c>
      <c r="CI74" s="313">
        <f t="shared" si="22"/>
        <v>0</v>
      </c>
      <c r="CJ74" s="313">
        <f t="shared" si="22"/>
        <v>0</v>
      </c>
      <c r="CK74" s="313">
        <f t="shared" si="22"/>
        <v>0</v>
      </c>
      <c r="CL74" s="313">
        <f t="shared" si="22"/>
        <v>0</v>
      </c>
      <c r="CM74" s="313">
        <f t="shared" si="22"/>
        <v>0</v>
      </c>
      <c r="CN74" s="313">
        <f t="shared" si="22"/>
        <v>0</v>
      </c>
      <c r="CO74" s="313">
        <f t="shared" si="22"/>
        <v>0</v>
      </c>
      <c r="CP74" s="313">
        <f t="shared" si="22"/>
        <v>0</v>
      </c>
      <c r="CQ74" s="313">
        <f t="shared" si="22"/>
        <v>0</v>
      </c>
      <c r="CR74" s="313">
        <f t="shared" si="22"/>
        <v>0</v>
      </c>
      <c r="CS74" s="313">
        <f t="shared" si="22"/>
        <v>0</v>
      </c>
      <c r="CT74" s="313">
        <f t="shared" si="22"/>
        <v>0</v>
      </c>
      <c r="CU74" s="313">
        <f t="shared" si="22"/>
        <v>0</v>
      </c>
      <c r="CV74" s="313">
        <f t="shared" si="22"/>
        <v>0</v>
      </c>
      <c r="CW74" s="313">
        <f t="shared" si="22"/>
        <v>0</v>
      </c>
      <c r="CX74" s="313" t="n">
        <f t="shared" ref="CX74:DV74" si="23">CW$92</f>
        <v>0</v>
      </c>
      <c r="CY74" s="313">
        <f t="shared" si="23"/>
        <v>0</v>
      </c>
      <c r="CZ74" s="313">
        <f t="shared" si="23"/>
        <v>0</v>
      </c>
      <c r="DA74" s="313">
        <f t="shared" si="23"/>
        <v>0</v>
      </c>
      <c r="DB74" s="313">
        <f t="shared" si="23"/>
        <v>0</v>
      </c>
      <c r="DC74" s="313">
        <f t="shared" si="23"/>
        <v>0</v>
      </c>
      <c r="DD74" s="313">
        <f t="shared" si="23"/>
        <v>0</v>
      </c>
      <c r="DE74" s="313">
        <f t="shared" si="23"/>
        <v>0</v>
      </c>
      <c r="DF74" s="313">
        <f t="shared" si="23"/>
        <v>0</v>
      </c>
      <c r="DG74" s="313">
        <f t="shared" si="23"/>
        <v>0</v>
      </c>
      <c r="DH74" s="313">
        <f t="shared" si="23"/>
        <v>0</v>
      </c>
      <c r="DI74" s="313">
        <f t="shared" si="23"/>
        <v>0</v>
      </c>
      <c r="DJ74" s="313">
        <f t="shared" si="23"/>
        <v>0</v>
      </c>
      <c r="DK74" s="313">
        <f t="shared" si="23"/>
        <v>0</v>
      </c>
      <c r="DL74" s="313">
        <f t="shared" si="23"/>
        <v>0</v>
      </c>
      <c r="DM74" s="313">
        <f t="shared" si="23"/>
        <v>0</v>
      </c>
      <c r="DN74" s="313">
        <f t="shared" si="23"/>
        <v>0</v>
      </c>
      <c r="DO74" s="313">
        <f t="shared" si="23"/>
        <v>0</v>
      </c>
      <c r="DP74" s="313">
        <f t="shared" si="23"/>
        <v>0</v>
      </c>
      <c r="DQ74" s="313">
        <f t="shared" si="23"/>
        <v>0</v>
      </c>
      <c r="DR74" s="313">
        <f t="shared" si="23"/>
        <v>0</v>
      </c>
      <c r="DS74" s="313">
        <f t="shared" si="23"/>
        <v>0</v>
      </c>
      <c r="DT74" s="313">
        <f t="shared" si="23"/>
        <v>0</v>
      </c>
      <c r="DU74" s="313">
        <f t="shared" si="23"/>
        <v>0</v>
      </c>
      <c r="DV74" s="313">
        <f t="shared" si="23"/>
        <v>0</v>
      </c>
    </row>
    <row r="75" ht="15" customHeight="1">
      <c r="A75" s="311" t="s">
        <v>1455</v>
      </c>
      <c r="B75" s="312" t="s">
        <v>1321</v>
      </c>
      <c r="C75" s="702" t="s">
        <v>1456</v>
      </c>
      <c r="D75" s="703"/>
      <c r="F75" s="313" t="n">
        <f>MAX(0,Underwriting!$L$196)</f>
        <v>0</v>
      </c>
      <c r="G75" s="313" t="n">
        <f>MAX(0,Underwriting!$M$196)</f>
        <v>0</v>
      </c>
      <c r="H75" s="313" t="n">
        <f>MAX(0,Underwriting!$N$196)</f>
        <v>170317.57335215877</v>
      </c>
      <c r="I75" s="313" t="n">
        <f>MAX(0,Underwriting!$O$196)</f>
        <v>557650.6541499208</v>
      </c>
      <c r="J75" s="313" t="n">
        <f>MAX(0,Underwriting!$P$196)</f>
        <v>1094287.4844426755</v>
      </c>
      <c r="K75" s="313" t="n">
        <f>MAX(0,Underwriting!$Q$196)</f>
        <v>1815120.9716493976</v>
      </c>
      <c r="L75" s="313" t="n">
        <f>MAX(0,Underwriting!$R$196)</f>
        <v>2753177.670029392</v>
      </c>
      <c r="M75" s="313" t="n">
        <f>MAX(0,Underwriting!$S$196)</f>
        <v>3934760.112479771</v>
      </c>
      <c r="N75" s="313" t="n">
        <f>MAX(0,Underwriting!$T$196)</f>
        <v>5373664.257545585</v>
      </c>
      <c r="O75" s="313" t="n">
        <f>MAX(0,Underwriting!$U$196)</f>
        <v>7065163.651583814</v>
      </c>
      <c r="P75" s="313" t="n">
        <f>MAX(0,Underwriting!$V$196)</f>
        <v>8980751.963331705</v>
      </c>
      <c r="Q75" s="313" t="n">
        <f>MAX(0,Underwriting!$W$196)</f>
        <v>11064805.605489833</v>
      </c>
      <c r="R75" s="313" t="n">
        <f>MAX(0,Underwriting!$X$196)</f>
        <v>13234281.1379953</v>
      </c>
      <c r="S75" s="313" t="n">
        <f>MAX(0,Underwriting!$Y$196)</f>
        <v>15382246.512724983</v>
      </c>
      <c r="T75" s="313" t="n">
        <f>MAX(0,Underwriting!$Z$196)</f>
        <v>17385471.482058503</v>
      </c>
      <c r="U75" s="313" t="n">
        <f>MAX(0,Underwriting!$AA$196)</f>
        <v>19115556.058013067</v>
      </c>
      <c r="V75" s="313" t="n">
        <f>MAX(0,Underwriting!$AB$196)</f>
        <v>20452308.06807132</v>
      </c>
      <c r="W75" s="313" t="n">
        <f>MAX(0,Underwriting!$AC$196)</f>
        <v>21297476.217184056</v>
      </c>
      <c r="X75" s="313" t="n">
        <f>MAX(0,Underwriting!$AD$196)</f>
        <v>21586672.281520337</v>
      </c>
      <c r="Y75" s="313" t="n">
        <f>MAX(0,Underwriting!$AE$196)</f>
        <v>21297476.217184074</v>
      </c>
      <c r="Z75" s="313" t="n">
        <f>MAX(0,Underwriting!$AF$196)</f>
        <v>20452308.068071283</v>
      </c>
      <c r="AA75" s="313" t="n">
        <f>MAX(0,Underwriting!$AG$196)</f>
        <v>19115556.058013104</v>
      </c>
      <c r="AB75" s="313" t="n">
        <f>MAX(0,Underwriting!$AH$196)</f>
        <v>17385471.482058477</v>
      </c>
      <c r="AC75" s="313" t="n">
        <f>MAX(0,Underwriting!$AI$196)</f>
        <v>15382246.512724983</v>
      </c>
      <c r="AD75" s="313" t="n">
        <f>MAX(0,Underwriting!$AJ$196)</f>
        <v>13234281.137995327</v>
      </c>
      <c r="AE75" s="313" t="n">
        <f>MAX(0,Underwriting!$AK$196)</f>
        <v>11064805.605489803</v>
      </c>
      <c r="AF75" s="313" t="n">
        <f>MAX(0,Underwriting!$AL$196)</f>
        <v>8980751.963331705</v>
      </c>
      <c r="AG75" s="313" t="n">
        <f>MAX(0,Underwriting!$AM$196)</f>
        <v>7065163.651583838</v>
      </c>
      <c r="AH75" s="313" t="n">
        <f>MAX(0,Underwriting!$AN$196)</f>
        <v>5373664.257545568</v>
      </c>
      <c r="AI75" s="313" t="n">
        <f>MAX(0,Underwriting!$AO$196)</f>
        <v>3934760.112479772</v>
      </c>
      <c r="AJ75" s="313" t="n">
        <f>MAX(0,Underwriting!$AP$196)</f>
        <v>2753177.670029406</v>
      </c>
      <c r="AK75" s="313" t="n">
        <f>MAX(0,Underwriting!$AQ$196)</f>
        <v>1815120.9716493823</v>
      </c>
      <c r="AL75" s="313" t="n">
        <f>MAX(0,Underwriting!$AR$196)</f>
        <v>1094287.4844426815</v>
      </c>
      <c r="AM75" s="313" t="n">
        <f>MAX(0,Underwriting!$AS$196)</f>
        <v>557650.6541499017</v>
      </c>
      <c r="AN75" s="313" t="n">
        <f>MAX(0,Underwriting!$AT$196)</f>
        <v>170317.57335218112</v>
      </c>
      <c r="AO75" s="313" t="n">
        <f>MAX(0,Underwriting!$AU$196)</f>
        <v>0</v>
      </c>
      <c r="AP75" s="313" t="n">
        <f>MAX(0,Underwriting!$AV$196)</f>
        <v>0</v>
      </c>
      <c r="AQ75" s="313" t="n">
        <f>MAX(0,Underwriting!$AW$196)</f>
        <v>0</v>
      </c>
      <c r="AR75" s="313" t="n">
        <f>MAX(0,Underwriting!$AX$196)</f>
        <v>0</v>
      </c>
      <c r="AS75" s="313" t="n">
        <f>MAX(0,Underwriting!$AY$196)</f>
        <v>0</v>
      </c>
      <c r="AT75" s="313" t="n">
        <f>MAX(0,Underwriting!$AZ$196)</f>
        <v>0</v>
      </c>
      <c r="AU75" s="313" t="n">
        <f>MAX(0,Underwriting!$BA$196)</f>
        <v>0</v>
      </c>
      <c r="AV75" s="313" t="n">
        <f>MAX(0,Underwriting!$BB$196)</f>
        <v>0</v>
      </c>
      <c r="AW75" s="313" t="n">
        <f>MAX(0,Underwriting!$BC$196)</f>
        <v>0</v>
      </c>
      <c r="AX75" s="313" t="n">
        <f>MAX(0,Underwriting!$BD$196)</f>
        <v>0</v>
      </c>
      <c r="AY75" s="313" t="n">
        <f>MAX(0,Underwriting!$BE$196)</f>
        <v>0</v>
      </c>
      <c r="AZ75" s="313" t="n">
        <f>MAX(0,Underwriting!$BF$196)</f>
        <v>0</v>
      </c>
      <c r="BA75" s="313" t="n">
        <f>MAX(0,Underwriting!$BG$196)</f>
        <v>0</v>
      </c>
      <c r="BB75" s="313" t="n">
        <f>MAX(0,Underwriting!$BH$196)</f>
        <v>0</v>
      </c>
      <c r="BC75" s="313" t="n">
        <f>MAX(0,Underwriting!$BI$196)</f>
        <v>0</v>
      </c>
      <c r="BD75" s="313" t="n">
        <f>MAX(0,Underwriting!$BJ$196)</f>
        <v>0</v>
      </c>
      <c r="BE75" s="313" t="n">
        <f>MAX(0,Underwriting!$BK$196)</f>
        <v>0</v>
      </c>
      <c r="BF75" s="313" t="n">
        <f>MAX(0,Underwriting!$BL$196)</f>
        <v>0</v>
      </c>
      <c r="BG75" s="313" t="n">
        <f>MAX(0,Underwriting!$BM$196)</f>
        <v>0</v>
      </c>
      <c r="BH75" s="313" t="n">
        <f>MAX(0,Underwriting!$BN$196)</f>
        <v>0</v>
      </c>
      <c r="BI75" s="313" t="n">
        <f>MAX(0,Underwriting!$BO$196)</f>
        <v>0</v>
      </c>
      <c r="BJ75" s="313" t="n">
        <f>MAX(0,Underwriting!$BP$196)</f>
        <v>0</v>
      </c>
      <c r="BK75" s="313" t="n">
        <f>MAX(0,Underwriting!$BQ$196)</f>
        <v>0</v>
      </c>
      <c r="BL75" s="313" t="n">
        <f>MAX(0,Underwriting!$BR$196)</f>
        <v>0</v>
      </c>
      <c r="BM75" s="313" t="n">
        <f>MAX(0,Underwriting!$BS$196)</f>
        <v>0</v>
      </c>
      <c r="BN75" s="313" t="n">
        <f>MAX(0,Underwriting!$BT$196)</f>
        <v>0</v>
      </c>
      <c r="BO75" s="313" t="n">
        <f>MAX(0,Underwriting!$BU$196)</f>
        <v>0</v>
      </c>
      <c r="BP75" s="313" t="n">
        <f>MAX(0,Underwriting!$BV$196)</f>
        <v>0</v>
      </c>
      <c r="BQ75" s="313" t="n">
        <f>MAX(0,Underwriting!$BW$196)</f>
        <v>0</v>
      </c>
      <c r="BR75" s="313" t="n">
        <f>MAX(0,Underwriting!$BX$196)</f>
        <v>0</v>
      </c>
      <c r="BS75" s="313" t="n">
        <f>MAX(0,Underwriting!$BY$196)</f>
        <v>0</v>
      </c>
      <c r="BT75" s="313" t="n">
        <f>MAX(0,Underwriting!$BZ$196)</f>
        <v>0</v>
      </c>
      <c r="BU75" s="313" t="n">
        <f>MAX(0,Underwriting!$CA$196)</f>
        <v>0</v>
      </c>
      <c r="BV75" s="313" t="n">
        <f>MAX(0,Underwriting!$CB$196)</f>
        <v>0</v>
      </c>
      <c r="BW75" s="313" t="n">
        <f>MAX(0,Underwriting!$CC$196)</f>
        <v>0</v>
      </c>
      <c r="BX75" s="313" t="n">
        <f>MAX(0,Underwriting!$CD$196)</f>
        <v>0</v>
      </c>
      <c r="BY75" s="313" t="n">
        <f>MAX(0,Underwriting!$CE$196)</f>
        <v>0</v>
      </c>
      <c r="BZ75" s="313" t="n">
        <f>MAX(0,Underwriting!$CF$196)</f>
        <v>0</v>
      </c>
      <c r="CA75" s="313" t="n">
        <f>MAX(0,Underwriting!$CG$196)</f>
        <v>0</v>
      </c>
      <c r="CB75" s="313" t="n">
        <f>MAX(0,Underwriting!$CH$196)</f>
        <v>0</v>
      </c>
      <c r="CC75" s="313" t="n">
        <f>MAX(0,Underwriting!$CI$196)</f>
        <v>0</v>
      </c>
      <c r="CD75" s="313" t="n">
        <f>MAX(0,Underwriting!$CJ$196)</f>
        <v>0</v>
      </c>
      <c r="CE75" s="313" t="n">
        <f>MAX(0,Underwriting!$CK$196)</f>
        <v>0</v>
      </c>
      <c r="CF75" s="313" t="n">
        <f>MAX(0,Underwriting!$CL$196)</f>
        <v>0</v>
      </c>
      <c r="CG75" s="313" t="n">
        <f>MAX(0,Underwriting!$CM$196)</f>
        <v>0</v>
      </c>
      <c r="CH75" s="313" t="n">
        <f>MAX(0,Underwriting!$CN$196)</f>
        <v>0</v>
      </c>
      <c r="CI75" s="313" t="n">
        <f>MAX(0,Underwriting!$CO$196)</f>
        <v>0</v>
      </c>
      <c r="CJ75" s="313" t="n">
        <f>MAX(0,Underwriting!$CP$196)</f>
        <v>0</v>
      </c>
      <c r="CK75" s="313" t="n">
        <f>MAX(0,Underwriting!$CQ$196)</f>
        <v>0</v>
      </c>
      <c r="CL75" s="313" t="n">
        <f>MAX(0,Underwriting!$CR$196)</f>
        <v>0</v>
      </c>
      <c r="CM75" s="313" t="n">
        <f>MAX(0,Underwriting!$CS$196)</f>
        <v>0</v>
      </c>
      <c r="CN75" s="313" t="n">
        <f>MAX(0,Underwriting!$CT$196)</f>
        <v>0</v>
      </c>
      <c r="CO75" s="313" t="n">
        <f>MAX(0,Underwriting!$CU$196)</f>
        <v>0</v>
      </c>
      <c r="CP75" s="313" t="n">
        <f>MAX(0,Underwriting!$CV$196)</f>
        <v>0</v>
      </c>
      <c r="CQ75" s="313" t="n">
        <f>MAX(0,Underwriting!$CW$196)</f>
        <v>0</v>
      </c>
      <c r="CR75" s="313" t="n">
        <f>MAX(0,Underwriting!$CX$196)</f>
        <v>0</v>
      </c>
      <c r="CS75" s="313" t="n">
        <f>MAX(0,Underwriting!$CY$196)</f>
        <v>0</v>
      </c>
      <c r="CT75" s="313" t="n">
        <f>MAX(0,Underwriting!$CZ$196)</f>
        <v>0</v>
      </c>
      <c r="CU75" s="313" t="n">
        <f>MAX(0,Underwriting!$DA$196)</f>
        <v>0</v>
      </c>
      <c r="CV75" s="313" t="n">
        <f>MAX(0,Underwriting!$DB$196)</f>
        <v>0</v>
      </c>
      <c r="CW75" s="313" t="n">
        <f>MAX(0,Underwriting!$DC$196)</f>
        <v>0</v>
      </c>
      <c r="CX75" s="313" t="n">
        <f>MAX(0,Underwriting!$DD$196)</f>
        <v>0</v>
      </c>
      <c r="CY75" s="313" t="n">
        <f>MAX(0,Underwriting!$DE$196)</f>
        <v>0</v>
      </c>
      <c r="CZ75" s="313" t="n">
        <f>MAX(0,Underwriting!$DF$196)</f>
        <v>0</v>
      </c>
      <c r="DA75" s="313" t="n">
        <f>MAX(0,Underwriting!$DG$196)</f>
        <v>0</v>
      </c>
      <c r="DB75" s="313" t="n">
        <f>MAX(0,Underwriting!$DH$196)</f>
        <v>0</v>
      </c>
      <c r="DC75" s="313" t="n">
        <f>MAX(0,Underwriting!$DI$196)</f>
        <v>0</v>
      </c>
      <c r="DD75" s="313" t="n">
        <f>MAX(0,Underwriting!$DJ$196)</f>
        <v>0</v>
      </c>
      <c r="DE75" s="313" t="n">
        <f>MAX(0,Underwriting!$DK$196)</f>
        <v>0</v>
      </c>
      <c r="DF75" s="313" t="n">
        <f>MAX(0,Underwriting!$DL$196)</f>
        <v>0</v>
      </c>
      <c r="DG75" s="313" t="n">
        <f>MAX(0,Underwriting!$DM$196)</f>
        <v>0</v>
      </c>
      <c r="DH75" s="313" t="n">
        <f>MAX(0,Underwriting!$DN$196)</f>
        <v>0</v>
      </c>
      <c r="DI75" s="313" t="n">
        <f>MAX(0,Underwriting!$DO$196)</f>
        <v>0</v>
      </c>
      <c r="DJ75" s="313" t="n">
        <f>MAX(0,Underwriting!$DP$196)</f>
        <v>0</v>
      </c>
      <c r="DK75" s="313" t="n">
        <f>MAX(0,Underwriting!$DQ$196)</f>
        <v>0</v>
      </c>
      <c r="DL75" s="313" t="n">
        <f>MAX(0,Underwriting!$DR$196)</f>
        <v>0</v>
      </c>
      <c r="DM75" s="313" t="n">
        <f>MAX(0,Underwriting!$DS$196)</f>
        <v>0</v>
      </c>
      <c r="DN75" s="313" t="n">
        <f>MAX(0,Underwriting!$DT$196)</f>
        <v>0</v>
      </c>
      <c r="DO75" s="313" t="n">
        <f>MAX(0,Underwriting!$DU$196)</f>
        <v>0</v>
      </c>
      <c r="DP75" s="313" t="n">
        <f>MAX(0,Underwriting!$DV$196)</f>
        <v>0</v>
      </c>
      <c r="DQ75" s="313" t="n">
        <f>MAX(0,Underwriting!$DW$196)</f>
        <v>0</v>
      </c>
      <c r="DR75" s="313" t="n">
        <f>MAX(0,Underwriting!$DX$196)</f>
        <v>0</v>
      </c>
      <c r="DS75" s="313" t="n">
        <f>MAX(0,Underwriting!$DY$196)</f>
        <v>0</v>
      </c>
      <c r="DT75" s="313" t="n">
        <f>MAX(0,Underwriting!$DZ$196)</f>
        <v>0</v>
      </c>
      <c r="DU75" s="313" t="n">
        <f>MAX(0,Underwriting!$EA$196)</f>
        <v>0</v>
      </c>
      <c r="DV75" s="313" t="n">
        <f>MAX(0,Underwriting!$EB$196)</f>
        <v>0</v>
      </c>
    </row>
    <row r="76" ht="15" customHeight="1">
      <c r="A76" s="311" t="s">
        <v>1457</v>
      </c>
      <c r="B76" s="312" t="s">
        <v>1321</v>
      </c>
      <c r="C76" s="702" t="s">
        <v>1458</v>
      </c>
      <c r="D76" s="703"/>
      <c r="F76" s="313" t="n">
        <f t="shared" ref="F76:AK76" si="24">F$75*INDEX($K$31:$K$33,MATCH($B$6,$J$31:$J$33,0))</f>
        <v>0</v>
      </c>
      <c r="G76" s="313">
        <f t="shared" si="24"/>
        <v>0</v>
      </c>
      <c r="H76" s="313">
        <f t="shared" si="24"/>
        <v>0</v>
      </c>
      <c r="I76" s="313">
        <f t="shared" si="24"/>
        <v>0</v>
      </c>
      <c r="J76" s="313">
        <f t="shared" si="24"/>
        <v>0</v>
      </c>
      <c r="K76" s="313">
        <f t="shared" si="24"/>
        <v>0</v>
      </c>
      <c r="L76" s="313">
        <f t="shared" si="24"/>
        <v>0</v>
      </c>
      <c r="M76" s="313">
        <f t="shared" si="24"/>
        <v>0</v>
      </c>
      <c r="N76" s="313">
        <f t="shared" si="24"/>
        <v>0</v>
      </c>
      <c r="O76" s="313">
        <f t="shared" si="24"/>
        <v>0</v>
      </c>
      <c r="P76" s="313">
        <f t="shared" si="24"/>
        <v>0</v>
      </c>
      <c r="Q76" s="313">
        <f t="shared" si="24"/>
        <v>0</v>
      </c>
      <c r="R76" s="313">
        <f t="shared" si="24"/>
        <v>0</v>
      </c>
      <c r="S76" s="313">
        <f t="shared" si="24"/>
        <v>0</v>
      </c>
      <c r="T76" s="313">
        <f t="shared" si="24"/>
        <v>0</v>
      </c>
      <c r="U76" s="313">
        <f t="shared" si="24"/>
        <v>0</v>
      </c>
      <c r="V76" s="313">
        <f t="shared" si="24"/>
        <v>0</v>
      </c>
      <c r="W76" s="313">
        <f t="shared" si="24"/>
        <v>0</v>
      </c>
      <c r="X76" s="313">
        <f t="shared" si="24"/>
        <v>0</v>
      </c>
      <c r="Y76" s="313">
        <f t="shared" si="24"/>
        <v>0</v>
      </c>
      <c r="Z76" s="313">
        <f t="shared" si="24"/>
        <v>0</v>
      </c>
      <c r="AA76" s="313">
        <f t="shared" si="24"/>
        <v>0</v>
      </c>
      <c r="AB76" s="313">
        <f t="shared" si="24"/>
        <v>0</v>
      </c>
      <c r="AC76" s="313">
        <f t="shared" si="24"/>
        <v>0</v>
      </c>
      <c r="AD76" s="313">
        <f t="shared" si="24"/>
        <v>0</v>
      </c>
      <c r="AE76" s="313">
        <f t="shared" si="24"/>
        <v>0</v>
      </c>
      <c r="AF76" s="313">
        <f t="shared" si="24"/>
        <v>0</v>
      </c>
      <c r="AG76" s="313">
        <f t="shared" si="24"/>
        <v>0</v>
      </c>
      <c r="AH76" s="313">
        <f t="shared" si="24"/>
        <v>0</v>
      </c>
      <c r="AI76" s="313">
        <f t="shared" si="24"/>
        <v>0</v>
      </c>
      <c r="AJ76" s="313">
        <f t="shared" si="24"/>
        <v>0</v>
      </c>
      <c r="AK76" s="313">
        <f t="shared" si="24"/>
        <v>0</v>
      </c>
      <c r="AL76" s="313" t="n">
        <f t="shared" ref="AL76:BQ76" si="25">AL$75*INDEX($K$31:$K$33,MATCH($B$6,$J$31:$J$33,0))</f>
        <v>0</v>
      </c>
      <c r="AM76" s="313">
        <f t="shared" si="25"/>
        <v>0</v>
      </c>
      <c r="AN76" s="313">
        <f t="shared" si="25"/>
        <v>0</v>
      </c>
      <c r="AO76" s="313">
        <f t="shared" si="25"/>
        <v>0</v>
      </c>
      <c r="AP76" s="313">
        <f t="shared" si="25"/>
        <v>0</v>
      </c>
      <c r="AQ76" s="313">
        <f t="shared" si="25"/>
        <v>0</v>
      </c>
      <c r="AR76" s="313">
        <f t="shared" si="25"/>
        <v>0</v>
      </c>
      <c r="AS76" s="313">
        <f t="shared" si="25"/>
        <v>0</v>
      </c>
      <c r="AT76" s="313">
        <f t="shared" si="25"/>
        <v>0</v>
      </c>
      <c r="AU76" s="313">
        <f t="shared" si="25"/>
        <v>0</v>
      </c>
      <c r="AV76" s="313">
        <f t="shared" si="25"/>
        <v>0</v>
      </c>
      <c r="AW76" s="313">
        <f t="shared" si="25"/>
        <v>0</v>
      </c>
      <c r="AX76" s="313">
        <f t="shared" si="25"/>
        <v>0</v>
      </c>
      <c r="AY76" s="313">
        <f t="shared" si="25"/>
        <v>0</v>
      </c>
      <c r="AZ76" s="313">
        <f t="shared" si="25"/>
        <v>0</v>
      </c>
      <c r="BA76" s="313">
        <f t="shared" si="25"/>
        <v>0</v>
      </c>
      <c r="BB76" s="313">
        <f t="shared" si="25"/>
        <v>0</v>
      </c>
      <c r="BC76" s="313">
        <f t="shared" si="25"/>
        <v>0</v>
      </c>
      <c r="BD76" s="313">
        <f t="shared" si="25"/>
        <v>0</v>
      </c>
      <c r="BE76" s="313">
        <f t="shared" si="25"/>
        <v>0</v>
      </c>
      <c r="BF76" s="313">
        <f t="shared" si="25"/>
        <v>0</v>
      </c>
      <c r="BG76" s="313">
        <f t="shared" si="25"/>
        <v>0</v>
      </c>
      <c r="BH76" s="313">
        <f t="shared" si="25"/>
        <v>0</v>
      </c>
      <c r="BI76" s="313">
        <f t="shared" si="25"/>
        <v>0</v>
      </c>
      <c r="BJ76" s="313">
        <f t="shared" si="25"/>
        <v>0</v>
      </c>
      <c r="BK76" s="313">
        <f t="shared" si="25"/>
        <v>0</v>
      </c>
      <c r="BL76" s="313">
        <f t="shared" si="25"/>
        <v>0</v>
      </c>
      <c r="BM76" s="313">
        <f t="shared" si="25"/>
        <v>0</v>
      </c>
      <c r="BN76" s="313">
        <f t="shared" si="25"/>
        <v>0</v>
      </c>
      <c r="BO76" s="313">
        <f t="shared" si="25"/>
        <v>0</v>
      </c>
      <c r="BP76" s="313">
        <f t="shared" si="25"/>
        <v>0</v>
      </c>
      <c r="BQ76" s="313">
        <f t="shared" si="25"/>
        <v>0</v>
      </c>
      <c r="BR76" s="313" t="n">
        <f t="shared" ref="BR76:CW76" si="26">BR$75*INDEX($K$31:$K$33,MATCH($B$6,$J$31:$J$33,0))</f>
        <v>0</v>
      </c>
      <c r="BS76" s="313">
        <f t="shared" si="26"/>
        <v>0</v>
      </c>
      <c r="BT76" s="313">
        <f t="shared" si="26"/>
        <v>0</v>
      </c>
      <c r="BU76" s="313">
        <f t="shared" si="26"/>
        <v>0</v>
      </c>
      <c r="BV76" s="313">
        <f t="shared" si="26"/>
        <v>0</v>
      </c>
      <c r="BW76" s="313">
        <f t="shared" si="26"/>
        <v>0</v>
      </c>
      <c r="BX76" s="313">
        <f t="shared" si="26"/>
        <v>0</v>
      </c>
      <c r="BY76" s="313">
        <f t="shared" si="26"/>
        <v>0</v>
      </c>
      <c r="BZ76" s="313">
        <f t="shared" si="26"/>
        <v>0</v>
      </c>
      <c r="CA76" s="313">
        <f t="shared" si="26"/>
        <v>0</v>
      </c>
      <c r="CB76" s="313">
        <f t="shared" si="26"/>
        <v>0</v>
      </c>
      <c r="CC76" s="313">
        <f t="shared" si="26"/>
        <v>0</v>
      </c>
      <c r="CD76" s="313">
        <f t="shared" si="26"/>
        <v>0</v>
      </c>
      <c r="CE76" s="313">
        <f t="shared" si="26"/>
        <v>0</v>
      </c>
      <c r="CF76" s="313">
        <f t="shared" si="26"/>
        <v>0</v>
      </c>
      <c r="CG76" s="313">
        <f t="shared" si="26"/>
        <v>0</v>
      </c>
      <c r="CH76" s="313">
        <f t="shared" si="26"/>
        <v>0</v>
      </c>
      <c r="CI76" s="313">
        <f t="shared" si="26"/>
        <v>0</v>
      </c>
      <c r="CJ76" s="313">
        <f t="shared" si="26"/>
        <v>0</v>
      </c>
      <c r="CK76" s="313">
        <f t="shared" si="26"/>
        <v>0</v>
      </c>
      <c r="CL76" s="313">
        <f t="shared" si="26"/>
        <v>0</v>
      </c>
      <c r="CM76" s="313">
        <f t="shared" si="26"/>
        <v>0</v>
      </c>
      <c r="CN76" s="313">
        <f t="shared" si="26"/>
        <v>0</v>
      </c>
      <c r="CO76" s="313">
        <f t="shared" si="26"/>
        <v>0</v>
      </c>
      <c r="CP76" s="313">
        <f t="shared" si="26"/>
        <v>0</v>
      </c>
      <c r="CQ76" s="313">
        <f t="shared" si="26"/>
        <v>0</v>
      </c>
      <c r="CR76" s="313">
        <f t="shared" si="26"/>
        <v>0</v>
      </c>
      <c r="CS76" s="313">
        <f t="shared" si="26"/>
        <v>0</v>
      </c>
      <c r="CT76" s="313">
        <f t="shared" si="26"/>
        <v>0</v>
      </c>
      <c r="CU76" s="313">
        <f t="shared" si="26"/>
        <v>0</v>
      </c>
      <c r="CV76" s="313">
        <f t="shared" si="26"/>
        <v>0</v>
      </c>
      <c r="CW76" s="313">
        <f t="shared" si="26"/>
        <v>0</v>
      </c>
      <c r="CX76" s="313" t="n">
        <f t="shared" ref="CX76:DV76" si="27">CX$75*INDEX($K$31:$K$33,MATCH($B$6,$J$31:$J$33,0))</f>
        <v>0</v>
      </c>
      <c r="CY76" s="313">
        <f t="shared" si="27"/>
        <v>0</v>
      </c>
      <c r="CZ76" s="313">
        <f t="shared" si="27"/>
        <v>0</v>
      </c>
      <c r="DA76" s="313">
        <f t="shared" si="27"/>
        <v>0</v>
      </c>
      <c r="DB76" s="313">
        <f t="shared" si="27"/>
        <v>0</v>
      </c>
      <c r="DC76" s="313">
        <f t="shared" si="27"/>
        <v>0</v>
      </c>
      <c r="DD76" s="313">
        <f t="shared" si="27"/>
        <v>0</v>
      </c>
      <c r="DE76" s="313">
        <f t="shared" si="27"/>
        <v>0</v>
      </c>
      <c r="DF76" s="313">
        <f t="shared" si="27"/>
        <v>0</v>
      </c>
      <c r="DG76" s="313">
        <f t="shared" si="27"/>
        <v>0</v>
      </c>
      <c r="DH76" s="313">
        <f t="shared" si="27"/>
        <v>0</v>
      </c>
      <c r="DI76" s="313">
        <f t="shared" si="27"/>
        <v>0</v>
      </c>
      <c r="DJ76" s="313">
        <f t="shared" si="27"/>
        <v>0</v>
      </c>
      <c r="DK76" s="313">
        <f t="shared" si="27"/>
        <v>0</v>
      </c>
      <c r="DL76" s="313">
        <f t="shared" si="27"/>
        <v>0</v>
      </c>
      <c r="DM76" s="313">
        <f t="shared" si="27"/>
        <v>0</v>
      </c>
      <c r="DN76" s="313">
        <f t="shared" si="27"/>
        <v>0</v>
      </c>
      <c r="DO76" s="313">
        <f t="shared" si="27"/>
        <v>0</v>
      </c>
      <c r="DP76" s="313">
        <f t="shared" si="27"/>
        <v>0</v>
      </c>
      <c r="DQ76" s="313">
        <f t="shared" si="27"/>
        <v>0</v>
      </c>
      <c r="DR76" s="313">
        <f t="shared" si="27"/>
        <v>0</v>
      </c>
      <c r="DS76" s="313">
        <f t="shared" si="27"/>
        <v>0</v>
      </c>
      <c r="DT76" s="313">
        <f t="shared" si="27"/>
        <v>0</v>
      </c>
      <c r="DU76" s="313">
        <f t="shared" si="27"/>
        <v>0</v>
      </c>
      <c r="DV76" s="313">
        <f t="shared" si="27"/>
        <v>0</v>
      </c>
    </row>
    <row r="77" ht="15" customHeight="1">
      <c r="A77" s="311" t="s">
        <v>1459</v>
      </c>
      <c r="B77" s="312" t="s">
        <v>1321</v>
      </c>
      <c r="C77" s="702" t="s">
        <v>1460</v>
      </c>
      <c r="D77" s="703"/>
      <c r="F77" s="313" t="n">
        <f t="shared" ref="F77:AK77" si="28">MAX(0,SUM(F$75:F$76,F$87)+MAX(0,F$188))</f>
        <v>0</v>
      </c>
      <c r="G77" s="313">
        <f t="shared" si="28"/>
        <v>0</v>
      </c>
      <c r="H77" s="313">
        <f t="shared" si="28"/>
        <v>170317.57335215877</v>
      </c>
      <c r="I77" s="313">
        <f t="shared" si="28"/>
        <v>602262.7064819145</v>
      </c>
      <c r="J77" s="313">
        <f t="shared" si="28"/>
        <v>1168205.0773299169</v>
      </c>
      <c r="K77" s="313">
        <f t="shared" si="28"/>
        <v>1915718.5970493557</v>
      </c>
      <c r="L77" s="313">
        <f t="shared" si="28"/>
        <v>2885888.8848763295</v>
      </c>
      <c r="M77" s="313">
        <f t="shared" si="28"/>
        <v>4104331.243746201</v>
      </c>
      <c r="N77" s="313">
        <f t="shared" si="28"/>
        <v>5583303.1845468804</v>
      </c>
      <c r="O77" s="313">
        <f t="shared" si="28"/>
        <v>7315595.9347121371</v>
      </c>
      <c r="P77" s="313">
        <f t="shared" si="28"/>
        <v>9269318.9797945954</v>
      </c>
      <c r="Q77" s="313">
        <f t="shared" si="28"/>
        <v>11384776.961802315</v>
      </c>
      <c r="R77" s="313">
        <f t="shared" si="28"/>
        <v>13574563.471968388</v>
      </c>
      <c r="S77" s="313">
        <f t="shared" si="28"/>
        <v>15727641.785303794</v>
      </c>
      <c r="T77" s="313">
        <f t="shared" si="28"/>
        <v>17717566.709583558</v>
      </c>
      <c r="U77" s="313">
        <f t="shared" si="28"/>
        <v>19414220.821636114</v>
      </c>
      <c r="V77" s="313">
        <f t="shared" si="28"/>
        <v>20697654.994952347</v>
      </c>
      <c r="W77" s="313">
        <f t="shared" si="28"/>
        <v>21472029.829917736</v>
      </c>
      <c r="X77" s="313">
        <f t="shared" si="28"/>
        <v>21677421.418596257</v>
      </c>
      <c r="Y77" s="313">
        <f t="shared" si="28"/>
        <v>21297476.217184074</v>
      </c>
      <c r="Z77" s="313">
        <f t="shared" si="28"/>
        <v>20452308.068071283</v>
      </c>
      <c r="AA77" s="313">
        <f t="shared" si="28"/>
        <v>19115556.058013104</v>
      </c>
      <c r="AB77" s="313">
        <f t="shared" si="28"/>
        <v>17385471.482058477</v>
      </c>
      <c r="AC77" s="313">
        <f t="shared" si="28"/>
        <v>15382246.512724983</v>
      </c>
      <c r="AD77" s="313">
        <f t="shared" si="28"/>
        <v>13234281.137995327</v>
      </c>
      <c r="AE77" s="313">
        <f t="shared" si="28"/>
        <v>11064805.605489803</v>
      </c>
      <c r="AF77" s="313">
        <f t="shared" si="28"/>
        <v>8980751.963331705</v>
      </c>
      <c r="AG77" s="313">
        <f t="shared" si="28"/>
        <v>7065163.6515838383</v>
      </c>
      <c r="AH77" s="313">
        <f t="shared" si="28"/>
        <v>5373664.257545568</v>
      </c>
      <c r="AI77" s="313">
        <f t="shared" si="28"/>
        <v>3934760.112479772</v>
      </c>
      <c r="AJ77" s="313">
        <f t="shared" si="28"/>
        <v>2753177.670029406</v>
      </c>
      <c r="AK77" s="313">
        <f t="shared" si="28"/>
        <v>1815120.9716493823</v>
      </c>
      <c r="AL77" s="313" t="n">
        <f t="shared" ref="AL77:BQ77" si="29">MAX(0,SUM(AL$75:AL$76,AL$87)+MAX(0,AL$188))</f>
        <v>1094287.4844426815</v>
      </c>
      <c r="AM77" s="313">
        <f t="shared" si="29"/>
        <v>557650.6541499017</v>
      </c>
      <c r="AN77" s="313">
        <f t="shared" si="29"/>
        <v>170317.57335218112</v>
      </c>
      <c r="AO77" s="313">
        <f t="shared" si="29"/>
        <v>0</v>
      </c>
      <c r="AP77" s="313">
        <f t="shared" si="29"/>
        <v>0</v>
      </c>
      <c r="AQ77" s="313">
        <f t="shared" si="29"/>
        <v>0</v>
      </c>
      <c r="AR77" s="313">
        <f t="shared" si="29"/>
        <v>0</v>
      </c>
      <c r="AS77" s="313">
        <f t="shared" si="29"/>
        <v>0</v>
      </c>
      <c r="AT77" s="313">
        <f t="shared" si="29"/>
        <v>0</v>
      </c>
      <c r="AU77" s="313">
        <f t="shared" si="29"/>
        <v>0</v>
      </c>
      <c r="AV77" s="313">
        <f t="shared" si="29"/>
        <v>0</v>
      </c>
      <c r="AW77" s="313">
        <f t="shared" si="29"/>
        <v>0</v>
      </c>
      <c r="AX77" s="313">
        <f t="shared" si="29"/>
        <v>0</v>
      </c>
      <c r="AY77" s="313">
        <f t="shared" si="29"/>
        <v>0</v>
      </c>
      <c r="AZ77" s="313">
        <f t="shared" si="29"/>
        <v>0</v>
      </c>
      <c r="BA77" s="313">
        <f t="shared" si="29"/>
        <v>0</v>
      </c>
      <c r="BB77" s="313">
        <f t="shared" si="29"/>
        <v>0</v>
      </c>
      <c r="BC77" s="313">
        <f t="shared" si="29"/>
        <v>0</v>
      </c>
      <c r="BD77" s="313">
        <f t="shared" si="29"/>
        <v>0</v>
      </c>
      <c r="BE77" s="313">
        <f t="shared" si="29"/>
        <v>0</v>
      </c>
      <c r="BF77" s="313">
        <f t="shared" si="29"/>
        <v>0</v>
      </c>
      <c r="BG77" s="313">
        <f t="shared" si="29"/>
        <v>0</v>
      </c>
      <c r="BH77" s="313">
        <f t="shared" si="29"/>
        <v>0</v>
      </c>
      <c r="BI77" s="313">
        <f t="shared" si="29"/>
        <v>0</v>
      </c>
      <c r="BJ77" s="313">
        <f t="shared" si="29"/>
        <v>0</v>
      </c>
      <c r="BK77" s="313">
        <f t="shared" si="29"/>
        <v>0</v>
      </c>
      <c r="BL77" s="313">
        <f t="shared" si="29"/>
        <v>0</v>
      </c>
      <c r="BM77" s="313">
        <f t="shared" si="29"/>
        <v>0</v>
      </c>
      <c r="BN77" s="313">
        <f t="shared" si="29"/>
        <v>0</v>
      </c>
      <c r="BO77" s="313">
        <f t="shared" si="29"/>
        <v>0</v>
      </c>
      <c r="BP77" s="313">
        <f t="shared" si="29"/>
        <v>0</v>
      </c>
      <c r="BQ77" s="313">
        <f t="shared" si="29"/>
        <v>0</v>
      </c>
      <c r="BR77" s="313" t="n">
        <f t="shared" ref="BR77:CW77" si="30">MAX(0,SUM(BR$75:BR$76,BR$87)+MAX(0,BR$188))</f>
        <v>0</v>
      </c>
      <c r="BS77" s="313">
        <f t="shared" si="30"/>
        <v>0</v>
      </c>
      <c r="BT77" s="313">
        <f t="shared" si="30"/>
        <v>0</v>
      </c>
      <c r="BU77" s="313">
        <f t="shared" si="30"/>
        <v>0</v>
      </c>
      <c r="BV77" s="313">
        <f t="shared" si="30"/>
        <v>0</v>
      </c>
      <c r="BW77" s="313">
        <f t="shared" si="30"/>
        <v>0</v>
      </c>
      <c r="BX77" s="313">
        <f t="shared" si="30"/>
        <v>0</v>
      </c>
      <c r="BY77" s="313">
        <f t="shared" si="30"/>
        <v>0</v>
      </c>
      <c r="BZ77" s="313">
        <f t="shared" si="30"/>
        <v>0</v>
      </c>
      <c r="CA77" s="313">
        <f t="shared" si="30"/>
        <v>0</v>
      </c>
      <c r="CB77" s="313">
        <f t="shared" si="30"/>
        <v>0</v>
      </c>
      <c r="CC77" s="313">
        <f t="shared" si="30"/>
        <v>0</v>
      </c>
      <c r="CD77" s="313">
        <f t="shared" si="30"/>
        <v>0</v>
      </c>
      <c r="CE77" s="313">
        <f t="shared" si="30"/>
        <v>0</v>
      </c>
      <c r="CF77" s="313">
        <f t="shared" si="30"/>
        <v>0</v>
      </c>
      <c r="CG77" s="313">
        <f t="shared" si="30"/>
        <v>0</v>
      </c>
      <c r="CH77" s="313">
        <f t="shared" si="30"/>
        <v>0</v>
      </c>
      <c r="CI77" s="313">
        <f t="shared" si="30"/>
        <v>0</v>
      </c>
      <c r="CJ77" s="313">
        <f t="shared" si="30"/>
        <v>0</v>
      </c>
      <c r="CK77" s="313">
        <f t="shared" si="30"/>
        <v>0</v>
      </c>
      <c r="CL77" s="313">
        <f t="shared" si="30"/>
        <v>0</v>
      </c>
      <c r="CM77" s="313">
        <f t="shared" si="30"/>
        <v>0</v>
      </c>
      <c r="CN77" s="313">
        <f t="shared" si="30"/>
        <v>0</v>
      </c>
      <c r="CO77" s="313">
        <f t="shared" si="30"/>
        <v>0</v>
      </c>
      <c r="CP77" s="313">
        <f t="shared" si="30"/>
        <v>0</v>
      </c>
      <c r="CQ77" s="313">
        <f t="shared" si="30"/>
        <v>0</v>
      </c>
      <c r="CR77" s="313">
        <f t="shared" si="30"/>
        <v>0</v>
      </c>
      <c r="CS77" s="313">
        <f t="shared" si="30"/>
        <v>0</v>
      </c>
      <c r="CT77" s="313">
        <f t="shared" si="30"/>
        <v>0</v>
      </c>
      <c r="CU77" s="313">
        <f t="shared" si="30"/>
        <v>0</v>
      </c>
      <c r="CV77" s="313">
        <f t="shared" si="30"/>
        <v>0</v>
      </c>
      <c r="CW77" s="313">
        <f t="shared" si="30"/>
        <v>0</v>
      </c>
      <c r="CX77" s="313" t="n">
        <f t="shared" ref="CX77:DV77" si="31">MAX(0,SUM(CX$75:CX$76,CX$87)+MAX(0,CX$188))</f>
        <v>0</v>
      </c>
      <c r="CY77" s="313">
        <f t="shared" si="31"/>
        <v>0</v>
      </c>
      <c r="CZ77" s="313">
        <f t="shared" si="31"/>
        <v>0</v>
      </c>
      <c r="DA77" s="313">
        <f t="shared" si="31"/>
        <v>0</v>
      </c>
      <c r="DB77" s="313">
        <f t="shared" si="31"/>
        <v>0</v>
      </c>
      <c r="DC77" s="313">
        <f t="shared" si="31"/>
        <v>0</v>
      </c>
      <c r="DD77" s="313">
        <f t="shared" si="31"/>
        <v>0</v>
      </c>
      <c r="DE77" s="313">
        <f t="shared" si="31"/>
        <v>0</v>
      </c>
      <c r="DF77" s="313">
        <f t="shared" si="31"/>
        <v>0</v>
      </c>
      <c r="DG77" s="313">
        <f t="shared" si="31"/>
        <v>0</v>
      </c>
      <c r="DH77" s="313">
        <f t="shared" si="31"/>
        <v>0</v>
      </c>
      <c r="DI77" s="313">
        <f t="shared" si="31"/>
        <v>0</v>
      </c>
      <c r="DJ77" s="313">
        <f t="shared" si="31"/>
        <v>0</v>
      </c>
      <c r="DK77" s="313">
        <f t="shared" si="31"/>
        <v>0</v>
      </c>
      <c r="DL77" s="313">
        <f t="shared" si="31"/>
        <v>0</v>
      </c>
      <c r="DM77" s="313">
        <f t="shared" si="31"/>
        <v>0</v>
      </c>
      <c r="DN77" s="313">
        <f t="shared" si="31"/>
        <v>0</v>
      </c>
      <c r="DO77" s="313">
        <f t="shared" si="31"/>
        <v>0</v>
      </c>
      <c r="DP77" s="313">
        <f t="shared" si="31"/>
        <v>0</v>
      </c>
      <c r="DQ77" s="313">
        <f t="shared" si="31"/>
        <v>0</v>
      </c>
      <c r="DR77" s="313">
        <f t="shared" si="31"/>
        <v>0</v>
      </c>
      <c r="DS77" s="313">
        <f t="shared" si="31"/>
        <v>0</v>
      </c>
      <c r="DT77" s="313">
        <f t="shared" si="31"/>
        <v>0</v>
      </c>
      <c r="DU77" s="313">
        <f t="shared" si="31"/>
        <v>0</v>
      </c>
      <c r="DV77" s="313">
        <f t="shared" si="31"/>
        <v>0</v>
      </c>
    </row>
    <row r="78" ht="15" customHeight="1">
      <c r="A78" s="311" t="s">
        <v>1461</v>
      </c>
      <c r="B78" s="312" t="s">
        <v>1321</v>
      </c>
      <c r="C78" s="702" t="s">
        <v>1462</v>
      </c>
      <c r="D78" s="703"/>
      <c r="F78" s="313" t="n">
        <f t="shared" ref="F78:AK78" si="32">MAX(0,F$77-F$81)</f>
        <v>0</v>
      </c>
      <c r="G78" s="313">
        <f t="shared" si="32"/>
        <v>0</v>
      </c>
      <c r="H78" s="313">
        <f t="shared" si="32"/>
        <v>170317.57335215877</v>
      </c>
      <c r="I78" s="313">
        <f t="shared" si="32"/>
        <v>602262.7064819145</v>
      </c>
      <c r="J78" s="313">
        <f t="shared" si="32"/>
        <v>1168205.0773299169</v>
      </c>
      <c r="K78" s="313">
        <f t="shared" si="32"/>
        <v>1915718.5970493557</v>
      </c>
      <c r="L78" s="313">
        <f t="shared" si="32"/>
        <v>2885888.8848763295</v>
      </c>
      <c r="M78" s="313">
        <f t="shared" si="32"/>
        <v>4104331.243746201</v>
      </c>
      <c r="N78" s="313">
        <f t="shared" si="32"/>
        <v>5583303.1845468804</v>
      </c>
      <c r="O78" s="313">
        <f t="shared" si="32"/>
        <v>7315595.9347121371</v>
      </c>
      <c r="P78" s="313">
        <f t="shared" si="32"/>
        <v>9269318.9797945954</v>
      </c>
      <c r="Q78" s="313">
        <f t="shared" si="32"/>
        <v>11384776.961802315</v>
      </c>
      <c r="R78" s="313">
        <f t="shared" si="32"/>
        <v>13574563.471968388</v>
      </c>
      <c r="S78" s="313">
        <f t="shared" si="32"/>
        <v>15727641.785303794</v>
      </c>
      <c r="T78" s="313">
        <f t="shared" si="32"/>
        <v>17717566.709583558</v>
      </c>
      <c r="U78" s="313">
        <f t="shared" si="32"/>
        <v>19414220.821636114</v>
      </c>
      <c r="V78" s="313">
        <f t="shared" si="32"/>
        <v>4547987.3725282513</v>
      </c>
      <c r="W78" s="313">
        <f t="shared" si="32"/>
        <v>7.4505805969238281E-9</v>
      </c>
      <c r="X78" s="313">
        <f t="shared" si="32"/>
        <v>0</v>
      </c>
      <c r="Y78" s="313">
        <f t="shared" si="32"/>
        <v>0</v>
      </c>
      <c r="Z78" s="313">
        <f t="shared" si="32"/>
        <v>0</v>
      </c>
      <c r="AA78" s="313">
        <f t="shared" si="32"/>
        <v>0</v>
      </c>
      <c r="AB78" s="313">
        <f t="shared" si="32"/>
        <v>1.1175870895385742E-8</v>
      </c>
      <c r="AC78" s="313">
        <f t="shared" si="32"/>
        <v>0</v>
      </c>
      <c r="AD78" s="313">
        <f t="shared" si="32"/>
        <v>2.4214386940002441E-8</v>
      </c>
      <c r="AE78" s="313">
        <f t="shared" si="32"/>
        <v>1.3038516044616699E-8</v>
      </c>
      <c r="AF78" s="313">
        <f t="shared" si="32"/>
        <v>5.5879354476928711E-9</v>
      </c>
      <c r="AG78" s="313">
        <f t="shared" si="32"/>
        <v>0</v>
      </c>
      <c r="AH78" s="313">
        <f t="shared" si="32"/>
        <v>628169.90505937859</v>
      </c>
      <c r="AI78" s="313">
        <f t="shared" si="32"/>
        <v>1991868.595332562</v>
      </c>
      <c r="AJ78" s="313">
        <f t="shared" si="32"/>
        <v>1439212.1074419394</v>
      </c>
      <c r="AK78" s="313">
        <f t="shared" si="32"/>
        <v>1010977.1143789361</v>
      </c>
      <c r="AL78" s="313" t="n">
        <f t="shared" ref="AL78:BQ78" si="33">MAX(0,AL$77-AL$81)</f>
        <v>1094287.4844426815</v>
      </c>
      <c r="AM78" s="313">
        <f t="shared" si="33"/>
        <v>459169.66778357344</v>
      </c>
      <c r="AN78" s="313">
        <f t="shared" si="33"/>
        <v>170317.57335218112</v>
      </c>
      <c r="AO78" s="313">
        <f t="shared" si="33"/>
        <v>0</v>
      </c>
      <c r="AP78" s="313">
        <f t="shared" si="33"/>
        <v>0</v>
      </c>
      <c r="AQ78" s="313">
        <f t="shared" si="33"/>
        <v>0</v>
      </c>
      <c r="AR78" s="313">
        <f t="shared" si="33"/>
        <v>0</v>
      </c>
      <c r="AS78" s="313">
        <f t="shared" si="33"/>
        <v>0</v>
      </c>
      <c r="AT78" s="313">
        <f t="shared" si="33"/>
        <v>0</v>
      </c>
      <c r="AU78" s="313">
        <f t="shared" si="33"/>
        <v>0</v>
      </c>
      <c r="AV78" s="313">
        <f t="shared" si="33"/>
        <v>0</v>
      </c>
      <c r="AW78" s="313">
        <f t="shared" si="33"/>
        <v>0</v>
      </c>
      <c r="AX78" s="313">
        <f t="shared" si="33"/>
        <v>0</v>
      </c>
      <c r="AY78" s="313">
        <f t="shared" si="33"/>
        <v>0</v>
      </c>
      <c r="AZ78" s="313">
        <f t="shared" si="33"/>
        <v>0</v>
      </c>
      <c r="BA78" s="313">
        <f t="shared" si="33"/>
        <v>0</v>
      </c>
      <c r="BB78" s="313">
        <f t="shared" si="33"/>
        <v>0</v>
      </c>
      <c r="BC78" s="313">
        <f t="shared" si="33"/>
        <v>0</v>
      </c>
      <c r="BD78" s="313">
        <f t="shared" si="33"/>
        <v>0</v>
      </c>
      <c r="BE78" s="313">
        <f t="shared" si="33"/>
        <v>0</v>
      </c>
      <c r="BF78" s="313">
        <f t="shared" si="33"/>
        <v>0</v>
      </c>
      <c r="BG78" s="313">
        <f t="shared" si="33"/>
        <v>0</v>
      </c>
      <c r="BH78" s="313">
        <f t="shared" si="33"/>
        <v>0</v>
      </c>
      <c r="BI78" s="313">
        <f t="shared" si="33"/>
        <v>0</v>
      </c>
      <c r="BJ78" s="313">
        <f t="shared" si="33"/>
        <v>0</v>
      </c>
      <c r="BK78" s="313">
        <f t="shared" si="33"/>
        <v>0</v>
      </c>
      <c r="BL78" s="313">
        <f t="shared" si="33"/>
        <v>0</v>
      </c>
      <c r="BM78" s="313">
        <f t="shared" si="33"/>
        <v>0</v>
      </c>
      <c r="BN78" s="313">
        <f t="shared" si="33"/>
        <v>0</v>
      </c>
      <c r="BO78" s="313">
        <f t="shared" si="33"/>
        <v>0</v>
      </c>
      <c r="BP78" s="313">
        <f t="shared" si="33"/>
        <v>0</v>
      </c>
      <c r="BQ78" s="313">
        <f t="shared" si="33"/>
        <v>0</v>
      </c>
      <c r="BR78" s="313" t="n">
        <f t="shared" ref="BR78:CW78" si="34">MAX(0,BR$77-BR$81)</f>
        <v>0</v>
      </c>
      <c r="BS78" s="313">
        <f t="shared" si="34"/>
        <v>0</v>
      </c>
      <c r="BT78" s="313">
        <f t="shared" si="34"/>
        <v>0</v>
      </c>
      <c r="BU78" s="313">
        <f t="shared" si="34"/>
        <v>0</v>
      </c>
      <c r="BV78" s="313">
        <f t="shared" si="34"/>
        <v>0</v>
      </c>
      <c r="BW78" s="313">
        <f t="shared" si="34"/>
        <v>0</v>
      </c>
      <c r="BX78" s="313">
        <f t="shared" si="34"/>
        <v>0</v>
      </c>
      <c r="BY78" s="313">
        <f t="shared" si="34"/>
        <v>0</v>
      </c>
      <c r="BZ78" s="313">
        <f t="shared" si="34"/>
        <v>0</v>
      </c>
      <c r="CA78" s="313">
        <f t="shared" si="34"/>
        <v>0</v>
      </c>
      <c r="CB78" s="313">
        <f t="shared" si="34"/>
        <v>0</v>
      </c>
      <c r="CC78" s="313">
        <f t="shared" si="34"/>
        <v>0</v>
      </c>
      <c r="CD78" s="313">
        <f t="shared" si="34"/>
        <v>0</v>
      </c>
      <c r="CE78" s="313">
        <f t="shared" si="34"/>
        <v>0</v>
      </c>
      <c r="CF78" s="313">
        <f t="shared" si="34"/>
        <v>0</v>
      </c>
      <c r="CG78" s="313">
        <f t="shared" si="34"/>
        <v>0</v>
      </c>
      <c r="CH78" s="313">
        <f t="shared" si="34"/>
        <v>0</v>
      </c>
      <c r="CI78" s="313">
        <f t="shared" si="34"/>
        <v>0</v>
      </c>
      <c r="CJ78" s="313">
        <f t="shared" si="34"/>
        <v>0</v>
      </c>
      <c r="CK78" s="313">
        <f t="shared" si="34"/>
        <v>0</v>
      </c>
      <c r="CL78" s="313">
        <f t="shared" si="34"/>
        <v>0</v>
      </c>
      <c r="CM78" s="313">
        <f t="shared" si="34"/>
        <v>0</v>
      </c>
      <c r="CN78" s="313">
        <f t="shared" si="34"/>
        <v>0</v>
      </c>
      <c r="CO78" s="313">
        <f t="shared" si="34"/>
        <v>0</v>
      </c>
      <c r="CP78" s="313">
        <f t="shared" si="34"/>
        <v>0</v>
      </c>
      <c r="CQ78" s="313">
        <f t="shared" si="34"/>
        <v>0</v>
      </c>
      <c r="CR78" s="313">
        <f t="shared" si="34"/>
        <v>0</v>
      </c>
      <c r="CS78" s="313">
        <f t="shared" si="34"/>
        <v>0</v>
      </c>
      <c r="CT78" s="313">
        <f t="shared" si="34"/>
        <v>0</v>
      </c>
      <c r="CU78" s="313">
        <f t="shared" si="34"/>
        <v>0</v>
      </c>
      <c r="CV78" s="313">
        <f t="shared" si="34"/>
        <v>0</v>
      </c>
      <c r="CW78" s="313">
        <f t="shared" si="34"/>
        <v>0</v>
      </c>
      <c r="CX78" s="313" t="n">
        <f t="shared" ref="CX78:DV78" si="35">MAX(0,CX$77-CX$81)</f>
        <v>0</v>
      </c>
      <c r="CY78" s="313">
        <f t="shared" si="35"/>
        <v>0</v>
      </c>
      <c r="CZ78" s="313">
        <f t="shared" si="35"/>
        <v>0</v>
      </c>
      <c r="DA78" s="313">
        <f t="shared" si="35"/>
        <v>0</v>
      </c>
      <c r="DB78" s="313">
        <f t="shared" si="35"/>
        <v>0</v>
      </c>
      <c r="DC78" s="313">
        <f t="shared" si="35"/>
        <v>0</v>
      </c>
      <c r="DD78" s="313">
        <f t="shared" si="35"/>
        <v>0</v>
      </c>
      <c r="DE78" s="313">
        <f t="shared" si="35"/>
        <v>0</v>
      </c>
      <c r="DF78" s="313">
        <f t="shared" si="35"/>
        <v>0</v>
      </c>
      <c r="DG78" s="313">
        <f t="shared" si="35"/>
        <v>0</v>
      </c>
      <c r="DH78" s="313">
        <f t="shared" si="35"/>
        <v>0</v>
      </c>
      <c r="DI78" s="313">
        <f t="shared" si="35"/>
        <v>0</v>
      </c>
      <c r="DJ78" s="313">
        <f t="shared" si="35"/>
        <v>0</v>
      </c>
      <c r="DK78" s="313">
        <f t="shared" si="35"/>
        <v>0</v>
      </c>
      <c r="DL78" s="313">
        <f t="shared" si="35"/>
        <v>0</v>
      </c>
      <c r="DM78" s="313">
        <f t="shared" si="35"/>
        <v>0</v>
      </c>
      <c r="DN78" s="313">
        <f t="shared" si="35"/>
        <v>0</v>
      </c>
      <c r="DO78" s="313">
        <f t="shared" si="35"/>
        <v>0</v>
      </c>
      <c r="DP78" s="313">
        <f t="shared" si="35"/>
        <v>0</v>
      </c>
      <c r="DQ78" s="313">
        <f t="shared" si="35"/>
        <v>0</v>
      </c>
      <c r="DR78" s="313">
        <f t="shared" si="35"/>
        <v>0</v>
      </c>
      <c r="DS78" s="313">
        <f t="shared" si="35"/>
        <v>0</v>
      </c>
      <c r="DT78" s="313">
        <f t="shared" si="35"/>
        <v>0</v>
      </c>
      <c r="DU78" s="313">
        <f t="shared" si="35"/>
        <v>0</v>
      </c>
      <c r="DV78" s="313">
        <f t="shared" si="35"/>
        <v>0</v>
      </c>
    </row>
    <row r="79" ht="15" customHeight="1">
      <c r="A79" s="311" t="s">
        <v>1463</v>
      </c>
      <c r="B79" s="312" t="s">
        <v>1321</v>
      </c>
      <c r="C79" s="702" t="s">
        <v>1464</v>
      </c>
      <c r="D79" s="703"/>
      <c r="F79" s="313" t="n">
        <f>IF(OR($B$7="Equity First",$B$7="Debt Last"),MAX(0,SUM($F$77:F$77)-$B$8-0),F$77*MAX(0,MIN(1,$B$10+INDEX($R$31:$R$33,MATCH($B$6,$J$31:$J$33,0)))))</f>
        <v>0</v>
      </c>
      <c r="G79" s="313" t="n">
        <f>IF(OR($B$7="Equity First",$B$7="Debt Last"),MAX(0,SUM($F$77:G$77)-$B$8-SUM($F$81:F$81)),G$77*MAX(0,MIN(1,$B$10+INDEX($R$31:$R$33,MATCH($B$6,$J$31:$J$33,0)))))</f>
        <v>0</v>
      </c>
      <c r="H79" s="313" t="n">
        <f>IF(OR($B$7="Equity First",$B$7="Debt Last"),MAX(0,SUM($F$77:H$77)-$B$8-SUM($F$81:G$81)),H$77*MAX(0,MIN(1,$B$10+INDEX($R$31:$R$33,MATCH($B$6,$J$31:$J$33,0)))))</f>
        <v>0</v>
      </c>
      <c r="I79" s="313" t="n">
        <f>IF(OR($B$7="Equity First",$B$7="Debt Last"),MAX(0,SUM($F$77:I$77)-$B$8-SUM($F$81:H$81)),I$77*MAX(0,MIN(1,$B$10+INDEX($R$31:$R$33,MATCH($B$6,$J$31:$J$33,0)))))</f>
        <v>0</v>
      </c>
      <c r="J79" s="313" t="n">
        <f>IF(OR($B$7="Equity First",$B$7="Debt Last"),MAX(0,SUM($F$77:J$77)-$B$8-SUM($F$81:I$81)),J$77*MAX(0,MIN(1,$B$10+INDEX($R$31:$R$33,MATCH($B$6,$J$31:$J$33,0)))))</f>
        <v>0</v>
      </c>
      <c r="K79" s="313" t="n">
        <f>IF(OR($B$7="Equity First",$B$7="Debt Last"),MAX(0,SUM($F$77:K$77)-$B$8-SUM($F$81:J$81)),K$77*MAX(0,MIN(1,$B$10+INDEX($R$31:$R$33,MATCH($B$6,$J$31:$J$33,0)))))</f>
        <v>0</v>
      </c>
      <c r="L79" s="313" t="n">
        <f>IF(OR($B$7="Equity First",$B$7="Debt Last"),MAX(0,SUM($F$77:L$77)-$B$8-SUM($F$81:K$81)),L$77*MAX(0,MIN(1,$B$10+INDEX($R$31:$R$33,MATCH($B$6,$J$31:$J$33,0)))))</f>
        <v>0</v>
      </c>
      <c r="M79" s="313" t="n">
        <f>IF(OR($B$7="Equity First",$B$7="Debt Last"),MAX(0,SUM($F$77:M$77)-$B$8-SUM($F$81:L$81)),M$77*MAX(0,MIN(1,$B$10+INDEX($R$31:$R$33,MATCH($B$6,$J$31:$J$33,0)))))</f>
        <v>0</v>
      </c>
      <c r="N79" s="313" t="n">
        <f>IF(OR($B$7="Equity First",$B$7="Debt Last"),MAX(0,SUM($F$77:N$77)-$B$8-SUM($F$81:M$81)),N$77*MAX(0,MIN(1,$B$10+INDEX($R$31:$R$33,MATCH($B$6,$J$31:$J$33,0)))))</f>
        <v>0</v>
      </c>
      <c r="O79" s="313" t="n">
        <f>IF(OR($B$7="Equity First",$B$7="Debt Last"),MAX(0,SUM($F$77:O$77)-$B$8-SUM($F$81:N$81)),O$77*MAX(0,MIN(1,$B$10+INDEX($R$31:$R$33,MATCH($B$6,$J$31:$J$33,0)))))</f>
        <v>0</v>
      </c>
      <c r="P79" s="313" t="n">
        <f>IF(OR($B$7="Equity First",$B$7="Debt Last"),MAX(0,SUM($F$77:P$77)-$B$8-SUM($F$81:O$81)),P$77*MAX(0,MIN(1,$B$10+INDEX($R$31:$R$33,MATCH($B$6,$J$31:$J$33,0)))))</f>
        <v>0</v>
      </c>
      <c r="Q79" s="313" t="n">
        <f>IF(OR($B$7="Equity First",$B$7="Debt Last"),MAX(0,SUM($F$77:Q$77)-$B$8-SUM($F$81:P$81)),Q$77*MAX(0,MIN(1,$B$10+INDEX($R$31:$R$33,MATCH($B$6,$J$31:$J$33,0)))))</f>
        <v>0</v>
      </c>
      <c r="R79" s="313" t="n">
        <f>IF(OR($B$7="Equity First",$B$7="Debt Last"),MAX(0,SUM($F$77:R$77)-$B$8-SUM($F$81:Q$81)),R$77*MAX(0,MIN(1,$B$10+INDEX($R$31:$R$33,MATCH($B$6,$J$31:$J$33,0)))))</f>
        <v>0</v>
      </c>
      <c r="S79" s="313" t="n">
        <f>IF(OR($B$7="Equity First",$B$7="Debt Last"),MAX(0,SUM($F$77:S$77)-$B$8-SUM($F$81:R$81)),S$77*MAX(0,MIN(1,$B$10+INDEX($R$31:$R$33,MATCH($B$6,$J$31:$J$33,0)))))</f>
        <v>0</v>
      </c>
      <c r="T79" s="313" t="n">
        <f>IF(OR($B$7="Equity First",$B$7="Debt Last"),MAX(0,SUM($F$77:T$77)-$B$8-SUM($F$81:S$81)),T$77*MAX(0,MIN(1,$B$10+INDEX($R$31:$R$33,MATCH($B$6,$J$31:$J$33,0)))))</f>
        <v>0</v>
      </c>
      <c r="U79" s="313" t="n">
        <f>IF(OR($B$7="Equity First",$B$7="Debt Last"),MAX(0,SUM($F$77:U$77)-$B$8-SUM($F$81:T$81)),U$77*MAX(0,MIN(1,$B$10+INDEX($R$31:$R$33,MATCH($B$6,$J$31:$J$33,0)))))</f>
        <v>0</v>
      </c>
      <c r="V79" s="313" t="n">
        <f>IF(OR($B$7="Equity First",$B$7="Debt Last"),MAX(0,SUM($F$77:V$77)-$B$8-SUM($F$81:U$81)),V$77*MAX(0,MIN(1,$B$10+INDEX($R$31:$R$33,MATCH($B$6,$J$31:$J$33,0)))))</f>
        <v>0</v>
      </c>
      <c r="W79" s="313" t="n">
        <f>IF(OR($B$7="Equity First",$B$7="Debt Last"),MAX(0,SUM($F$77:W$77)-$B$8-SUM($F$81:V$81)),W$77*MAX(0,MIN(1,$B$10+INDEX($R$31:$R$33,MATCH($B$6,$J$31:$J$33,0)))))</f>
        <v>0</v>
      </c>
      <c r="X79" s="313" t="n">
        <f>IF(OR($B$7="Equity First",$B$7="Debt Last"),MAX(0,SUM($F$77:X$77)-$B$8-SUM($F$81:W$81)),X$77*MAX(0,MIN(1,$B$10+INDEX($R$31:$R$33,MATCH($B$6,$J$31:$J$33,0)))))</f>
        <v>0</v>
      </c>
      <c r="Y79" s="313" t="n">
        <f>IF(OR($B$7="Equity First",$B$7="Debt Last"),MAX(0,SUM($F$77:Y$77)-$B$8-SUM($F$81:X$81)),Y$77*MAX(0,MIN(1,$B$10+INDEX($R$31:$R$33,MATCH($B$6,$J$31:$J$33,0)))))</f>
        <v>0</v>
      </c>
      <c r="Z79" s="313" t="n">
        <f>IF(OR($B$7="Equity First",$B$7="Debt Last"),MAX(0,SUM($F$77:Z$77)-$B$8-SUM($F$81:Y$81)),Z$77*MAX(0,MIN(1,$B$10+INDEX($R$31:$R$33,MATCH($B$6,$J$31:$J$33,0)))))</f>
        <v>0</v>
      </c>
      <c r="AA79" s="313" t="n">
        <f>IF(OR($B$7="Equity First",$B$7="Debt Last"),MAX(0,SUM($F$77:AA$77)-$B$8-SUM($F$81:Z$81)),AA$77*MAX(0,MIN(1,$B$10+INDEX($R$31:$R$33,MATCH($B$6,$J$31:$J$33,0)))))</f>
        <v>0</v>
      </c>
      <c r="AB79" s="313" t="n">
        <f>IF(OR($B$7="Equity First",$B$7="Debt Last"),MAX(0,SUM($F$77:AB$77)-$B$8-SUM($F$81:AA$81)),AB$77*MAX(0,MIN(1,$B$10+INDEX($R$31:$R$33,MATCH($B$6,$J$31:$J$33,0)))))</f>
        <v>0</v>
      </c>
      <c r="AC79" s="313" t="n">
        <f>IF(OR($B$7="Equity First",$B$7="Debt Last"),MAX(0,SUM($F$77:AC$77)-$B$8-SUM($F$81:AB$81)),AC$77*MAX(0,MIN(1,$B$10+INDEX($R$31:$R$33,MATCH($B$6,$J$31:$J$33,0)))))</f>
        <v>0</v>
      </c>
      <c r="AD79" s="313" t="n">
        <f>IF(OR($B$7="Equity First",$B$7="Debt Last"),MAX(0,SUM($F$77:AD$77)-$B$8-SUM($F$81:AC$81)),AD$77*MAX(0,MIN(1,$B$10+INDEX($R$31:$R$33,MATCH($B$6,$J$31:$J$33,0)))))</f>
        <v>0</v>
      </c>
      <c r="AE79" s="313" t="n">
        <f>IF(OR($B$7="Equity First",$B$7="Debt Last"),MAX(0,SUM($F$77:AE$77)-$B$8-SUM($F$81:AD$81)),AE$77*MAX(0,MIN(1,$B$10+INDEX($R$31:$R$33,MATCH($B$6,$J$31:$J$33,0)))))</f>
        <v>0</v>
      </c>
      <c r="AF79" s="313" t="n">
        <f>IF(OR($B$7="Equity First",$B$7="Debt Last"),MAX(0,SUM($F$77:AF$77)-$B$8-SUM($F$81:AE$81)),AF$77*MAX(0,MIN(1,$B$10+INDEX($R$31:$R$33,MATCH($B$6,$J$31:$J$33,0)))))</f>
        <v>0</v>
      </c>
      <c r="AG79" s="313" t="n">
        <f>IF(OR($B$7="Equity First",$B$7="Debt Last"),MAX(0,SUM($F$77:AG$77)-$B$8-SUM($F$81:AF$81)),AG$77*MAX(0,MIN(1,$B$10+INDEX($R$31:$R$33,MATCH($B$6,$J$31:$J$33,0)))))</f>
        <v>0</v>
      </c>
      <c r="AH79" s="313" t="n">
        <f>IF(OR($B$7="Equity First",$B$7="Debt Last"),MAX(0,SUM($F$77:AH$77)-$B$8-SUM($F$81:AG$81)),AH$77*MAX(0,MIN(1,$B$10+INDEX($R$31:$R$33,MATCH($B$6,$J$31:$J$33,0)))))</f>
        <v>0</v>
      </c>
      <c r="AI79" s="313" t="n">
        <f>IF(OR($B$7="Equity First",$B$7="Debt Last"),MAX(0,SUM($F$77:AI$77)-$B$8-SUM($F$81:AH$81)),AI$77*MAX(0,MIN(1,$B$10+INDEX($R$31:$R$33,MATCH($B$6,$J$31:$J$33,0)))))</f>
        <v>0</v>
      </c>
      <c r="AJ79" s="313" t="n">
        <f>IF(OR($B$7="Equity First",$B$7="Debt Last"),MAX(0,SUM($F$77:AJ$77)-$B$8-SUM($F$81:AI$81)),AJ$77*MAX(0,MIN(1,$B$10+INDEX($R$31:$R$33,MATCH($B$6,$J$31:$J$33,0)))))</f>
        <v>0</v>
      </c>
      <c r="AK79" s="313" t="n">
        <f>IF(OR($B$7="Equity First",$B$7="Debt Last"),MAX(0,SUM($F$77:AK$77)-$B$8-SUM($F$81:AJ$81)),AK$77*MAX(0,MIN(1,$B$10+INDEX($R$31:$R$33,MATCH($B$6,$J$31:$J$33,0)))))</f>
        <v>0</v>
      </c>
      <c r="AL79" s="313" t="n">
        <f>IF(OR($B$7="Equity First",$B$7="Debt Last"),MAX(0,SUM($F$77:AL$77)-$B$8-SUM($F$81:AK$81)),AL$77*MAX(0,MIN(1,$B$10+INDEX($R$31:$R$33,MATCH($B$6,$J$31:$J$33,0)))))</f>
        <v>0</v>
      </c>
      <c r="AM79" s="313" t="n">
        <f>IF(OR($B$7="Equity First",$B$7="Debt Last"),MAX(0,SUM($F$77:AM$77)-$B$8-SUM($F$81:AL$81)),AM$77*MAX(0,MIN(1,$B$10+INDEX($R$31:$R$33,MATCH($B$6,$J$31:$J$33,0)))))</f>
        <v>0</v>
      </c>
      <c r="AN79" s="313" t="n">
        <f>IF(OR($B$7="Equity First",$B$7="Debt Last"),MAX(0,SUM($F$77:AN$77)-$B$8-SUM($F$81:AM$81)),AN$77*MAX(0,MIN(1,$B$10+INDEX($R$31:$R$33,MATCH($B$6,$J$31:$J$33,0)))))</f>
        <v>0</v>
      </c>
      <c r="AO79" s="313" t="n">
        <f>IF(OR($B$7="Equity First",$B$7="Debt Last"),MAX(0,SUM($F$77:AO$77)-$B$8-SUM($F$81:AN$81)),AO$77*MAX(0,MIN(1,$B$10+INDEX($R$31:$R$33,MATCH($B$6,$J$31:$J$33,0)))))</f>
        <v>0</v>
      </c>
      <c r="AP79" s="313" t="n">
        <f>IF(OR($B$7="Equity First",$B$7="Debt Last"),MAX(0,SUM($F$77:AP$77)-$B$8-SUM($F$81:AO$81)),AP$77*MAX(0,MIN(1,$B$10+INDEX($R$31:$R$33,MATCH($B$6,$J$31:$J$33,0)))))</f>
        <v>0</v>
      </c>
      <c r="AQ79" s="313" t="n">
        <f>IF(OR($B$7="Equity First",$B$7="Debt Last"),MAX(0,SUM($F$77:AQ$77)-$B$8-SUM($F$81:AP$81)),AQ$77*MAX(0,MIN(1,$B$10+INDEX($R$31:$R$33,MATCH($B$6,$J$31:$J$33,0)))))</f>
        <v>0</v>
      </c>
      <c r="AR79" s="313" t="n">
        <f>IF(OR($B$7="Equity First",$B$7="Debt Last"),MAX(0,SUM($F$77:AR$77)-$B$8-SUM($F$81:AQ$81)),AR$77*MAX(0,MIN(1,$B$10+INDEX($R$31:$R$33,MATCH($B$6,$J$31:$J$33,0)))))</f>
        <v>0</v>
      </c>
      <c r="AS79" s="313" t="n">
        <f>IF(OR($B$7="Equity First",$B$7="Debt Last"),MAX(0,SUM($F$77:AS$77)-$B$8-SUM($F$81:AR$81)),AS$77*MAX(0,MIN(1,$B$10+INDEX($R$31:$R$33,MATCH($B$6,$J$31:$J$33,0)))))</f>
        <v>0</v>
      </c>
      <c r="AT79" s="313" t="n">
        <f>IF(OR($B$7="Equity First",$B$7="Debt Last"),MAX(0,SUM($F$77:AT$77)-$B$8-SUM($F$81:AS$81)),AT$77*MAX(0,MIN(1,$B$10+INDEX($R$31:$R$33,MATCH($B$6,$J$31:$J$33,0)))))</f>
        <v>0</v>
      </c>
      <c r="AU79" s="313" t="n">
        <f>IF(OR($B$7="Equity First",$B$7="Debt Last"),MAX(0,SUM($F$77:AU$77)-$B$8-SUM($F$81:AT$81)),AU$77*MAX(0,MIN(1,$B$10+INDEX($R$31:$R$33,MATCH($B$6,$J$31:$J$33,0)))))</f>
        <v>0</v>
      </c>
      <c r="AV79" s="313" t="n">
        <f>IF(OR($B$7="Equity First",$B$7="Debt Last"),MAX(0,SUM($F$77:AV$77)-$B$8-SUM($F$81:AU$81)),AV$77*MAX(0,MIN(1,$B$10+INDEX($R$31:$R$33,MATCH($B$6,$J$31:$J$33,0)))))</f>
        <v>0</v>
      </c>
      <c r="AW79" s="313" t="n">
        <f>IF(OR($B$7="Equity First",$B$7="Debt Last"),MAX(0,SUM($F$77:AW$77)-$B$8-SUM($F$81:AV$81)),AW$77*MAX(0,MIN(1,$B$10+INDEX($R$31:$R$33,MATCH($B$6,$J$31:$J$33,0)))))</f>
        <v>0</v>
      </c>
      <c r="AX79" s="313" t="n">
        <f>IF(OR($B$7="Equity First",$B$7="Debt Last"),MAX(0,SUM($F$77:AX$77)-$B$8-SUM($F$81:AW$81)),AX$77*MAX(0,MIN(1,$B$10+INDEX($R$31:$R$33,MATCH($B$6,$J$31:$J$33,0)))))</f>
        <v>0</v>
      </c>
      <c r="AY79" s="313" t="n">
        <f>IF(OR($B$7="Equity First",$B$7="Debt Last"),MAX(0,SUM($F$77:AY$77)-$B$8-SUM($F$81:AX$81)),AY$77*MAX(0,MIN(1,$B$10+INDEX($R$31:$R$33,MATCH($B$6,$J$31:$J$33,0)))))</f>
        <v>0</v>
      </c>
      <c r="AZ79" s="313" t="n">
        <f>IF(OR($B$7="Equity First",$B$7="Debt Last"),MAX(0,SUM($F$77:AZ$77)-$B$8-SUM($F$81:AY$81)),AZ$77*MAX(0,MIN(1,$B$10+INDEX($R$31:$R$33,MATCH($B$6,$J$31:$J$33,0)))))</f>
        <v>0</v>
      </c>
      <c r="BA79" s="313" t="n">
        <f>IF(OR($B$7="Equity First",$B$7="Debt Last"),MAX(0,SUM($F$77:BA$77)-$B$8-SUM($F$81:AZ$81)),BA$77*MAX(0,MIN(1,$B$10+INDEX($R$31:$R$33,MATCH($B$6,$J$31:$J$33,0)))))</f>
        <v>0</v>
      </c>
      <c r="BB79" s="313" t="n">
        <f>IF(OR($B$7="Equity First",$B$7="Debt Last"),MAX(0,SUM($F$77:BB$77)-$B$8-SUM($F$81:BA$81)),BB$77*MAX(0,MIN(1,$B$10+INDEX($R$31:$R$33,MATCH($B$6,$J$31:$J$33,0)))))</f>
        <v>0</v>
      </c>
      <c r="BC79" s="313" t="n">
        <f>IF(OR($B$7="Equity First",$B$7="Debt Last"),MAX(0,SUM($F$77:BC$77)-$B$8-SUM($F$81:BB$81)),BC$77*MAX(0,MIN(1,$B$10+INDEX($R$31:$R$33,MATCH($B$6,$J$31:$J$33,0)))))</f>
        <v>0</v>
      </c>
      <c r="BD79" s="313" t="n">
        <f>IF(OR($B$7="Equity First",$B$7="Debt Last"),MAX(0,SUM($F$77:BD$77)-$B$8-SUM($F$81:BC$81)),BD$77*MAX(0,MIN(1,$B$10+INDEX($R$31:$R$33,MATCH($B$6,$J$31:$J$33,0)))))</f>
        <v>0</v>
      </c>
      <c r="BE79" s="313" t="n">
        <f>IF(OR($B$7="Equity First",$B$7="Debt Last"),MAX(0,SUM($F$77:BE$77)-$B$8-SUM($F$81:BD$81)),BE$77*MAX(0,MIN(1,$B$10+INDEX($R$31:$R$33,MATCH($B$6,$J$31:$J$33,0)))))</f>
        <v>0</v>
      </c>
      <c r="BF79" s="313" t="n">
        <f>IF(OR($B$7="Equity First",$B$7="Debt Last"),MAX(0,SUM($F$77:BF$77)-$B$8-SUM($F$81:BE$81)),BF$77*MAX(0,MIN(1,$B$10+INDEX($R$31:$R$33,MATCH($B$6,$J$31:$J$33,0)))))</f>
        <v>0</v>
      </c>
      <c r="BG79" s="313" t="n">
        <f>IF(OR($B$7="Equity First",$B$7="Debt Last"),MAX(0,SUM($F$77:BG$77)-$B$8-SUM($F$81:BF$81)),BG$77*MAX(0,MIN(1,$B$10+INDEX($R$31:$R$33,MATCH($B$6,$J$31:$J$33,0)))))</f>
        <v>0</v>
      </c>
      <c r="BH79" s="313" t="n">
        <f>IF(OR($B$7="Equity First",$B$7="Debt Last"),MAX(0,SUM($F$77:BH$77)-$B$8-SUM($F$81:BG$81)),BH$77*MAX(0,MIN(1,$B$10+INDEX($R$31:$R$33,MATCH($B$6,$J$31:$J$33,0)))))</f>
        <v>0</v>
      </c>
      <c r="BI79" s="313" t="n">
        <f>IF(OR($B$7="Equity First",$B$7="Debt Last"),MAX(0,SUM($F$77:BI$77)-$B$8-SUM($F$81:BH$81)),BI$77*MAX(0,MIN(1,$B$10+INDEX($R$31:$R$33,MATCH($B$6,$J$31:$J$33,0)))))</f>
        <v>0</v>
      </c>
      <c r="BJ79" s="313" t="n">
        <f>IF(OR($B$7="Equity First",$B$7="Debt Last"),MAX(0,SUM($F$77:BJ$77)-$B$8-SUM($F$81:BI$81)),BJ$77*MAX(0,MIN(1,$B$10+INDEX($R$31:$R$33,MATCH($B$6,$J$31:$J$33,0)))))</f>
        <v>0</v>
      </c>
      <c r="BK79" s="313" t="n">
        <f>IF(OR($B$7="Equity First",$B$7="Debt Last"),MAX(0,SUM($F$77:BK$77)-$B$8-SUM($F$81:BJ$81)),BK$77*MAX(0,MIN(1,$B$10+INDEX($R$31:$R$33,MATCH($B$6,$J$31:$J$33,0)))))</f>
        <v>0</v>
      </c>
      <c r="BL79" s="313" t="n">
        <f>IF(OR($B$7="Equity First",$B$7="Debt Last"),MAX(0,SUM($F$77:BL$77)-$B$8-SUM($F$81:BK$81)),BL$77*MAX(0,MIN(1,$B$10+INDEX($R$31:$R$33,MATCH($B$6,$J$31:$J$33,0)))))</f>
        <v>0</v>
      </c>
      <c r="BM79" s="313" t="n">
        <f>IF(OR($B$7="Equity First",$B$7="Debt Last"),MAX(0,SUM($F$77:BM$77)-$B$8-SUM($F$81:BL$81)),BM$77*MAX(0,MIN(1,$B$10+INDEX($R$31:$R$33,MATCH($B$6,$J$31:$J$33,0)))))</f>
        <v>0</v>
      </c>
      <c r="BN79" s="313" t="n">
        <f>IF(OR($B$7="Equity First",$B$7="Debt Last"),MAX(0,SUM($F$77:BN$77)-$B$8-SUM($F$81:BM$81)),BN$77*MAX(0,MIN(1,$B$10+INDEX($R$31:$R$33,MATCH($B$6,$J$31:$J$33,0)))))</f>
        <v>0</v>
      </c>
      <c r="BO79" s="313" t="n">
        <f>IF(OR($B$7="Equity First",$B$7="Debt Last"),MAX(0,SUM($F$77:BO$77)-$B$8-SUM($F$81:BN$81)),BO$77*MAX(0,MIN(1,$B$10+INDEX($R$31:$R$33,MATCH($B$6,$J$31:$J$33,0)))))</f>
        <v>0</v>
      </c>
      <c r="BP79" s="313" t="n">
        <f>IF(OR($B$7="Equity First",$B$7="Debt Last"),MAX(0,SUM($F$77:BP$77)-$B$8-SUM($F$81:BO$81)),BP$77*MAX(0,MIN(1,$B$10+INDEX($R$31:$R$33,MATCH($B$6,$J$31:$J$33,0)))))</f>
        <v>0</v>
      </c>
      <c r="BQ79" s="313" t="n">
        <f>IF(OR($B$7="Equity First",$B$7="Debt Last"),MAX(0,SUM($F$77:BQ$77)-$B$8-SUM($F$81:BP$81)),BQ$77*MAX(0,MIN(1,$B$10+INDEX($R$31:$R$33,MATCH($B$6,$J$31:$J$33,0)))))</f>
        <v>0</v>
      </c>
      <c r="BR79" s="313" t="n">
        <f>IF(OR($B$7="Equity First",$B$7="Debt Last"),MAX(0,SUM($F$77:BR$77)-$B$8-SUM($F$81:BQ$81)),BR$77*MAX(0,MIN(1,$B$10+INDEX($R$31:$R$33,MATCH($B$6,$J$31:$J$33,0)))))</f>
        <v>0</v>
      </c>
      <c r="BS79" s="313" t="n">
        <f>IF(OR($B$7="Equity First",$B$7="Debt Last"),MAX(0,SUM($F$77:BS$77)-$B$8-SUM($F$81:BR$81)),BS$77*MAX(0,MIN(1,$B$10+INDEX($R$31:$R$33,MATCH($B$6,$J$31:$J$33,0)))))</f>
        <v>0</v>
      </c>
      <c r="BT79" s="313" t="n">
        <f>IF(OR($B$7="Equity First",$B$7="Debt Last"),MAX(0,SUM($F$77:BT$77)-$B$8-SUM($F$81:BS$81)),BT$77*MAX(0,MIN(1,$B$10+INDEX($R$31:$R$33,MATCH($B$6,$J$31:$J$33,0)))))</f>
        <v>0</v>
      </c>
      <c r="BU79" s="313" t="n">
        <f>IF(OR($B$7="Equity First",$B$7="Debt Last"),MAX(0,SUM($F$77:BU$77)-$B$8-SUM($F$81:BT$81)),BU$77*MAX(0,MIN(1,$B$10+INDEX($R$31:$R$33,MATCH($B$6,$J$31:$J$33,0)))))</f>
        <v>0</v>
      </c>
      <c r="BV79" s="313" t="n">
        <f>IF(OR($B$7="Equity First",$B$7="Debt Last"),MAX(0,SUM($F$77:BV$77)-$B$8-SUM($F$81:BU$81)),BV$77*MAX(0,MIN(1,$B$10+INDEX($R$31:$R$33,MATCH($B$6,$J$31:$J$33,0)))))</f>
        <v>0</v>
      </c>
      <c r="BW79" s="313" t="n">
        <f>IF(OR($B$7="Equity First",$B$7="Debt Last"),MAX(0,SUM($F$77:BW$77)-$B$8-SUM($F$81:BV$81)),BW$77*MAX(0,MIN(1,$B$10+INDEX($R$31:$R$33,MATCH($B$6,$J$31:$J$33,0)))))</f>
        <v>0</v>
      </c>
      <c r="BX79" s="313" t="n">
        <f>IF(OR($B$7="Equity First",$B$7="Debt Last"),MAX(0,SUM($F$77:BX$77)-$B$8-SUM($F$81:BW$81)),BX$77*MAX(0,MIN(1,$B$10+INDEX($R$31:$R$33,MATCH($B$6,$J$31:$J$33,0)))))</f>
        <v>0</v>
      </c>
      <c r="BY79" s="313" t="n">
        <f>IF(OR($B$7="Equity First",$B$7="Debt Last"),MAX(0,SUM($F$77:BY$77)-$B$8-SUM($F$81:BX$81)),BY$77*MAX(0,MIN(1,$B$10+INDEX($R$31:$R$33,MATCH($B$6,$J$31:$J$33,0)))))</f>
        <v>0</v>
      </c>
      <c r="BZ79" s="313" t="n">
        <f>IF(OR($B$7="Equity First",$B$7="Debt Last"),MAX(0,SUM($F$77:BZ$77)-$B$8-SUM($F$81:BY$81)),BZ$77*MAX(0,MIN(1,$B$10+INDEX($R$31:$R$33,MATCH($B$6,$J$31:$J$33,0)))))</f>
        <v>0</v>
      </c>
      <c r="CA79" s="313" t="n">
        <f>IF(OR($B$7="Equity First",$B$7="Debt Last"),MAX(0,SUM($F$77:CA$77)-$B$8-SUM($F$81:BZ$81)),CA$77*MAX(0,MIN(1,$B$10+INDEX($R$31:$R$33,MATCH($B$6,$J$31:$J$33,0)))))</f>
        <v>0</v>
      </c>
      <c r="CB79" s="313" t="n">
        <f>IF(OR($B$7="Equity First",$B$7="Debt Last"),MAX(0,SUM($F$77:CB$77)-$B$8-SUM($F$81:CA$81)),CB$77*MAX(0,MIN(1,$B$10+INDEX($R$31:$R$33,MATCH($B$6,$J$31:$J$33,0)))))</f>
        <v>0</v>
      </c>
      <c r="CC79" s="313" t="n">
        <f>IF(OR($B$7="Equity First",$B$7="Debt Last"),MAX(0,SUM($F$77:CC$77)-$B$8-SUM($F$81:CB$81)),CC$77*MAX(0,MIN(1,$B$10+INDEX($R$31:$R$33,MATCH($B$6,$J$31:$J$33,0)))))</f>
        <v>0</v>
      </c>
      <c r="CD79" s="313" t="n">
        <f>IF(OR($B$7="Equity First",$B$7="Debt Last"),MAX(0,SUM($F$77:CD$77)-$B$8-SUM($F$81:CC$81)),CD$77*MAX(0,MIN(1,$B$10+INDEX($R$31:$R$33,MATCH($B$6,$J$31:$J$33,0)))))</f>
        <v>0</v>
      </c>
      <c r="CE79" s="313" t="n">
        <f>IF(OR($B$7="Equity First",$B$7="Debt Last"),MAX(0,SUM($F$77:CE$77)-$B$8-SUM($F$81:CD$81)),CE$77*MAX(0,MIN(1,$B$10+INDEX($R$31:$R$33,MATCH($B$6,$J$31:$J$33,0)))))</f>
        <v>0</v>
      </c>
      <c r="CF79" s="313" t="n">
        <f>IF(OR($B$7="Equity First",$B$7="Debt Last"),MAX(0,SUM($F$77:CF$77)-$B$8-SUM($F$81:CE$81)),CF$77*MAX(0,MIN(1,$B$10+INDEX($R$31:$R$33,MATCH($B$6,$J$31:$J$33,0)))))</f>
        <v>0</v>
      </c>
      <c r="CG79" s="313" t="n">
        <f>IF(OR($B$7="Equity First",$B$7="Debt Last"),MAX(0,SUM($F$77:CG$77)-$B$8-SUM($F$81:CF$81)),CG$77*MAX(0,MIN(1,$B$10+INDEX($R$31:$R$33,MATCH($B$6,$J$31:$J$33,0)))))</f>
        <v>0</v>
      </c>
      <c r="CH79" s="313" t="n">
        <f>IF(OR($B$7="Equity First",$B$7="Debt Last"),MAX(0,SUM($F$77:CH$77)-$B$8-SUM($F$81:CG$81)),CH$77*MAX(0,MIN(1,$B$10+INDEX($R$31:$R$33,MATCH($B$6,$J$31:$J$33,0)))))</f>
        <v>0</v>
      </c>
      <c r="CI79" s="313" t="n">
        <f>IF(OR($B$7="Equity First",$B$7="Debt Last"),MAX(0,SUM($F$77:CI$77)-$B$8-SUM($F$81:CH$81)),CI$77*MAX(0,MIN(1,$B$10+INDEX($R$31:$R$33,MATCH($B$6,$J$31:$J$33,0)))))</f>
        <v>0</v>
      </c>
      <c r="CJ79" s="313" t="n">
        <f>IF(OR($B$7="Equity First",$B$7="Debt Last"),MAX(0,SUM($F$77:CJ$77)-$B$8-SUM($F$81:CI$81)),CJ$77*MAX(0,MIN(1,$B$10+INDEX($R$31:$R$33,MATCH($B$6,$J$31:$J$33,0)))))</f>
        <v>0</v>
      </c>
      <c r="CK79" s="313" t="n">
        <f>IF(OR($B$7="Equity First",$B$7="Debt Last"),MAX(0,SUM($F$77:CK$77)-$B$8-SUM($F$81:CJ$81)),CK$77*MAX(0,MIN(1,$B$10+INDEX($R$31:$R$33,MATCH($B$6,$J$31:$J$33,0)))))</f>
        <v>0</v>
      </c>
      <c r="CL79" s="313" t="n">
        <f>IF(OR($B$7="Equity First",$B$7="Debt Last"),MAX(0,SUM($F$77:CL$77)-$B$8-SUM($F$81:CK$81)),CL$77*MAX(0,MIN(1,$B$10+INDEX($R$31:$R$33,MATCH($B$6,$J$31:$J$33,0)))))</f>
        <v>0</v>
      </c>
      <c r="CM79" s="313" t="n">
        <f>IF(OR($B$7="Equity First",$B$7="Debt Last"),MAX(0,SUM($F$77:CM$77)-$B$8-SUM($F$81:CL$81)),CM$77*MAX(0,MIN(1,$B$10+INDEX($R$31:$R$33,MATCH($B$6,$J$31:$J$33,0)))))</f>
        <v>0</v>
      </c>
      <c r="CN79" s="313" t="n">
        <f>IF(OR($B$7="Equity First",$B$7="Debt Last"),MAX(0,SUM($F$77:CN$77)-$B$8-SUM($F$81:CM$81)),CN$77*MAX(0,MIN(1,$B$10+INDEX($R$31:$R$33,MATCH($B$6,$J$31:$J$33,0)))))</f>
        <v>0</v>
      </c>
      <c r="CO79" s="313" t="n">
        <f>IF(OR($B$7="Equity First",$B$7="Debt Last"),MAX(0,SUM($F$77:CO$77)-$B$8-SUM($F$81:CN$81)),CO$77*MAX(0,MIN(1,$B$10+INDEX($R$31:$R$33,MATCH($B$6,$J$31:$J$33,0)))))</f>
        <v>0</v>
      </c>
      <c r="CP79" s="313" t="n">
        <f>IF(OR($B$7="Equity First",$B$7="Debt Last"),MAX(0,SUM($F$77:CP$77)-$B$8-SUM($F$81:CO$81)),CP$77*MAX(0,MIN(1,$B$10+INDEX($R$31:$R$33,MATCH($B$6,$J$31:$J$33,0)))))</f>
        <v>0</v>
      </c>
      <c r="CQ79" s="313" t="n">
        <f>IF(OR($B$7="Equity First",$B$7="Debt Last"),MAX(0,SUM($F$77:CQ$77)-$B$8-SUM($F$81:CP$81)),CQ$77*MAX(0,MIN(1,$B$10+INDEX($R$31:$R$33,MATCH($B$6,$J$31:$J$33,0)))))</f>
        <v>0</v>
      </c>
      <c r="CR79" s="313" t="n">
        <f>IF(OR($B$7="Equity First",$B$7="Debt Last"),MAX(0,SUM($F$77:CR$77)-$B$8-SUM($F$81:CQ$81)),CR$77*MAX(0,MIN(1,$B$10+INDEX($R$31:$R$33,MATCH($B$6,$J$31:$J$33,0)))))</f>
        <v>0</v>
      </c>
      <c r="CS79" s="313" t="n">
        <f>IF(OR($B$7="Equity First",$B$7="Debt Last"),MAX(0,SUM($F$77:CS$77)-$B$8-SUM($F$81:CR$81)),CS$77*MAX(0,MIN(1,$B$10+INDEX($R$31:$R$33,MATCH($B$6,$J$31:$J$33,0)))))</f>
        <v>0</v>
      </c>
      <c r="CT79" s="313" t="n">
        <f>IF(OR($B$7="Equity First",$B$7="Debt Last"),MAX(0,SUM($F$77:CT$77)-$B$8-SUM($F$81:CS$81)),CT$77*MAX(0,MIN(1,$B$10+INDEX($R$31:$R$33,MATCH($B$6,$J$31:$J$33,0)))))</f>
        <v>0</v>
      </c>
      <c r="CU79" s="313" t="n">
        <f>IF(OR($B$7="Equity First",$B$7="Debt Last"),MAX(0,SUM($F$77:CU$77)-$B$8-SUM($F$81:CT$81)),CU$77*MAX(0,MIN(1,$B$10+INDEX($R$31:$R$33,MATCH($B$6,$J$31:$J$33,0)))))</f>
        <v>0</v>
      </c>
      <c r="CV79" s="313" t="n">
        <f>IF(OR($B$7="Equity First",$B$7="Debt Last"),MAX(0,SUM($F$77:CV$77)-$B$8-SUM($F$81:CU$81)),CV$77*MAX(0,MIN(1,$B$10+INDEX($R$31:$R$33,MATCH($B$6,$J$31:$J$33,0)))))</f>
        <v>0</v>
      </c>
      <c r="CW79" s="313" t="n">
        <f>IF(OR($B$7="Equity First",$B$7="Debt Last"),MAX(0,SUM($F$77:CW$77)-$B$8-SUM($F$81:CV$81)),CW$77*MAX(0,MIN(1,$B$10+INDEX($R$31:$R$33,MATCH($B$6,$J$31:$J$33,0)))))</f>
        <v>0</v>
      </c>
      <c r="CX79" s="313" t="n">
        <f>IF(OR($B$7="Equity First",$B$7="Debt Last"),MAX(0,SUM($F$77:CX$77)-$B$8-SUM($F$81:CW$81)),CX$77*MAX(0,MIN(1,$B$10+INDEX($R$31:$R$33,MATCH($B$6,$J$31:$J$33,0)))))</f>
        <v>0</v>
      </c>
      <c r="CY79" s="313" t="n">
        <f>IF(OR($B$7="Equity First",$B$7="Debt Last"),MAX(0,SUM($F$77:CY$77)-$B$8-SUM($F$81:CX$81)),CY$77*MAX(0,MIN(1,$B$10+INDEX($R$31:$R$33,MATCH($B$6,$J$31:$J$33,0)))))</f>
        <v>0</v>
      </c>
      <c r="CZ79" s="313" t="n">
        <f>IF(OR($B$7="Equity First",$B$7="Debt Last"),MAX(0,SUM($F$77:CZ$77)-$B$8-SUM($F$81:CY$81)),CZ$77*MAX(0,MIN(1,$B$10+INDEX($R$31:$R$33,MATCH($B$6,$J$31:$J$33,0)))))</f>
        <v>0</v>
      </c>
      <c r="DA79" s="313" t="n">
        <f>IF(OR($B$7="Equity First",$B$7="Debt Last"),MAX(0,SUM($F$77:DA$77)-$B$8-SUM($F$81:CZ$81)),DA$77*MAX(0,MIN(1,$B$10+INDEX($R$31:$R$33,MATCH($B$6,$J$31:$J$33,0)))))</f>
        <v>0</v>
      </c>
      <c r="DB79" s="313" t="n">
        <f>IF(OR($B$7="Equity First",$B$7="Debt Last"),MAX(0,SUM($F$77:DB$77)-$B$8-SUM($F$81:DA$81)),DB$77*MAX(0,MIN(1,$B$10+INDEX($R$31:$R$33,MATCH($B$6,$J$31:$J$33,0)))))</f>
        <v>0</v>
      </c>
      <c r="DC79" s="313" t="n">
        <f>IF(OR($B$7="Equity First",$B$7="Debt Last"),MAX(0,SUM($F$77:DC$77)-$B$8-SUM($F$81:DB$81)),DC$77*MAX(0,MIN(1,$B$10+INDEX($R$31:$R$33,MATCH($B$6,$J$31:$J$33,0)))))</f>
        <v>0</v>
      </c>
      <c r="DD79" s="313" t="n">
        <f>IF(OR($B$7="Equity First",$B$7="Debt Last"),MAX(0,SUM($F$77:DD$77)-$B$8-SUM($F$81:DC$81)),DD$77*MAX(0,MIN(1,$B$10+INDEX($R$31:$R$33,MATCH($B$6,$J$31:$J$33,0)))))</f>
        <v>0</v>
      </c>
      <c r="DE79" s="313" t="n">
        <f>IF(OR($B$7="Equity First",$B$7="Debt Last"),MAX(0,SUM($F$77:DE$77)-$B$8-SUM($F$81:DD$81)),DE$77*MAX(0,MIN(1,$B$10+INDEX($R$31:$R$33,MATCH($B$6,$J$31:$J$33,0)))))</f>
        <v>0</v>
      </c>
      <c r="DF79" s="313" t="n">
        <f>IF(OR($B$7="Equity First",$B$7="Debt Last"),MAX(0,SUM($F$77:DF$77)-$B$8-SUM($F$81:DE$81)),DF$77*MAX(0,MIN(1,$B$10+INDEX($R$31:$R$33,MATCH($B$6,$J$31:$J$33,0)))))</f>
        <v>0</v>
      </c>
      <c r="DG79" s="313" t="n">
        <f>IF(OR($B$7="Equity First",$B$7="Debt Last"),MAX(0,SUM($F$77:DG$77)-$B$8-SUM($F$81:DF$81)),DG$77*MAX(0,MIN(1,$B$10+INDEX($R$31:$R$33,MATCH($B$6,$J$31:$J$33,0)))))</f>
        <v>0</v>
      </c>
      <c r="DH79" s="313" t="n">
        <f>IF(OR($B$7="Equity First",$B$7="Debt Last"),MAX(0,SUM($F$77:DH$77)-$B$8-SUM($F$81:DG$81)),DH$77*MAX(0,MIN(1,$B$10+INDEX($R$31:$R$33,MATCH($B$6,$J$31:$J$33,0)))))</f>
        <v>0</v>
      </c>
      <c r="DI79" s="313" t="n">
        <f>IF(OR($B$7="Equity First",$B$7="Debt Last"),MAX(0,SUM($F$77:DI$77)-$B$8-SUM($F$81:DH$81)),DI$77*MAX(0,MIN(1,$B$10+INDEX($R$31:$R$33,MATCH($B$6,$J$31:$J$33,0)))))</f>
        <v>0</v>
      </c>
      <c r="DJ79" s="313" t="n">
        <f>IF(OR($B$7="Equity First",$B$7="Debt Last"),MAX(0,SUM($F$77:DJ$77)-$B$8-SUM($F$81:DI$81)),DJ$77*MAX(0,MIN(1,$B$10+INDEX($R$31:$R$33,MATCH($B$6,$J$31:$J$33,0)))))</f>
        <v>0</v>
      </c>
      <c r="DK79" s="313" t="n">
        <f>IF(OR($B$7="Equity First",$B$7="Debt Last"),MAX(0,SUM($F$77:DK$77)-$B$8-SUM($F$81:DJ$81)),DK$77*MAX(0,MIN(1,$B$10+INDEX($R$31:$R$33,MATCH($B$6,$J$31:$J$33,0)))))</f>
        <v>0</v>
      </c>
      <c r="DL79" s="313" t="n">
        <f>IF(OR($B$7="Equity First",$B$7="Debt Last"),MAX(0,SUM($F$77:DL$77)-$B$8-SUM($F$81:DK$81)),DL$77*MAX(0,MIN(1,$B$10+INDEX($R$31:$R$33,MATCH($B$6,$J$31:$J$33,0)))))</f>
        <v>0</v>
      </c>
      <c r="DM79" s="313" t="n">
        <f>IF(OR($B$7="Equity First",$B$7="Debt Last"),MAX(0,SUM($F$77:DM$77)-$B$8-SUM($F$81:DL$81)),DM$77*MAX(0,MIN(1,$B$10+INDEX($R$31:$R$33,MATCH($B$6,$J$31:$J$33,0)))))</f>
        <v>0</v>
      </c>
      <c r="DN79" s="313" t="n">
        <f>IF(OR($B$7="Equity First",$B$7="Debt Last"),MAX(0,SUM($F$77:DN$77)-$B$8-SUM($F$81:DM$81)),DN$77*MAX(0,MIN(1,$B$10+INDEX($R$31:$R$33,MATCH($B$6,$J$31:$J$33,0)))))</f>
        <v>0</v>
      </c>
      <c r="DO79" s="313" t="n">
        <f>IF(OR($B$7="Equity First",$B$7="Debt Last"),MAX(0,SUM($F$77:DO$77)-$B$8-SUM($F$81:DN$81)),DO$77*MAX(0,MIN(1,$B$10+INDEX($R$31:$R$33,MATCH($B$6,$J$31:$J$33,0)))))</f>
        <v>0</v>
      </c>
      <c r="DP79" s="313" t="n">
        <f>IF(OR($B$7="Equity First",$B$7="Debt Last"),MAX(0,SUM($F$77:DP$77)-$B$8-SUM($F$81:DO$81)),DP$77*MAX(0,MIN(1,$B$10+INDEX($R$31:$R$33,MATCH($B$6,$J$31:$J$33,0)))))</f>
        <v>0</v>
      </c>
      <c r="DQ79" s="313" t="n">
        <f>IF(OR($B$7="Equity First",$B$7="Debt Last"),MAX(0,SUM($F$77:DQ$77)-$B$8-SUM($F$81:DP$81)),DQ$77*MAX(0,MIN(1,$B$10+INDEX($R$31:$R$33,MATCH($B$6,$J$31:$J$33,0)))))</f>
        <v>0</v>
      </c>
      <c r="DR79" s="313" t="n">
        <f>IF(OR($B$7="Equity First",$B$7="Debt Last"),MAX(0,SUM($F$77:DR$77)-$B$8-SUM($F$81:DQ$81)),DR$77*MAX(0,MIN(1,$B$10+INDEX($R$31:$R$33,MATCH($B$6,$J$31:$J$33,0)))))</f>
        <v>0</v>
      </c>
      <c r="DS79" s="313" t="n">
        <f>IF(OR($B$7="Equity First",$B$7="Debt Last"),MAX(0,SUM($F$77:DS$77)-$B$8-SUM($F$81:DR$81)),DS$77*MAX(0,MIN(1,$B$10+INDEX($R$31:$R$33,MATCH($B$6,$J$31:$J$33,0)))))</f>
        <v>0</v>
      </c>
      <c r="DT79" s="313" t="n">
        <f>IF(OR($B$7="Equity First",$B$7="Debt Last"),MAX(0,SUM($F$77:DT$77)-$B$8-SUM($F$81:DS$81)),DT$77*MAX(0,MIN(1,$B$10+INDEX($R$31:$R$33,MATCH($B$6,$J$31:$J$33,0)))))</f>
        <v>0</v>
      </c>
      <c r="DU79" s="313" t="n">
        <f>IF(OR($B$7="Equity First",$B$7="Debt Last"),MAX(0,SUM($F$77:DU$77)-$B$8-SUM($F$81:DT$81)),DU$77*MAX(0,MIN(1,$B$10+INDEX($R$31:$R$33,MATCH($B$6,$J$31:$J$33,0)))))</f>
        <v>0</v>
      </c>
      <c r="DV79" s="313" t="n">
        <f>IF(OR($B$7="Equity First",$B$7="Debt Last"),MAX(0,SUM($F$77:DV$77)-$B$8-SUM($F$81:DU$81)),DV$77*MAX(0,MIN(1,$B$10+INDEX($R$31:$R$33,MATCH($B$6,$J$31:$J$33,0)))))</f>
        <v>0</v>
      </c>
    </row>
    <row r="80" ht="15" customHeight="1">
      <c r="A80" s="311" t="s">
        <v>1465</v>
      </c>
      <c r="B80" s="312" t="s">
        <v>1321</v>
      </c>
      <c r="C80" s="702" t="s">
        <v>1466</v>
      </c>
      <c r="D80" s="703"/>
      <c r="F80" s="313" t="n">
        <f>IF(AND(F$64&lt;=$B$19,F$64&lt;=$B$20,F$64&lt;$B$35,OR($B$21="No",AND(F$74&lt;=$B$9,F$74&lt;=MAX(0,$B$10+INDEX($R$31:$R$33,MATCH($B$6,$J$31:$J$33,0)))*SUM($F$77:F$77),F$74&lt;=MAX(0,$B$11+INDEX($R$31:$R$33,MATCH($B$6,$J$31:$J$33,0)))*'VALUATION &amp; RETURNS'!$DA$8*1000000*INDEX($O$31:$O$33,MATCH($B$6,$J$31:$J$33,0))))),MAX(0,MIN(F$77,F$79,F$73-F$74-F$82,MAX(0,$B$10+INDEX($R$31:$R$33,MATCH($B$6,$J$31:$J$33,0)))*SUM($F$77:F$77)-F$74-F$82,MAX(0,$B$11+INDEX($R$31:$R$33,MATCH($B$6,$J$31:$J$33,0)))*'VALUATION &amp; RETURNS'!$DA$8*1000000*INDEX($O$31:$O$33,MATCH($B$6,$J$31:$J$33,0))-F$74-F$82)),0)</f>
        <v>0</v>
      </c>
      <c r="G80" s="313" t="n">
        <f>IF(AND(G$64&lt;=$B$19,G$64&lt;=$B$20,G$64&lt;$B$35,OR($B$21="No",AND(G$74&lt;=$B$9,G$74&lt;=MAX(0,$B$10+INDEX($R$31:$R$33,MATCH($B$6,$J$31:$J$33,0)))*SUM($F$77:G$77),G$74&lt;=MAX(0,$B$11+INDEX($R$31:$R$33,MATCH($B$6,$J$31:$J$33,0)))*'VALUATION &amp; RETURNS'!$DA$8*1000000*INDEX($O$31:$O$33,MATCH($B$6,$J$31:$J$33,0))))),MAX(0,MIN(G$77,G$79,G$73-G$74-G$82,MAX(0,$B$10+INDEX($R$31:$R$33,MATCH($B$6,$J$31:$J$33,0)))*SUM($F$77:G$77)-G$74-G$82,MAX(0,$B$11+INDEX($R$31:$R$33,MATCH($B$6,$J$31:$J$33,0)))*'VALUATION &amp; RETURNS'!$DA$8*1000000*INDEX($O$31:$O$33,MATCH($B$6,$J$31:$J$33,0))-G$74-G$82)),0)</f>
        <v>0</v>
      </c>
      <c r="H80" s="313" t="n">
        <f>IF(AND(H$64&lt;=$B$19,H$64&lt;=$B$20,H$64&lt;$B$35,OR($B$21="No",AND(H$74&lt;=$B$9,H$74&lt;=MAX(0,$B$10+INDEX($R$31:$R$33,MATCH($B$6,$J$31:$J$33,0)))*SUM($F$77:H$77),H$74&lt;=MAX(0,$B$11+INDEX($R$31:$R$33,MATCH($B$6,$J$31:$J$33,0)))*'VALUATION &amp; RETURNS'!$DA$8*1000000*INDEX($O$31:$O$33,MATCH($B$6,$J$31:$J$33,0))))),MAX(0,MIN(H$77,H$79,H$73-H$74-H$82,MAX(0,$B$10+INDEX($R$31:$R$33,MATCH($B$6,$J$31:$J$33,0)))*SUM($F$77:H$77)-H$74-H$82,MAX(0,$B$11+INDEX($R$31:$R$33,MATCH($B$6,$J$31:$J$33,0)))*'VALUATION &amp; RETURNS'!$DA$8*1000000*INDEX($O$31:$O$33,MATCH($B$6,$J$31:$J$33,0))-H$74-H$82)),0)</f>
        <v>0</v>
      </c>
      <c r="I80" s="313" t="n">
        <f>IF(AND(I$64&lt;=$B$19,I$64&lt;=$B$20,I$64&lt;$B$35,OR($B$21="No",AND(I$74&lt;=$B$9,I$74&lt;=MAX(0,$B$10+INDEX($R$31:$R$33,MATCH($B$6,$J$31:$J$33,0)))*SUM($F$77:I$77),I$74&lt;=MAX(0,$B$11+INDEX($R$31:$R$33,MATCH($B$6,$J$31:$J$33,0)))*'VALUATION &amp; RETURNS'!$DA$8*1000000*INDEX($O$31:$O$33,MATCH($B$6,$J$31:$J$33,0))))),MAX(0,MIN(I$77,I$79,I$73-I$74-I$82,MAX(0,$B$10+INDEX($R$31:$R$33,MATCH($B$6,$J$31:$J$33,0)))*SUM($F$77:I$77)-I$74-I$82,MAX(0,$B$11+INDEX($R$31:$R$33,MATCH($B$6,$J$31:$J$33,0)))*'VALUATION &amp; RETURNS'!$DA$8*1000000*INDEX($O$31:$O$33,MATCH($B$6,$J$31:$J$33,0))-I$74-I$82)),0)</f>
        <v>0</v>
      </c>
      <c r="J80" s="313" t="n">
        <f>IF(AND(J$64&lt;=$B$19,J$64&lt;=$B$20,J$64&lt;$B$35,OR($B$21="No",AND(J$74&lt;=$B$9,J$74&lt;=MAX(0,$B$10+INDEX($R$31:$R$33,MATCH($B$6,$J$31:$J$33,0)))*SUM($F$77:J$77),J$74&lt;=MAX(0,$B$11+INDEX($R$31:$R$33,MATCH($B$6,$J$31:$J$33,0)))*'VALUATION &amp; RETURNS'!$DA$8*1000000*INDEX($O$31:$O$33,MATCH($B$6,$J$31:$J$33,0))))),MAX(0,MIN(J$77,J$79,J$73-J$74-J$82,MAX(0,$B$10+INDEX($R$31:$R$33,MATCH($B$6,$J$31:$J$33,0)))*SUM($F$77:J$77)-J$74-J$82,MAX(0,$B$11+INDEX($R$31:$R$33,MATCH($B$6,$J$31:$J$33,0)))*'VALUATION &amp; RETURNS'!$DA$8*1000000*INDEX($O$31:$O$33,MATCH($B$6,$J$31:$J$33,0))-J$74-J$82)),0)</f>
        <v>0</v>
      </c>
      <c r="K80" s="313" t="n">
        <f>IF(AND(K$64&lt;=$B$19,K$64&lt;=$B$20,K$64&lt;$B$35,OR($B$21="No",AND(K$74&lt;=$B$9,K$74&lt;=MAX(0,$B$10+INDEX($R$31:$R$33,MATCH($B$6,$J$31:$J$33,0)))*SUM($F$77:K$77),K$74&lt;=MAX(0,$B$11+INDEX($R$31:$R$33,MATCH($B$6,$J$31:$J$33,0)))*'VALUATION &amp; RETURNS'!$DA$8*1000000*INDEX($O$31:$O$33,MATCH($B$6,$J$31:$J$33,0))))),MAX(0,MIN(K$77,K$79,K$73-K$74-K$82,MAX(0,$B$10+INDEX($R$31:$R$33,MATCH($B$6,$J$31:$J$33,0)))*SUM($F$77:K$77)-K$74-K$82,MAX(0,$B$11+INDEX($R$31:$R$33,MATCH($B$6,$J$31:$J$33,0)))*'VALUATION &amp; RETURNS'!$DA$8*1000000*INDEX($O$31:$O$33,MATCH($B$6,$J$31:$J$33,0))-K$74-K$82)),0)</f>
        <v>0</v>
      </c>
      <c r="L80" s="313" t="n">
        <f>IF(AND(L$64&lt;=$B$19,L$64&lt;=$B$20,L$64&lt;$B$35,OR($B$21="No",AND(L$74&lt;=$B$9,L$74&lt;=MAX(0,$B$10+INDEX($R$31:$R$33,MATCH($B$6,$J$31:$J$33,0)))*SUM($F$77:L$77),L$74&lt;=MAX(0,$B$11+INDEX($R$31:$R$33,MATCH($B$6,$J$31:$J$33,0)))*'VALUATION &amp; RETURNS'!$DA$8*1000000*INDEX($O$31:$O$33,MATCH($B$6,$J$31:$J$33,0))))),MAX(0,MIN(L$77,L$79,L$73-L$74-L$82,MAX(0,$B$10+INDEX($R$31:$R$33,MATCH($B$6,$J$31:$J$33,0)))*SUM($F$77:L$77)-L$74-L$82,MAX(0,$B$11+INDEX($R$31:$R$33,MATCH($B$6,$J$31:$J$33,0)))*'VALUATION &amp; RETURNS'!$DA$8*1000000*INDEX($O$31:$O$33,MATCH($B$6,$J$31:$J$33,0))-L$74-L$82)),0)</f>
        <v>0</v>
      </c>
      <c r="M80" s="313" t="n">
        <f>IF(AND(M$64&lt;=$B$19,M$64&lt;=$B$20,M$64&lt;$B$35,OR($B$21="No",AND(M$74&lt;=$B$9,M$74&lt;=MAX(0,$B$10+INDEX($R$31:$R$33,MATCH($B$6,$J$31:$J$33,0)))*SUM($F$77:M$77),M$74&lt;=MAX(0,$B$11+INDEX($R$31:$R$33,MATCH($B$6,$J$31:$J$33,0)))*'VALUATION &amp; RETURNS'!$DA$8*1000000*INDEX($O$31:$O$33,MATCH($B$6,$J$31:$J$33,0))))),MAX(0,MIN(M$77,M$79,M$73-M$74-M$82,MAX(0,$B$10+INDEX($R$31:$R$33,MATCH($B$6,$J$31:$J$33,0)))*SUM($F$77:M$77)-M$74-M$82,MAX(0,$B$11+INDEX($R$31:$R$33,MATCH($B$6,$J$31:$J$33,0)))*'VALUATION &amp; RETURNS'!$DA$8*1000000*INDEX($O$31:$O$33,MATCH($B$6,$J$31:$J$33,0))-M$74-M$82)),0)</f>
        <v>0</v>
      </c>
      <c r="N80" s="313" t="n">
        <f>IF(AND(N$64&lt;=$B$19,N$64&lt;=$B$20,N$64&lt;$B$35,OR($B$21="No",AND(N$74&lt;=$B$9,N$74&lt;=MAX(0,$B$10+INDEX($R$31:$R$33,MATCH($B$6,$J$31:$J$33,0)))*SUM($F$77:N$77),N$74&lt;=MAX(0,$B$11+INDEX($R$31:$R$33,MATCH($B$6,$J$31:$J$33,0)))*'VALUATION &amp; RETURNS'!$DA$8*1000000*INDEX($O$31:$O$33,MATCH($B$6,$J$31:$J$33,0))))),MAX(0,MIN(N$77,N$79,N$73-N$74-N$82,MAX(0,$B$10+INDEX($R$31:$R$33,MATCH($B$6,$J$31:$J$33,0)))*SUM($F$77:N$77)-N$74-N$82,MAX(0,$B$11+INDEX($R$31:$R$33,MATCH($B$6,$J$31:$J$33,0)))*'VALUATION &amp; RETURNS'!$DA$8*1000000*INDEX($O$31:$O$33,MATCH($B$6,$J$31:$J$33,0))-N$74-N$82)),0)</f>
        <v>0</v>
      </c>
      <c r="O80" s="313" t="n">
        <f>IF(AND(O$64&lt;=$B$19,O$64&lt;=$B$20,O$64&lt;$B$35,OR($B$21="No",AND(O$74&lt;=$B$9,O$74&lt;=MAX(0,$B$10+INDEX($R$31:$R$33,MATCH($B$6,$J$31:$J$33,0)))*SUM($F$77:O$77),O$74&lt;=MAX(0,$B$11+INDEX($R$31:$R$33,MATCH($B$6,$J$31:$J$33,0)))*'VALUATION &amp; RETURNS'!$DA$8*1000000*INDEX($O$31:$O$33,MATCH($B$6,$J$31:$J$33,0))))),MAX(0,MIN(O$77,O$79,O$73-O$74-O$82,MAX(0,$B$10+INDEX($R$31:$R$33,MATCH($B$6,$J$31:$J$33,0)))*SUM($F$77:O$77)-O$74-O$82,MAX(0,$B$11+INDEX($R$31:$R$33,MATCH($B$6,$J$31:$J$33,0)))*'VALUATION &amp; RETURNS'!$DA$8*1000000*INDEX($O$31:$O$33,MATCH($B$6,$J$31:$J$33,0))-O$74-O$82)),0)</f>
        <v>0</v>
      </c>
      <c r="P80" s="313" t="n">
        <f>IF(AND(P$64&lt;=$B$19,P$64&lt;=$B$20,P$64&lt;$B$35,OR($B$21="No",AND(P$74&lt;=$B$9,P$74&lt;=MAX(0,$B$10+INDEX($R$31:$R$33,MATCH($B$6,$J$31:$J$33,0)))*SUM($F$77:P$77),P$74&lt;=MAX(0,$B$11+INDEX($R$31:$R$33,MATCH($B$6,$J$31:$J$33,0)))*'VALUATION &amp; RETURNS'!$DA$8*1000000*INDEX($O$31:$O$33,MATCH($B$6,$J$31:$J$33,0))))),MAX(0,MIN(P$77,P$79,P$73-P$74-P$82,MAX(0,$B$10+INDEX($R$31:$R$33,MATCH($B$6,$J$31:$J$33,0)))*SUM($F$77:P$77)-P$74-P$82,MAX(0,$B$11+INDEX($R$31:$R$33,MATCH($B$6,$J$31:$J$33,0)))*'VALUATION &amp; RETURNS'!$DA$8*1000000*INDEX($O$31:$O$33,MATCH($B$6,$J$31:$J$33,0))-P$74-P$82)),0)</f>
        <v>0</v>
      </c>
      <c r="Q80" s="313" t="n">
        <f>IF(AND(Q$64&lt;=$B$19,Q$64&lt;=$B$20,Q$64&lt;$B$35,OR($B$21="No",AND(Q$74&lt;=$B$9,Q$74&lt;=MAX(0,$B$10+INDEX($R$31:$R$33,MATCH($B$6,$J$31:$J$33,0)))*SUM($F$77:Q$77),Q$74&lt;=MAX(0,$B$11+INDEX($R$31:$R$33,MATCH($B$6,$J$31:$J$33,0)))*'VALUATION &amp; RETURNS'!$DA$8*1000000*INDEX($O$31:$O$33,MATCH($B$6,$J$31:$J$33,0))))),MAX(0,MIN(Q$77,Q$79,Q$73-Q$74-Q$82,MAX(0,$B$10+INDEX($R$31:$R$33,MATCH($B$6,$J$31:$J$33,0)))*SUM($F$77:Q$77)-Q$74-Q$82,MAX(0,$B$11+INDEX($R$31:$R$33,MATCH($B$6,$J$31:$J$33,0)))*'VALUATION &amp; RETURNS'!$DA$8*1000000*INDEX($O$31:$O$33,MATCH($B$6,$J$31:$J$33,0))-Q$74-Q$82)),0)</f>
        <v>0</v>
      </c>
      <c r="R80" s="313" t="n">
        <f>IF(AND(R$64&lt;=$B$19,R$64&lt;=$B$20,R$64&lt;$B$35,OR($B$21="No",AND(R$74&lt;=$B$9,R$74&lt;=MAX(0,$B$10+INDEX($R$31:$R$33,MATCH($B$6,$J$31:$J$33,0)))*SUM($F$77:R$77),R$74&lt;=MAX(0,$B$11+INDEX($R$31:$R$33,MATCH($B$6,$J$31:$J$33,0)))*'VALUATION &amp; RETURNS'!$DA$8*1000000*INDEX($O$31:$O$33,MATCH($B$6,$J$31:$J$33,0))))),MAX(0,MIN(R$77,R$79,R$73-R$74-R$82,MAX(0,$B$10+INDEX($R$31:$R$33,MATCH($B$6,$J$31:$J$33,0)))*SUM($F$77:R$77)-R$74-R$82,MAX(0,$B$11+INDEX($R$31:$R$33,MATCH($B$6,$J$31:$J$33,0)))*'VALUATION &amp; RETURNS'!$DA$8*1000000*INDEX($O$31:$O$33,MATCH($B$6,$J$31:$J$33,0))-R$74-R$82)),0)</f>
        <v>0</v>
      </c>
      <c r="S80" s="313" t="n">
        <f>IF(AND(S$64&lt;=$B$19,S$64&lt;=$B$20,S$64&lt;$B$35,OR($B$21="No",AND(S$74&lt;=$B$9,S$74&lt;=MAX(0,$B$10+INDEX($R$31:$R$33,MATCH($B$6,$J$31:$J$33,0)))*SUM($F$77:S$77),S$74&lt;=MAX(0,$B$11+INDEX($R$31:$R$33,MATCH($B$6,$J$31:$J$33,0)))*'VALUATION &amp; RETURNS'!$DA$8*1000000*INDEX($O$31:$O$33,MATCH($B$6,$J$31:$J$33,0))))),MAX(0,MIN(S$77,S$79,S$73-S$74-S$82,MAX(0,$B$10+INDEX($R$31:$R$33,MATCH($B$6,$J$31:$J$33,0)))*SUM($F$77:S$77)-S$74-S$82,MAX(0,$B$11+INDEX($R$31:$R$33,MATCH($B$6,$J$31:$J$33,0)))*'VALUATION &amp; RETURNS'!$DA$8*1000000*INDEX($O$31:$O$33,MATCH($B$6,$J$31:$J$33,0))-S$74-S$82)),0)</f>
        <v>0</v>
      </c>
      <c r="T80" s="313" t="n">
        <f>IF(AND(T$64&lt;=$B$19,T$64&lt;=$B$20,T$64&lt;$B$35,OR($B$21="No",AND(T$74&lt;=$B$9,T$74&lt;=MAX(0,$B$10+INDEX($R$31:$R$33,MATCH($B$6,$J$31:$J$33,0)))*SUM($F$77:T$77),T$74&lt;=MAX(0,$B$11+INDEX($R$31:$R$33,MATCH($B$6,$J$31:$J$33,0)))*'VALUATION &amp; RETURNS'!$DA$8*1000000*INDEX($O$31:$O$33,MATCH($B$6,$J$31:$J$33,0))))),MAX(0,MIN(T$77,T$79,T$73-T$74-T$82,MAX(0,$B$10+INDEX($R$31:$R$33,MATCH($B$6,$J$31:$J$33,0)))*SUM($F$77:T$77)-T$74-T$82,MAX(0,$B$11+INDEX($R$31:$R$33,MATCH($B$6,$J$31:$J$33,0)))*'VALUATION &amp; RETURNS'!$DA$8*1000000*INDEX($O$31:$O$33,MATCH($B$6,$J$31:$J$33,0))-T$74-T$82)),0)</f>
        <v>0</v>
      </c>
      <c r="U80" s="313" t="n">
        <f>IF(AND(U$64&lt;=$B$19,U$64&lt;=$B$20,U$64&lt;$B$35,OR($B$21="No",AND(U$74&lt;=$B$9,U$74&lt;=MAX(0,$B$10+INDEX($R$31:$R$33,MATCH($B$6,$J$31:$J$33,0)))*SUM($F$77:U$77),U$74&lt;=MAX(0,$B$11+INDEX($R$31:$R$33,MATCH($B$6,$J$31:$J$33,0)))*'VALUATION &amp; RETURNS'!$DA$8*1000000*INDEX($O$31:$O$33,MATCH($B$6,$J$31:$J$33,0))))),MAX(0,MIN(U$77,U$79,U$73-U$74-U$82,MAX(0,$B$10+INDEX($R$31:$R$33,MATCH($B$6,$J$31:$J$33,0)))*SUM($F$77:U$77)-U$74-U$82,MAX(0,$B$11+INDEX($R$31:$R$33,MATCH($B$6,$J$31:$J$33,0)))*'VALUATION &amp; RETURNS'!$DA$8*1000000*INDEX($O$31:$O$33,MATCH($B$6,$J$31:$J$33,0))-U$74-U$82)),0)</f>
        <v>0</v>
      </c>
      <c r="V80" s="313" t="n">
        <f>IF(AND(V$64&lt;=$B$19,V$64&lt;=$B$20,V$64&lt;$B$35,OR($B$21="No",AND(V$74&lt;=$B$9,V$74&lt;=MAX(0,$B$10+INDEX($R$31:$R$33,MATCH($B$6,$J$31:$J$33,0)))*SUM($F$77:V$77),V$74&lt;=MAX(0,$B$11+INDEX($R$31:$R$33,MATCH($B$6,$J$31:$J$33,0)))*'VALUATION &amp; RETURNS'!$DA$8*1000000*INDEX($O$31:$O$33,MATCH($B$6,$J$31:$J$33,0))))),MAX(0,MIN(V$77,V$79,V$73-V$74-V$82,MAX(0,$B$10+INDEX($R$31:$R$33,MATCH($B$6,$J$31:$J$33,0)))*SUM($F$77:V$77)-V$74-V$82,MAX(0,$B$11+INDEX($R$31:$R$33,MATCH($B$6,$J$31:$J$33,0)))*'VALUATION &amp; RETURNS'!$DA$8*1000000*INDEX($O$31:$O$33,MATCH($B$6,$J$31:$J$33,0))-V$74-V$82)),0)</f>
        <v>0</v>
      </c>
      <c r="W80" s="313" t="n">
        <f>IF(AND(W$64&lt;=$B$19,W$64&lt;=$B$20,W$64&lt;$B$35,OR($B$21="No",AND(W$74&lt;=$B$9,W$74&lt;=MAX(0,$B$10+INDEX($R$31:$R$33,MATCH($B$6,$J$31:$J$33,0)))*SUM($F$77:W$77),W$74&lt;=MAX(0,$B$11+INDEX($R$31:$R$33,MATCH($B$6,$J$31:$J$33,0)))*'VALUATION &amp; RETURNS'!$DA$8*1000000*INDEX($O$31:$O$33,MATCH($B$6,$J$31:$J$33,0))))),MAX(0,MIN(W$77,W$79,W$73-W$74-W$82,MAX(0,$B$10+INDEX($R$31:$R$33,MATCH($B$6,$J$31:$J$33,0)))*SUM($F$77:W$77)-W$74-W$82,MAX(0,$B$11+INDEX($R$31:$R$33,MATCH($B$6,$J$31:$J$33,0)))*'VALUATION &amp; RETURNS'!$DA$8*1000000*INDEX($O$31:$O$33,MATCH($B$6,$J$31:$J$33,0))-W$74-W$82)),0)</f>
        <v>0</v>
      </c>
      <c r="X80" s="313" t="n">
        <f>IF(AND(X$64&lt;=$B$19,X$64&lt;=$B$20,X$64&lt;$B$35,OR($B$21="No",AND(X$74&lt;=$B$9,X$74&lt;=MAX(0,$B$10+INDEX($R$31:$R$33,MATCH($B$6,$J$31:$J$33,0)))*SUM($F$77:X$77),X$74&lt;=MAX(0,$B$11+INDEX($R$31:$R$33,MATCH($B$6,$J$31:$J$33,0)))*'VALUATION &amp; RETURNS'!$DA$8*1000000*INDEX($O$31:$O$33,MATCH($B$6,$J$31:$J$33,0))))),MAX(0,MIN(X$77,X$79,X$73-X$74-X$82,MAX(0,$B$10+INDEX($R$31:$R$33,MATCH($B$6,$J$31:$J$33,0)))*SUM($F$77:X$77)-X$74-X$82,MAX(0,$B$11+INDEX($R$31:$R$33,MATCH($B$6,$J$31:$J$33,0)))*'VALUATION &amp; RETURNS'!$DA$8*1000000*INDEX($O$31:$O$33,MATCH($B$6,$J$31:$J$33,0))-X$74-X$82)),0)</f>
        <v>0</v>
      </c>
      <c r="Y80" s="313" t="n">
        <f>IF(AND(Y$64&lt;=$B$19,Y$64&lt;=$B$20,Y$64&lt;$B$35,OR($B$21="No",AND(Y$74&lt;=$B$9,Y$74&lt;=MAX(0,$B$10+INDEX($R$31:$R$33,MATCH($B$6,$J$31:$J$33,0)))*SUM($F$77:Y$77),Y$74&lt;=MAX(0,$B$11+INDEX($R$31:$R$33,MATCH($B$6,$J$31:$J$33,0)))*'VALUATION &amp; RETURNS'!$DA$8*1000000*INDEX($O$31:$O$33,MATCH($B$6,$J$31:$J$33,0))))),MAX(0,MIN(Y$77,Y$79,Y$73-Y$74-Y$82,MAX(0,$B$10+INDEX($R$31:$R$33,MATCH($B$6,$J$31:$J$33,0)))*SUM($F$77:Y$77)-Y$74-Y$82,MAX(0,$B$11+INDEX($R$31:$R$33,MATCH($B$6,$J$31:$J$33,0)))*'VALUATION &amp; RETURNS'!$DA$8*1000000*INDEX($O$31:$O$33,MATCH($B$6,$J$31:$J$33,0))-Y$74-Y$82)),0)</f>
        <v>0</v>
      </c>
      <c r="Z80" s="313" t="n">
        <f>IF(AND(Z$64&lt;=$B$19,Z$64&lt;=$B$20,Z$64&lt;$B$35,OR($B$21="No",AND(Z$74&lt;=$B$9,Z$74&lt;=MAX(0,$B$10+INDEX($R$31:$R$33,MATCH($B$6,$J$31:$J$33,0)))*SUM($F$77:Z$77),Z$74&lt;=MAX(0,$B$11+INDEX($R$31:$R$33,MATCH($B$6,$J$31:$J$33,0)))*'VALUATION &amp; RETURNS'!$DA$8*1000000*INDEX($O$31:$O$33,MATCH($B$6,$J$31:$J$33,0))))),MAX(0,MIN(Z$77,Z$79,Z$73-Z$74-Z$82,MAX(0,$B$10+INDEX($R$31:$R$33,MATCH($B$6,$J$31:$J$33,0)))*SUM($F$77:Z$77)-Z$74-Z$82,MAX(0,$B$11+INDEX($R$31:$R$33,MATCH($B$6,$J$31:$J$33,0)))*'VALUATION &amp; RETURNS'!$DA$8*1000000*INDEX($O$31:$O$33,MATCH($B$6,$J$31:$J$33,0))-Z$74-Z$82)),0)</f>
        <v>0</v>
      </c>
      <c r="AA80" s="313" t="n">
        <f>IF(AND(AA$64&lt;=$B$19,AA$64&lt;=$B$20,AA$64&lt;$B$35,OR($B$21="No",AND(AA$74&lt;=$B$9,AA$74&lt;=MAX(0,$B$10+INDEX($R$31:$R$33,MATCH($B$6,$J$31:$J$33,0)))*SUM($F$77:AA$77),AA$74&lt;=MAX(0,$B$11+INDEX($R$31:$R$33,MATCH($B$6,$J$31:$J$33,0)))*'VALUATION &amp; RETURNS'!$DA$8*1000000*INDEX($O$31:$O$33,MATCH($B$6,$J$31:$J$33,0))))),MAX(0,MIN(AA$77,AA$79,AA$73-AA$74-AA$82,MAX(0,$B$10+INDEX($R$31:$R$33,MATCH($B$6,$J$31:$J$33,0)))*SUM($F$77:AA$77)-AA$74-AA$82,MAX(0,$B$11+INDEX($R$31:$R$33,MATCH($B$6,$J$31:$J$33,0)))*'VALUATION &amp; RETURNS'!$DA$8*1000000*INDEX($O$31:$O$33,MATCH($B$6,$J$31:$J$33,0))-AA$74-AA$82)),0)</f>
        <v>0</v>
      </c>
      <c r="AB80" s="313" t="n">
        <f>IF(AND(AB$64&lt;=$B$19,AB$64&lt;=$B$20,AB$64&lt;$B$35,OR($B$21="No",AND(AB$74&lt;=$B$9,AB$74&lt;=MAX(0,$B$10+INDEX($R$31:$R$33,MATCH($B$6,$J$31:$J$33,0)))*SUM($F$77:AB$77),AB$74&lt;=MAX(0,$B$11+INDEX($R$31:$R$33,MATCH($B$6,$J$31:$J$33,0)))*'VALUATION &amp; RETURNS'!$DA$8*1000000*INDEX($O$31:$O$33,MATCH($B$6,$J$31:$J$33,0))))),MAX(0,MIN(AB$77,AB$79,AB$73-AB$74-AB$82,MAX(0,$B$10+INDEX($R$31:$R$33,MATCH($B$6,$J$31:$J$33,0)))*SUM($F$77:AB$77)-AB$74-AB$82,MAX(0,$B$11+INDEX($R$31:$R$33,MATCH($B$6,$J$31:$J$33,0)))*'VALUATION &amp; RETURNS'!$DA$8*1000000*INDEX($O$31:$O$33,MATCH($B$6,$J$31:$J$33,0))-AB$74-AB$82)),0)</f>
        <v>0</v>
      </c>
      <c r="AC80" s="313" t="n">
        <f>IF(AND(AC$64&lt;=$B$19,AC$64&lt;=$B$20,AC$64&lt;$B$35,OR($B$21="No",AND(AC$74&lt;=$B$9,AC$74&lt;=MAX(0,$B$10+INDEX($R$31:$R$33,MATCH($B$6,$J$31:$J$33,0)))*SUM($F$77:AC$77),AC$74&lt;=MAX(0,$B$11+INDEX($R$31:$R$33,MATCH($B$6,$J$31:$J$33,0)))*'VALUATION &amp; RETURNS'!$DA$8*1000000*INDEX($O$31:$O$33,MATCH($B$6,$J$31:$J$33,0))))),MAX(0,MIN(AC$77,AC$79,AC$73-AC$74-AC$82,MAX(0,$B$10+INDEX($R$31:$R$33,MATCH($B$6,$J$31:$J$33,0)))*SUM($F$77:AC$77)-AC$74-AC$82,MAX(0,$B$11+INDEX($R$31:$R$33,MATCH($B$6,$J$31:$J$33,0)))*'VALUATION &amp; RETURNS'!$DA$8*1000000*INDEX($O$31:$O$33,MATCH($B$6,$J$31:$J$33,0))-AC$74-AC$82)),0)</f>
        <v>0</v>
      </c>
      <c r="AD80" s="313" t="n">
        <f>IF(AND(AD$64&lt;=$B$19,AD$64&lt;=$B$20,AD$64&lt;$B$35,OR($B$21="No",AND(AD$74&lt;=$B$9,AD$74&lt;=MAX(0,$B$10+INDEX($R$31:$R$33,MATCH($B$6,$J$31:$J$33,0)))*SUM($F$77:AD$77),AD$74&lt;=MAX(0,$B$11+INDEX($R$31:$R$33,MATCH($B$6,$J$31:$J$33,0)))*'VALUATION &amp; RETURNS'!$DA$8*1000000*INDEX($O$31:$O$33,MATCH($B$6,$J$31:$J$33,0))))),MAX(0,MIN(AD$77,AD$79,AD$73-AD$74-AD$82,MAX(0,$B$10+INDEX($R$31:$R$33,MATCH($B$6,$J$31:$J$33,0)))*SUM($F$77:AD$77)-AD$74-AD$82,MAX(0,$B$11+INDEX($R$31:$R$33,MATCH($B$6,$J$31:$J$33,0)))*'VALUATION &amp; RETURNS'!$DA$8*1000000*INDEX($O$31:$O$33,MATCH($B$6,$J$31:$J$33,0))-AD$74-AD$82)),0)</f>
        <v>0</v>
      </c>
      <c r="AE80" s="313" t="n">
        <f>IF(AND(AE$64&lt;=$B$19,AE$64&lt;=$B$20,AE$64&lt;$B$35,OR($B$21="No",AND(AE$74&lt;=$B$9,AE$74&lt;=MAX(0,$B$10+INDEX($R$31:$R$33,MATCH($B$6,$J$31:$J$33,0)))*SUM($F$77:AE$77),AE$74&lt;=MAX(0,$B$11+INDEX($R$31:$R$33,MATCH($B$6,$J$31:$J$33,0)))*'VALUATION &amp; RETURNS'!$DA$8*1000000*INDEX($O$31:$O$33,MATCH($B$6,$J$31:$J$33,0))))),MAX(0,MIN(AE$77,AE$79,AE$73-AE$74-AE$82,MAX(0,$B$10+INDEX($R$31:$R$33,MATCH($B$6,$J$31:$J$33,0)))*SUM($F$77:AE$77)-AE$74-AE$82,MAX(0,$B$11+INDEX($R$31:$R$33,MATCH($B$6,$J$31:$J$33,0)))*'VALUATION &amp; RETURNS'!$DA$8*1000000*INDEX($O$31:$O$33,MATCH($B$6,$J$31:$J$33,0))-AE$74-AE$82)),0)</f>
        <v>0</v>
      </c>
      <c r="AF80" s="313" t="n">
        <f>IF(AND(AF$64&lt;=$B$19,AF$64&lt;=$B$20,AF$64&lt;$B$35,OR($B$21="No",AND(AF$74&lt;=$B$9,AF$74&lt;=MAX(0,$B$10+INDEX($R$31:$R$33,MATCH($B$6,$J$31:$J$33,0)))*SUM($F$77:AF$77),AF$74&lt;=MAX(0,$B$11+INDEX($R$31:$R$33,MATCH($B$6,$J$31:$J$33,0)))*'VALUATION &amp; RETURNS'!$DA$8*1000000*INDEX($O$31:$O$33,MATCH($B$6,$J$31:$J$33,0))))),MAX(0,MIN(AF$77,AF$79,AF$73-AF$74-AF$82,MAX(0,$B$10+INDEX($R$31:$R$33,MATCH($B$6,$J$31:$J$33,0)))*SUM($F$77:AF$77)-AF$74-AF$82,MAX(0,$B$11+INDEX($R$31:$R$33,MATCH($B$6,$J$31:$J$33,0)))*'VALUATION &amp; RETURNS'!$DA$8*1000000*INDEX($O$31:$O$33,MATCH($B$6,$J$31:$J$33,0))-AF$74-AF$82)),0)</f>
        <v>0</v>
      </c>
      <c r="AG80" s="313" t="n">
        <f>IF(AND(AG$64&lt;=$B$19,AG$64&lt;=$B$20,AG$64&lt;$B$35,OR($B$21="No",AND(AG$74&lt;=$B$9,AG$74&lt;=MAX(0,$B$10+INDEX($R$31:$R$33,MATCH($B$6,$J$31:$J$33,0)))*SUM($F$77:AG$77),AG$74&lt;=MAX(0,$B$11+INDEX($R$31:$R$33,MATCH($B$6,$J$31:$J$33,0)))*'VALUATION &amp; RETURNS'!$DA$8*1000000*INDEX($O$31:$O$33,MATCH($B$6,$J$31:$J$33,0))))),MAX(0,MIN(AG$77,AG$79,AG$73-AG$74-AG$82,MAX(0,$B$10+INDEX($R$31:$R$33,MATCH($B$6,$J$31:$J$33,0)))*SUM($F$77:AG$77)-AG$74-AG$82,MAX(0,$B$11+INDEX($R$31:$R$33,MATCH($B$6,$J$31:$J$33,0)))*'VALUATION &amp; RETURNS'!$DA$8*1000000*INDEX($O$31:$O$33,MATCH($B$6,$J$31:$J$33,0))-AG$74-AG$82)),0)</f>
        <v>0</v>
      </c>
      <c r="AH80" s="313" t="n">
        <f>IF(AND(AH$64&lt;=$B$19,AH$64&lt;=$B$20,AH$64&lt;$B$35,OR($B$21="No",AND(AH$74&lt;=$B$9,AH$74&lt;=MAX(0,$B$10+INDEX($R$31:$R$33,MATCH($B$6,$J$31:$J$33,0)))*SUM($F$77:AH$77),AH$74&lt;=MAX(0,$B$11+INDEX($R$31:$R$33,MATCH($B$6,$J$31:$J$33,0)))*'VALUATION &amp; RETURNS'!$DA$8*1000000*INDEX($O$31:$O$33,MATCH($B$6,$J$31:$J$33,0))))),MAX(0,MIN(AH$77,AH$79,AH$73-AH$74-AH$82,MAX(0,$B$10+INDEX($R$31:$R$33,MATCH($B$6,$J$31:$J$33,0)))*SUM($F$77:AH$77)-AH$74-AH$82,MAX(0,$B$11+INDEX($R$31:$R$33,MATCH($B$6,$J$31:$J$33,0)))*'VALUATION &amp; RETURNS'!$DA$8*1000000*INDEX($O$31:$O$33,MATCH($B$6,$J$31:$J$33,0))-AH$74-AH$82)),0)</f>
        <v>0</v>
      </c>
      <c r="AI80" s="313" t="n">
        <f>IF(AND(AI$64&lt;=$B$19,AI$64&lt;=$B$20,AI$64&lt;$B$35,OR($B$21="No",AND(AI$74&lt;=$B$9,AI$74&lt;=MAX(0,$B$10+INDEX($R$31:$R$33,MATCH($B$6,$J$31:$J$33,0)))*SUM($F$77:AI$77),AI$74&lt;=MAX(0,$B$11+INDEX($R$31:$R$33,MATCH($B$6,$J$31:$J$33,0)))*'VALUATION &amp; RETURNS'!$DA$8*1000000*INDEX($O$31:$O$33,MATCH($B$6,$J$31:$J$33,0))))),MAX(0,MIN(AI$77,AI$79,AI$73-AI$74-AI$82,MAX(0,$B$10+INDEX($R$31:$R$33,MATCH($B$6,$J$31:$J$33,0)))*SUM($F$77:AI$77)-AI$74-AI$82,MAX(0,$B$11+INDEX($R$31:$R$33,MATCH($B$6,$J$31:$J$33,0)))*'VALUATION &amp; RETURNS'!$DA$8*1000000*INDEX($O$31:$O$33,MATCH($B$6,$J$31:$J$33,0))-AI$74-AI$82)),0)</f>
        <v>0</v>
      </c>
      <c r="AJ80" s="313" t="n">
        <f>IF(AND(AJ$64&lt;=$B$19,AJ$64&lt;=$B$20,AJ$64&lt;$B$35,OR($B$21="No",AND(AJ$74&lt;=$B$9,AJ$74&lt;=MAX(0,$B$10+INDEX($R$31:$R$33,MATCH($B$6,$J$31:$J$33,0)))*SUM($F$77:AJ$77),AJ$74&lt;=MAX(0,$B$11+INDEX($R$31:$R$33,MATCH($B$6,$J$31:$J$33,0)))*'VALUATION &amp; RETURNS'!$DA$8*1000000*INDEX($O$31:$O$33,MATCH($B$6,$J$31:$J$33,0))))),MAX(0,MIN(AJ$77,AJ$79,AJ$73-AJ$74-AJ$82,MAX(0,$B$10+INDEX($R$31:$R$33,MATCH($B$6,$J$31:$J$33,0)))*SUM($F$77:AJ$77)-AJ$74-AJ$82,MAX(0,$B$11+INDEX($R$31:$R$33,MATCH($B$6,$J$31:$J$33,0)))*'VALUATION &amp; RETURNS'!$DA$8*1000000*INDEX($O$31:$O$33,MATCH($B$6,$J$31:$J$33,0))-AJ$74-AJ$82)),0)</f>
        <v>0</v>
      </c>
      <c r="AK80" s="313" t="n">
        <f>IF(AND(AK$64&lt;=$B$19,AK$64&lt;=$B$20,AK$64&lt;$B$35,OR($B$21="No",AND(AK$74&lt;=$B$9,AK$74&lt;=MAX(0,$B$10+INDEX($R$31:$R$33,MATCH($B$6,$J$31:$J$33,0)))*SUM($F$77:AK$77),AK$74&lt;=MAX(0,$B$11+INDEX($R$31:$R$33,MATCH($B$6,$J$31:$J$33,0)))*'VALUATION &amp; RETURNS'!$DA$8*1000000*INDEX($O$31:$O$33,MATCH($B$6,$J$31:$J$33,0))))),MAX(0,MIN(AK$77,AK$79,AK$73-AK$74-AK$82,MAX(0,$B$10+INDEX($R$31:$R$33,MATCH($B$6,$J$31:$J$33,0)))*SUM($F$77:AK$77)-AK$74-AK$82,MAX(0,$B$11+INDEX($R$31:$R$33,MATCH($B$6,$J$31:$J$33,0)))*'VALUATION &amp; RETURNS'!$DA$8*1000000*INDEX($O$31:$O$33,MATCH($B$6,$J$31:$J$33,0))-AK$74-AK$82)),0)</f>
        <v>0</v>
      </c>
      <c r="AL80" s="313" t="n">
        <f>IF(AND(AL$64&lt;=$B$19,AL$64&lt;=$B$20,AL$64&lt;$B$35,OR($B$21="No",AND(AL$74&lt;=$B$9,AL$74&lt;=MAX(0,$B$10+INDEX($R$31:$R$33,MATCH($B$6,$J$31:$J$33,0)))*SUM($F$77:AL$77),AL$74&lt;=MAX(0,$B$11+INDEX($R$31:$R$33,MATCH($B$6,$J$31:$J$33,0)))*'VALUATION &amp; RETURNS'!$DA$8*1000000*INDEX($O$31:$O$33,MATCH($B$6,$J$31:$J$33,0))))),MAX(0,MIN(AL$77,AL$79,AL$73-AL$74-AL$82,MAX(0,$B$10+INDEX($R$31:$R$33,MATCH($B$6,$J$31:$J$33,0)))*SUM($F$77:AL$77)-AL$74-AL$82,MAX(0,$B$11+INDEX($R$31:$R$33,MATCH($B$6,$J$31:$J$33,0)))*'VALUATION &amp; RETURNS'!$DA$8*1000000*INDEX($O$31:$O$33,MATCH($B$6,$J$31:$J$33,0))-AL$74-AL$82)),0)</f>
        <v>0</v>
      </c>
      <c r="AM80" s="313" t="n">
        <f>IF(AND(AM$64&lt;=$B$19,AM$64&lt;=$B$20,AM$64&lt;$B$35,OR($B$21="No",AND(AM$74&lt;=$B$9,AM$74&lt;=MAX(0,$B$10+INDEX($R$31:$R$33,MATCH($B$6,$J$31:$J$33,0)))*SUM($F$77:AM$77),AM$74&lt;=MAX(0,$B$11+INDEX($R$31:$R$33,MATCH($B$6,$J$31:$J$33,0)))*'VALUATION &amp; RETURNS'!$DA$8*1000000*INDEX($O$31:$O$33,MATCH($B$6,$J$31:$J$33,0))))),MAX(0,MIN(AM$77,AM$79,AM$73-AM$74-AM$82,MAX(0,$B$10+INDEX($R$31:$R$33,MATCH($B$6,$J$31:$J$33,0)))*SUM($F$77:AM$77)-AM$74-AM$82,MAX(0,$B$11+INDEX($R$31:$R$33,MATCH($B$6,$J$31:$J$33,0)))*'VALUATION &amp; RETURNS'!$DA$8*1000000*INDEX($O$31:$O$33,MATCH($B$6,$J$31:$J$33,0))-AM$74-AM$82)),0)</f>
        <v>0</v>
      </c>
      <c r="AN80" s="313" t="n">
        <f>IF(AND(AN$64&lt;=$B$19,AN$64&lt;=$B$20,AN$64&lt;$B$35,OR($B$21="No",AND(AN$74&lt;=$B$9,AN$74&lt;=MAX(0,$B$10+INDEX($R$31:$R$33,MATCH($B$6,$J$31:$J$33,0)))*SUM($F$77:AN$77),AN$74&lt;=MAX(0,$B$11+INDEX($R$31:$R$33,MATCH($B$6,$J$31:$J$33,0)))*'VALUATION &amp; RETURNS'!$DA$8*1000000*INDEX($O$31:$O$33,MATCH($B$6,$J$31:$J$33,0))))),MAX(0,MIN(AN$77,AN$79,AN$73-AN$74-AN$82,MAX(0,$B$10+INDEX($R$31:$R$33,MATCH($B$6,$J$31:$J$33,0)))*SUM($F$77:AN$77)-AN$74-AN$82,MAX(0,$B$11+INDEX($R$31:$R$33,MATCH($B$6,$J$31:$J$33,0)))*'VALUATION &amp; RETURNS'!$DA$8*1000000*INDEX($O$31:$O$33,MATCH($B$6,$J$31:$J$33,0))-AN$74-AN$82)),0)</f>
        <v>0</v>
      </c>
      <c r="AO80" s="313" t="n">
        <f>IF(AND(AO$64&lt;=$B$19,AO$64&lt;=$B$20,AO$64&lt;$B$35,OR($B$21="No",AND(AO$74&lt;=$B$9,AO$74&lt;=MAX(0,$B$10+INDEX($R$31:$R$33,MATCH($B$6,$J$31:$J$33,0)))*SUM($F$77:AO$77),AO$74&lt;=MAX(0,$B$11+INDEX($R$31:$R$33,MATCH($B$6,$J$31:$J$33,0)))*'VALUATION &amp; RETURNS'!$DA$8*1000000*INDEX($O$31:$O$33,MATCH($B$6,$J$31:$J$33,0))))),MAX(0,MIN(AO$77,AO$79,AO$73-AO$74-AO$82,MAX(0,$B$10+INDEX($R$31:$R$33,MATCH($B$6,$J$31:$J$33,0)))*SUM($F$77:AO$77)-AO$74-AO$82,MAX(0,$B$11+INDEX($R$31:$R$33,MATCH($B$6,$J$31:$J$33,0)))*'VALUATION &amp; RETURNS'!$DA$8*1000000*INDEX($O$31:$O$33,MATCH($B$6,$J$31:$J$33,0))-AO$74-AO$82)),0)</f>
        <v>0</v>
      </c>
      <c r="AP80" s="313" t="n">
        <f>IF(AND(AP$64&lt;=$B$19,AP$64&lt;=$B$20,AP$64&lt;$B$35,OR($B$21="No",AND(AP$74&lt;=$B$9,AP$74&lt;=MAX(0,$B$10+INDEX($R$31:$R$33,MATCH($B$6,$J$31:$J$33,0)))*SUM($F$77:AP$77),AP$74&lt;=MAX(0,$B$11+INDEX($R$31:$R$33,MATCH($B$6,$J$31:$J$33,0)))*'VALUATION &amp; RETURNS'!$DA$8*1000000*INDEX($O$31:$O$33,MATCH($B$6,$J$31:$J$33,0))))),MAX(0,MIN(AP$77,AP$79,AP$73-AP$74-AP$82,MAX(0,$B$10+INDEX($R$31:$R$33,MATCH($B$6,$J$31:$J$33,0)))*SUM($F$77:AP$77)-AP$74-AP$82,MAX(0,$B$11+INDEX($R$31:$R$33,MATCH($B$6,$J$31:$J$33,0)))*'VALUATION &amp; RETURNS'!$DA$8*1000000*INDEX($O$31:$O$33,MATCH($B$6,$J$31:$J$33,0))-AP$74-AP$82)),0)</f>
        <v>0</v>
      </c>
      <c r="AQ80" s="313" t="n">
        <f>IF(AND(AQ$64&lt;=$B$19,AQ$64&lt;=$B$20,AQ$64&lt;$B$35,OR($B$21="No",AND(AQ$74&lt;=$B$9,AQ$74&lt;=MAX(0,$B$10+INDEX($R$31:$R$33,MATCH($B$6,$J$31:$J$33,0)))*SUM($F$77:AQ$77),AQ$74&lt;=MAX(0,$B$11+INDEX($R$31:$R$33,MATCH($B$6,$J$31:$J$33,0)))*'VALUATION &amp; RETURNS'!$DA$8*1000000*INDEX($O$31:$O$33,MATCH($B$6,$J$31:$J$33,0))))),MAX(0,MIN(AQ$77,AQ$79,AQ$73-AQ$74-AQ$82,MAX(0,$B$10+INDEX($R$31:$R$33,MATCH($B$6,$J$31:$J$33,0)))*SUM($F$77:AQ$77)-AQ$74-AQ$82,MAX(0,$B$11+INDEX($R$31:$R$33,MATCH($B$6,$J$31:$J$33,0)))*'VALUATION &amp; RETURNS'!$DA$8*1000000*INDEX($O$31:$O$33,MATCH($B$6,$J$31:$J$33,0))-AQ$74-AQ$82)),0)</f>
        <v>0</v>
      </c>
      <c r="AR80" s="313" t="n">
        <f>IF(AND(AR$64&lt;=$B$19,AR$64&lt;=$B$20,AR$64&lt;$B$35,OR($B$21="No",AND(AR$74&lt;=$B$9,AR$74&lt;=MAX(0,$B$10+INDEX($R$31:$R$33,MATCH($B$6,$J$31:$J$33,0)))*SUM($F$77:AR$77),AR$74&lt;=MAX(0,$B$11+INDEX($R$31:$R$33,MATCH($B$6,$J$31:$J$33,0)))*'VALUATION &amp; RETURNS'!$DA$8*1000000*INDEX($O$31:$O$33,MATCH($B$6,$J$31:$J$33,0))))),MAX(0,MIN(AR$77,AR$79,AR$73-AR$74-AR$82,MAX(0,$B$10+INDEX($R$31:$R$33,MATCH($B$6,$J$31:$J$33,0)))*SUM($F$77:AR$77)-AR$74-AR$82,MAX(0,$B$11+INDEX($R$31:$R$33,MATCH($B$6,$J$31:$J$33,0)))*'VALUATION &amp; RETURNS'!$DA$8*1000000*INDEX($O$31:$O$33,MATCH($B$6,$J$31:$J$33,0))-AR$74-AR$82)),0)</f>
        <v>0</v>
      </c>
      <c r="AS80" s="313" t="n">
        <f>IF(AND(AS$64&lt;=$B$19,AS$64&lt;=$B$20,AS$64&lt;$B$35,OR($B$21="No",AND(AS$74&lt;=$B$9,AS$74&lt;=MAX(0,$B$10+INDEX($R$31:$R$33,MATCH($B$6,$J$31:$J$33,0)))*SUM($F$77:AS$77),AS$74&lt;=MAX(0,$B$11+INDEX($R$31:$R$33,MATCH($B$6,$J$31:$J$33,0)))*'VALUATION &amp; RETURNS'!$DA$8*1000000*INDEX($O$31:$O$33,MATCH($B$6,$J$31:$J$33,0))))),MAX(0,MIN(AS$77,AS$79,AS$73-AS$74-AS$82,MAX(0,$B$10+INDEX($R$31:$R$33,MATCH($B$6,$J$31:$J$33,0)))*SUM($F$77:AS$77)-AS$74-AS$82,MAX(0,$B$11+INDEX($R$31:$R$33,MATCH($B$6,$J$31:$J$33,0)))*'VALUATION &amp; RETURNS'!$DA$8*1000000*INDEX($O$31:$O$33,MATCH($B$6,$J$31:$J$33,0))-AS$74-AS$82)),0)</f>
        <v>0</v>
      </c>
      <c r="AT80" s="313" t="n">
        <f>IF(AND(AT$64&lt;=$B$19,AT$64&lt;=$B$20,AT$64&lt;$B$35,OR($B$21="No",AND(AT$74&lt;=$B$9,AT$74&lt;=MAX(0,$B$10+INDEX($R$31:$R$33,MATCH($B$6,$J$31:$J$33,0)))*SUM($F$77:AT$77),AT$74&lt;=MAX(0,$B$11+INDEX($R$31:$R$33,MATCH($B$6,$J$31:$J$33,0)))*'VALUATION &amp; RETURNS'!$DA$8*1000000*INDEX($O$31:$O$33,MATCH($B$6,$J$31:$J$33,0))))),MAX(0,MIN(AT$77,AT$79,AT$73-AT$74-AT$82,MAX(0,$B$10+INDEX($R$31:$R$33,MATCH($B$6,$J$31:$J$33,0)))*SUM($F$77:AT$77)-AT$74-AT$82,MAX(0,$B$11+INDEX($R$31:$R$33,MATCH($B$6,$J$31:$J$33,0)))*'VALUATION &amp; RETURNS'!$DA$8*1000000*INDEX($O$31:$O$33,MATCH($B$6,$J$31:$J$33,0))-AT$74-AT$82)),0)</f>
        <v>0</v>
      </c>
      <c r="AU80" s="313" t="n">
        <f>IF(AND(AU$64&lt;=$B$19,AU$64&lt;=$B$20,AU$64&lt;$B$35,OR($B$21="No",AND(AU$74&lt;=$B$9,AU$74&lt;=MAX(0,$B$10+INDEX($R$31:$R$33,MATCH($B$6,$J$31:$J$33,0)))*SUM($F$77:AU$77),AU$74&lt;=MAX(0,$B$11+INDEX($R$31:$R$33,MATCH($B$6,$J$31:$J$33,0)))*'VALUATION &amp; RETURNS'!$DA$8*1000000*INDEX($O$31:$O$33,MATCH($B$6,$J$31:$J$33,0))))),MAX(0,MIN(AU$77,AU$79,AU$73-AU$74-AU$82,MAX(0,$B$10+INDEX($R$31:$R$33,MATCH($B$6,$J$31:$J$33,0)))*SUM($F$77:AU$77)-AU$74-AU$82,MAX(0,$B$11+INDEX($R$31:$R$33,MATCH($B$6,$J$31:$J$33,0)))*'VALUATION &amp; RETURNS'!$DA$8*1000000*INDEX($O$31:$O$33,MATCH($B$6,$J$31:$J$33,0))-AU$74-AU$82)),0)</f>
        <v>0</v>
      </c>
      <c r="AV80" s="313" t="n">
        <f>IF(AND(AV$64&lt;=$B$19,AV$64&lt;=$B$20,AV$64&lt;$B$35,OR($B$21="No",AND(AV$74&lt;=$B$9,AV$74&lt;=MAX(0,$B$10+INDEX($R$31:$R$33,MATCH($B$6,$J$31:$J$33,0)))*SUM($F$77:AV$77),AV$74&lt;=MAX(0,$B$11+INDEX($R$31:$R$33,MATCH($B$6,$J$31:$J$33,0)))*'VALUATION &amp; RETURNS'!$DA$8*1000000*INDEX($O$31:$O$33,MATCH($B$6,$J$31:$J$33,0))))),MAX(0,MIN(AV$77,AV$79,AV$73-AV$74-AV$82,MAX(0,$B$10+INDEX($R$31:$R$33,MATCH($B$6,$J$31:$J$33,0)))*SUM($F$77:AV$77)-AV$74-AV$82,MAX(0,$B$11+INDEX($R$31:$R$33,MATCH($B$6,$J$31:$J$33,0)))*'VALUATION &amp; RETURNS'!$DA$8*1000000*INDEX($O$31:$O$33,MATCH($B$6,$J$31:$J$33,0))-AV$74-AV$82)),0)</f>
        <v>0</v>
      </c>
      <c r="AW80" s="313" t="n">
        <f>IF(AND(AW$64&lt;=$B$19,AW$64&lt;=$B$20,AW$64&lt;$B$35,OR($B$21="No",AND(AW$74&lt;=$B$9,AW$74&lt;=MAX(0,$B$10+INDEX($R$31:$R$33,MATCH($B$6,$J$31:$J$33,0)))*SUM($F$77:AW$77),AW$74&lt;=MAX(0,$B$11+INDEX($R$31:$R$33,MATCH($B$6,$J$31:$J$33,0)))*'VALUATION &amp; RETURNS'!$DA$8*1000000*INDEX($O$31:$O$33,MATCH($B$6,$J$31:$J$33,0))))),MAX(0,MIN(AW$77,AW$79,AW$73-AW$74-AW$82,MAX(0,$B$10+INDEX($R$31:$R$33,MATCH($B$6,$J$31:$J$33,0)))*SUM($F$77:AW$77)-AW$74-AW$82,MAX(0,$B$11+INDEX($R$31:$R$33,MATCH($B$6,$J$31:$J$33,0)))*'VALUATION &amp; RETURNS'!$DA$8*1000000*INDEX($O$31:$O$33,MATCH($B$6,$J$31:$J$33,0))-AW$74-AW$82)),0)</f>
        <v>0</v>
      </c>
      <c r="AX80" s="313" t="n">
        <f>IF(AND(AX$64&lt;=$B$19,AX$64&lt;=$B$20,AX$64&lt;$B$35,OR($B$21="No",AND(AX$74&lt;=$B$9,AX$74&lt;=MAX(0,$B$10+INDEX($R$31:$R$33,MATCH($B$6,$J$31:$J$33,0)))*SUM($F$77:AX$77),AX$74&lt;=MAX(0,$B$11+INDEX($R$31:$R$33,MATCH($B$6,$J$31:$J$33,0)))*'VALUATION &amp; RETURNS'!$DA$8*1000000*INDEX($O$31:$O$33,MATCH($B$6,$J$31:$J$33,0))))),MAX(0,MIN(AX$77,AX$79,AX$73-AX$74-AX$82,MAX(0,$B$10+INDEX($R$31:$R$33,MATCH($B$6,$J$31:$J$33,0)))*SUM($F$77:AX$77)-AX$74-AX$82,MAX(0,$B$11+INDEX($R$31:$R$33,MATCH($B$6,$J$31:$J$33,0)))*'VALUATION &amp; RETURNS'!$DA$8*1000000*INDEX($O$31:$O$33,MATCH($B$6,$J$31:$J$33,0))-AX$74-AX$82)),0)</f>
        <v>0</v>
      </c>
      <c r="AY80" s="313" t="n">
        <f>IF(AND(AY$64&lt;=$B$19,AY$64&lt;=$B$20,AY$64&lt;$B$35,OR($B$21="No",AND(AY$74&lt;=$B$9,AY$74&lt;=MAX(0,$B$10+INDEX($R$31:$R$33,MATCH($B$6,$J$31:$J$33,0)))*SUM($F$77:AY$77),AY$74&lt;=MAX(0,$B$11+INDEX($R$31:$R$33,MATCH($B$6,$J$31:$J$33,0)))*'VALUATION &amp; RETURNS'!$DA$8*1000000*INDEX($O$31:$O$33,MATCH($B$6,$J$31:$J$33,0))))),MAX(0,MIN(AY$77,AY$79,AY$73-AY$74-AY$82,MAX(0,$B$10+INDEX($R$31:$R$33,MATCH($B$6,$J$31:$J$33,0)))*SUM($F$77:AY$77)-AY$74-AY$82,MAX(0,$B$11+INDEX($R$31:$R$33,MATCH($B$6,$J$31:$J$33,0)))*'VALUATION &amp; RETURNS'!$DA$8*1000000*INDEX($O$31:$O$33,MATCH($B$6,$J$31:$J$33,0))-AY$74-AY$82)),0)</f>
        <v>0</v>
      </c>
      <c r="AZ80" s="313" t="n">
        <f>IF(AND(AZ$64&lt;=$B$19,AZ$64&lt;=$B$20,AZ$64&lt;$B$35,OR($B$21="No",AND(AZ$74&lt;=$B$9,AZ$74&lt;=MAX(0,$B$10+INDEX($R$31:$R$33,MATCH($B$6,$J$31:$J$33,0)))*SUM($F$77:AZ$77),AZ$74&lt;=MAX(0,$B$11+INDEX($R$31:$R$33,MATCH($B$6,$J$31:$J$33,0)))*'VALUATION &amp; RETURNS'!$DA$8*1000000*INDEX($O$31:$O$33,MATCH($B$6,$J$31:$J$33,0))))),MAX(0,MIN(AZ$77,AZ$79,AZ$73-AZ$74-AZ$82,MAX(0,$B$10+INDEX($R$31:$R$33,MATCH($B$6,$J$31:$J$33,0)))*SUM($F$77:AZ$77)-AZ$74-AZ$82,MAX(0,$B$11+INDEX($R$31:$R$33,MATCH($B$6,$J$31:$J$33,0)))*'VALUATION &amp; RETURNS'!$DA$8*1000000*INDEX($O$31:$O$33,MATCH($B$6,$J$31:$J$33,0))-AZ$74-AZ$82)),0)</f>
        <v>0</v>
      </c>
      <c r="BA80" s="313" t="n">
        <f>IF(AND(BA$64&lt;=$B$19,BA$64&lt;=$B$20,BA$64&lt;$B$35,OR($B$21="No",AND(BA$74&lt;=$B$9,BA$74&lt;=MAX(0,$B$10+INDEX($R$31:$R$33,MATCH($B$6,$J$31:$J$33,0)))*SUM($F$77:BA$77),BA$74&lt;=MAX(0,$B$11+INDEX($R$31:$R$33,MATCH($B$6,$J$31:$J$33,0)))*'VALUATION &amp; RETURNS'!$DA$8*1000000*INDEX($O$31:$O$33,MATCH($B$6,$J$31:$J$33,0))))),MAX(0,MIN(BA$77,BA$79,BA$73-BA$74-BA$82,MAX(0,$B$10+INDEX($R$31:$R$33,MATCH($B$6,$J$31:$J$33,0)))*SUM($F$77:BA$77)-BA$74-BA$82,MAX(0,$B$11+INDEX($R$31:$R$33,MATCH($B$6,$J$31:$J$33,0)))*'VALUATION &amp; RETURNS'!$DA$8*1000000*INDEX($O$31:$O$33,MATCH($B$6,$J$31:$J$33,0))-BA$74-BA$82)),0)</f>
        <v>0</v>
      </c>
      <c r="BB80" s="313" t="n">
        <f>IF(AND(BB$64&lt;=$B$19,BB$64&lt;=$B$20,BB$64&lt;$B$35,OR($B$21="No",AND(BB$74&lt;=$B$9,BB$74&lt;=MAX(0,$B$10+INDEX($R$31:$R$33,MATCH($B$6,$J$31:$J$33,0)))*SUM($F$77:BB$77),BB$74&lt;=MAX(0,$B$11+INDEX($R$31:$R$33,MATCH($B$6,$J$31:$J$33,0)))*'VALUATION &amp; RETURNS'!$DA$8*1000000*INDEX($O$31:$O$33,MATCH($B$6,$J$31:$J$33,0))))),MAX(0,MIN(BB$77,BB$79,BB$73-BB$74-BB$82,MAX(0,$B$10+INDEX($R$31:$R$33,MATCH($B$6,$J$31:$J$33,0)))*SUM($F$77:BB$77)-BB$74-BB$82,MAX(0,$B$11+INDEX($R$31:$R$33,MATCH($B$6,$J$31:$J$33,0)))*'VALUATION &amp; RETURNS'!$DA$8*1000000*INDEX($O$31:$O$33,MATCH($B$6,$J$31:$J$33,0))-BB$74-BB$82)),0)</f>
        <v>0</v>
      </c>
      <c r="BC80" s="313" t="n">
        <f>IF(AND(BC$64&lt;=$B$19,BC$64&lt;=$B$20,BC$64&lt;$B$35,OR($B$21="No",AND(BC$74&lt;=$B$9,BC$74&lt;=MAX(0,$B$10+INDEX($R$31:$R$33,MATCH($B$6,$J$31:$J$33,0)))*SUM($F$77:BC$77),BC$74&lt;=MAX(0,$B$11+INDEX($R$31:$R$33,MATCH($B$6,$J$31:$J$33,0)))*'VALUATION &amp; RETURNS'!$DA$8*1000000*INDEX($O$31:$O$33,MATCH($B$6,$J$31:$J$33,0))))),MAX(0,MIN(BC$77,BC$79,BC$73-BC$74-BC$82,MAX(0,$B$10+INDEX($R$31:$R$33,MATCH($B$6,$J$31:$J$33,0)))*SUM($F$77:BC$77)-BC$74-BC$82,MAX(0,$B$11+INDEX($R$31:$R$33,MATCH($B$6,$J$31:$J$33,0)))*'VALUATION &amp; RETURNS'!$DA$8*1000000*INDEX($O$31:$O$33,MATCH($B$6,$J$31:$J$33,0))-BC$74-BC$82)),0)</f>
        <v>0</v>
      </c>
      <c r="BD80" s="313" t="n">
        <f>IF(AND(BD$64&lt;=$B$19,BD$64&lt;=$B$20,BD$64&lt;$B$35,OR($B$21="No",AND(BD$74&lt;=$B$9,BD$74&lt;=MAX(0,$B$10+INDEX($R$31:$R$33,MATCH($B$6,$J$31:$J$33,0)))*SUM($F$77:BD$77),BD$74&lt;=MAX(0,$B$11+INDEX($R$31:$R$33,MATCH($B$6,$J$31:$J$33,0)))*'VALUATION &amp; RETURNS'!$DA$8*1000000*INDEX($O$31:$O$33,MATCH($B$6,$J$31:$J$33,0))))),MAX(0,MIN(BD$77,BD$79,BD$73-BD$74-BD$82,MAX(0,$B$10+INDEX($R$31:$R$33,MATCH($B$6,$J$31:$J$33,0)))*SUM($F$77:BD$77)-BD$74-BD$82,MAX(0,$B$11+INDEX($R$31:$R$33,MATCH($B$6,$J$31:$J$33,0)))*'VALUATION &amp; RETURNS'!$DA$8*1000000*INDEX($O$31:$O$33,MATCH($B$6,$J$31:$J$33,0))-BD$74-BD$82)),0)</f>
        <v>0</v>
      </c>
      <c r="BE80" s="313" t="n">
        <f>IF(AND(BE$64&lt;=$B$19,BE$64&lt;=$B$20,BE$64&lt;$B$35,OR($B$21="No",AND(BE$74&lt;=$B$9,BE$74&lt;=MAX(0,$B$10+INDEX($R$31:$R$33,MATCH($B$6,$J$31:$J$33,0)))*SUM($F$77:BE$77),BE$74&lt;=MAX(0,$B$11+INDEX($R$31:$R$33,MATCH($B$6,$J$31:$J$33,0)))*'VALUATION &amp; RETURNS'!$DA$8*1000000*INDEX($O$31:$O$33,MATCH($B$6,$J$31:$J$33,0))))),MAX(0,MIN(BE$77,BE$79,BE$73-BE$74-BE$82,MAX(0,$B$10+INDEX($R$31:$R$33,MATCH($B$6,$J$31:$J$33,0)))*SUM($F$77:BE$77)-BE$74-BE$82,MAX(0,$B$11+INDEX($R$31:$R$33,MATCH($B$6,$J$31:$J$33,0)))*'VALUATION &amp; RETURNS'!$DA$8*1000000*INDEX($O$31:$O$33,MATCH($B$6,$J$31:$J$33,0))-BE$74-BE$82)),0)</f>
        <v>0</v>
      </c>
      <c r="BF80" s="313" t="n">
        <f>IF(AND(BF$64&lt;=$B$19,BF$64&lt;=$B$20,BF$64&lt;$B$35,OR($B$21="No",AND(BF$74&lt;=$B$9,BF$74&lt;=MAX(0,$B$10+INDEX($R$31:$R$33,MATCH($B$6,$J$31:$J$33,0)))*SUM($F$77:BF$77),BF$74&lt;=MAX(0,$B$11+INDEX($R$31:$R$33,MATCH($B$6,$J$31:$J$33,0)))*'VALUATION &amp; RETURNS'!$DA$8*1000000*INDEX($O$31:$O$33,MATCH($B$6,$J$31:$J$33,0))))),MAX(0,MIN(BF$77,BF$79,BF$73-BF$74-BF$82,MAX(0,$B$10+INDEX($R$31:$R$33,MATCH($B$6,$J$31:$J$33,0)))*SUM($F$77:BF$77)-BF$74-BF$82,MAX(0,$B$11+INDEX($R$31:$R$33,MATCH($B$6,$J$31:$J$33,0)))*'VALUATION &amp; RETURNS'!$DA$8*1000000*INDEX($O$31:$O$33,MATCH($B$6,$J$31:$J$33,0))-BF$74-BF$82)),0)</f>
        <v>0</v>
      </c>
      <c r="BG80" s="313" t="n">
        <f>IF(AND(BG$64&lt;=$B$19,BG$64&lt;=$B$20,BG$64&lt;$B$35,OR($B$21="No",AND(BG$74&lt;=$B$9,BG$74&lt;=MAX(0,$B$10+INDEX($R$31:$R$33,MATCH($B$6,$J$31:$J$33,0)))*SUM($F$77:BG$77),BG$74&lt;=MAX(0,$B$11+INDEX($R$31:$R$33,MATCH($B$6,$J$31:$J$33,0)))*'VALUATION &amp; RETURNS'!$DA$8*1000000*INDEX($O$31:$O$33,MATCH($B$6,$J$31:$J$33,0))))),MAX(0,MIN(BG$77,BG$79,BG$73-BG$74-BG$82,MAX(0,$B$10+INDEX($R$31:$R$33,MATCH($B$6,$J$31:$J$33,0)))*SUM($F$77:BG$77)-BG$74-BG$82,MAX(0,$B$11+INDEX($R$31:$R$33,MATCH($B$6,$J$31:$J$33,0)))*'VALUATION &amp; RETURNS'!$DA$8*1000000*INDEX($O$31:$O$33,MATCH($B$6,$J$31:$J$33,0))-BG$74-BG$82)),0)</f>
        <v>0</v>
      </c>
      <c r="BH80" s="313" t="n">
        <f>IF(AND(BH$64&lt;=$B$19,BH$64&lt;=$B$20,BH$64&lt;$B$35,OR($B$21="No",AND(BH$74&lt;=$B$9,BH$74&lt;=MAX(0,$B$10+INDEX($R$31:$R$33,MATCH($B$6,$J$31:$J$33,0)))*SUM($F$77:BH$77),BH$74&lt;=MAX(0,$B$11+INDEX($R$31:$R$33,MATCH($B$6,$J$31:$J$33,0)))*'VALUATION &amp; RETURNS'!$DA$8*1000000*INDEX($O$31:$O$33,MATCH($B$6,$J$31:$J$33,0))))),MAX(0,MIN(BH$77,BH$79,BH$73-BH$74-BH$82,MAX(0,$B$10+INDEX($R$31:$R$33,MATCH($B$6,$J$31:$J$33,0)))*SUM($F$77:BH$77)-BH$74-BH$82,MAX(0,$B$11+INDEX($R$31:$R$33,MATCH($B$6,$J$31:$J$33,0)))*'VALUATION &amp; RETURNS'!$DA$8*1000000*INDEX($O$31:$O$33,MATCH($B$6,$J$31:$J$33,0))-BH$74-BH$82)),0)</f>
        <v>0</v>
      </c>
      <c r="BI80" s="313" t="n">
        <f>IF(AND(BI$64&lt;=$B$19,BI$64&lt;=$B$20,BI$64&lt;$B$35,OR($B$21="No",AND(BI$74&lt;=$B$9,BI$74&lt;=MAX(0,$B$10+INDEX($R$31:$R$33,MATCH($B$6,$J$31:$J$33,0)))*SUM($F$77:BI$77),BI$74&lt;=MAX(0,$B$11+INDEX($R$31:$R$33,MATCH($B$6,$J$31:$J$33,0)))*'VALUATION &amp; RETURNS'!$DA$8*1000000*INDEX($O$31:$O$33,MATCH($B$6,$J$31:$J$33,0))))),MAX(0,MIN(BI$77,BI$79,BI$73-BI$74-BI$82,MAX(0,$B$10+INDEX($R$31:$R$33,MATCH($B$6,$J$31:$J$33,0)))*SUM($F$77:BI$77)-BI$74-BI$82,MAX(0,$B$11+INDEX($R$31:$R$33,MATCH($B$6,$J$31:$J$33,0)))*'VALUATION &amp; RETURNS'!$DA$8*1000000*INDEX($O$31:$O$33,MATCH($B$6,$J$31:$J$33,0))-BI$74-BI$82)),0)</f>
        <v>0</v>
      </c>
      <c r="BJ80" s="313" t="n">
        <f>IF(AND(BJ$64&lt;=$B$19,BJ$64&lt;=$B$20,BJ$64&lt;$B$35,OR($B$21="No",AND(BJ$74&lt;=$B$9,BJ$74&lt;=MAX(0,$B$10+INDEX($R$31:$R$33,MATCH($B$6,$J$31:$J$33,0)))*SUM($F$77:BJ$77),BJ$74&lt;=MAX(0,$B$11+INDEX($R$31:$R$33,MATCH($B$6,$J$31:$J$33,0)))*'VALUATION &amp; RETURNS'!$DA$8*1000000*INDEX($O$31:$O$33,MATCH($B$6,$J$31:$J$33,0))))),MAX(0,MIN(BJ$77,BJ$79,BJ$73-BJ$74-BJ$82,MAX(0,$B$10+INDEX($R$31:$R$33,MATCH($B$6,$J$31:$J$33,0)))*SUM($F$77:BJ$77)-BJ$74-BJ$82,MAX(0,$B$11+INDEX($R$31:$R$33,MATCH($B$6,$J$31:$J$33,0)))*'VALUATION &amp; RETURNS'!$DA$8*1000000*INDEX($O$31:$O$33,MATCH($B$6,$J$31:$J$33,0))-BJ$74-BJ$82)),0)</f>
        <v>0</v>
      </c>
      <c r="BK80" s="313" t="n">
        <f>IF(AND(BK$64&lt;=$B$19,BK$64&lt;=$B$20,BK$64&lt;$B$35,OR($B$21="No",AND(BK$74&lt;=$B$9,BK$74&lt;=MAX(0,$B$10+INDEX($R$31:$R$33,MATCH($B$6,$J$31:$J$33,0)))*SUM($F$77:BK$77),BK$74&lt;=MAX(0,$B$11+INDEX($R$31:$R$33,MATCH($B$6,$J$31:$J$33,0)))*'VALUATION &amp; RETURNS'!$DA$8*1000000*INDEX($O$31:$O$33,MATCH($B$6,$J$31:$J$33,0))))),MAX(0,MIN(BK$77,BK$79,BK$73-BK$74-BK$82,MAX(0,$B$10+INDEX($R$31:$R$33,MATCH($B$6,$J$31:$J$33,0)))*SUM($F$77:BK$77)-BK$74-BK$82,MAX(0,$B$11+INDEX($R$31:$R$33,MATCH($B$6,$J$31:$J$33,0)))*'VALUATION &amp; RETURNS'!$DA$8*1000000*INDEX($O$31:$O$33,MATCH($B$6,$J$31:$J$33,0))-BK$74-BK$82)),0)</f>
        <v>0</v>
      </c>
      <c r="BL80" s="313" t="n">
        <f>IF(AND(BL$64&lt;=$B$19,BL$64&lt;=$B$20,BL$64&lt;$B$35,OR($B$21="No",AND(BL$74&lt;=$B$9,BL$74&lt;=MAX(0,$B$10+INDEX($R$31:$R$33,MATCH($B$6,$J$31:$J$33,0)))*SUM($F$77:BL$77),BL$74&lt;=MAX(0,$B$11+INDEX($R$31:$R$33,MATCH($B$6,$J$31:$J$33,0)))*'VALUATION &amp; RETURNS'!$DA$8*1000000*INDEX($O$31:$O$33,MATCH($B$6,$J$31:$J$33,0))))),MAX(0,MIN(BL$77,BL$79,BL$73-BL$74-BL$82,MAX(0,$B$10+INDEX($R$31:$R$33,MATCH($B$6,$J$31:$J$33,0)))*SUM($F$77:BL$77)-BL$74-BL$82,MAX(0,$B$11+INDEX($R$31:$R$33,MATCH($B$6,$J$31:$J$33,0)))*'VALUATION &amp; RETURNS'!$DA$8*1000000*INDEX($O$31:$O$33,MATCH($B$6,$J$31:$J$33,0))-BL$74-BL$82)),0)</f>
        <v>0</v>
      </c>
      <c r="BM80" s="313" t="n">
        <f>IF(AND(BM$64&lt;=$B$19,BM$64&lt;=$B$20,BM$64&lt;$B$35,OR($B$21="No",AND(BM$74&lt;=$B$9,BM$74&lt;=MAX(0,$B$10+INDEX($R$31:$R$33,MATCH($B$6,$J$31:$J$33,0)))*SUM($F$77:BM$77),BM$74&lt;=MAX(0,$B$11+INDEX($R$31:$R$33,MATCH($B$6,$J$31:$J$33,0)))*'VALUATION &amp; RETURNS'!$DA$8*1000000*INDEX($O$31:$O$33,MATCH($B$6,$J$31:$J$33,0))))),MAX(0,MIN(BM$77,BM$79,BM$73-BM$74-BM$82,MAX(0,$B$10+INDEX($R$31:$R$33,MATCH($B$6,$J$31:$J$33,0)))*SUM($F$77:BM$77)-BM$74-BM$82,MAX(0,$B$11+INDEX($R$31:$R$33,MATCH($B$6,$J$31:$J$33,0)))*'VALUATION &amp; RETURNS'!$DA$8*1000000*INDEX($O$31:$O$33,MATCH($B$6,$J$31:$J$33,0))-BM$74-BM$82)),0)</f>
        <v>0</v>
      </c>
      <c r="BN80" s="313" t="n">
        <f>IF(AND(BN$64&lt;=$B$19,BN$64&lt;=$B$20,BN$64&lt;$B$35,OR($B$21="No",AND(BN$74&lt;=$B$9,BN$74&lt;=MAX(0,$B$10+INDEX($R$31:$R$33,MATCH($B$6,$J$31:$J$33,0)))*SUM($F$77:BN$77),BN$74&lt;=MAX(0,$B$11+INDEX($R$31:$R$33,MATCH($B$6,$J$31:$J$33,0)))*'VALUATION &amp; RETURNS'!$DA$8*1000000*INDEX($O$31:$O$33,MATCH($B$6,$J$31:$J$33,0))))),MAX(0,MIN(BN$77,BN$79,BN$73-BN$74-BN$82,MAX(0,$B$10+INDEX($R$31:$R$33,MATCH($B$6,$J$31:$J$33,0)))*SUM($F$77:BN$77)-BN$74-BN$82,MAX(0,$B$11+INDEX($R$31:$R$33,MATCH($B$6,$J$31:$J$33,0)))*'VALUATION &amp; RETURNS'!$DA$8*1000000*INDEX($O$31:$O$33,MATCH($B$6,$J$31:$J$33,0))-BN$74-BN$82)),0)</f>
        <v>0</v>
      </c>
      <c r="BO80" s="313" t="n">
        <f>IF(AND(BO$64&lt;=$B$19,BO$64&lt;=$B$20,BO$64&lt;$B$35,OR($B$21="No",AND(BO$74&lt;=$B$9,BO$74&lt;=MAX(0,$B$10+INDEX($R$31:$R$33,MATCH($B$6,$J$31:$J$33,0)))*SUM($F$77:BO$77),BO$74&lt;=MAX(0,$B$11+INDEX($R$31:$R$33,MATCH($B$6,$J$31:$J$33,0)))*'VALUATION &amp; RETURNS'!$DA$8*1000000*INDEX($O$31:$O$33,MATCH($B$6,$J$31:$J$33,0))))),MAX(0,MIN(BO$77,BO$79,BO$73-BO$74-BO$82,MAX(0,$B$10+INDEX($R$31:$R$33,MATCH($B$6,$J$31:$J$33,0)))*SUM($F$77:BO$77)-BO$74-BO$82,MAX(0,$B$11+INDEX($R$31:$R$33,MATCH($B$6,$J$31:$J$33,0)))*'VALUATION &amp; RETURNS'!$DA$8*1000000*INDEX($O$31:$O$33,MATCH($B$6,$J$31:$J$33,0))-BO$74-BO$82)),0)</f>
        <v>0</v>
      </c>
      <c r="BP80" s="313" t="n">
        <f>IF(AND(BP$64&lt;=$B$19,BP$64&lt;=$B$20,BP$64&lt;$B$35,OR($B$21="No",AND(BP$74&lt;=$B$9,BP$74&lt;=MAX(0,$B$10+INDEX($R$31:$R$33,MATCH($B$6,$J$31:$J$33,0)))*SUM($F$77:BP$77),BP$74&lt;=MAX(0,$B$11+INDEX($R$31:$R$33,MATCH($B$6,$J$31:$J$33,0)))*'VALUATION &amp; RETURNS'!$DA$8*1000000*INDEX($O$31:$O$33,MATCH($B$6,$J$31:$J$33,0))))),MAX(0,MIN(BP$77,BP$79,BP$73-BP$74-BP$82,MAX(0,$B$10+INDEX($R$31:$R$33,MATCH($B$6,$J$31:$J$33,0)))*SUM($F$77:BP$77)-BP$74-BP$82,MAX(0,$B$11+INDEX($R$31:$R$33,MATCH($B$6,$J$31:$J$33,0)))*'VALUATION &amp; RETURNS'!$DA$8*1000000*INDEX($O$31:$O$33,MATCH($B$6,$J$31:$J$33,0))-BP$74-BP$82)),0)</f>
        <v>0</v>
      </c>
      <c r="BQ80" s="313" t="n">
        <f>IF(AND(BQ$64&lt;=$B$19,BQ$64&lt;=$B$20,BQ$64&lt;$B$35,OR($B$21="No",AND(BQ$74&lt;=$B$9,BQ$74&lt;=MAX(0,$B$10+INDEX($R$31:$R$33,MATCH($B$6,$J$31:$J$33,0)))*SUM($F$77:BQ$77),BQ$74&lt;=MAX(0,$B$11+INDEX($R$31:$R$33,MATCH($B$6,$J$31:$J$33,0)))*'VALUATION &amp; RETURNS'!$DA$8*1000000*INDEX($O$31:$O$33,MATCH($B$6,$J$31:$J$33,0))))),MAX(0,MIN(BQ$77,BQ$79,BQ$73-BQ$74-BQ$82,MAX(0,$B$10+INDEX($R$31:$R$33,MATCH($B$6,$J$31:$J$33,0)))*SUM($F$77:BQ$77)-BQ$74-BQ$82,MAX(0,$B$11+INDEX($R$31:$R$33,MATCH($B$6,$J$31:$J$33,0)))*'VALUATION &amp; RETURNS'!$DA$8*1000000*INDEX($O$31:$O$33,MATCH($B$6,$J$31:$J$33,0))-BQ$74-BQ$82)),0)</f>
        <v>0</v>
      </c>
      <c r="BR80" s="313" t="n">
        <f>IF(AND(BR$64&lt;=$B$19,BR$64&lt;=$B$20,BR$64&lt;$B$35,OR($B$21="No",AND(BR$74&lt;=$B$9,BR$74&lt;=MAX(0,$B$10+INDEX($R$31:$R$33,MATCH($B$6,$J$31:$J$33,0)))*SUM($F$77:BR$77),BR$74&lt;=MAX(0,$B$11+INDEX($R$31:$R$33,MATCH($B$6,$J$31:$J$33,0)))*'VALUATION &amp; RETURNS'!$DA$8*1000000*INDEX($O$31:$O$33,MATCH($B$6,$J$31:$J$33,0))))),MAX(0,MIN(BR$77,BR$79,BR$73-BR$74-BR$82,MAX(0,$B$10+INDEX($R$31:$R$33,MATCH($B$6,$J$31:$J$33,0)))*SUM($F$77:BR$77)-BR$74-BR$82,MAX(0,$B$11+INDEX($R$31:$R$33,MATCH($B$6,$J$31:$J$33,0)))*'VALUATION &amp; RETURNS'!$DA$8*1000000*INDEX($O$31:$O$33,MATCH($B$6,$J$31:$J$33,0))-BR$74-BR$82)),0)</f>
        <v>0</v>
      </c>
      <c r="BS80" s="313" t="n">
        <f>IF(AND(BS$64&lt;=$B$19,BS$64&lt;=$B$20,BS$64&lt;$B$35,OR($B$21="No",AND(BS$74&lt;=$B$9,BS$74&lt;=MAX(0,$B$10+INDEX($R$31:$R$33,MATCH($B$6,$J$31:$J$33,0)))*SUM($F$77:BS$77),BS$74&lt;=MAX(0,$B$11+INDEX($R$31:$R$33,MATCH($B$6,$J$31:$J$33,0)))*'VALUATION &amp; RETURNS'!$DA$8*1000000*INDEX($O$31:$O$33,MATCH($B$6,$J$31:$J$33,0))))),MAX(0,MIN(BS$77,BS$79,BS$73-BS$74-BS$82,MAX(0,$B$10+INDEX($R$31:$R$33,MATCH($B$6,$J$31:$J$33,0)))*SUM($F$77:BS$77)-BS$74-BS$82,MAX(0,$B$11+INDEX($R$31:$R$33,MATCH($B$6,$J$31:$J$33,0)))*'VALUATION &amp; RETURNS'!$DA$8*1000000*INDEX($O$31:$O$33,MATCH($B$6,$J$31:$J$33,0))-BS$74-BS$82)),0)</f>
        <v>0</v>
      </c>
      <c r="BT80" s="313" t="n">
        <f>IF(AND(BT$64&lt;=$B$19,BT$64&lt;=$B$20,BT$64&lt;$B$35,OR($B$21="No",AND(BT$74&lt;=$B$9,BT$74&lt;=MAX(0,$B$10+INDEX($R$31:$R$33,MATCH($B$6,$J$31:$J$33,0)))*SUM($F$77:BT$77),BT$74&lt;=MAX(0,$B$11+INDEX($R$31:$R$33,MATCH($B$6,$J$31:$J$33,0)))*'VALUATION &amp; RETURNS'!$DA$8*1000000*INDEX($O$31:$O$33,MATCH($B$6,$J$31:$J$33,0))))),MAX(0,MIN(BT$77,BT$79,BT$73-BT$74-BT$82,MAX(0,$B$10+INDEX($R$31:$R$33,MATCH($B$6,$J$31:$J$33,0)))*SUM($F$77:BT$77)-BT$74-BT$82,MAX(0,$B$11+INDEX($R$31:$R$33,MATCH($B$6,$J$31:$J$33,0)))*'VALUATION &amp; RETURNS'!$DA$8*1000000*INDEX($O$31:$O$33,MATCH($B$6,$J$31:$J$33,0))-BT$74-BT$82)),0)</f>
        <v>0</v>
      </c>
      <c r="BU80" s="313" t="n">
        <f>IF(AND(BU$64&lt;=$B$19,BU$64&lt;=$B$20,BU$64&lt;$B$35,OR($B$21="No",AND(BU$74&lt;=$B$9,BU$74&lt;=MAX(0,$B$10+INDEX($R$31:$R$33,MATCH($B$6,$J$31:$J$33,0)))*SUM($F$77:BU$77),BU$74&lt;=MAX(0,$B$11+INDEX($R$31:$R$33,MATCH($B$6,$J$31:$J$33,0)))*'VALUATION &amp; RETURNS'!$DA$8*1000000*INDEX($O$31:$O$33,MATCH($B$6,$J$31:$J$33,0))))),MAX(0,MIN(BU$77,BU$79,BU$73-BU$74-BU$82,MAX(0,$B$10+INDEX($R$31:$R$33,MATCH($B$6,$J$31:$J$33,0)))*SUM($F$77:BU$77)-BU$74-BU$82,MAX(0,$B$11+INDEX($R$31:$R$33,MATCH($B$6,$J$31:$J$33,0)))*'VALUATION &amp; RETURNS'!$DA$8*1000000*INDEX($O$31:$O$33,MATCH($B$6,$J$31:$J$33,0))-BU$74-BU$82)),0)</f>
        <v>0</v>
      </c>
      <c r="BV80" s="313" t="n">
        <f>IF(AND(BV$64&lt;=$B$19,BV$64&lt;=$B$20,BV$64&lt;$B$35,OR($B$21="No",AND(BV$74&lt;=$B$9,BV$74&lt;=MAX(0,$B$10+INDEX($R$31:$R$33,MATCH($B$6,$J$31:$J$33,0)))*SUM($F$77:BV$77),BV$74&lt;=MAX(0,$B$11+INDEX($R$31:$R$33,MATCH($B$6,$J$31:$J$33,0)))*'VALUATION &amp; RETURNS'!$DA$8*1000000*INDEX($O$31:$O$33,MATCH($B$6,$J$31:$J$33,0))))),MAX(0,MIN(BV$77,BV$79,BV$73-BV$74-BV$82,MAX(0,$B$10+INDEX($R$31:$R$33,MATCH($B$6,$J$31:$J$33,0)))*SUM($F$77:BV$77)-BV$74-BV$82,MAX(0,$B$11+INDEX($R$31:$R$33,MATCH($B$6,$J$31:$J$33,0)))*'VALUATION &amp; RETURNS'!$DA$8*1000000*INDEX($O$31:$O$33,MATCH($B$6,$J$31:$J$33,0))-BV$74-BV$82)),0)</f>
        <v>0</v>
      </c>
      <c r="BW80" s="313" t="n">
        <f>IF(AND(BW$64&lt;=$B$19,BW$64&lt;=$B$20,BW$64&lt;$B$35,OR($B$21="No",AND(BW$74&lt;=$B$9,BW$74&lt;=MAX(0,$B$10+INDEX($R$31:$R$33,MATCH($B$6,$J$31:$J$33,0)))*SUM($F$77:BW$77),BW$74&lt;=MAX(0,$B$11+INDEX($R$31:$R$33,MATCH($B$6,$J$31:$J$33,0)))*'VALUATION &amp; RETURNS'!$DA$8*1000000*INDEX($O$31:$O$33,MATCH($B$6,$J$31:$J$33,0))))),MAX(0,MIN(BW$77,BW$79,BW$73-BW$74-BW$82,MAX(0,$B$10+INDEX($R$31:$R$33,MATCH($B$6,$J$31:$J$33,0)))*SUM($F$77:BW$77)-BW$74-BW$82,MAX(0,$B$11+INDEX($R$31:$R$33,MATCH($B$6,$J$31:$J$33,0)))*'VALUATION &amp; RETURNS'!$DA$8*1000000*INDEX($O$31:$O$33,MATCH($B$6,$J$31:$J$33,0))-BW$74-BW$82)),0)</f>
        <v>0</v>
      </c>
      <c r="BX80" s="313" t="n">
        <f>IF(AND(BX$64&lt;=$B$19,BX$64&lt;=$B$20,BX$64&lt;$B$35,OR($B$21="No",AND(BX$74&lt;=$B$9,BX$74&lt;=MAX(0,$B$10+INDEX($R$31:$R$33,MATCH($B$6,$J$31:$J$33,0)))*SUM($F$77:BX$77),BX$74&lt;=MAX(0,$B$11+INDEX($R$31:$R$33,MATCH($B$6,$J$31:$J$33,0)))*'VALUATION &amp; RETURNS'!$DA$8*1000000*INDEX($O$31:$O$33,MATCH($B$6,$J$31:$J$33,0))))),MAX(0,MIN(BX$77,BX$79,BX$73-BX$74-BX$82,MAX(0,$B$10+INDEX($R$31:$R$33,MATCH($B$6,$J$31:$J$33,0)))*SUM($F$77:BX$77)-BX$74-BX$82,MAX(0,$B$11+INDEX($R$31:$R$33,MATCH($B$6,$J$31:$J$33,0)))*'VALUATION &amp; RETURNS'!$DA$8*1000000*INDEX($O$31:$O$33,MATCH($B$6,$J$31:$J$33,0))-BX$74-BX$82)),0)</f>
        <v>0</v>
      </c>
      <c r="BY80" s="313" t="n">
        <f>IF(AND(BY$64&lt;=$B$19,BY$64&lt;=$B$20,BY$64&lt;$B$35,OR($B$21="No",AND(BY$74&lt;=$B$9,BY$74&lt;=MAX(0,$B$10+INDEX($R$31:$R$33,MATCH($B$6,$J$31:$J$33,0)))*SUM($F$77:BY$77),BY$74&lt;=MAX(0,$B$11+INDEX($R$31:$R$33,MATCH($B$6,$J$31:$J$33,0)))*'VALUATION &amp; RETURNS'!$DA$8*1000000*INDEX($O$31:$O$33,MATCH($B$6,$J$31:$J$33,0))))),MAX(0,MIN(BY$77,BY$79,BY$73-BY$74-BY$82,MAX(0,$B$10+INDEX($R$31:$R$33,MATCH($B$6,$J$31:$J$33,0)))*SUM($F$77:BY$77)-BY$74-BY$82,MAX(0,$B$11+INDEX($R$31:$R$33,MATCH($B$6,$J$31:$J$33,0)))*'VALUATION &amp; RETURNS'!$DA$8*1000000*INDEX($O$31:$O$33,MATCH($B$6,$J$31:$J$33,0))-BY$74-BY$82)),0)</f>
        <v>0</v>
      </c>
      <c r="BZ80" s="313" t="n">
        <f>IF(AND(BZ$64&lt;=$B$19,BZ$64&lt;=$B$20,BZ$64&lt;$B$35,OR($B$21="No",AND(BZ$74&lt;=$B$9,BZ$74&lt;=MAX(0,$B$10+INDEX($R$31:$R$33,MATCH($B$6,$J$31:$J$33,0)))*SUM($F$77:BZ$77),BZ$74&lt;=MAX(0,$B$11+INDEX($R$31:$R$33,MATCH($B$6,$J$31:$J$33,0)))*'VALUATION &amp; RETURNS'!$DA$8*1000000*INDEX($O$31:$O$33,MATCH($B$6,$J$31:$J$33,0))))),MAX(0,MIN(BZ$77,BZ$79,BZ$73-BZ$74-BZ$82,MAX(0,$B$10+INDEX($R$31:$R$33,MATCH($B$6,$J$31:$J$33,0)))*SUM($F$77:BZ$77)-BZ$74-BZ$82,MAX(0,$B$11+INDEX($R$31:$R$33,MATCH($B$6,$J$31:$J$33,0)))*'VALUATION &amp; RETURNS'!$DA$8*1000000*INDEX($O$31:$O$33,MATCH($B$6,$J$31:$J$33,0))-BZ$74-BZ$82)),0)</f>
        <v>0</v>
      </c>
      <c r="CA80" s="313" t="n">
        <f>IF(AND(CA$64&lt;=$B$19,CA$64&lt;=$B$20,CA$64&lt;$B$35,OR($B$21="No",AND(CA$74&lt;=$B$9,CA$74&lt;=MAX(0,$B$10+INDEX($R$31:$R$33,MATCH($B$6,$J$31:$J$33,0)))*SUM($F$77:CA$77),CA$74&lt;=MAX(0,$B$11+INDEX($R$31:$R$33,MATCH($B$6,$J$31:$J$33,0)))*'VALUATION &amp; RETURNS'!$DA$8*1000000*INDEX($O$31:$O$33,MATCH($B$6,$J$31:$J$33,0))))),MAX(0,MIN(CA$77,CA$79,CA$73-CA$74-CA$82,MAX(0,$B$10+INDEX($R$31:$R$33,MATCH($B$6,$J$31:$J$33,0)))*SUM($F$77:CA$77)-CA$74-CA$82,MAX(0,$B$11+INDEX($R$31:$R$33,MATCH($B$6,$J$31:$J$33,0)))*'VALUATION &amp; RETURNS'!$DA$8*1000000*INDEX($O$31:$O$33,MATCH($B$6,$J$31:$J$33,0))-CA$74-CA$82)),0)</f>
        <v>0</v>
      </c>
      <c r="CB80" s="313" t="n">
        <f>IF(AND(CB$64&lt;=$B$19,CB$64&lt;=$B$20,CB$64&lt;$B$35,OR($B$21="No",AND(CB$74&lt;=$B$9,CB$74&lt;=MAX(0,$B$10+INDEX($R$31:$R$33,MATCH($B$6,$J$31:$J$33,0)))*SUM($F$77:CB$77),CB$74&lt;=MAX(0,$B$11+INDEX($R$31:$R$33,MATCH($B$6,$J$31:$J$33,0)))*'VALUATION &amp; RETURNS'!$DA$8*1000000*INDEX($O$31:$O$33,MATCH($B$6,$J$31:$J$33,0))))),MAX(0,MIN(CB$77,CB$79,CB$73-CB$74-CB$82,MAX(0,$B$10+INDEX($R$31:$R$33,MATCH($B$6,$J$31:$J$33,0)))*SUM($F$77:CB$77)-CB$74-CB$82,MAX(0,$B$11+INDEX($R$31:$R$33,MATCH($B$6,$J$31:$J$33,0)))*'VALUATION &amp; RETURNS'!$DA$8*1000000*INDEX($O$31:$O$33,MATCH($B$6,$J$31:$J$33,0))-CB$74-CB$82)),0)</f>
        <v>0</v>
      </c>
      <c r="CC80" s="313" t="n">
        <f>IF(AND(CC$64&lt;=$B$19,CC$64&lt;=$B$20,CC$64&lt;$B$35,OR($B$21="No",AND(CC$74&lt;=$B$9,CC$74&lt;=MAX(0,$B$10+INDEX($R$31:$R$33,MATCH($B$6,$J$31:$J$33,0)))*SUM($F$77:CC$77),CC$74&lt;=MAX(0,$B$11+INDEX($R$31:$R$33,MATCH($B$6,$J$31:$J$33,0)))*'VALUATION &amp; RETURNS'!$DA$8*1000000*INDEX($O$31:$O$33,MATCH($B$6,$J$31:$J$33,0))))),MAX(0,MIN(CC$77,CC$79,CC$73-CC$74-CC$82,MAX(0,$B$10+INDEX($R$31:$R$33,MATCH($B$6,$J$31:$J$33,0)))*SUM($F$77:CC$77)-CC$74-CC$82,MAX(0,$B$11+INDEX($R$31:$R$33,MATCH($B$6,$J$31:$J$33,0)))*'VALUATION &amp; RETURNS'!$DA$8*1000000*INDEX($O$31:$O$33,MATCH($B$6,$J$31:$J$33,0))-CC$74-CC$82)),0)</f>
        <v>0</v>
      </c>
      <c r="CD80" s="313" t="n">
        <f>IF(AND(CD$64&lt;=$B$19,CD$64&lt;=$B$20,CD$64&lt;$B$35,OR($B$21="No",AND(CD$74&lt;=$B$9,CD$74&lt;=MAX(0,$B$10+INDEX($R$31:$R$33,MATCH($B$6,$J$31:$J$33,0)))*SUM($F$77:CD$77),CD$74&lt;=MAX(0,$B$11+INDEX($R$31:$R$33,MATCH($B$6,$J$31:$J$33,0)))*'VALUATION &amp; RETURNS'!$DA$8*1000000*INDEX($O$31:$O$33,MATCH($B$6,$J$31:$J$33,0))))),MAX(0,MIN(CD$77,CD$79,CD$73-CD$74-CD$82,MAX(0,$B$10+INDEX($R$31:$R$33,MATCH($B$6,$J$31:$J$33,0)))*SUM($F$77:CD$77)-CD$74-CD$82,MAX(0,$B$11+INDEX($R$31:$R$33,MATCH($B$6,$J$31:$J$33,0)))*'VALUATION &amp; RETURNS'!$DA$8*1000000*INDEX($O$31:$O$33,MATCH($B$6,$J$31:$J$33,0))-CD$74-CD$82)),0)</f>
        <v>0</v>
      </c>
      <c r="CE80" s="313" t="n">
        <f>IF(AND(CE$64&lt;=$B$19,CE$64&lt;=$B$20,CE$64&lt;$B$35,OR($B$21="No",AND(CE$74&lt;=$B$9,CE$74&lt;=MAX(0,$B$10+INDEX($R$31:$R$33,MATCH($B$6,$J$31:$J$33,0)))*SUM($F$77:CE$77),CE$74&lt;=MAX(0,$B$11+INDEX($R$31:$R$33,MATCH($B$6,$J$31:$J$33,0)))*'VALUATION &amp; RETURNS'!$DA$8*1000000*INDEX($O$31:$O$33,MATCH($B$6,$J$31:$J$33,0))))),MAX(0,MIN(CE$77,CE$79,CE$73-CE$74-CE$82,MAX(0,$B$10+INDEX($R$31:$R$33,MATCH($B$6,$J$31:$J$33,0)))*SUM($F$77:CE$77)-CE$74-CE$82,MAX(0,$B$11+INDEX($R$31:$R$33,MATCH($B$6,$J$31:$J$33,0)))*'VALUATION &amp; RETURNS'!$DA$8*1000000*INDEX($O$31:$O$33,MATCH($B$6,$J$31:$J$33,0))-CE$74-CE$82)),0)</f>
        <v>0</v>
      </c>
      <c r="CF80" s="313" t="n">
        <f>IF(AND(CF$64&lt;=$B$19,CF$64&lt;=$B$20,CF$64&lt;$B$35,OR($B$21="No",AND(CF$74&lt;=$B$9,CF$74&lt;=MAX(0,$B$10+INDEX($R$31:$R$33,MATCH($B$6,$J$31:$J$33,0)))*SUM($F$77:CF$77),CF$74&lt;=MAX(0,$B$11+INDEX($R$31:$R$33,MATCH($B$6,$J$31:$J$33,0)))*'VALUATION &amp; RETURNS'!$DA$8*1000000*INDEX($O$31:$O$33,MATCH($B$6,$J$31:$J$33,0))))),MAX(0,MIN(CF$77,CF$79,CF$73-CF$74-CF$82,MAX(0,$B$10+INDEX($R$31:$R$33,MATCH($B$6,$J$31:$J$33,0)))*SUM($F$77:CF$77)-CF$74-CF$82,MAX(0,$B$11+INDEX($R$31:$R$33,MATCH($B$6,$J$31:$J$33,0)))*'VALUATION &amp; RETURNS'!$DA$8*1000000*INDEX($O$31:$O$33,MATCH($B$6,$J$31:$J$33,0))-CF$74-CF$82)),0)</f>
        <v>0</v>
      </c>
      <c r="CG80" s="313" t="n">
        <f>IF(AND(CG$64&lt;=$B$19,CG$64&lt;=$B$20,CG$64&lt;$B$35,OR($B$21="No",AND(CG$74&lt;=$B$9,CG$74&lt;=MAX(0,$B$10+INDEX($R$31:$R$33,MATCH($B$6,$J$31:$J$33,0)))*SUM($F$77:CG$77),CG$74&lt;=MAX(0,$B$11+INDEX($R$31:$R$33,MATCH($B$6,$J$31:$J$33,0)))*'VALUATION &amp; RETURNS'!$DA$8*1000000*INDEX($O$31:$O$33,MATCH($B$6,$J$31:$J$33,0))))),MAX(0,MIN(CG$77,CG$79,CG$73-CG$74-CG$82,MAX(0,$B$10+INDEX($R$31:$R$33,MATCH($B$6,$J$31:$J$33,0)))*SUM($F$77:CG$77)-CG$74-CG$82,MAX(0,$B$11+INDEX($R$31:$R$33,MATCH($B$6,$J$31:$J$33,0)))*'VALUATION &amp; RETURNS'!$DA$8*1000000*INDEX($O$31:$O$33,MATCH($B$6,$J$31:$J$33,0))-CG$74-CG$82)),0)</f>
        <v>0</v>
      </c>
      <c r="CH80" s="313" t="n">
        <f>IF(AND(CH$64&lt;=$B$19,CH$64&lt;=$B$20,CH$64&lt;$B$35,OR($B$21="No",AND(CH$74&lt;=$B$9,CH$74&lt;=MAX(0,$B$10+INDEX($R$31:$R$33,MATCH($B$6,$J$31:$J$33,0)))*SUM($F$77:CH$77),CH$74&lt;=MAX(0,$B$11+INDEX($R$31:$R$33,MATCH($B$6,$J$31:$J$33,0)))*'VALUATION &amp; RETURNS'!$DA$8*1000000*INDEX($O$31:$O$33,MATCH($B$6,$J$31:$J$33,0))))),MAX(0,MIN(CH$77,CH$79,CH$73-CH$74-CH$82,MAX(0,$B$10+INDEX($R$31:$R$33,MATCH($B$6,$J$31:$J$33,0)))*SUM($F$77:CH$77)-CH$74-CH$82,MAX(0,$B$11+INDEX($R$31:$R$33,MATCH($B$6,$J$31:$J$33,0)))*'VALUATION &amp; RETURNS'!$DA$8*1000000*INDEX($O$31:$O$33,MATCH($B$6,$J$31:$J$33,0))-CH$74-CH$82)),0)</f>
        <v>0</v>
      </c>
      <c r="CI80" s="313" t="n">
        <f>IF(AND(CI$64&lt;=$B$19,CI$64&lt;=$B$20,CI$64&lt;$B$35,OR($B$21="No",AND(CI$74&lt;=$B$9,CI$74&lt;=MAX(0,$B$10+INDEX($R$31:$R$33,MATCH($B$6,$J$31:$J$33,0)))*SUM($F$77:CI$77),CI$74&lt;=MAX(0,$B$11+INDEX($R$31:$R$33,MATCH($B$6,$J$31:$J$33,0)))*'VALUATION &amp; RETURNS'!$DA$8*1000000*INDEX($O$31:$O$33,MATCH($B$6,$J$31:$J$33,0))))),MAX(0,MIN(CI$77,CI$79,CI$73-CI$74-CI$82,MAX(0,$B$10+INDEX($R$31:$R$33,MATCH($B$6,$J$31:$J$33,0)))*SUM($F$77:CI$77)-CI$74-CI$82,MAX(0,$B$11+INDEX($R$31:$R$33,MATCH($B$6,$J$31:$J$33,0)))*'VALUATION &amp; RETURNS'!$DA$8*1000000*INDEX($O$31:$O$33,MATCH($B$6,$J$31:$J$33,0))-CI$74-CI$82)),0)</f>
        <v>0</v>
      </c>
      <c r="CJ80" s="313" t="n">
        <f>IF(AND(CJ$64&lt;=$B$19,CJ$64&lt;=$B$20,CJ$64&lt;$B$35,OR($B$21="No",AND(CJ$74&lt;=$B$9,CJ$74&lt;=MAX(0,$B$10+INDEX($R$31:$R$33,MATCH($B$6,$J$31:$J$33,0)))*SUM($F$77:CJ$77),CJ$74&lt;=MAX(0,$B$11+INDEX($R$31:$R$33,MATCH($B$6,$J$31:$J$33,0)))*'VALUATION &amp; RETURNS'!$DA$8*1000000*INDEX($O$31:$O$33,MATCH($B$6,$J$31:$J$33,0))))),MAX(0,MIN(CJ$77,CJ$79,CJ$73-CJ$74-CJ$82,MAX(0,$B$10+INDEX($R$31:$R$33,MATCH($B$6,$J$31:$J$33,0)))*SUM($F$77:CJ$77)-CJ$74-CJ$82,MAX(0,$B$11+INDEX($R$31:$R$33,MATCH($B$6,$J$31:$J$33,0)))*'VALUATION &amp; RETURNS'!$DA$8*1000000*INDEX($O$31:$O$33,MATCH($B$6,$J$31:$J$33,0))-CJ$74-CJ$82)),0)</f>
        <v>0</v>
      </c>
      <c r="CK80" s="313" t="n">
        <f>IF(AND(CK$64&lt;=$B$19,CK$64&lt;=$B$20,CK$64&lt;$B$35,OR($B$21="No",AND(CK$74&lt;=$B$9,CK$74&lt;=MAX(0,$B$10+INDEX($R$31:$R$33,MATCH($B$6,$J$31:$J$33,0)))*SUM($F$77:CK$77),CK$74&lt;=MAX(0,$B$11+INDEX($R$31:$R$33,MATCH($B$6,$J$31:$J$33,0)))*'VALUATION &amp; RETURNS'!$DA$8*1000000*INDEX($O$31:$O$33,MATCH($B$6,$J$31:$J$33,0))))),MAX(0,MIN(CK$77,CK$79,CK$73-CK$74-CK$82,MAX(0,$B$10+INDEX($R$31:$R$33,MATCH($B$6,$J$31:$J$33,0)))*SUM($F$77:CK$77)-CK$74-CK$82,MAX(0,$B$11+INDEX($R$31:$R$33,MATCH($B$6,$J$31:$J$33,0)))*'VALUATION &amp; RETURNS'!$DA$8*1000000*INDEX($O$31:$O$33,MATCH($B$6,$J$31:$J$33,0))-CK$74-CK$82)),0)</f>
        <v>0</v>
      </c>
      <c r="CL80" s="313" t="n">
        <f>IF(AND(CL$64&lt;=$B$19,CL$64&lt;=$B$20,CL$64&lt;$B$35,OR($B$21="No",AND(CL$74&lt;=$B$9,CL$74&lt;=MAX(0,$B$10+INDEX($R$31:$R$33,MATCH($B$6,$J$31:$J$33,0)))*SUM($F$77:CL$77),CL$74&lt;=MAX(0,$B$11+INDEX($R$31:$R$33,MATCH($B$6,$J$31:$J$33,0)))*'VALUATION &amp; RETURNS'!$DA$8*1000000*INDEX($O$31:$O$33,MATCH($B$6,$J$31:$J$33,0))))),MAX(0,MIN(CL$77,CL$79,CL$73-CL$74-CL$82,MAX(0,$B$10+INDEX($R$31:$R$33,MATCH($B$6,$J$31:$J$33,0)))*SUM($F$77:CL$77)-CL$74-CL$82,MAX(0,$B$11+INDEX($R$31:$R$33,MATCH($B$6,$J$31:$J$33,0)))*'VALUATION &amp; RETURNS'!$DA$8*1000000*INDEX($O$31:$O$33,MATCH($B$6,$J$31:$J$33,0))-CL$74-CL$82)),0)</f>
        <v>0</v>
      </c>
      <c r="CM80" s="313" t="n">
        <f>IF(AND(CM$64&lt;=$B$19,CM$64&lt;=$B$20,CM$64&lt;$B$35,OR($B$21="No",AND(CM$74&lt;=$B$9,CM$74&lt;=MAX(0,$B$10+INDEX($R$31:$R$33,MATCH($B$6,$J$31:$J$33,0)))*SUM($F$77:CM$77),CM$74&lt;=MAX(0,$B$11+INDEX($R$31:$R$33,MATCH($B$6,$J$31:$J$33,0)))*'VALUATION &amp; RETURNS'!$DA$8*1000000*INDEX($O$31:$O$33,MATCH($B$6,$J$31:$J$33,0))))),MAX(0,MIN(CM$77,CM$79,CM$73-CM$74-CM$82,MAX(0,$B$10+INDEX($R$31:$R$33,MATCH($B$6,$J$31:$J$33,0)))*SUM($F$77:CM$77)-CM$74-CM$82,MAX(0,$B$11+INDEX($R$31:$R$33,MATCH($B$6,$J$31:$J$33,0)))*'VALUATION &amp; RETURNS'!$DA$8*1000000*INDEX($O$31:$O$33,MATCH($B$6,$J$31:$J$33,0))-CM$74-CM$82)),0)</f>
        <v>0</v>
      </c>
      <c r="CN80" s="313" t="n">
        <f>IF(AND(CN$64&lt;=$B$19,CN$64&lt;=$B$20,CN$64&lt;$B$35,OR($B$21="No",AND(CN$74&lt;=$B$9,CN$74&lt;=MAX(0,$B$10+INDEX($R$31:$R$33,MATCH($B$6,$J$31:$J$33,0)))*SUM($F$77:CN$77),CN$74&lt;=MAX(0,$B$11+INDEX($R$31:$R$33,MATCH($B$6,$J$31:$J$33,0)))*'VALUATION &amp; RETURNS'!$DA$8*1000000*INDEX($O$31:$O$33,MATCH($B$6,$J$31:$J$33,0))))),MAX(0,MIN(CN$77,CN$79,CN$73-CN$74-CN$82,MAX(0,$B$10+INDEX($R$31:$R$33,MATCH($B$6,$J$31:$J$33,0)))*SUM($F$77:CN$77)-CN$74-CN$82,MAX(0,$B$11+INDEX($R$31:$R$33,MATCH($B$6,$J$31:$J$33,0)))*'VALUATION &amp; RETURNS'!$DA$8*1000000*INDEX($O$31:$O$33,MATCH($B$6,$J$31:$J$33,0))-CN$74-CN$82)),0)</f>
        <v>0</v>
      </c>
      <c r="CO80" s="313" t="n">
        <f>IF(AND(CO$64&lt;=$B$19,CO$64&lt;=$B$20,CO$64&lt;$B$35,OR($B$21="No",AND(CO$74&lt;=$B$9,CO$74&lt;=MAX(0,$B$10+INDEX($R$31:$R$33,MATCH($B$6,$J$31:$J$33,0)))*SUM($F$77:CO$77),CO$74&lt;=MAX(0,$B$11+INDEX($R$31:$R$33,MATCH($B$6,$J$31:$J$33,0)))*'VALUATION &amp; RETURNS'!$DA$8*1000000*INDEX($O$31:$O$33,MATCH($B$6,$J$31:$J$33,0))))),MAX(0,MIN(CO$77,CO$79,CO$73-CO$74-CO$82,MAX(0,$B$10+INDEX($R$31:$R$33,MATCH($B$6,$J$31:$J$33,0)))*SUM($F$77:CO$77)-CO$74-CO$82,MAX(0,$B$11+INDEX($R$31:$R$33,MATCH($B$6,$J$31:$J$33,0)))*'VALUATION &amp; RETURNS'!$DA$8*1000000*INDEX($O$31:$O$33,MATCH($B$6,$J$31:$J$33,0))-CO$74-CO$82)),0)</f>
        <v>0</v>
      </c>
      <c r="CP80" s="313" t="n">
        <f>IF(AND(CP$64&lt;=$B$19,CP$64&lt;=$B$20,CP$64&lt;$B$35,OR($B$21="No",AND(CP$74&lt;=$B$9,CP$74&lt;=MAX(0,$B$10+INDEX($R$31:$R$33,MATCH($B$6,$J$31:$J$33,0)))*SUM($F$77:CP$77),CP$74&lt;=MAX(0,$B$11+INDEX($R$31:$R$33,MATCH($B$6,$J$31:$J$33,0)))*'VALUATION &amp; RETURNS'!$DA$8*1000000*INDEX($O$31:$O$33,MATCH($B$6,$J$31:$J$33,0))))),MAX(0,MIN(CP$77,CP$79,CP$73-CP$74-CP$82,MAX(0,$B$10+INDEX($R$31:$R$33,MATCH($B$6,$J$31:$J$33,0)))*SUM($F$77:CP$77)-CP$74-CP$82,MAX(0,$B$11+INDEX($R$31:$R$33,MATCH($B$6,$J$31:$J$33,0)))*'VALUATION &amp; RETURNS'!$DA$8*1000000*INDEX($O$31:$O$33,MATCH($B$6,$J$31:$J$33,0))-CP$74-CP$82)),0)</f>
        <v>0</v>
      </c>
      <c r="CQ80" s="313" t="n">
        <f>IF(AND(CQ$64&lt;=$B$19,CQ$64&lt;=$B$20,CQ$64&lt;$B$35,OR($B$21="No",AND(CQ$74&lt;=$B$9,CQ$74&lt;=MAX(0,$B$10+INDEX($R$31:$R$33,MATCH($B$6,$J$31:$J$33,0)))*SUM($F$77:CQ$77),CQ$74&lt;=MAX(0,$B$11+INDEX($R$31:$R$33,MATCH($B$6,$J$31:$J$33,0)))*'VALUATION &amp; RETURNS'!$DA$8*1000000*INDEX($O$31:$O$33,MATCH($B$6,$J$31:$J$33,0))))),MAX(0,MIN(CQ$77,CQ$79,CQ$73-CQ$74-CQ$82,MAX(0,$B$10+INDEX($R$31:$R$33,MATCH($B$6,$J$31:$J$33,0)))*SUM($F$77:CQ$77)-CQ$74-CQ$82,MAX(0,$B$11+INDEX($R$31:$R$33,MATCH($B$6,$J$31:$J$33,0)))*'VALUATION &amp; RETURNS'!$DA$8*1000000*INDEX($O$31:$O$33,MATCH($B$6,$J$31:$J$33,0))-CQ$74-CQ$82)),0)</f>
        <v>0</v>
      </c>
      <c r="CR80" s="313" t="n">
        <f>IF(AND(CR$64&lt;=$B$19,CR$64&lt;=$B$20,CR$64&lt;$B$35,OR($B$21="No",AND(CR$74&lt;=$B$9,CR$74&lt;=MAX(0,$B$10+INDEX($R$31:$R$33,MATCH($B$6,$J$31:$J$33,0)))*SUM($F$77:CR$77),CR$74&lt;=MAX(0,$B$11+INDEX($R$31:$R$33,MATCH($B$6,$J$31:$J$33,0)))*'VALUATION &amp; RETURNS'!$DA$8*1000000*INDEX($O$31:$O$33,MATCH($B$6,$J$31:$J$33,0))))),MAX(0,MIN(CR$77,CR$79,CR$73-CR$74-CR$82,MAX(0,$B$10+INDEX($R$31:$R$33,MATCH($B$6,$J$31:$J$33,0)))*SUM($F$77:CR$77)-CR$74-CR$82,MAX(0,$B$11+INDEX($R$31:$R$33,MATCH($B$6,$J$31:$J$33,0)))*'VALUATION &amp; RETURNS'!$DA$8*1000000*INDEX($O$31:$O$33,MATCH($B$6,$J$31:$J$33,0))-CR$74-CR$82)),0)</f>
        <v>0</v>
      </c>
      <c r="CS80" s="313" t="n">
        <f>IF(AND(CS$64&lt;=$B$19,CS$64&lt;=$B$20,CS$64&lt;$B$35,OR($B$21="No",AND(CS$74&lt;=$B$9,CS$74&lt;=MAX(0,$B$10+INDEX($R$31:$R$33,MATCH($B$6,$J$31:$J$33,0)))*SUM($F$77:CS$77),CS$74&lt;=MAX(0,$B$11+INDEX($R$31:$R$33,MATCH($B$6,$J$31:$J$33,0)))*'VALUATION &amp; RETURNS'!$DA$8*1000000*INDEX($O$31:$O$33,MATCH($B$6,$J$31:$J$33,0))))),MAX(0,MIN(CS$77,CS$79,CS$73-CS$74-CS$82,MAX(0,$B$10+INDEX($R$31:$R$33,MATCH($B$6,$J$31:$J$33,0)))*SUM($F$77:CS$77)-CS$74-CS$82,MAX(0,$B$11+INDEX($R$31:$R$33,MATCH($B$6,$J$31:$J$33,0)))*'VALUATION &amp; RETURNS'!$DA$8*1000000*INDEX($O$31:$O$33,MATCH($B$6,$J$31:$J$33,0))-CS$74-CS$82)),0)</f>
        <v>0</v>
      </c>
      <c r="CT80" s="313" t="n">
        <f>IF(AND(CT$64&lt;=$B$19,CT$64&lt;=$B$20,CT$64&lt;$B$35,OR($B$21="No",AND(CT$74&lt;=$B$9,CT$74&lt;=MAX(0,$B$10+INDEX($R$31:$R$33,MATCH($B$6,$J$31:$J$33,0)))*SUM($F$77:CT$77),CT$74&lt;=MAX(0,$B$11+INDEX($R$31:$R$33,MATCH($B$6,$J$31:$J$33,0)))*'VALUATION &amp; RETURNS'!$DA$8*1000000*INDEX($O$31:$O$33,MATCH($B$6,$J$31:$J$33,0))))),MAX(0,MIN(CT$77,CT$79,CT$73-CT$74-CT$82,MAX(0,$B$10+INDEX($R$31:$R$33,MATCH($B$6,$J$31:$J$33,0)))*SUM($F$77:CT$77)-CT$74-CT$82,MAX(0,$B$11+INDEX($R$31:$R$33,MATCH($B$6,$J$31:$J$33,0)))*'VALUATION &amp; RETURNS'!$DA$8*1000000*INDEX($O$31:$O$33,MATCH($B$6,$J$31:$J$33,0))-CT$74-CT$82)),0)</f>
        <v>0</v>
      </c>
      <c r="CU80" s="313" t="n">
        <f>IF(AND(CU$64&lt;=$B$19,CU$64&lt;=$B$20,CU$64&lt;$B$35,OR($B$21="No",AND(CU$74&lt;=$B$9,CU$74&lt;=MAX(0,$B$10+INDEX($R$31:$R$33,MATCH($B$6,$J$31:$J$33,0)))*SUM($F$77:CU$77),CU$74&lt;=MAX(0,$B$11+INDEX($R$31:$R$33,MATCH($B$6,$J$31:$J$33,0)))*'VALUATION &amp; RETURNS'!$DA$8*1000000*INDEX($O$31:$O$33,MATCH($B$6,$J$31:$J$33,0))))),MAX(0,MIN(CU$77,CU$79,CU$73-CU$74-CU$82,MAX(0,$B$10+INDEX($R$31:$R$33,MATCH($B$6,$J$31:$J$33,0)))*SUM($F$77:CU$77)-CU$74-CU$82,MAX(0,$B$11+INDEX($R$31:$R$33,MATCH($B$6,$J$31:$J$33,0)))*'VALUATION &amp; RETURNS'!$DA$8*1000000*INDEX($O$31:$O$33,MATCH($B$6,$J$31:$J$33,0))-CU$74-CU$82)),0)</f>
        <v>0</v>
      </c>
      <c r="CV80" s="313" t="n">
        <f>IF(AND(CV$64&lt;=$B$19,CV$64&lt;=$B$20,CV$64&lt;$B$35,OR($B$21="No",AND(CV$74&lt;=$B$9,CV$74&lt;=MAX(0,$B$10+INDEX($R$31:$R$33,MATCH($B$6,$J$31:$J$33,0)))*SUM($F$77:CV$77),CV$74&lt;=MAX(0,$B$11+INDEX($R$31:$R$33,MATCH($B$6,$J$31:$J$33,0)))*'VALUATION &amp; RETURNS'!$DA$8*1000000*INDEX($O$31:$O$33,MATCH($B$6,$J$31:$J$33,0))))),MAX(0,MIN(CV$77,CV$79,CV$73-CV$74-CV$82,MAX(0,$B$10+INDEX($R$31:$R$33,MATCH($B$6,$J$31:$J$33,0)))*SUM($F$77:CV$77)-CV$74-CV$82,MAX(0,$B$11+INDEX($R$31:$R$33,MATCH($B$6,$J$31:$J$33,0)))*'VALUATION &amp; RETURNS'!$DA$8*1000000*INDEX($O$31:$O$33,MATCH($B$6,$J$31:$J$33,0))-CV$74-CV$82)),0)</f>
        <v>0</v>
      </c>
      <c r="CW80" s="313" t="n">
        <f>IF(AND(CW$64&lt;=$B$19,CW$64&lt;=$B$20,CW$64&lt;$B$35,OR($B$21="No",AND(CW$74&lt;=$B$9,CW$74&lt;=MAX(0,$B$10+INDEX($R$31:$R$33,MATCH($B$6,$J$31:$J$33,0)))*SUM($F$77:CW$77),CW$74&lt;=MAX(0,$B$11+INDEX($R$31:$R$33,MATCH($B$6,$J$31:$J$33,0)))*'VALUATION &amp; RETURNS'!$DA$8*1000000*INDEX($O$31:$O$33,MATCH($B$6,$J$31:$J$33,0))))),MAX(0,MIN(CW$77,CW$79,CW$73-CW$74-CW$82,MAX(0,$B$10+INDEX($R$31:$R$33,MATCH($B$6,$J$31:$J$33,0)))*SUM($F$77:CW$77)-CW$74-CW$82,MAX(0,$B$11+INDEX($R$31:$R$33,MATCH($B$6,$J$31:$J$33,0)))*'VALUATION &amp; RETURNS'!$DA$8*1000000*INDEX($O$31:$O$33,MATCH($B$6,$J$31:$J$33,0))-CW$74-CW$82)),0)</f>
        <v>0</v>
      </c>
      <c r="CX80" s="313" t="n">
        <f>IF(AND(CX$64&lt;=$B$19,CX$64&lt;=$B$20,CX$64&lt;$B$35,OR($B$21="No",AND(CX$74&lt;=$B$9,CX$74&lt;=MAX(0,$B$10+INDEX($R$31:$R$33,MATCH($B$6,$J$31:$J$33,0)))*SUM($F$77:CX$77),CX$74&lt;=MAX(0,$B$11+INDEX($R$31:$R$33,MATCH($B$6,$J$31:$J$33,0)))*'VALUATION &amp; RETURNS'!$DA$8*1000000*INDEX($O$31:$O$33,MATCH($B$6,$J$31:$J$33,0))))),MAX(0,MIN(CX$77,CX$79,CX$73-CX$74-CX$82,MAX(0,$B$10+INDEX($R$31:$R$33,MATCH($B$6,$J$31:$J$33,0)))*SUM($F$77:CX$77)-CX$74-CX$82,MAX(0,$B$11+INDEX($R$31:$R$33,MATCH($B$6,$J$31:$J$33,0)))*'VALUATION &amp; RETURNS'!$DA$8*1000000*INDEX($O$31:$O$33,MATCH($B$6,$J$31:$J$33,0))-CX$74-CX$82)),0)</f>
        <v>0</v>
      </c>
      <c r="CY80" s="313" t="n">
        <f>IF(AND(CY$64&lt;=$B$19,CY$64&lt;=$B$20,CY$64&lt;$B$35,OR($B$21="No",AND(CY$74&lt;=$B$9,CY$74&lt;=MAX(0,$B$10+INDEX($R$31:$R$33,MATCH($B$6,$J$31:$J$33,0)))*SUM($F$77:CY$77),CY$74&lt;=MAX(0,$B$11+INDEX($R$31:$R$33,MATCH($B$6,$J$31:$J$33,0)))*'VALUATION &amp; RETURNS'!$DA$8*1000000*INDEX($O$31:$O$33,MATCH($B$6,$J$31:$J$33,0))))),MAX(0,MIN(CY$77,CY$79,CY$73-CY$74-CY$82,MAX(0,$B$10+INDEX($R$31:$R$33,MATCH($B$6,$J$31:$J$33,0)))*SUM($F$77:CY$77)-CY$74-CY$82,MAX(0,$B$11+INDEX($R$31:$R$33,MATCH($B$6,$J$31:$J$33,0)))*'VALUATION &amp; RETURNS'!$DA$8*1000000*INDEX($O$31:$O$33,MATCH($B$6,$J$31:$J$33,0))-CY$74-CY$82)),0)</f>
        <v>0</v>
      </c>
      <c r="CZ80" s="313" t="n">
        <f>IF(AND(CZ$64&lt;=$B$19,CZ$64&lt;=$B$20,CZ$64&lt;$B$35,OR($B$21="No",AND(CZ$74&lt;=$B$9,CZ$74&lt;=MAX(0,$B$10+INDEX($R$31:$R$33,MATCH($B$6,$J$31:$J$33,0)))*SUM($F$77:CZ$77),CZ$74&lt;=MAX(0,$B$11+INDEX($R$31:$R$33,MATCH($B$6,$J$31:$J$33,0)))*'VALUATION &amp; RETURNS'!$DA$8*1000000*INDEX($O$31:$O$33,MATCH($B$6,$J$31:$J$33,0))))),MAX(0,MIN(CZ$77,CZ$79,CZ$73-CZ$74-CZ$82,MAX(0,$B$10+INDEX($R$31:$R$33,MATCH($B$6,$J$31:$J$33,0)))*SUM($F$77:CZ$77)-CZ$74-CZ$82,MAX(0,$B$11+INDEX($R$31:$R$33,MATCH($B$6,$J$31:$J$33,0)))*'VALUATION &amp; RETURNS'!$DA$8*1000000*INDEX($O$31:$O$33,MATCH($B$6,$J$31:$J$33,0))-CZ$74-CZ$82)),0)</f>
        <v>0</v>
      </c>
      <c r="DA80" s="313" t="n">
        <f>IF(AND(DA$64&lt;=$B$19,DA$64&lt;=$B$20,DA$64&lt;$B$35,OR($B$21="No",AND(DA$74&lt;=$B$9,DA$74&lt;=MAX(0,$B$10+INDEX($R$31:$R$33,MATCH($B$6,$J$31:$J$33,0)))*SUM($F$77:DA$77),DA$74&lt;=MAX(0,$B$11+INDEX($R$31:$R$33,MATCH($B$6,$J$31:$J$33,0)))*'VALUATION &amp; RETURNS'!$DA$8*1000000*INDEX($O$31:$O$33,MATCH($B$6,$J$31:$J$33,0))))),MAX(0,MIN(DA$77,DA$79,DA$73-DA$74-DA$82,MAX(0,$B$10+INDEX($R$31:$R$33,MATCH($B$6,$J$31:$J$33,0)))*SUM($F$77:DA$77)-DA$74-DA$82,MAX(0,$B$11+INDEX($R$31:$R$33,MATCH($B$6,$J$31:$J$33,0)))*'VALUATION &amp; RETURNS'!$DA$8*1000000*INDEX($O$31:$O$33,MATCH($B$6,$J$31:$J$33,0))-DA$74-DA$82)),0)</f>
        <v>0</v>
      </c>
      <c r="DB80" s="313" t="n">
        <f>IF(AND(DB$64&lt;=$B$19,DB$64&lt;=$B$20,DB$64&lt;$B$35,OR($B$21="No",AND(DB$74&lt;=$B$9,DB$74&lt;=MAX(0,$B$10+INDEX($R$31:$R$33,MATCH($B$6,$J$31:$J$33,0)))*SUM($F$77:DB$77),DB$74&lt;=MAX(0,$B$11+INDEX($R$31:$R$33,MATCH($B$6,$J$31:$J$33,0)))*'VALUATION &amp; RETURNS'!$DA$8*1000000*INDEX($O$31:$O$33,MATCH($B$6,$J$31:$J$33,0))))),MAX(0,MIN(DB$77,DB$79,DB$73-DB$74-DB$82,MAX(0,$B$10+INDEX($R$31:$R$33,MATCH($B$6,$J$31:$J$33,0)))*SUM($F$77:DB$77)-DB$74-DB$82,MAX(0,$B$11+INDEX($R$31:$R$33,MATCH($B$6,$J$31:$J$33,0)))*'VALUATION &amp; RETURNS'!$DA$8*1000000*INDEX($O$31:$O$33,MATCH($B$6,$J$31:$J$33,0))-DB$74-DB$82)),0)</f>
        <v>0</v>
      </c>
      <c r="DC80" s="313" t="n">
        <f>IF(AND(DC$64&lt;=$B$19,DC$64&lt;=$B$20,DC$64&lt;$B$35,OR($B$21="No",AND(DC$74&lt;=$B$9,DC$74&lt;=MAX(0,$B$10+INDEX($R$31:$R$33,MATCH($B$6,$J$31:$J$33,0)))*SUM($F$77:DC$77),DC$74&lt;=MAX(0,$B$11+INDEX($R$31:$R$33,MATCH($B$6,$J$31:$J$33,0)))*'VALUATION &amp; RETURNS'!$DA$8*1000000*INDEX($O$31:$O$33,MATCH($B$6,$J$31:$J$33,0))))),MAX(0,MIN(DC$77,DC$79,DC$73-DC$74-DC$82,MAX(0,$B$10+INDEX($R$31:$R$33,MATCH($B$6,$J$31:$J$33,0)))*SUM($F$77:DC$77)-DC$74-DC$82,MAX(0,$B$11+INDEX($R$31:$R$33,MATCH($B$6,$J$31:$J$33,0)))*'VALUATION &amp; RETURNS'!$DA$8*1000000*INDEX($O$31:$O$33,MATCH($B$6,$J$31:$J$33,0))-DC$74-DC$82)),0)</f>
        <v>0</v>
      </c>
      <c r="DD80" s="313" t="n">
        <f>IF(AND(DD$64&lt;=$B$19,DD$64&lt;=$B$20,DD$64&lt;$B$35,OR($B$21="No",AND(DD$74&lt;=$B$9,DD$74&lt;=MAX(0,$B$10+INDEX($R$31:$R$33,MATCH($B$6,$J$31:$J$33,0)))*SUM($F$77:DD$77),DD$74&lt;=MAX(0,$B$11+INDEX($R$31:$R$33,MATCH($B$6,$J$31:$J$33,0)))*'VALUATION &amp; RETURNS'!$DA$8*1000000*INDEX($O$31:$O$33,MATCH($B$6,$J$31:$J$33,0))))),MAX(0,MIN(DD$77,DD$79,DD$73-DD$74-DD$82,MAX(0,$B$10+INDEX($R$31:$R$33,MATCH($B$6,$J$31:$J$33,0)))*SUM($F$77:DD$77)-DD$74-DD$82,MAX(0,$B$11+INDEX($R$31:$R$33,MATCH($B$6,$J$31:$J$33,0)))*'VALUATION &amp; RETURNS'!$DA$8*1000000*INDEX($O$31:$O$33,MATCH($B$6,$J$31:$J$33,0))-DD$74-DD$82)),0)</f>
        <v>0</v>
      </c>
      <c r="DE80" s="313" t="n">
        <f>IF(AND(DE$64&lt;=$B$19,DE$64&lt;=$B$20,DE$64&lt;$B$35,OR($B$21="No",AND(DE$74&lt;=$B$9,DE$74&lt;=MAX(0,$B$10+INDEX($R$31:$R$33,MATCH($B$6,$J$31:$J$33,0)))*SUM($F$77:DE$77),DE$74&lt;=MAX(0,$B$11+INDEX($R$31:$R$33,MATCH($B$6,$J$31:$J$33,0)))*'VALUATION &amp; RETURNS'!$DA$8*1000000*INDEX($O$31:$O$33,MATCH($B$6,$J$31:$J$33,0))))),MAX(0,MIN(DE$77,DE$79,DE$73-DE$74-DE$82,MAX(0,$B$10+INDEX($R$31:$R$33,MATCH($B$6,$J$31:$J$33,0)))*SUM($F$77:DE$77)-DE$74-DE$82,MAX(0,$B$11+INDEX($R$31:$R$33,MATCH($B$6,$J$31:$J$33,0)))*'VALUATION &amp; RETURNS'!$DA$8*1000000*INDEX($O$31:$O$33,MATCH($B$6,$J$31:$J$33,0))-DE$74-DE$82)),0)</f>
        <v>0</v>
      </c>
      <c r="DF80" s="313" t="n">
        <f>IF(AND(DF$64&lt;=$B$19,DF$64&lt;=$B$20,DF$64&lt;$B$35,OR($B$21="No",AND(DF$74&lt;=$B$9,DF$74&lt;=MAX(0,$B$10+INDEX($R$31:$R$33,MATCH($B$6,$J$31:$J$33,0)))*SUM($F$77:DF$77),DF$74&lt;=MAX(0,$B$11+INDEX($R$31:$R$33,MATCH($B$6,$J$31:$J$33,0)))*'VALUATION &amp; RETURNS'!$DA$8*1000000*INDEX($O$31:$O$33,MATCH($B$6,$J$31:$J$33,0))))),MAX(0,MIN(DF$77,DF$79,DF$73-DF$74-DF$82,MAX(0,$B$10+INDEX($R$31:$R$33,MATCH($B$6,$J$31:$J$33,0)))*SUM($F$77:DF$77)-DF$74-DF$82,MAX(0,$B$11+INDEX($R$31:$R$33,MATCH($B$6,$J$31:$J$33,0)))*'VALUATION &amp; RETURNS'!$DA$8*1000000*INDEX($O$31:$O$33,MATCH($B$6,$J$31:$J$33,0))-DF$74-DF$82)),0)</f>
        <v>0</v>
      </c>
      <c r="DG80" s="313" t="n">
        <f>IF(AND(DG$64&lt;=$B$19,DG$64&lt;=$B$20,DG$64&lt;$B$35,OR($B$21="No",AND(DG$74&lt;=$B$9,DG$74&lt;=MAX(0,$B$10+INDEX($R$31:$R$33,MATCH($B$6,$J$31:$J$33,0)))*SUM($F$77:DG$77),DG$74&lt;=MAX(0,$B$11+INDEX($R$31:$R$33,MATCH($B$6,$J$31:$J$33,0)))*'VALUATION &amp; RETURNS'!$DA$8*1000000*INDEX($O$31:$O$33,MATCH($B$6,$J$31:$J$33,0))))),MAX(0,MIN(DG$77,DG$79,DG$73-DG$74-DG$82,MAX(0,$B$10+INDEX($R$31:$R$33,MATCH($B$6,$J$31:$J$33,0)))*SUM($F$77:DG$77)-DG$74-DG$82,MAX(0,$B$11+INDEX($R$31:$R$33,MATCH($B$6,$J$31:$J$33,0)))*'VALUATION &amp; RETURNS'!$DA$8*1000000*INDEX($O$31:$O$33,MATCH($B$6,$J$31:$J$33,0))-DG$74-DG$82)),0)</f>
        <v>0</v>
      </c>
      <c r="DH80" s="313" t="n">
        <f>IF(AND(DH$64&lt;=$B$19,DH$64&lt;=$B$20,DH$64&lt;$B$35,OR($B$21="No",AND(DH$74&lt;=$B$9,DH$74&lt;=MAX(0,$B$10+INDEX($R$31:$R$33,MATCH($B$6,$J$31:$J$33,0)))*SUM($F$77:DH$77),DH$74&lt;=MAX(0,$B$11+INDEX($R$31:$R$33,MATCH($B$6,$J$31:$J$33,0)))*'VALUATION &amp; RETURNS'!$DA$8*1000000*INDEX($O$31:$O$33,MATCH($B$6,$J$31:$J$33,0))))),MAX(0,MIN(DH$77,DH$79,DH$73-DH$74-DH$82,MAX(0,$B$10+INDEX($R$31:$R$33,MATCH($B$6,$J$31:$J$33,0)))*SUM($F$77:DH$77)-DH$74-DH$82,MAX(0,$B$11+INDEX($R$31:$R$33,MATCH($B$6,$J$31:$J$33,0)))*'VALUATION &amp; RETURNS'!$DA$8*1000000*INDEX($O$31:$O$33,MATCH($B$6,$J$31:$J$33,0))-DH$74-DH$82)),0)</f>
        <v>0</v>
      </c>
      <c r="DI80" s="313" t="n">
        <f>IF(AND(DI$64&lt;=$B$19,DI$64&lt;=$B$20,DI$64&lt;$B$35,OR($B$21="No",AND(DI$74&lt;=$B$9,DI$74&lt;=MAX(0,$B$10+INDEX($R$31:$R$33,MATCH($B$6,$J$31:$J$33,0)))*SUM($F$77:DI$77),DI$74&lt;=MAX(0,$B$11+INDEX($R$31:$R$33,MATCH($B$6,$J$31:$J$33,0)))*'VALUATION &amp; RETURNS'!$DA$8*1000000*INDEX($O$31:$O$33,MATCH($B$6,$J$31:$J$33,0))))),MAX(0,MIN(DI$77,DI$79,DI$73-DI$74-DI$82,MAX(0,$B$10+INDEX($R$31:$R$33,MATCH($B$6,$J$31:$J$33,0)))*SUM($F$77:DI$77)-DI$74-DI$82,MAX(0,$B$11+INDEX($R$31:$R$33,MATCH($B$6,$J$31:$J$33,0)))*'VALUATION &amp; RETURNS'!$DA$8*1000000*INDEX($O$31:$O$33,MATCH($B$6,$J$31:$J$33,0))-DI$74-DI$82)),0)</f>
        <v>0</v>
      </c>
      <c r="DJ80" s="313" t="n">
        <f>IF(AND(DJ$64&lt;=$B$19,DJ$64&lt;=$B$20,DJ$64&lt;$B$35,OR($B$21="No",AND(DJ$74&lt;=$B$9,DJ$74&lt;=MAX(0,$B$10+INDEX($R$31:$R$33,MATCH($B$6,$J$31:$J$33,0)))*SUM($F$77:DJ$77),DJ$74&lt;=MAX(0,$B$11+INDEX($R$31:$R$33,MATCH($B$6,$J$31:$J$33,0)))*'VALUATION &amp; RETURNS'!$DA$8*1000000*INDEX($O$31:$O$33,MATCH($B$6,$J$31:$J$33,0))))),MAX(0,MIN(DJ$77,DJ$79,DJ$73-DJ$74-DJ$82,MAX(0,$B$10+INDEX($R$31:$R$33,MATCH($B$6,$J$31:$J$33,0)))*SUM($F$77:DJ$77)-DJ$74-DJ$82,MAX(0,$B$11+INDEX($R$31:$R$33,MATCH($B$6,$J$31:$J$33,0)))*'VALUATION &amp; RETURNS'!$DA$8*1000000*INDEX($O$31:$O$33,MATCH($B$6,$J$31:$J$33,0))-DJ$74-DJ$82)),0)</f>
        <v>0</v>
      </c>
      <c r="DK80" s="313" t="n">
        <f>IF(AND(DK$64&lt;=$B$19,DK$64&lt;=$B$20,DK$64&lt;$B$35,OR($B$21="No",AND(DK$74&lt;=$B$9,DK$74&lt;=MAX(0,$B$10+INDEX($R$31:$R$33,MATCH($B$6,$J$31:$J$33,0)))*SUM($F$77:DK$77),DK$74&lt;=MAX(0,$B$11+INDEX($R$31:$R$33,MATCH($B$6,$J$31:$J$33,0)))*'VALUATION &amp; RETURNS'!$DA$8*1000000*INDEX($O$31:$O$33,MATCH($B$6,$J$31:$J$33,0))))),MAX(0,MIN(DK$77,DK$79,DK$73-DK$74-DK$82,MAX(0,$B$10+INDEX($R$31:$R$33,MATCH($B$6,$J$31:$J$33,0)))*SUM($F$77:DK$77)-DK$74-DK$82,MAX(0,$B$11+INDEX($R$31:$R$33,MATCH($B$6,$J$31:$J$33,0)))*'VALUATION &amp; RETURNS'!$DA$8*1000000*INDEX($O$31:$O$33,MATCH($B$6,$J$31:$J$33,0))-DK$74-DK$82)),0)</f>
        <v>0</v>
      </c>
      <c r="DL80" s="313" t="n">
        <f>IF(AND(DL$64&lt;=$B$19,DL$64&lt;=$B$20,DL$64&lt;$B$35,OR($B$21="No",AND(DL$74&lt;=$B$9,DL$74&lt;=MAX(0,$B$10+INDEX($R$31:$R$33,MATCH($B$6,$J$31:$J$33,0)))*SUM($F$77:DL$77),DL$74&lt;=MAX(0,$B$11+INDEX($R$31:$R$33,MATCH($B$6,$J$31:$J$33,0)))*'VALUATION &amp; RETURNS'!$DA$8*1000000*INDEX($O$31:$O$33,MATCH($B$6,$J$31:$J$33,0))))),MAX(0,MIN(DL$77,DL$79,DL$73-DL$74-DL$82,MAX(0,$B$10+INDEX($R$31:$R$33,MATCH($B$6,$J$31:$J$33,0)))*SUM($F$77:DL$77)-DL$74-DL$82,MAX(0,$B$11+INDEX($R$31:$R$33,MATCH($B$6,$J$31:$J$33,0)))*'VALUATION &amp; RETURNS'!$DA$8*1000000*INDEX($O$31:$O$33,MATCH($B$6,$J$31:$J$33,0))-DL$74-DL$82)),0)</f>
        <v>0</v>
      </c>
      <c r="DM80" s="313" t="n">
        <f>IF(AND(DM$64&lt;=$B$19,DM$64&lt;=$B$20,DM$64&lt;$B$35,OR($B$21="No",AND(DM$74&lt;=$B$9,DM$74&lt;=MAX(0,$B$10+INDEX($R$31:$R$33,MATCH($B$6,$J$31:$J$33,0)))*SUM($F$77:DM$77),DM$74&lt;=MAX(0,$B$11+INDEX($R$31:$R$33,MATCH($B$6,$J$31:$J$33,0)))*'VALUATION &amp; RETURNS'!$DA$8*1000000*INDEX($O$31:$O$33,MATCH($B$6,$J$31:$J$33,0))))),MAX(0,MIN(DM$77,DM$79,DM$73-DM$74-DM$82,MAX(0,$B$10+INDEX($R$31:$R$33,MATCH($B$6,$J$31:$J$33,0)))*SUM($F$77:DM$77)-DM$74-DM$82,MAX(0,$B$11+INDEX($R$31:$R$33,MATCH($B$6,$J$31:$J$33,0)))*'VALUATION &amp; RETURNS'!$DA$8*1000000*INDEX($O$31:$O$33,MATCH($B$6,$J$31:$J$33,0))-DM$74-DM$82)),0)</f>
        <v>0</v>
      </c>
      <c r="DN80" s="313" t="n">
        <f>IF(AND(DN$64&lt;=$B$19,DN$64&lt;=$B$20,DN$64&lt;$B$35,OR($B$21="No",AND(DN$74&lt;=$B$9,DN$74&lt;=MAX(0,$B$10+INDEX($R$31:$R$33,MATCH($B$6,$J$31:$J$33,0)))*SUM($F$77:DN$77),DN$74&lt;=MAX(0,$B$11+INDEX($R$31:$R$33,MATCH($B$6,$J$31:$J$33,0)))*'VALUATION &amp; RETURNS'!$DA$8*1000000*INDEX($O$31:$O$33,MATCH($B$6,$J$31:$J$33,0))))),MAX(0,MIN(DN$77,DN$79,DN$73-DN$74-DN$82,MAX(0,$B$10+INDEX($R$31:$R$33,MATCH($B$6,$J$31:$J$33,0)))*SUM($F$77:DN$77)-DN$74-DN$82,MAX(0,$B$11+INDEX($R$31:$R$33,MATCH($B$6,$J$31:$J$33,0)))*'VALUATION &amp; RETURNS'!$DA$8*1000000*INDEX($O$31:$O$33,MATCH($B$6,$J$31:$J$33,0))-DN$74-DN$82)),0)</f>
        <v>0</v>
      </c>
      <c r="DO80" s="313" t="n">
        <f>IF(AND(DO$64&lt;=$B$19,DO$64&lt;=$B$20,DO$64&lt;$B$35,OR($B$21="No",AND(DO$74&lt;=$B$9,DO$74&lt;=MAX(0,$B$10+INDEX($R$31:$R$33,MATCH($B$6,$J$31:$J$33,0)))*SUM($F$77:DO$77),DO$74&lt;=MAX(0,$B$11+INDEX($R$31:$R$33,MATCH($B$6,$J$31:$J$33,0)))*'VALUATION &amp; RETURNS'!$DA$8*1000000*INDEX($O$31:$O$33,MATCH($B$6,$J$31:$J$33,0))))),MAX(0,MIN(DO$77,DO$79,DO$73-DO$74-DO$82,MAX(0,$B$10+INDEX($R$31:$R$33,MATCH($B$6,$J$31:$J$33,0)))*SUM($F$77:DO$77)-DO$74-DO$82,MAX(0,$B$11+INDEX($R$31:$R$33,MATCH($B$6,$J$31:$J$33,0)))*'VALUATION &amp; RETURNS'!$DA$8*1000000*INDEX($O$31:$O$33,MATCH($B$6,$J$31:$J$33,0))-DO$74-DO$82)),0)</f>
        <v>0</v>
      </c>
      <c r="DP80" s="313" t="n">
        <f>IF(AND(DP$64&lt;=$B$19,DP$64&lt;=$B$20,DP$64&lt;$B$35,OR($B$21="No",AND(DP$74&lt;=$B$9,DP$74&lt;=MAX(0,$B$10+INDEX($R$31:$R$33,MATCH($B$6,$J$31:$J$33,0)))*SUM($F$77:DP$77),DP$74&lt;=MAX(0,$B$11+INDEX($R$31:$R$33,MATCH($B$6,$J$31:$J$33,0)))*'VALUATION &amp; RETURNS'!$DA$8*1000000*INDEX($O$31:$O$33,MATCH($B$6,$J$31:$J$33,0))))),MAX(0,MIN(DP$77,DP$79,DP$73-DP$74-DP$82,MAX(0,$B$10+INDEX($R$31:$R$33,MATCH($B$6,$J$31:$J$33,0)))*SUM($F$77:DP$77)-DP$74-DP$82,MAX(0,$B$11+INDEX($R$31:$R$33,MATCH($B$6,$J$31:$J$33,0)))*'VALUATION &amp; RETURNS'!$DA$8*1000000*INDEX($O$31:$O$33,MATCH($B$6,$J$31:$J$33,0))-DP$74-DP$82)),0)</f>
        <v>0</v>
      </c>
      <c r="DQ80" s="313" t="n">
        <f>IF(AND(DQ$64&lt;=$B$19,DQ$64&lt;=$B$20,DQ$64&lt;$B$35,OR($B$21="No",AND(DQ$74&lt;=$B$9,DQ$74&lt;=MAX(0,$B$10+INDEX($R$31:$R$33,MATCH($B$6,$J$31:$J$33,0)))*SUM($F$77:DQ$77),DQ$74&lt;=MAX(0,$B$11+INDEX($R$31:$R$33,MATCH($B$6,$J$31:$J$33,0)))*'VALUATION &amp; RETURNS'!$DA$8*1000000*INDEX($O$31:$O$33,MATCH($B$6,$J$31:$J$33,0))))),MAX(0,MIN(DQ$77,DQ$79,DQ$73-DQ$74-DQ$82,MAX(0,$B$10+INDEX($R$31:$R$33,MATCH($B$6,$J$31:$J$33,0)))*SUM($F$77:DQ$77)-DQ$74-DQ$82,MAX(0,$B$11+INDEX($R$31:$R$33,MATCH($B$6,$J$31:$J$33,0)))*'VALUATION &amp; RETURNS'!$DA$8*1000000*INDEX($O$31:$O$33,MATCH($B$6,$J$31:$J$33,0))-DQ$74-DQ$82)),0)</f>
        <v>0</v>
      </c>
      <c r="DR80" s="313" t="n">
        <f>IF(AND(DR$64&lt;=$B$19,DR$64&lt;=$B$20,DR$64&lt;$B$35,OR($B$21="No",AND(DR$74&lt;=$B$9,DR$74&lt;=MAX(0,$B$10+INDEX($R$31:$R$33,MATCH($B$6,$J$31:$J$33,0)))*SUM($F$77:DR$77),DR$74&lt;=MAX(0,$B$11+INDEX($R$31:$R$33,MATCH($B$6,$J$31:$J$33,0)))*'VALUATION &amp; RETURNS'!$DA$8*1000000*INDEX($O$31:$O$33,MATCH($B$6,$J$31:$J$33,0))))),MAX(0,MIN(DR$77,DR$79,DR$73-DR$74-DR$82,MAX(0,$B$10+INDEX($R$31:$R$33,MATCH($B$6,$J$31:$J$33,0)))*SUM($F$77:DR$77)-DR$74-DR$82,MAX(0,$B$11+INDEX($R$31:$R$33,MATCH($B$6,$J$31:$J$33,0)))*'VALUATION &amp; RETURNS'!$DA$8*1000000*INDEX($O$31:$O$33,MATCH($B$6,$J$31:$J$33,0))-DR$74-DR$82)),0)</f>
        <v>0</v>
      </c>
      <c r="DS80" s="313" t="n">
        <f>IF(AND(DS$64&lt;=$B$19,DS$64&lt;=$B$20,DS$64&lt;$B$35,OR($B$21="No",AND(DS$74&lt;=$B$9,DS$74&lt;=MAX(0,$B$10+INDEX($R$31:$R$33,MATCH($B$6,$J$31:$J$33,0)))*SUM($F$77:DS$77),DS$74&lt;=MAX(0,$B$11+INDEX($R$31:$R$33,MATCH($B$6,$J$31:$J$33,0)))*'VALUATION &amp; RETURNS'!$DA$8*1000000*INDEX($O$31:$O$33,MATCH($B$6,$J$31:$J$33,0))))),MAX(0,MIN(DS$77,DS$79,DS$73-DS$74-DS$82,MAX(0,$B$10+INDEX($R$31:$R$33,MATCH($B$6,$J$31:$J$33,0)))*SUM($F$77:DS$77)-DS$74-DS$82,MAX(0,$B$11+INDEX($R$31:$R$33,MATCH($B$6,$J$31:$J$33,0)))*'VALUATION &amp; RETURNS'!$DA$8*1000000*INDEX($O$31:$O$33,MATCH($B$6,$J$31:$J$33,0))-DS$74-DS$82)),0)</f>
        <v>0</v>
      </c>
      <c r="DT80" s="313" t="n">
        <f>IF(AND(DT$64&lt;=$B$19,DT$64&lt;=$B$20,DT$64&lt;$B$35,OR($B$21="No",AND(DT$74&lt;=$B$9,DT$74&lt;=MAX(0,$B$10+INDEX($R$31:$R$33,MATCH($B$6,$J$31:$J$33,0)))*SUM($F$77:DT$77),DT$74&lt;=MAX(0,$B$11+INDEX($R$31:$R$33,MATCH($B$6,$J$31:$J$33,0)))*'VALUATION &amp; RETURNS'!$DA$8*1000000*INDEX($O$31:$O$33,MATCH($B$6,$J$31:$J$33,0))))),MAX(0,MIN(DT$77,DT$79,DT$73-DT$74-DT$82,MAX(0,$B$10+INDEX($R$31:$R$33,MATCH($B$6,$J$31:$J$33,0)))*SUM($F$77:DT$77)-DT$74-DT$82,MAX(0,$B$11+INDEX($R$31:$R$33,MATCH($B$6,$J$31:$J$33,0)))*'VALUATION &amp; RETURNS'!$DA$8*1000000*INDEX($O$31:$O$33,MATCH($B$6,$J$31:$J$33,0))-DT$74-DT$82)),0)</f>
        <v>0</v>
      </c>
      <c r="DU80" s="313" t="n">
        <f>IF(AND(DU$64&lt;=$B$19,DU$64&lt;=$B$20,DU$64&lt;$B$35,OR($B$21="No",AND(DU$74&lt;=$B$9,DU$74&lt;=MAX(0,$B$10+INDEX($R$31:$R$33,MATCH($B$6,$J$31:$J$33,0)))*SUM($F$77:DU$77),DU$74&lt;=MAX(0,$B$11+INDEX($R$31:$R$33,MATCH($B$6,$J$31:$J$33,0)))*'VALUATION &amp; RETURNS'!$DA$8*1000000*INDEX($O$31:$O$33,MATCH($B$6,$J$31:$J$33,0))))),MAX(0,MIN(DU$77,DU$79,DU$73-DU$74-DU$82,MAX(0,$B$10+INDEX($R$31:$R$33,MATCH($B$6,$J$31:$J$33,0)))*SUM($F$77:DU$77)-DU$74-DU$82,MAX(0,$B$11+INDEX($R$31:$R$33,MATCH($B$6,$J$31:$J$33,0)))*'VALUATION &amp; RETURNS'!$DA$8*1000000*INDEX($O$31:$O$33,MATCH($B$6,$J$31:$J$33,0))-DU$74-DU$82)),0)</f>
        <v>0</v>
      </c>
      <c r="DV80" s="313" t="n">
        <f>IF(AND(DV$64&lt;=$B$19,DV$64&lt;=$B$20,DV$64&lt;$B$35,OR($B$21="No",AND(DV$74&lt;=$B$9,DV$74&lt;=MAX(0,$B$10+INDEX($R$31:$R$33,MATCH($B$6,$J$31:$J$33,0)))*SUM($F$77:DV$77),DV$74&lt;=MAX(0,$B$11+INDEX($R$31:$R$33,MATCH($B$6,$J$31:$J$33,0)))*'VALUATION &amp; RETURNS'!$DA$8*1000000*INDEX($O$31:$O$33,MATCH($B$6,$J$31:$J$33,0))))),MAX(0,MIN(DV$77,DV$79,DV$73-DV$74-DV$82,MAX(0,$B$10+INDEX($R$31:$R$33,MATCH($B$6,$J$31:$J$33,0)))*SUM($F$77:DV$77)-DV$74-DV$82,MAX(0,$B$11+INDEX($R$31:$R$33,MATCH($B$6,$J$31:$J$33,0)))*'VALUATION &amp; RETURNS'!$DA$8*1000000*INDEX($O$31:$O$33,MATCH($B$6,$J$31:$J$33,0))-DV$74-DV$82)),0)</f>
        <v>0</v>
      </c>
    </row>
    <row r="81" ht="15" customHeight="1">
      <c r="A81" s="311" t="s">
        <v>1467</v>
      </c>
      <c r="B81" s="312" t="s">
        <v>1321</v>
      </c>
      <c r="C81" s="702" t="s">
        <v>1468</v>
      </c>
      <c r="D81" s="703"/>
      <c r="E81" s="313">
        <v>0</v>
      </c>
      <c r="F81" s="313" t="n">
        <f t="shared" ref="F81:AK81" si="36">F$80</f>
        <v>0</v>
      </c>
      <c r="G81" s="313">
        <f t="shared" si="36"/>
        <v>0</v>
      </c>
      <c r="H81" s="313">
        <f t="shared" si="36"/>
        <v>0</v>
      </c>
      <c r="I81" s="313">
        <f t="shared" si="36"/>
        <v>0</v>
      </c>
      <c r="J81" s="313">
        <f t="shared" si="36"/>
        <v>0</v>
      </c>
      <c r="K81" s="313">
        <f t="shared" si="36"/>
        <v>0</v>
      </c>
      <c r="L81" s="313">
        <f t="shared" si="36"/>
        <v>0</v>
      </c>
      <c r="M81" s="313">
        <f t="shared" si="36"/>
        <v>0</v>
      </c>
      <c r="N81" s="313">
        <f t="shared" si="36"/>
        <v>0</v>
      </c>
      <c r="O81" s="313">
        <f t="shared" si="36"/>
        <v>0</v>
      </c>
      <c r="P81" s="313">
        <f t="shared" si="36"/>
        <v>0</v>
      </c>
      <c r="Q81" s="313">
        <f t="shared" si="36"/>
        <v>0</v>
      </c>
      <c r="R81" s="313">
        <f t="shared" si="36"/>
        <v>0</v>
      </c>
      <c r="S81" s="313">
        <f t="shared" si="36"/>
        <v>0</v>
      </c>
      <c r="T81" s="313">
        <f t="shared" si="36"/>
        <v>0</v>
      </c>
      <c r="U81" s="313">
        <f t="shared" si="36"/>
        <v>0</v>
      </c>
      <c r="V81" s="313">
        <f t="shared" si="36"/>
        <v>16149667.622424096</v>
      </c>
      <c r="W81" s="313">
        <f t="shared" si="36"/>
        <v>21472029.829917729</v>
      </c>
      <c r="X81" s="313">
        <f t="shared" si="36"/>
        <v>21677421.418596257</v>
      </c>
      <c r="Y81" s="313">
        <f t="shared" si="36"/>
        <v>21297476.217184074</v>
      </c>
      <c r="Z81" s="313">
        <f t="shared" si="36"/>
        <v>20452308.068071283</v>
      </c>
      <c r="AA81" s="313">
        <f t="shared" si="36"/>
        <v>19115556.058013104</v>
      </c>
      <c r="AB81" s="313">
        <f t="shared" si="36"/>
        <v>17385471.482058465</v>
      </c>
      <c r="AC81" s="313">
        <f t="shared" si="36"/>
        <v>15382246.512724983</v>
      </c>
      <c r="AD81" s="313">
        <f t="shared" si="36"/>
        <v>13234281.137995303</v>
      </c>
      <c r="AE81" s="313">
        <f t="shared" si="36"/>
        <v>11064805.60548979</v>
      </c>
      <c r="AF81" s="313">
        <f t="shared" si="36"/>
        <v>8980751.9633316994</v>
      </c>
      <c r="AG81" s="313">
        <f t="shared" si="36"/>
        <v>7065163.6515838383</v>
      </c>
      <c r="AH81" s="313">
        <f t="shared" si="36"/>
        <v>4745494.3524861895</v>
      </c>
      <c r="AI81" s="313">
        <f t="shared" si="36"/>
        <v>1942891.51714721</v>
      </c>
      <c r="AJ81" s="313">
        <f t="shared" si="36"/>
        <v>1313965.5625874666</v>
      </c>
      <c r="AK81" s="313">
        <f t="shared" si="36"/>
        <v>804143.85727044614</v>
      </c>
      <c r="AL81" s="313" t="n">
        <f t="shared" ref="AL81:BQ81" si="37">AL$80</f>
        <v>0</v>
      </c>
      <c r="AM81" s="313">
        <f t="shared" si="37"/>
        <v>98480.986366328259</v>
      </c>
      <c r="AN81" s="313">
        <f t="shared" si="37"/>
        <v>0</v>
      </c>
      <c r="AO81" s="313">
        <f t="shared" si="37"/>
        <v>0</v>
      </c>
      <c r="AP81" s="313">
        <f t="shared" si="37"/>
        <v>0</v>
      </c>
      <c r="AQ81" s="313">
        <f t="shared" si="37"/>
        <v>0</v>
      </c>
      <c r="AR81" s="313">
        <f t="shared" si="37"/>
        <v>0</v>
      </c>
      <c r="AS81" s="313">
        <f t="shared" si="37"/>
        <v>0</v>
      </c>
      <c r="AT81" s="313">
        <f t="shared" si="37"/>
        <v>0</v>
      </c>
      <c r="AU81" s="313">
        <f t="shared" si="37"/>
        <v>0</v>
      </c>
      <c r="AV81" s="313">
        <f t="shared" si="37"/>
        <v>0</v>
      </c>
      <c r="AW81" s="313">
        <f t="shared" si="37"/>
        <v>0</v>
      </c>
      <c r="AX81" s="313">
        <f t="shared" si="37"/>
        <v>0</v>
      </c>
      <c r="AY81" s="313">
        <f t="shared" si="37"/>
        <v>0</v>
      </c>
      <c r="AZ81" s="313">
        <f t="shared" si="37"/>
        <v>0</v>
      </c>
      <c r="BA81" s="313">
        <f t="shared" si="37"/>
        <v>0</v>
      </c>
      <c r="BB81" s="313">
        <f t="shared" si="37"/>
        <v>0</v>
      </c>
      <c r="BC81" s="313">
        <f t="shared" si="37"/>
        <v>0</v>
      </c>
      <c r="BD81" s="313">
        <f t="shared" si="37"/>
        <v>0</v>
      </c>
      <c r="BE81" s="313">
        <f t="shared" si="37"/>
        <v>0</v>
      </c>
      <c r="BF81" s="313">
        <f t="shared" si="37"/>
        <v>0</v>
      </c>
      <c r="BG81" s="313">
        <f t="shared" si="37"/>
        <v>0</v>
      </c>
      <c r="BH81" s="313">
        <f t="shared" si="37"/>
        <v>0</v>
      </c>
      <c r="BI81" s="313">
        <f t="shared" si="37"/>
        <v>0</v>
      </c>
      <c r="BJ81" s="313">
        <f t="shared" si="37"/>
        <v>0</v>
      </c>
      <c r="BK81" s="313">
        <f t="shared" si="37"/>
        <v>0</v>
      </c>
      <c r="BL81" s="313">
        <f t="shared" si="37"/>
        <v>0</v>
      </c>
      <c r="BM81" s="313">
        <f t="shared" si="37"/>
        <v>0</v>
      </c>
      <c r="BN81" s="313">
        <f t="shared" si="37"/>
        <v>0</v>
      </c>
      <c r="BO81" s="313">
        <f t="shared" si="37"/>
        <v>0</v>
      </c>
      <c r="BP81" s="313">
        <f t="shared" si="37"/>
        <v>0</v>
      </c>
      <c r="BQ81" s="313">
        <f t="shared" si="37"/>
        <v>0</v>
      </c>
      <c r="BR81" s="313" t="n">
        <f t="shared" ref="BR81:CW81" si="38">BR$80</f>
        <v>0</v>
      </c>
      <c r="BS81" s="313">
        <f t="shared" si="38"/>
        <v>0</v>
      </c>
      <c r="BT81" s="313">
        <f t="shared" si="38"/>
        <v>0</v>
      </c>
      <c r="BU81" s="313">
        <f t="shared" si="38"/>
        <v>0</v>
      </c>
      <c r="BV81" s="313">
        <f t="shared" si="38"/>
        <v>0</v>
      </c>
      <c r="BW81" s="313">
        <f t="shared" si="38"/>
        <v>0</v>
      </c>
      <c r="BX81" s="313">
        <f t="shared" si="38"/>
        <v>0</v>
      </c>
      <c r="BY81" s="313">
        <f t="shared" si="38"/>
        <v>0</v>
      </c>
      <c r="BZ81" s="313">
        <f t="shared" si="38"/>
        <v>0</v>
      </c>
      <c r="CA81" s="313">
        <f t="shared" si="38"/>
        <v>0</v>
      </c>
      <c r="CB81" s="313">
        <f t="shared" si="38"/>
        <v>0</v>
      </c>
      <c r="CC81" s="313">
        <f t="shared" si="38"/>
        <v>0</v>
      </c>
      <c r="CD81" s="313">
        <f t="shared" si="38"/>
        <v>0</v>
      </c>
      <c r="CE81" s="313">
        <f t="shared" si="38"/>
        <v>0</v>
      </c>
      <c r="CF81" s="313">
        <f t="shared" si="38"/>
        <v>0</v>
      </c>
      <c r="CG81" s="313">
        <f t="shared" si="38"/>
        <v>0</v>
      </c>
      <c r="CH81" s="313">
        <f t="shared" si="38"/>
        <v>0</v>
      </c>
      <c r="CI81" s="313">
        <f t="shared" si="38"/>
        <v>0</v>
      </c>
      <c r="CJ81" s="313">
        <f t="shared" si="38"/>
        <v>0</v>
      </c>
      <c r="CK81" s="313">
        <f t="shared" si="38"/>
        <v>0</v>
      </c>
      <c r="CL81" s="313">
        <f t="shared" si="38"/>
        <v>0</v>
      </c>
      <c r="CM81" s="313">
        <f t="shared" si="38"/>
        <v>0</v>
      </c>
      <c r="CN81" s="313">
        <f t="shared" si="38"/>
        <v>0</v>
      </c>
      <c r="CO81" s="313">
        <f t="shared" si="38"/>
        <v>0</v>
      </c>
      <c r="CP81" s="313">
        <f t="shared" si="38"/>
        <v>0</v>
      </c>
      <c r="CQ81" s="313">
        <f t="shared" si="38"/>
        <v>0</v>
      </c>
      <c r="CR81" s="313">
        <f t="shared" si="38"/>
        <v>0</v>
      </c>
      <c r="CS81" s="313">
        <f t="shared" si="38"/>
        <v>0</v>
      </c>
      <c r="CT81" s="313">
        <f t="shared" si="38"/>
        <v>0</v>
      </c>
      <c r="CU81" s="313">
        <f t="shared" si="38"/>
        <v>0</v>
      </c>
      <c r="CV81" s="313">
        <f t="shared" si="38"/>
        <v>0</v>
      </c>
      <c r="CW81" s="313">
        <f t="shared" si="38"/>
        <v>0</v>
      </c>
      <c r="CX81" s="313" t="n">
        <f t="shared" ref="CX81:DV81" si="39">CX$80</f>
        <v>0</v>
      </c>
      <c r="CY81" s="313">
        <f t="shared" si="39"/>
        <v>0</v>
      </c>
      <c r="CZ81" s="313">
        <f t="shared" si="39"/>
        <v>0</v>
      </c>
      <c r="DA81" s="313">
        <f t="shared" si="39"/>
        <v>0</v>
      </c>
      <c r="DB81" s="313">
        <f t="shared" si="39"/>
        <v>0</v>
      </c>
      <c r="DC81" s="313">
        <f t="shared" si="39"/>
        <v>0</v>
      </c>
      <c r="DD81" s="313">
        <f t="shared" si="39"/>
        <v>0</v>
      </c>
      <c r="DE81" s="313">
        <f t="shared" si="39"/>
        <v>0</v>
      </c>
      <c r="DF81" s="313">
        <f t="shared" si="39"/>
        <v>0</v>
      </c>
      <c r="DG81" s="313">
        <f t="shared" si="39"/>
        <v>0</v>
      </c>
      <c r="DH81" s="313">
        <f t="shared" si="39"/>
        <v>0</v>
      </c>
      <c r="DI81" s="313">
        <f t="shared" si="39"/>
        <v>0</v>
      </c>
      <c r="DJ81" s="313">
        <f t="shared" si="39"/>
        <v>0</v>
      </c>
      <c r="DK81" s="313">
        <f t="shared" si="39"/>
        <v>0</v>
      </c>
      <c r="DL81" s="313">
        <f t="shared" si="39"/>
        <v>0</v>
      </c>
      <c r="DM81" s="313">
        <f t="shared" si="39"/>
        <v>0</v>
      </c>
      <c r="DN81" s="313">
        <f t="shared" si="39"/>
        <v>0</v>
      </c>
      <c r="DO81" s="313">
        <f t="shared" si="39"/>
        <v>0</v>
      </c>
      <c r="DP81" s="313">
        <f t="shared" si="39"/>
        <v>0</v>
      </c>
      <c r="DQ81" s="313">
        <f t="shared" si="39"/>
        <v>0</v>
      </c>
      <c r="DR81" s="313">
        <f t="shared" si="39"/>
        <v>0</v>
      </c>
      <c r="DS81" s="313">
        <f t="shared" si="39"/>
        <v>0</v>
      </c>
      <c r="DT81" s="313">
        <f t="shared" si="39"/>
        <v>0</v>
      </c>
      <c r="DU81" s="313">
        <f t="shared" si="39"/>
        <v>0</v>
      </c>
      <c r="DV81" s="313">
        <f t="shared" si="39"/>
        <v>0</v>
      </c>
    </row>
    <row r="82" ht="15" customHeight="1">
      <c r="A82" s="311" t="s">
        <v>1397</v>
      </c>
      <c r="B82" s="312" t="s">
        <v>1321</v>
      </c>
      <c r="C82" s="702" t="s">
        <v>1469</v>
      </c>
      <c r="D82" s="703"/>
      <c r="F82" s="313" t="n">
        <f>MIN(MAX(0,INDEX(Underwriting!$L$52:$EN$52,1,COLUMN()-5)),MAX(0,F$73-F$74))</f>
        <v>0</v>
      </c>
      <c r="G82" s="313" t="n">
        <f>MIN(MAX(0,INDEX(Underwriting!$L$52:$EN$52,1,COLUMN()-5)),MAX(0,G$73-G$74))</f>
        <v>313055.55555555556</v>
      </c>
      <c r="H82" s="313" t="n">
        <f>MIN(MAX(0,INDEX(Underwriting!$L$52:$EN$52,1,COLUMN()-5)),MAX(0,H$73-H$74))</f>
        <v>313055.55555555556</v>
      </c>
      <c r="I82" s="313" t="n">
        <f>MIN(MAX(0,INDEX(Underwriting!$L$52:$EN$52,1,COLUMN()-5)),MAX(0,I$73-I$74))</f>
        <v>313055.55555555556</v>
      </c>
      <c r="J82" s="313" t="n">
        <f>MIN(MAX(0,INDEX(Underwriting!$L$52:$EN$52,1,COLUMN()-5)),MAX(0,J$73-J$74))</f>
        <v>313055.55555555556</v>
      </c>
      <c r="K82" s="313" t="n">
        <f>MIN(MAX(0,INDEX(Underwriting!$L$52:$EN$52,1,COLUMN()-5)),MAX(0,K$73-K$74))</f>
        <v>313055.55555555556</v>
      </c>
      <c r="L82" s="313" t="n">
        <f>MIN(MAX(0,INDEX(Underwriting!$L$52:$EN$52,1,COLUMN()-5)),MAX(0,L$73-L$74))</f>
        <v>313055.55555555556</v>
      </c>
      <c r="M82" s="313" t="n">
        <f>MIN(MAX(0,INDEX(Underwriting!$L$52:$EN$52,1,COLUMN()-5)),MAX(0,M$73-M$74))</f>
        <v>313055.55555555556</v>
      </c>
      <c r="N82" s="313" t="n">
        <f>MIN(MAX(0,INDEX(Underwriting!$L$52:$EN$52,1,COLUMN()-5)),MAX(0,N$73-N$74))</f>
        <v>313055.55555555556</v>
      </c>
      <c r="O82" s="313" t="n">
        <f>MIN(MAX(0,INDEX(Underwriting!$L$52:$EN$52,1,COLUMN()-5)),MAX(0,O$73-O$74))</f>
        <v>313055.55555555556</v>
      </c>
      <c r="P82" s="313" t="n">
        <f>MIN(MAX(0,INDEX(Underwriting!$L$52:$EN$52,1,COLUMN()-5)),MAX(0,P$73-P$74))</f>
        <v>313055.55555555556</v>
      </c>
      <c r="Q82" s="313" t="n">
        <f>MIN(MAX(0,INDEX(Underwriting!$L$52:$EN$52,1,COLUMN()-5)),MAX(0,Q$73-Q$74))</f>
        <v>313055.55555555556</v>
      </c>
      <c r="R82" s="313" t="n">
        <f>MIN(MAX(0,INDEX(Underwriting!$L$52:$EN$52,1,COLUMN()-5)),MAX(0,R$73-R$74))</f>
        <v>313055.55555555556</v>
      </c>
      <c r="S82" s="313" t="n">
        <f>MIN(MAX(0,INDEX(Underwriting!$L$52:$EN$52,1,COLUMN()-5)),MAX(0,S$73-S$74))</f>
        <v>313055.55555555556</v>
      </c>
      <c r="T82" s="313" t="n">
        <f>MIN(MAX(0,INDEX(Underwriting!$L$52:$EN$52,1,COLUMN()-5)),MAX(0,T$73-T$74))</f>
        <v>313055.55555555556</v>
      </c>
      <c r="U82" s="313" t="n">
        <f>MIN(MAX(0,INDEX(Underwriting!$L$52:$EN$52,1,COLUMN()-5)),MAX(0,U$73-U$74))</f>
        <v>313055.55555555556</v>
      </c>
      <c r="V82" s="313" t="n">
        <f>MIN(MAX(0,INDEX(Underwriting!$L$52:$EN$52,1,COLUMN()-5)),MAX(0,V$73-V$74))</f>
        <v>313055.55555555556</v>
      </c>
      <c r="W82" s="313" t="n">
        <f>MIN(MAX(0,INDEX(Underwriting!$L$52:$EN$52,1,COLUMN()-5)),MAX(0,W$73-W$74))</f>
        <v>313055.55555555556</v>
      </c>
      <c r="X82" s="313" t="n">
        <f>MIN(MAX(0,INDEX(Underwriting!$L$52:$EN$52,1,COLUMN()-5)),MAX(0,X$73-X$74))</f>
        <v>313055.55555555556</v>
      </c>
      <c r="Y82" s="313" t="n">
        <f>MIN(MAX(0,INDEX(Underwriting!$L$52:$EN$52,1,COLUMN()-5)),MAX(0,Y$73-Y$74))</f>
        <v>313055.55555555556</v>
      </c>
      <c r="Z82" s="313" t="n">
        <f>MIN(MAX(0,INDEX(Underwriting!$L$52:$EN$52,1,COLUMN()-5)),MAX(0,Z$73-Z$74))</f>
        <v>313055.55555555556</v>
      </c>
      <c r="AA82" s="313" t="n">
        <f>MIN(MAX(0,INDEX(Underwriting!$L$52:$EN$52,1,COLUMN()-5)),MAX(0,AA$73-AA$74))</f>
        <v>313055.55555555556</v>
      </c>
      <c r="AB82" s="313" t="n">
        <f>MIN(MAX(0,INDEX(Underwriting!$L$52:$EN$52,1,COLUMN()-5)),MAX(0,AB$73-AB$74))</f>
        <v>313055.55555555556</v>
      </c>
      <c r="AC82" s="313" t="n">
        <f>MIN(MAX(0,INDEX(Underwriting!$L$52:$EN$52,1,COLUMN()-5)),MAX(0,AC$73-AC$74))</f>
        <v>313055.55555555556</v>
      </c>
      <c r="AD82" s="313" t="n">
        <f>MIN(MAX(0,INDEX(Underwriting!$L$52:$EN$52,1,COLUMN()-5)),MAX(0,AD$73-AD$74))</f>
        <v>313055.55555555556</v>
      </c>
      <c r="AE82" s="313" t="n">
        <f>MIN(MAX(0,INDEX(Underwriting!$L$52:$EN$52,1,COLUMN()-5)),MAX(0,AE$73-AE$74))</f>
        <v>313055.55555555556</v>
      </c>
      <c r="AF82" s="313" t="n">
        <f>MIN(MAX(0,INDEX(Underwriting!$L$52:$EN$52,1,COLUMN()-5)),MAX(0,AF$73-AF$74))</f>
        <v>313055.55555555556</v>
      </c>
      <c r="AG82" s="313" t="n">
        <f>MIN(MAX(0,INDEX(Underwriting!$L$52:$EN$52,1,COLUMN()-5)),MAX(0,AG$73-AG$74))</f>
        <v>313055.55555555556</v>
      </c>
      <c r="AH82" s="313" t="n">
        <f>MIN(MAX(0,INDEX(Underwriting!$L$52:$EN$52,1,COLUMN()-5)),MAX(0,AH$73-AH$74))</f>
        <v>313055.55555555556</v>
      </c>
      <c r="AI82" s="313" t="n">
        <f>MIN(MAX(0,INDEX(Underwriting!$L$52:$EN$52,1,COLUMN()-5)),MAX(0,AI$73-AI$74))</f>
        <v>313055.55555555556</v>
      </c>
      <c r="AJ82" s="313" t="n">
        <f>MIN(MAX(0,INDEX(Underwriting!$L$52:$EN$52,1,COLUMN()-5)),MAX(0,AJ$73-AJ$74))</f>
        <v>313055.55555555556</v>
      </c>
      <c r="AK82" s="313" t="n">
        <f>MIN(MAX(0,INDEX(Underwriting!$L$52:$EN$52,1,COLUMN()-5)),MAX(0,AK$73-AK$74))</f>
        <v>313055.55555555556</v>
      </c>
      <c r="AL82" s="313" t="n">
        <f>MIN(MAX(0,INDEX(Underwriting!$L$52:$EN$52,1,COLUMN()-5)),MAX(0,AL$73-AL$74))</f>
        <v>313055.55555555556</v>
      </c>
      <c r="AM82" s="313" t="n">
        <f>MIN(MAX(0,INDEX(Underwriting!$L$52:$EN$52,1,COLUMN()-5)),MAX(0,AM$73-AM$74))</f>
        <v>313055.55555555556</v>
      </c>
      <c r="AN82" s="313" t="n">
        <f>MIN(MAX(0,INDEX(Underwriting!$L$52:$EN$52,1,COLUMN()-5)),MAX(0,AN$73-AN$74))</f>
        <v>313055.55555555556</v>
      </c>
      <c r="AO82" s="313" t="n">
        <f>MIN(MAX(0,INDEX(Underwriting!$L$52:$EN$52,1,COLUMN()-5)),MAX(0,AO$73-AO$74))</f>
        <v>148177.12503796816</v>
      </c>
      <c r="AP82" s="313" t="n">
        <f>MIN(MAX(0,INDEX(Underwriting!$L$52:$EN$52,1,COLUMN()-5)),MAX(0,AP$73-AP$74))</f>
        <v>44612.05233198404</v>
      </c>
      <c r="AQ82" s="313" t="n">
        <f>MIN(MAX(0,INDEX(Underwriting!$L$52:$EN$52,1,COLUMN()-5)),MAX(0,AQ$73-AQ$74))</f>
        <v>0</v>
      </c>
      <c r="AR82" s="313" t="n">
        <f>MIN(MAX(0,INDEX(Underwriting!$L$52:$EN$52,1,COLUMN()-5)),MAX(0,AR$73-AR$74))</f>
        <v>0</v>
      </c>
      <c r="AS82" s="313" t="n">
        <f>MIN(MAX(0,INDEX(Underwriting!$L$52:$EN$52,1,COLUMN()-5)),MAX(0,AS$73-AS$74))</f>
        <v>0</v>
      </c>
      <c r="AT82" s="313" t="n">
        <f>MIN(MAX(0,INDEX(Underwriting!$L$52:$EN$52,1,COLUMN()-5)),MAX(0,AT$73-AT$74))</f>
        <v>0</v>
      </c>
      <c r="AU82" s="313" t="n">
        <f>MIN(MAX(0,INDEX(Underwriting!$L$52:$EN$52,1,COLUMN()-5)),MAX(0,AU$73-AU$74))</f>
        <v>0</v>
      </c>
      <c r="AV82" s="313" t="n">
        <f>MIN(MAX(0,INDEX(Underwriting!$L$52:$EN$52,1,COLUMN()-5)),MAX(0,AV$73-AV$74))</f>
        <v>0</v>
      </c>
      <c r="AW82" s="313" t="n">
        <f>MIN(MAX(0,INDEX(Underwriting!$L$52:$EN$52,1,COLUMN()-5)),MAX(0,AW$73-AW$74))</f>
        <v>0</v>
      </c>
      <c r="AX82" s="313" t="n">
        <f>MIN(MAX(0,INDEX(Underwriting!$L$52:$EN$52,1,COLUMN()-5)),MAX(0,AX$73-AX$74))</f>
        <v>0</v>
      </c>
      <c r="AY82" s="313" t="n">
        <f>MIN(MAX(0,INDEX(Underwriting!$L$52:$EN$52,1,COLUMN()-5)),MAX(0,AY$73-AY$74))</f>
        <v>0</v>
      </c>
      <c r="AZ82" s="313" t="n">
        <f>MIN(MAX(0,INDEX(Underwriting!$L$52:$EN$52,1,COLUMN()-5)),MAX(0,AZ$73-AZ$74))</f>
        <v>0</v>
      </c>
      <c r="BA82" s="313" t="n">
        <f>MIN(MAX(0,INDEX(Underwriting!$L$52:$EN$52,1,COLUMN()-5)),MAX(0,BA$73-BA$74))</f>
        <v>0</v>
      </c>
      <c r="BB82" s="313" t="n">
        <f>MIN(MAX(0,INDEX(Underwriting!$L$52:$EN$52,1,COLUMN()-5)),MAX(0,BB$73-BB$74))</f>
        <v>0</v>
      </c>
      <c r="BC82" s="313" t="n">
        <f>MIN(MAX(0,INDEX(Underwriting!$L$52:$EN$52,1,COLUMN()-5)),MAX(0,BC$73-BC$74))</f>
        <v>0</v>
      </c>
      <c r="BD82" s="313" t="n">
        <f>MIN(MAX(0,INDEX(Underwriting!$L$52:$EN$52,1,COLUMN()-5)),MAX(0,BD$73-BD$74))</f>
        <v>0</v>
      </c>
      <c r="BE82" s="313" t="n">
        <f>MIN(MAX(0,INDEX(Underwriting!$L$52:$EN$52,1,COLUMN()-5)),MAX(0,BE$73-BE$74))</f>
        <v>0</v>
      </c>
      <c r="BF82" s="313" t="n">
        <f>MIN(MAX(0,INDEX(Underwriting!$L$52:$EN$52,1,COLUMN()-5)),MAX(0,BF$73-BF$74))</f>
        <v>0</v>
      </c>
      <c r="BG82" s="313" t="n">
        <f>MIN(MAX(0,INDEX(Underwriting!$L$52:$EN$52,1,COLUMN()-5)),MAX(0,BG$73-BG$74))</f>
        <v>0</v>
      </c>
      <c r="BH82" s="313" t="n">
        <f>MIN(MAX(0,INDEX(Underwriting!$L$52:$EN$52,1,COLUMN()-5)),MAX(0,BH$73-BH$74))</f>
        <v>0</v>
      </c>
      <c r="BI82" s="313" t="n">
        <f>MIN(MAX(0,INDEX(Underwriting!$L$52:$EN$52,1,COLUMN()-5)),MAX(0,BI$73-BI$74))</f>
        <v>0</v>
      </c>
      <c r="BJ82" s="313" t="n">
        <f>MIN(MAX(0,INDEX(Underwriting!$L$52:$EN$52,1,COLUMN()-5)),MAX(0,BJ$73-BJ$74))</f>
        <v>0</v>
      </c>
      <c r="BK82" s="313" t="n">
        <f>MIN(MAX(0,INDEX(Underwriting!$L$52:$EN$52,1,COLUMN()-5)),MAX(0,BK$73-BK$74))</f>
        <v>0</v>
      </c>
      <c r="BL82" s="313" t="n">
        <f>MIN(MAX(0,INDEX(Underwriting!$L$52:$EN$52,1,COLUMN()-5)),MAX(0,BL$73-BL$74))</f>
        <v>0</v>
      </c>
      <c r="BM82" s="313" t="n">
        <f>MIN(MAX(0,INDEX(Underwriting!$L$52:$EN$52,1,COLUMN()-5)),MAX(0,BM$73-BM$74))</f>
        <v>0</v>
      </c>
      <c r="BN82" s="313" t="n">
        <f>MIN(MAX(0,INDEX(Underwriting!$L$52:$EN$52,1,COLUMN()-5)),MAX(0,BN$73-BN$74))</f>
        <v>0</v>
      </c>
      <c r="BO82" s="313" t="n">
        <f>MIN(MAX(0,INDEX(Underwriting!$L$52:$EN$52,1,COLUMN()-5)),MAX(0,BO$73-BO$74))</f>
        <v>0</v>
      </c>
      <c r="BP82" s="313" t="n">
        <f>MIN(MAX(0,INDEX(Underwriting!$L$52:$EN$52,1,COLUMN()-5)),MAX(0,BP$73-BP$74))</f>
        <v>0</v>
      </c>
      <c r="BQ82" s="313" t="n">
        <f>MIN(MAX(0,INDEX(Underwriting!$L$52:$EN$52,1,COLUMN()-5)),MAX(0,BQ$73-BQ$74))</f>
        <v>0</v>
      </c>
      <c r="BR82" s="313" t="n">
        <f>MIN(MAX(0,INDEX(Underwriting!$L$52:$EN$52,1,COLUMN()-5)),MAX(0,BR$73-BR$74))</f>
        <v>0</v>
      </c>
      <c r="BS82" s="313" t="n">
        <f>MIN(MAX(0,INDEX(Underwriting!$L$52:$EN$52,1,COLUMN()-5)),MAX(0,BS$73-BS$74))</f>
        <v>0</v>
      </c>
      <c r="BT82" s="313" t="n">
        <f>MIN(MAX(0,INDEX(Underwriting!$L$52:$EN$52,1,COLUMN()-5)),MAX(0,BT$73-BT$74))</f>
        <v>0</v>
      </c>
      <c r="BU82" s="313" t="n">
        <f>MIN(MAX(0,INDEX(Underwriting!$L$52:$EN$52,1,COLUMN()-5)),MAX(0,BU$73-BU$74))</f>
        <v>0</v>
      </c>
      <c r="BV82" s="313" t="n">
        <f>MIN(MAX(0,INDEX(Underwriting!$L$52:$EN$52,1,COLUMN()-5)),MAX(0,BV$73-BV$74))</f>
        <v>0</v>
      </c>
      <c r="BW82" s="313" t="n">
        <f>MIN(MAX(0,INDEX(Underwriting!$L$52:$EN$52,1,COLUMN()-5)),MAX(0,BW$73-BW$74))</f>
        <v>0</v>
      </c>
      <c r="BX82" s="313" t="n">
        <f>MIN(MAX(0,INDEX(Underwriting!$L$52:$EN$52,1,COLUMN()-5)),MAX(0,BX$73-BX$74))</f>
        <v>0</v>
      </c>
      <c r="BY82" s="313" t="n">
        <f>MIN(MAX(0,INDEX(Underwriting!$L$52:$EN$52,1,COLUMN()-5)),MAX(0,BY$73-BY$74))</f>
        <v>0</v>
      </c>
      <c r="BZ82" s="313" t="n">
        <f>MIN(MAX(0,INDEX(Underwriting!$L$52:$EN$52,1,COLUMN()-5)),MAX(0,BZ$73-BZ$74))</f>
        <v>0</v>
      </c>
      <c r="CA82" s="313" t="n">
        <f>MIN(MAX(0,INDEX(Underwriting!$L$52:$EN$52,1,COLUMN()-5)),MAX(0,CA$73-CA$74))</f>
        <v>0</v>
      </c>
      <c r="CB82" s="313" t="n">
        <f>MIN(MAX(0,INDEX(Underwriting!$L$52:$EN$52,1,COLUMN()-5)),MAX(0,CB$73-CB$74))</f>
        <v>0</v>
      </c>
      <c r="CC82" s="313" t="n">
        <f>MIN(MAX(0,INDEX(Underwriting!$L$52:$EN$52,1,COLUMN()-5)),MAX(0,CC$73-CC$74))</f>
        <v>0</v>
      </c>
      <c r="CD82" s="313" t="n">
        <f>MIN(MAX(0,INDEX(Underwriting!$L$52:$EN$52,1,COLUMN()-5)),MAX(0,CD$73-CD$74))</f>
        <v>0</v>
      </c>
      <c r="CE82" s="313" t="n">
        <f>MIN(MAX(0,INDEX(Underwriting!$L$52:$EN$52,1,COLUMN()-5)),MAX(0,CE$73-CE$74))</f>
        <v>0</v>
      </c>
      <c r="CF82" s="313" t="n">
        <f>MIN(MAX(0,INDEX(Underwriting!$L$52:$EN$52,1,COLUMN()-5)),MAX(0,CF$73-CF$74))</f>
        <v>0</v>
      </c>
      <c r="CG82" s="313" t="n">
        <f>MIN(MAX(0,INDEX(Underwriting!$L$52:$EN$52,1,COLUMN()-5)),MAX(0,CG$73-CG$74))</f>
        <v>0</v>
      </c>
      <c r="CH82" s="313" t="n">
        <f>MIN(MAX(0,INDEX(Underwriting!$L$52:$EN$52,1,COLUMN()-5)),MAX(0,CH$73-CH$74))</f>
        <v>0</v>
      </c>
      <c r="CI82" s="313" t="n">
        <f>MIN(MAX(0,INDEX(Underwriting!$L$52:$EN$52,1,COLUMN()-5)),MAX(0,CI$73-CI$74))</f>
        <v>0</v>
      </c>
      <c r="CJ82" s="313" t="n">
        <f>MIN(MAX(0,INDEX(Underwriting!$L$52:$EN$52,1,COLUMN()-5)),MAX(0,CJ$73-CJ$74))</f>
        <v>0</v>
      </c>
      <c r="CK82" s="313" t="n">
        <f>MIN(MAX(0,INDEX(Underwriting!$L$52:$EN$52,1,COLUMN()-5)),MAX(0,CK$73-CK$74))</f>
        <v>0</v>
      </c>
      <c r="CL82" s="313" t="n">
        <f>MIN(MAX(0,INDEX(Underwriting!$L$52:$EN$52,1,COLUMN()-5)),MAX(0,CL$73-CL$74))</f>
        <v>0</v>
      </c>
      <c r="CM82" s="313" t="n">
        <f>MIN(MAX(0,INDEX(Underwriting!$L$52:$EN$52,1,COLUMN()-5)),MAX(0,CM$73-CM$74))</f>
        <v>0</v>
      </c>
      <c r="CN82" s="313" t="n">
        <f>MIN(MAX(0,INDEX(Underwriting!$L$52:$EN$52,1,COLUMN()-5)),MAX(0,CN$73-CN$74))</f>
        <v>0</v>
      </c>
      <c r="CO82" s="313" t="n">
        <f>MIN(MAX(0,INDEX(Underwriting!$L$52:$EN$52,1,COLUMN()-5)),MAX(0,CO$73-CO$74))</f>
        <v>0</v>
      </c>
      <c r="CP82" s="313" t="n">
        <f>MIN(MAX(0,INDEX(Underwriting!$L$52:$EN$52,1,COLUMN()-5)),MAX(0,CP$73-CP$74))</f>
        <v>0</v>
      </c>
      <c r="CQ82" s="313" t="n">
        <f>MIN(MAX(0,INDEX(Underwriting!$L$52:$EN$52,1,COLUMN()-5)),MAX(0,CQ$73-CQ$74))</f>
        <v>0</v>
      </c>
      <c r="CR82" s="313" t="n">
        <f>MIN(MAX(0,INDEX(Underwriting!$L$52:$EN$52,1,COLUMN()-5)),MAX(0,CR$73-CR$74))</f>
        <v>0</v>
      </c>
      <c r="CS82" s="313" t="n">
        <f>MIN(MAX(0,INDEX(Underwriting!$L$52:$EN$52,1,COLUMN()-5)),MAX(0,CS$73-CS$74))</f>
        <v>0</v>
      </c>
      <c r="CT82" s="313" t="n">
        <f>MIN(MAX(0,INDEX(Underwriting!$L$52:$EN$52,1,COLUMN()-5)),MAX(0,CT$73-CT$74))</f>
        <v>0</v>
      </c>
      <c r="CU82" s="313" t="n">
        <f>MIN(MAX(0,INDEX(Underwriting!$L$52:$EN$52,1,COLUMN()-5)),MAX(0,CU$73-CU$74))</f>
        <v>0</v>
      </c>
      <c r="CV82" s="313" t="n">
        <f>MIN(MAX(0,INDEX(Underwriting!$L$52:$EN$52,1,COLUMN()-5)),MAX(0,CV$73-CV$74))</f>
        <v>0</v>
      </c>
      <c r="CW82" s="313" t="n">
        <f>MIN(MAX(0,INDEX(Underwriting!$L$52:$EN$52,1,COLUMN()-5)),MAX(0,CW$73-CW$74))</f>
        <v>0</v>
      </c>
      <c r="CX82" s="313" t="n">
        <f>MIN(MAX(0,INDEX(Underwriting!$L$52:$EN$52,1,COLUMN()-5)),MAX(0,CX$73-CX$74))</f>
        <v>0</v>
      </c>
      <c r="CY82" s="313" t="n">
        <f>MIN(MAX(0,INDEX(Underwriting!$L$52:$EN$52,1,COLUMN()-5)),MAX(0,CY$73-CY$74))</f>
        <v>0</v>
      </c>
      <c r="CZ82" s="313" t="n">
        <f>MIN(MAX(0,INDEX(Underwriting!$L$52:$EN$52,1,COLUMN()-5)),MAX(0,CZ$73-CZ$74))</f>
        <v>0</v>
      </c>
      <c r="DA82" s="313" t="n">
        <f>MIN(MAX(0,INDEX(Underwriting!$L$52:$EN$52,1,COLUMN()-5)),MAX(0,DA$73-DA$74))</f>
        <v>0</v>
      </c>
      <c r="DB82" s="313" t="n">
        <f>MIN(MAX(0,INDEX(Underwriting!$L$52:$EN$52,1,COLUMN()-5)),MAX(0,DB$73-DB$74))</f>
        <v>0</v>
      </c>
      <c r="DC82" s="313" t="n">
        <f>MIN(MAX(0,INDEX(Underwriting!$L$52:$EN$52,1,COLUMN()-5)),MAX(0,DC$73-DC$74))</f>
        <v>0</v>
      </c>
      <c r="DD82" s="313" t="n">
        <f>MIN(MAX(0,INDEX(Underwriting!$L$52:$EN$52,1,COLUMN()-5)),MAX(0,DD$73-DD$74))</f>
        <v>0</v>
      </c>
      <c r="DE82" s="313" t="n">
        <f>MIN(MAX(0,INDEX(Underwriting!$L$52:$EN$52,1,COLUMN()-5)),MAX(0,DE$73-DE$74))</f>
        <v>0</v>
      </c>
      <c r="DF82" s="313" t="n">
        <f>MIN(MAX(0,INDEX(Underwriting!$L$52:$EN$52,1,COLUMN()-5)),MAX(0,DF$73-DF$74))</f>
        <v>0</v>
      </c>
      <c r="DG82" s="313" t="n">
        <f>MIN(MAX(0,INDEX(Underwriting!$L$52:$EN$52,1,COLUMN()-5)),MAX(0,DG$73-DG$74))</f>
        <v>0</v>
      </c>
      <c r="DH82" s="313" t="n">
        <f>MIN(MAX(0,INDEX(Underwriting!$L$52:$EN$52,1,COLUMN()-5)),MAX(0,DH$73-DH$74))</f>
        <v>0</v>
      </c>
      <c r="DI82" s="313" t="n">
        <f>MIN(MAX(0,INDEX(Underwriting!$L$52:$EN$52,1,COLUMN()-5)),MAX(0,DI$73-DI$74))</f>
        <v>0</v>
      </c>
      <c r="DJ82" s="313" t="n">
        <f>MIN(MAX(0,INDEX(Underwriting!$L$52:$EN$52,1,COLUMN()-5)),MAX(0,DJ$73-DJ$74))</f>
        <v>0</v>
      </c>
      <c r="DK82" s="313" t="n">
        <f>MIN(MAX(0,INDEX(Underwriting!$L$52:$EN$52,1,COLUMN()-5)),MAX(0,DK$73-DK$74))</f>
        <v>0</v>
      </c>
      <c r="DL82" s="313" t="n">
        <f>MIN(MAX(0,INDEX(Underwriting!$L$52:$EN$52,1,COLUMN()-5)),MAX(0,DL$73-DL$74))</f>
        <v>0</v>
      </c>
      <c r="DM82" s="313" t="n">
        <f>MIN(MAX(0,INDEX(Underwriting!$L$52:$EN$52,1,COLUMN()-5)),MAX(0,DM$73-DM$74))</f>
        <v>0</v>
      </c>
      <c r="DN82" s="313" t="n">
        <f>MIN(MAX(0,INDEX(Underwriting!$L$52:$EN$52,1,COLUMN()-5)),MAX(0,DN$73-DN$74))</f>
        <v>0</v>
      </c>
      <c r="DO82" s="313" t="n">
        <f>MIN(MAX(0,INDEX(Underwriting!$L$52:$EN$52,1,COLUMN()-5)),MAX(0,DO$73-DO$74))</f>
        <v>0</v>
      </c>
      <c r="DP82" s="313" t="n">
        <f>MIN(MAX(0,INDEX(Underwriting!$L$52:$EN$52,1,COLUMN()-5)),MAX(0,DP$73-DP$74))</f>
        <v>0</v>
      </c>
      <c r="DQ82" s="313" t="n">
        <f>MIN(MAX(0,INDEX(Underwriting!$L$52:$EN$52,1,COLUMN()-5)),MAX(0,DQ$73-DQ$74))</f>
        <v>0</v>
      </c>
      <c r="DR82" s="313" t="n">
        <f>MIN(MAX(0,INDEX(Underwriting!$L$52:$EN$52,1,COLUMN()-5)),MAX(0,DR$73-DR$74))</f>
        <v>0</v>
      </c>
      <c r="DS82" s="313" t="n">
        <f>MIN(MAX(0,INDEX(Underwriting!$L$52:$EN$52,1,COLUMN()-5)),MAX(0,DS$73-DS$74))</f>
        <v>0</v>
      </c>
      <c r="DT82" s="313" t="n">
        <f>MIN(MAX(0,INDEX(Underwriting!$L$52:$EN$52,1,COLUMN()-5)),MAX(0,DT$73-DT$74))</f>
        <v>0</v>
      </c>
      <c r="DU82" s="313" t="n">
        <f>MIN(MAX(0,INDEX(Underwriting!$L$52:$EN$52,1,COLUMN()-5)),MAX(0,DU$73-DU$74))</f>
        <v>0</v>
      </c>
      <c r="DV82" s="313" t="n">
        <f>MIN(MAX(0,INDEX(Underwriting!$L$52:$EN$52,1,COLUMN()-5)),MAX(0,DV$73-DV$74))</f>
        <v>0</v>
      </c>
    </row>
    <row r="83" ht="15" customHeight="1">
      <c r="A83" s="311" t="s">
        <v>1470</v>
      </c>
      <c r="B83" s="312" t="s">
        <v>1321</v>
      </c>
      <c r="C83" s="702" t="s">
        <v>1471</v>
      </c>
      <c r="D83" s="703"/>
      <c r="F83" s="313" t="n">
        <f t="shared" ref="F83:AK83" si="40">IF(F$64&lt;$B$35,(F$74+0.5*F$81)*MAX(0,$B$12+$B$13+INDEX($M$31:$M$33,MATCH($B$6,$J$31:$J$33,0)))*F$65/$B$17,0)</f>
        <v>0</v>
      </c>
      <c r="G83" s="313">
        <f t="shared" si="40"/>
        <v>0</v>
      </c>
      <c r="H83" s="313">
        <f t="shared" si="40"/>
        <v>1728.2382039573822</v>
      </c>
      <c r="I83" s="313">
        <f t="shared" si="40"/>
        <v>0</v>
      </c>
      <c r="J83" s="313">
        <f t="shared" si="40"/>
        <v>1728.2382039573822</v>
      </c>
      <c r="K83" s="313">
        <f t="shared" si="40"/>
        <v>3344.977168949772</v>
      </c>
      <c r="L83" s="313">
        <f t="shared" si="40"/>
        <v>5184.7146118721475</v>
      </c>
      <c r="M83" s="313">
        <f t="shared" si="40"/>
        <v>6912.9528158295288</v>
      </c>
      <c r="N83" s="313">
        <f t="shared" si="40"/>
        <v>7804.9467275494681</v>
      </c>
      <c r="O83" s="313">
        <f t="shared" si="40"/>
        <v>10369.429223744293</v>
      </c>
      <c r="P83" s="313">
        <f t="shared" si="40"/>
        <v>11707.4200913242</v>
      </c>
      <c r="Q83" s="313">
        <f t="shared" si="40"/>
        <v>13825.905631659058</v>
      </c>
      <c r="R83" s="313">
        <f t="shared" si="40"/>
        <v>15052.397260273972</v>
      </c>
      <c r="S83" s="313">
        <f t="shared" si="40"/>
        <v>17282.382039573822</v>
      </c>
      <c r="T83" s="313">
        <f t="shared" si="40"/>
        <v>19010.620243531204</v>
      </c>
      <c r="U83" s="313">
        <f t="shared" si="40"/>
        <v>20069.863013698628</v>
      </c>
      <c r="V83" s="313">
        <f t="shared" si="40"/>
        <v>67044.603855808382</v>
      </c>
      <c r="W83" s="313">
        <f t="shared" si="40"/>
        <v>167050.67839606424</v>
      </c>
      <c r="X83" s="313">
        <f t="shared" si="40"/>
        <v>293451.57975992101</v>
      </c>
      <c r="Y83" s="313">
        <f t="shared" si="40"/>
        <v>413802.30938318983</v>
      </c>
      <c r="Z83" s="313">
        <f t="shared" si="40"/>
        <v>496528.07499464438</v>
      </c>
      <c r="AA83" s="313">
        <f t="shared" si="40"/>
        <v>641216.78925197234</v>
      </c>
      <c r="AB83" s="313">
        <f t="shared" si="40"/>
        <v>718775.06338058715</v>
      </c>
      <c r="AC83" s="313">
        <f t="shared" si="40"/>
        <v>833555.90001342923</v>
      </c>
      <c r="AD83" s="313">
        <f t="shared" si="40"/>
        <v>883185.29180401156</v>
      </c>
      <c r="AE83" s="313">
        <f t="shared" si="40"/>
        <v>979591.82880490157</v>
      </c>
      <c r="AF83" s="313">
        <f t="shared" si="40"/>
        <v>1034744.526670068</v>
      </c>
      <c r="AG83" s="313">
        <f t="shared" si="40"/>
        <v>1044082.590167276</v>
      </c>
      <c r="AH83" s="313">
        <f t="shared" si="40"/>
        <v>1111447.8160511407</v>
      </c>
      <c r="AI83" s="313">
        <f t="shared" si="40"/>
        <v>1093591.7261032087</v>
      </c>
      <c r="AJ83" s="313">
        <f t="shared" si="40"/>
        <v>1139380.3162475813</v>
      </c>
      <c r="AK83" s="313">
        <f t="shared" si="40"/>
        <v>1145797.7950066051</v>
      </c>
      <c r="AL83" s="313" t="n">
        <f t="shared" ref="AL83:BQ83" si="41">IF(AL$64&lt;$B$35,(AL$74+0.5*AL$81)*MAX(0,$B$12+$B$13+INDEX($M$31:$M$33,MATCH($B$6,$J$31:$J$33,0)))*AL$65/$B$17,0)</f>
        <v>1037634.4458152449</v>
      </c>
      <c r="AM83" s="313">
        <f t="shared" si="41"/>
        <v>1152305.4197109009</v>
      </c>
      <c r="AN83" s="313">
        <f t="shared" si="41"/>
        <v>1116532.3920039942</v>
      </c>
      <c r="AO83" s="313">
        <f t="shared" si="41"/>
        <v>1155070.3109925564</v>
      </c>
      <c r="AP83" s="313">
        <f t="shared" si="41"/>
        <v>1118363.271234076</v>
      </c>
      <c r="AQ83" s="313">
        <f t="shared" si="41"/>
        <v>1155813.1102093433</v>
      </c>
      <c r="AR83" s="313">
        <f t="shared" si="41"/>
        <v>1155813.1102093433</v>
      </c>
      <c r="AS83" s="313">
        <f t="shared" si="41"/>
        <v>1118528.8163316224</v>
      </c>
      <c r="AT83" s="313">
        <f t="shared" si="41"/>
        <v>1155813.1102093433</v>
      </c>
      <c r="AU83" s="313">
        <f t="shared" si="41"/>
        <v>1118528.8163316224</v>
      </c>
      <c r="AV83" s="313">
        <f t="shared" si="41"/>
        <v>1155813.1102093433</v>
      </c>
      <c r="AW83" s="313">
        <f t="shared" si="41"/>
        <v>1155813.1102093433</v>
      </c>
      <c r="AX83" s="313">
        <f t="shared" si="41"/>
        <v>1043960.2285761809</v>
      </c>
      <c r="AY83" s="313">
        <f t="shared" si="41"/>
        <v>1155813.1102093433</v>
      </c>
      <c r="AZ83" s="313">
        <f t="shared" si="41"/>
        <v>1118528.8163316224</v>
      </c>
      <c r="BA83" s="313">
        <f t="shared" si="41"/>
        <v>1155813.1102093433</v>
      </c>
      <c r="BB83" s="313">
        <f t="shared" si="41"/>
        <v>1118528.8163316224</v>
      </c>
      <c r="BC83" s="313">
        <f t="shared" si="41"/>
        <v>0</v>
      </c>
      <c r="BD83" s="313">
        <f t="shared" si="41"/>
        <v>0</v>
      </c>
      <c r="BE83" s="313">
        <f t="shared" si="41"/>
        <v>0</v>
      </c>
      <c r="BF83" s="313">
        <f t="shared" si="41"/>
        <v>0</v>
      </c>
      <c r="BG83" s="313">
        <f t="shared" si="41"/>
        <v>0</v>
      </c>
      <c r="BH83" s="313">
        <f t="shared" si="41"/>
        <v>0</v>
      </c>
      <c r="BI83" s="313">
        <f t="shared" si="41"/>
        <v>0</v>
      </c>
      <c r="BJ83" s="313">
        <f t="shared" si="41"/>
        <v>0</v>
      </c>
      <c r="BK83" s="313">
        <f t="shared" si="41"/>
        <v>0</v>
      </c>
      <c r="BL83" s="313">
        <f t="shared" si="41"/>
        <v>0</v>
      </c>
      <c r="BM83" s="313">
        <f t="shared" si="41"/>
        <v>0</v>
      </c>
      <c r="BN83" s="313">
        <f t="shared" si="41"/>
        <v>0</v>
      </c>
      <c r="BO83" s="313">
        <f t="shared" si="41"/>
        <v>0</v>
      </c>
      <c r="BP83" s="313">
        <f t="shared" si="41"/>
        <v>0</v>
      </c>
      <c r="BQ83" s="313">
        <f t="shared" si="41"/>
        <v>0</v>
      </c>
      <c r="BR83" s="313" t="n">
        <f t="shared" ref="BR83:CW83" si="42">IF(BR$64&lt;$B$35,(BR$74+0.5*BR$81)*MAX(0,$B$12+$B$13+INDEX($M$31:$M$33,MATCH($B$6,$J$31:$J$33,0)))*BR$65/$B$17,0)</f>
        <v>0</v>
      </c>
      <c r="BS83" s="313">
        <f t="shared" si="42"/>
        <v>0</v>
      </c>
      <c r="BT83" s="313">
        <f t="shared" si="42"/>
        <v>0</v>
      </c>
      <c r="BU83" s="313">
        <f t="shared" si="42"/>
        <v>0</v>
      </c>
      <c r="BV83" s="313">
        <f t="shared" si="42"/>
        <v>0</v>
      </c>
      <c r="BW83" s="313">
        <f t="shared" si="42"/>
        <v>0</v>
      </c>
      <c r="BX83" s="313">
        <f t="shared" si="42"/>
        <v>0</v>
      </c>
      <c r="BY83" s="313">
        <f t="shared" si="42"/>
        <v>0</v>
      </c>
      <c r="BZ83" s="313">
        <f t="shared" si="42"/>
        <v>0</v>
      </c>
      <c r="CA83" s="313">
        <f t="shared" si="42"/>
        <v>0</v>
      </c>
      <c r="CB83" s="313">
        <f t="shared" si="42"/>
        <v>0</v>
      </c>
      <c r="CC83" s="313">
        <f t="shared" si="42"/>
        <v>0</v>
      </c>
      <c r="CD83" s="313">
        <f t="shared" si="42"/>
        <v>0</v>
      </c>
      <c r="CE83" s="313">
        <f t="shared" si="42"/>
        <v>0</v>
      </c>
      <c r="CF83" s="313">
        <f t="shared" si="42"/>
        <v>0</v>
      </c>
      <c r="CG83" s="313">
        <f t="shared" si="42"/>
        <v>0</v>
      </c>
      <c r="CH83" s="313">
        <f t="shared" si="42"/>
        <v>0</v>
      </c>
      <c r="CI83" s="313">
        <f t="shared" si="42"/>
        <v>0</v>
      </c>
      <c r="CJ83" s="313">
        <f t="shared" si="42"/>
        <v>0</v>
      </c>
      <c r="CK83" s="313">
        <f t="shared" si="42"/>
        <v>0</v>
      </c>
      <c r="CL83" s="313">
        <f t="shared" si="42"/>
        <v>0</v>
      </c>
      <c r="CM83" s="313">
        <f t="shared" si="42"/>
        <v>0</v>
      </c>
      <c r="CN83" s="313">
        <f t="shared" si="42"/>
        <v>0</v>
      </c>
      <c r="CO83" s="313">
        <f t="shared" si="42"/>
        <v>0</v>
      </c>
      <c r="CP83" s="313">
        <f t="shared" si="42"/>
        <v>0</v>
      </c>
      <c r="CQ83" s="313">
        <f t="shared" si="42"/>
        <v>0</v>
      </c>
      <c r="CR83" s="313">
        <f t="shared" si="42"/>
        <v>0</v>
      </c>
      <c r="CS83" s="313">
        <f t="shared" si="42"/>
        <v>0</v>
      </c>
      <c r="CT83" s="313">
        <f t="shared" si="42"/>
        <v>0</v>
      </c>
      <c r="CU83" s="313">
        <f t="shared" si="42"/>
        <v>0</v>
      </c>
      <c r="CV83" s="313">
        <f t="shared" si="42"/>
        <v>0</v>
      </c>
      <c r="CW83" s="313">
        <f t="shared" si="42"/>
        <v>0</v>
      </c>
      <c r="CX83" s="313" t="n">
        <f t="shared" ref="CX83:DV83" si="43">IF(CX$64&lt;$B$35,(CX$74+0.5*CX$81)*MAX(0,$B$12+$B$13+INDEX($M$31:$M$33,MATCH($B$6,$J$31:$J$33,0)))*CX$65/$B$17,0)</f>
        <v>0</v>
      </c>
      <c r="CY83" s="313">
        <f t="shared" si="43"/>
        <v>0</v>
      </c>
      <c r="CZ83" s="313">
        <f t="shared" si="43"/>
        <v>0</v>
      </c>
      <c r="DA83" s="313">
        <f t="shared" si="43"/>
        <v>0</v>
      </c>
      <c r="DB83" s="313">
        <f t="shared" si="43"/>
        <v>0</v>
      </c>
      <c r="DC83" s="313">
        <f t="shared" si="43"/>
        <v>0</v>
      </c>
      <c r="DD83" s="313">
        <f t="shared" si="43"/>
        <v>0</v>
      </c>
      <c r="DE83" s="313">
        <f t="shared" si="43"/>
        <v>0</v>
      </c>
      <c r="DF83" s="313">
        <f t="shared" si="43"/>
        <v>0</v>
      </c>
      <c r="DG83" s="313">
        <f t="shared" si="43"/>
        <v>0</v>
      </c>
      <c r="DH83" s="313">
        <f t="shared" si="43"/>
        <v>0</v>
      </c>
      <c r="DI83" s="313">
        <f t="shared" si="43"/>
        <v>0</v>
      </c>
      <c r="DJ83" s="313">
        <f t="shared" si="43"/>
        <v>0</v>
      </c>
      <c r="DK83" s="313">
        <f t="shared" si="43"/>
        <v>0</v>
      </c>
      <c r="DL83" s="313">
        <f t="shared" si="43"/>
        <v>0</v>
      </c>
      <c r="DM83" s="313">
        <f t="shared" si="43"/>
        <v>0</v>
      </c>
      <c r="DN83" s="313">
        <f t="shared" si="43"/>
        <v>0</v>
      </c>
      <c r="DO83" s="313">
        <f t="shared" si="43"/>
        <v>0</v>
      </c>
      <c r="DP83" s="313">
        <f t="shared" si="43"/>
        <v>0</v>
      </c>
      <c r="DQ83" s="313">
        <f t="shared" si="43"/>
        <v>0</v>
      </c>
      <c r="DR83" s="313">
        <f t="shared" si="43"/>
        <v>0</v>
      </c>
      <c r="DS83" s="313">
        <f t="shared" si="43"/>
        <v>0</v>
      </c>
      <c r="DT83" s="313">
        <f t="shared" si="43"/>
        <v>0</v>
      </c>
      <c r="DU83" s="313">
        <f t="shared" si="43"/>
        <v>0</v>
      </c>
      <c r="DV83" s="313">
        <f t="shared" si="43"/>
        <v>0</v>
      </c>
    </row>
    <row r="84" ht="15" customHeight="1">
      <c r="A84" s="311" t="s">
        <v>1472</v>
      </c>
      <c r="B84" s="312" t="s">
        <v>1321</v>
      </c>
      <c r="C84" s="702" t="s">
        <v>1473</v>
      </c>
      <c r="D84" s="703"/>
      <c r="F84" s="313" t="n">
        <f t="shared" ref="F84:AK84" si="44">MAX(0,F$83-F$82)</f>
        <v>0</v>
      </c>
      <c r="G84" s="313">
        <f t="shared" si="44"/>
        <v>0</v>
      </c>
      <c r="H84" s="313">
        <f t="shared" si="44"/>
        <v>0</v>
      </c>
      <c r="I84" s="313">
        <f t="shared" si="44"/>
        <v>0</v>
      </c>
      <c r="J84" s="313">
        <f t="shared" si="44"/>
        <v>0</v>
      </c>
      <c r="K84" s="313">
        <f t="shared" si="44"/>
        <v>0</v>
      </c>
      <c r="L84" s="313">
        <f t="shared" si="44"/>
        <v>0</v>
      </c>
      <c r="M84" s="313">
        <f t="shared" si="44"/>
        <v>0</v>
      </c>
      <c r="N84" s="313">
        <f t="shared" si="44"/>
        <v>0</v>
      </c>
      <c r="O84" s="313">
        <f t="shared" si="44"/>
        <v>0</v>
      </c>
      <c r="P84" s="313">
        <f t="shared" si="44"/>
        <v>0</v>
      </c>
      <c r="Q84" s="313">
        <f t="shared" si="44"/>
        <v>0</v>
      </c>
      <c r="R84" s="313">
        <f t="shared" si="44"/>
        <v>0</v>
      </c>
      <c r="S84" s="313">
        <f t="shared" si="44"/>
        <v>0</v>
      </c>
      <c r="T84" s="313">
        <f t="shared" si="44"/>
        <v>0</v>
      </c>
      <c r="U84" s="313">
        <f t="shared" si="44"/>
        <v>0</v>
      </c>
      <c r="V84" s="313">
        <f t="shared" si="44"/>
        <v>0</v>
      </c>
      <c r="W84" s="313">
        <f t="shared" si="44"/>
        <v>0</v>
      </c>
      <c r="X84" s="313">
        <f t="shared" si="44"/>
        <v>0</v>
      </c>
      <c r="Y84" s="313">
        <f t="shared" si="44"/>
        <v>100746.75382763427</v>
      </c>
      <c r="Z84" s="313">
        <f t="shared" si="44"/>
        <v>183472.51943908882</v>
      </c>
      <c r="AA84" s="313">
        <f t="shared" si="44"/>
        <v>328161.23369641678</v>
      </c>
      <c r="AB84" s="313">
        <f t="shared" si="44"/>
        <v>405719.50782503159</v>
      </c>
      <c r="AC84" s="313">
        <f t="shared" si="44"/>
        <v>520500.34445787367</v>
      </c>
      <c r="AD84" s="313">
        <f t="shared" si="44"/>
        <v>570129.73624845594</v>
      </c>
      <c r="AE84" s="313">
        <f t="shared" si="44"/>
        <v>666536.27324934606</v>
      </c>
      <c r="AF84" s="313">
        <f t="shared" si="44"/>
        <v>721688.97111451253</v>
      </c>
      <c r="AG84" s="313">
        <f t="shared" si="44"/>
        <v>731027.03461172036</v>
      </c>
      <c r="AH84" s="313">
        <f t="shared" si="44"/>
        <v>798392.26049558516</v>
      </c>
      <c r="AI84" s="313">
        <f t="shared" si="44"/>
        <v>780536.17054765322</v>
      </c>
      <c r="AJ84" s="313">
        <f t="shared" si="44"/>
        <v>826324.76069202577</v>
      </c>
      <c r="AK84" s="313">
        <f t="shared" si="44"/>
        <v>832742.23945104959</v>
      </c>
      <c r="AL84" s="313" t="n">
        <f t="shared" ref="AL84:BQ84" si="45">MAX(0,AL$83-AL$82)</f>
        <v>724578.8902596894</v>
      </c>
      <c r="AM84" s="313">
        <f t="shared" si="45"/>
        <v>839249.86415534536</v>
      </c>
      <c r="AN84" s="313">
        <f t="shared" si="45"/>
        <v>803476.8364484387</v>
      </c>
      <c r="AO84" s="313">
        <f t="shared" si="45"/>
        <v>1006893.1859545882</v>
      </c>
      <c r="AP84" s="313">
        <f t="shared" si="45"/>
        <v>1073751.218902092</v>
      </c>
      <c r="AQ84" s="313">
        <f t="shared" si="45"/>
        <v>1155813.1102093433</v>
      </c>
      <c r="AR84" s="313">
        <f t="shared" si="45"/>
        <v>1155813.1102093433</v>
      </c>
      <c r="AS84" s="313">
        <f t="shared" si="45"/>
        <v>1118528.8163316224</v>
      </c>
      <c r="AT84" s="313">
        <f t="shared" si="45"/>
        <v>1155813.1102093433</v>
      </c>
      <c r="AU84" s="313">
        <f t="shared" si="45"/>
        <v>1118528.8163316224</v>
      </c>
      <c r="AV84" s="313">
        <f t="shared" si="45"/>
        <v>1155813.1102093433</v>
      </c>
      <c r="AW84" s="313">
        <f t="shared" si="45"/>
        <v>1155813.1102093433</v>
      </c>
      <c r="AX84" s="313">
        <f t="shared" si="45"/>
        <v>1043960.2285761809</v>
      </c>
      <c r="AY84" s="313">
        <f t="shared" si="45"/>
        <v>1155813.1102093433</v>
      </c>
      <c r="AZ84" s="313">
        <f t="shared" si="45"/>
        <v>1118528.8163316224</v>
      </c>
      <c r="BA84" s="313">
        <f t="shared" si="45"/>
        <v>1155813.1102093433</v>
      </c>
      <c r="BB84" s="313">
        <f t="shared" si="45"/>
        <v>1118528.8163316224</v>
      </c>
      <c r="BC84" s="313">
        <f t="shared" si="45"/>
        <v>0</v>
      </c>
      <c r="BD84" s="313">
        <f t="shared" si="45"/>
        <v>0</v>
      </c>
      <c r="BE84" s="313">
        <f t="shared" si="45"/>
        <v>0</v>
      </c>
      <c r="BF84" s="313">
        <f t="shared" si="45"/>
        <v>0</v>
      </c>
      <c r="BG84" s="313">
        <f t="shared" si="45"/>
        <v>0</v>
      </c>
      <c r="BH84" s="313">
        <f t="shared" si="45"/>
        <v>0</v>
      </c>
      <c r="BI84" s="313">
        <f t="shared" si="45"/>
        <v>0</v>
      </c>
      <c r="BJ84" s="313">
        <f t="shared" si="45"/>
        <v>0</v>
      </c>
      <c r="BK84" s="313">
        <f t="shared" si="45"/>
        <v>0</v>
      </c>
      <c r="BL84" s="313">
        <f t="shared" si="45"/>
        <v>0</v>
      </c>
      <c r="BM84" s="313">
        <f t="shared" si="45"/>
        <v>0</v>
      </c>
      <c r="BN84" s="313">
        <f t="shared" si="45"/>
        <v>0</v>
      </c>
      <c r="BO84" s="313">
        <f t="shared" si="45"/>
        <v>0</v>
      </c>
      <c r="BP84" s="313">
        <f t="shared" si="45"/>
        <v>0</v>
      </c>
      <c r="BQ84" s="313">
        <f t="shared" si="45"/>
        <v>0</v>
      </c>
      <c r="BR84" s="313" t="n">
        <f t="shared" ref="BR84:CW84" si="46">MAX(0,BR$83-BR$82)</f>
        <v>0</v>
      </c>
      <c r="BS84" s="313">
        <f t="shared" si="46"/>
        <v>0</v>
      </c>
      <c r="BT84" s="313">
        <f t="shared" si="46"/>
        <v>0</v>
      </c>
      <c r="BU84" s="313">
        <f t="shared" si="46"/>
        <v>0</v>
      </c>
      <c r="BV84" s="313">
        <f t="shared" si="46"/>
        <v>0</v>
      </c>
      <c r="BW84" s="313">
        <f t="shared" si="46"/>
        <v>0</v>
      </c>
      <c r="BX84" s="313">
        <f t="shared" si="46"/>
        <v>0</v>
      </c>
      <c r="BY84" s="313">
        <f t="shared" si="46"/>
        <v>0</v>
      </c>
      <c r="BZ84" s="313">
        <f t="shared" si="46"/>
        <v>0</v>
      </c>
      <c r="CA84" s="313">
        <f t="shared" si="46"/>
        <v>0</v>
      </c>
      <c r="CB84" s="313">
        <f t="shared" si="46"/>
        <v>0</v>
      </c>
      <c r="CC84" s="313">
        <f t="shared" si="46"/>
        <v>0</v>
      </c>
      <c r="CD84" s="313">
        <f t="shared" si="46"/>
        <v>0</v>
      </c>
      <c r="CE84" s="313">
        <f t="shared" si="46"/>
        <v>0</v>
      </c>
      <c r="CF84" s="313">
        <f t="shared" si="46"/>
        <v>0</v>
      </c>
      <c r="CG84" s="313">
        <f t="shared" si="46"/>
        <v>0</v>
      </c>
      <c r="CH84" s="313">
        <f t="shared" si="46"/>
        <v>0</v>
      </c>
      <c r="CI84" s="313">
        <f t="shared" si="46"/>
        <v>0</v>
      </c>
      <c r="CJ84" s="313">
        <f t="shared" si="46"/>
        <v>0</v>
      </c>
      <c r="CK84" s="313">
        <f t="shared" si="46"/>
        <v>0</v>
      </c>
      <c r="CL84" s="313">
        <f t="shared" si="46"/>
        <v>0</v>
      </c>
      <c r="CM84" s="313">
        <f t="shared" si="46"/>
        <v>0</v>
      </c>
      <c r="CN84" s="313">
        <f t="shared" si="46"/>
        <v>0</v>
      </c>
      <c r="CO84" s="313">
        <f t="shared" si="46"/>
        <v>0</v>
      </c>
      <c r="CP84" s="313">
        <f t="shared" si="46"/>
        <v>0</v>
      </c>
      <c r="CQ84" s="313">
        <f t="shared" si="46"/>
        <v>0</v>
      </c>
      <c r="CR84" s="313">
        <f t="shared" si="46"/>
        <v>0</v>
      </c>
      <c r="CS84" s="313">
        <f t="shared" si="46"/>
        <v>0</v>
      </c>
      <c r="CT84" s="313">
        <f t="shared" si="46"/>
        <v>0</v>
      </c>
      <c r="CU84" s="313">
        <f t="shared" si="46"/>
        <v>0</v>
      </c>
      <c r="CV84" s="313">
        <f t="shared" si="46"/>
        <v>0</v>
      </c>
      <c r="CW84" s="313">
        <f t="shared" si="46"/>
        <v>0</v>
      </c>
      <c r="CX84" s="313" t="n">
        <f t="shared" ref="CX84:DV84" si="47">MAX(0,CX$83-CX$82)</f>
        <v>0</v>
      </c>
      <c r="CY84" s="313">
        <f t="shared" si="47"/>
        <v>0</v>
      </c>
      <c r="CZ84" s="313">
        <f t="shared" si="47"/>
        <v>0</v>
      </c>
      <c r="DA84" s="313">
        <f t="shared" si="47"/>
        <v>0</v>
      </c>
      <c r="DB84" s="313">
        <f t="shared" si="47"/>
        <v>0</v>
      </c>
      <c r="DC84" s="313">
        <f t="shared" si="47"/>
        <v>0</v>
      </c>
      <c r="DD84" s="313">
        <f t="shared" si="47"/>
        <v>0</v>
      </c>
      <c r="DE84" s="313">
        <f t="shared" si="47"/>
        <v>0</v>
      </c>
      <c r="DF84" s="313">
        <f t="shared" si="47"/>
        <v>0</v>
      </c>
      <c r="DG84" s="313">
        <f t="shared" si="47"/>
        <v>0</v>
      </c>
      <c r="DH84" s="313">
        <f t="shared" si="47"/>
        <v>0</v>
      </c>
      <c r="DI84" s="313">
        <f t="shared" si="47"/>
        <v>0</v>
      </c>
      <c r="DJ84" s="313">
        <f t="shared" si="47"/>
        <v>0</v>
      </c>
      <c r="DK84" s="313">
        <f t="shared" si="47"/>
        <v>0</v>
      </c>
      <c r="DL84" s="313">
        <f t="shared" si="47"/>
        <v>0</v>
      </c>
      <c r="DM84" s="313">
        <f t="shared" si="47"/>
        <v>0</v>
      </c>
      <c r="DN84" s="313">
        <f t="shared" si="47"/>
        <v>0</v>
      </c>
      <c r="DO84" s="313">
        <f t="shared" si="47"/>
        <v>0</v>
      </c>
      <c r="DP84" s="313">
        <f t="shared" si="47"/>
        <v>0</v>
      </c>
      <c r="DQ84" s="313">
        <f t="shared" si="47"/>
        <v>0</v>
      </c>
      <c r="DR84" s="313">
        <f t="shared" si="47"/>
        <v>0</v>
      </c>
      <c r="DS84" s="313">
        <f t="shared" si="47"/>
        <v>0</v>
      </c>
      <c r="DT84" s="313">
        <f t="shared" si="47"/>
        <v>0</v>
      </c>
      <c r="DU84" s="313">
        <f t="shared" si="47"/>
        <v>0</v>
      </c>
      <c r="DV84" s="313">
        <f t="shared" si="47"/>
        <v>0</v>
      </c>
    </row>
    <row r="85" ht="15" customHeight="1">
      <c r="A85" s="311" t="s">
        <v>1474</v>
      </c>
      <c r="B85" s="312" t="s">
        <v>1321</v>
      </c>
      <c r="C85" s="702" t="s">
        <v>1475</v>
      </c>
      <c r="D85" s="703"/>
      <c r="F85" s="313" t="n">
        <f t="shared" ref="F85:AK85" si="48">MAX(0,F$73-F$74-F$81)</f>
        <v>209379275.64230004</v>
      </c>
      <c r="G85" s="313">
        <f t="shared" si="48"/>
        <v>209379275.64230004</v>
      </c>
      <c r="H85" s="313">
        <f t="shared" si="48"/>
        <v>209066220.08674449</v>
      </c>
      <c r="I85" s="313">
        <f t="shared" si="48"/>
        <v>209379275.64230004</v>
      </c>
      <c r="J85" s="313">
        <f t="shared" si="48"/>
        <v>209066220.08674449</v>
      </c>
      <c r="K85" s="313">
        <f t="shared" si="48"/>
        <v>208753164.53118894</v>
      </c>
      <c r="L85" s="313">
        <f t="shared" si="48"/>
        <v>208440108.97563338</v>
      </c>
      <c r="M85" s="313">
        <f t="shared" si="48"/>
        <v>208127053.42007783</v>
      </c>
      <c r="N85" s="313">
        <f t="shared" si="48"/>
        <v>207813997.86452225</v>
      </c>
      <c r="O85" s="313">
        <f t="shared" si="48"/>
        <v>207500942.3089667</v>
      </c>
      <c r="P85" s="313">
        <f t="shared" si="48"/>
        <v>207187886.75341114</v>
      </c>
      <c r="Q85" s="313">
        <f t="shared" si="48"/>
        <v>206874831.19785559</v>
      </c>
      <c r="R85" s="313">
        <f t="shared" si="48"/>
        <v>206561775.64230004</v>
      </c>
      <c r="S85" s="313">
        <f t="shared" si="48"/>
        <v>206248720.08674449</v>
      </c>
      <c r="T85" s="313">
        <f t="shared" si="48"/>
        <v>205935664.53118894</v>
      </c>
      <c r="U85" s="313">
        <f t="shared" si="48"/>
        <v>205622608.97563338</v>
      </c>
      <c r="V85" s="313">
        <f t="shared" si="48"/>
        <v>189159885.79765373</v>
      </c>
      <c r="W85" s="313">
        <f t="shared" si="48"/>
        <v>167374800.41218042</v>
      </c>
      <c r="X85" s="313">
        <f t="shared" si="48"/>
        <v>145384323.43802863</v>
      </c>
      <c r="Y85" s="313">
        <f t="shared" si="48"/>
        <v>123773791.66528901</v>
      </c>
      <c r="Z85" s="313">
        <f t="shared" si="48"/>
        <v>103008428.04166219</v>
      </c>
      <c r="AA85" s="313">
        <f t="shared" si="48"/>
        <v>83670565.565169454</v>
      </c>
      <c r="AB85" s="313">
        <f t="shared" si="48"/>
        <v>66146592.140289113</v>
      </c>
      <c r="AC85" s="313">
        <f t="shared" si="48"/>
        <v>50696636.99888958</v>
      </c>
      <c r="AD85" s="313">
        <f t="shared" si="48"/>
        <v>37447965.068961769</v>
      </c>
      <c r="AE85" s="313">
        <f t="shared" si="48"/>
        <v>26402199.135441482</v>
      </c>
      <c r="AF85" s="313">
        <f t="shared" si="48"/>
        <v>17453786.889133036</v>
      </c>
      <c r="AG85" s="313">
        <f t="shared" si="48"/>
        <v>10415850.015966725</v>
      </c>
      <c r="AH85" s="313">
        <f t="shared" si="48"/>
        <v>5677271.4642374553</v>
      </c>
      <c r="AI85" s="313">
        <f t="shared" si="48"/>
        <v>3709891.4079975816</v>
      </c>
      <c r="AJ85" s="313">
        <f t="shared" si="48"/>
        <v>2333302.5729828808</v>
      </c>
      <c r="AK85" s="313">
        <f t="shared" si="48"/>
        <v>1425742.0871581766</v>
      </c>
      <c r="AL85" s="313" t="n">
        <f t="shared" ref="AL85:BQ85" si="49">MAX(0,AL$73-AL$74-AL$81)</f>
        <v>1282257.662869066</v>
      </c>
      <c r="AM85" s="313">
        <f t="shared" si="49"/>
        <v>599773.01786187617</v>
      </c>
      <c r="AN85" s="313">
        <f t="shared" si="49"/>
        <v>387315.08770626783</v>
      </c>
      <c r="AO85" s="313">
        <f t="shared" si="49"/>
        <v>148177.12503796816</v>
      </c>
      <c r="AP85" s="313">
        <f t="shared" si="49"/>
        <v>44612.052331984043</v>
      </c>
      <c r="AQ85" s="313">
        <f t="shared" si="49"/>
        <v>13625.405868172646</v>
      </c>
      <c r="AR85" s="313">
        <f t="shared" si="49"/>
        <v>13625.405868172646</v>
      </c>
      <c r="AS85" s="313">
        <f t="shared" si="49"/>
        <v>13625.405868172646</v>
      </c>
      <c r="AT85" s="313">
        <f t="shared" si="49"/>
        <v>13625.405868172646</v>
      </c>
      <c r="AU85" s="313">
        <f t="shared" si="49"/>
        <v>13625.405868172646</v>
      </c>
      <c r="AV85" s="313">
        <f t="shared" si="49"/>
        <v>13625.405868172646</v>
      </c>
      <c r="AW85" s="313">
        <f t="shared" si="49"/>
        <v>13625.405868172646</v>
      </c>
      <c r="AX85" s="313">
        <f t="shared" si="49"/>
        <v>13625.405868172646</v>
      </c>
      <c r="AY85" s="313">
        <f t="shared" si="49"/>
        <v>13625.405868172646</v>
      </c>
      <c r="AZ85" s="313">
        <f t="shared" si="49"/>
        <v>13625.405868172646</v>
      </c>
      <c r="BA85" s="313">
        <f t="shared" si="49"/>
        <v>13625.405868172646</v>
      </c>
      <c r="BB85" s="313">
        <f t="shared" si="49"/>
        <v>13625.405868172646</v>
      </c>
      <c r="BC85" s="313">
        <f t="shared" si="49"/>
        <v>13625.405868172646</v>
      </c>
      <c r="BD85" s="313">
        <f t="shared" si="49"/>
        <v>0</v>
      </c>
      <c r="BE85" s="313">
        <f t="shared" si="49"/>
        <v>0</v>
      </c>
      <c r="BF85" s="313">
        <f t="shared" si="49"/>
        <v>0</v>
      </c>
      <c r="BG85" s="313">
        <f t="shared" si="49"/>
        <v>0</v>
      </c>
      <c r="BH85" s="313">
        <f t="shared" si="49"/>
        <v>0</v>
      </c>
      <c r="BI85" s="313">
        <f t="shared" si="49"/>
        <v>0</v>
      </c>
      <c r="BJ85" s="313">
        <f t="shared" si="49"/>
        <v>0</v>
      </c>
      <c r="BK85" s="313">
        <f t="shared" si="49"/>
        <v>0</v>
      </c>
      <c r="BL85" s="313">
        <f t="shared" si="49"/>
        <v>0</v>
      </c>
      <c r="BM85" s="313">
        <f t="shared" si="49"/>
        <v>0</v>
      </c>
      <c r="BN85" s="313">
        <f t="shared" si="49"/>
        <v>0</v>
      </c>
      <c r="BO85" s="313">
        <f t="shared" si="49"/>
        <v>0</v>
      </c>
      <c r="BP85" s="313">
        <f t="shared" si="49"/>
        <v>0</v>
      </c>
      <c r="BQ85" s="313">
        <f t="shared" si="49"/>
        <v>0</v>
      </c>
      <c r="BR85" s="313" t="n">
        <f t="shared" ref="BR85:CW85" si="50">MAX(0,BR$73-BR$74-BR$81)</f>
        <v>0</v>
      </c>
      <c r="BS85" s="313">
        <f t="shared" si="50"/>
        <v>0</v>
      </c>
      <c r="BT85" s="313">
        <f t="shared" si="50"/>
        <v>0</v>
      </c>
      <c r="BU85" s="313">
        <f t="shared" si="50"/>
        <v>0</v>
      </c>
      <c r="BV85" s="313">
        <f t="shared" si="50"/>
        <v>0</v>
      </c>
      <c r="BW85" s="313">
        <f t="shared" si="50"/>
        <v>0</v>
      </c>
      <c r="BX85" s="313">
        <f t="shared" si="50"/>
        <v>0</v>
      </c>
      <c r="BY85" s="313">
        <f t="shared" si="50"/>
        <v>0</v>
      </c>
      <c r="BZ85" s="313">
        <f t="shared" si="50"/>
        <v>0</v>
      </c>
      <c r="CA85" s="313">
        <f t="shared" si="50"/>
        <v>0</v>
      </c>
      <c r="CB85" s="313">
        <f t="shared" si="50"/>
        <v>0</v>
      </c>
      <c r="CC85" s="313">
        <f t="shared" si="50"/>
        <v>0</v>
      </c>
      <c r="CD85" s="313">
        <f t="shared" si="50"/>
        <v>0</v>
      </c>
      <c r="CE85" s="313">
        <f t="shared" si="50"/>
        <v>0</v>
      </c>
      <c r="CF85" s="313">
        <f t="shared" si="50"/>
        <v>0</v>
      </c>
      <c r="CG85" s="313">
        <f t="shared" si="50"/>
        <v>0</v>
      </c>
      <c r="CH85" s="313">
        <f t="shared" si="50"/>
        <v>0</v>
      </c>
      <c r="CI85" s="313">
        <f t="shared" si="50"/>
        <v>0</v>
      </c>
      <c r="CJ85" s="313">
        <f t="shared" si="50"/>
        <v>0</v>
      </c>
      <c r="CK85" s="313">
        <f t="shared" si="50"/>
        <v>0</v>
      </c>
      <c r="CL85" s="313">
        <f t="shared" si="50"/>
        <v>0</v>
      </c>
      <c r="CM85" s="313">
        <f t="shared" si="50"/>
        <v>0</v>
      </c>
      <c r="CN85" s="313">
        <f t="shared" si="50"/>
        <v>0</v>
      </c>
      <c r="CO85" s="313">
        <f t="shared" si="50"/>
        <v>0</v>
      </c>
      <c r="CP85" s="313">
        <f t="shared" si="50"/>
        <v>0</v>
      </c>
      <c r="CQ85" s="313">
        <f t="shared" si="50"/>
        <v>0</v>
      </c>
      <c r="CR85" s="313">
        <f t="shared" si="50"/>
        <v>0</v>
      </c>
      <c r="CS85" s="313">
        <f t="shared" si="50"/>
        <v>0</v>
      </c>
      <c r="CT85" s="313">
        <f t="shared" si="50"/>
        <v>0</v>
      </c>
      <c r="CU85" s="313">
        <f t="shared" si="50"/>
        <v>0</v>
      </c>
      <c r="CV85" s="313">
        <f t="shared" si="50"/>
        <v>0</v>
      </c>
      <c r="CW85" s="313">
        <f t="shared" si="50"/>
        <v>0</v>
      </c>
      <c r="CX85" s="313" t="n">
        <f t="shared" ref="CX85:DV85" si="51">MAX(0,CX$73-CX$74-CX$81)</f>
        <v>0</v>
      </c>
      <c r="CY85" s="313">
        <f t="shared" si="51"/>
        <v>0</v>
      </c>
      <c r="CZ85" s="313">
        <f t="shared" si="51"/>
        <v>0</v>
      </c>
      <c r="DA85" s="313">
        <f t="shared" si="51"/>
        <v>0</v>
      </c>
      <c r="DB85" s="313">
        <f t="shared" si="51"/>
        <v>0</v>
      </c>
      <c r="DC85" s="313">
        <f t="shared" si="51"/>
        <v>0</v>
      </c>
      <c r="DD85" s="313">
        <f t="shared" si="51"/>
        <v>0</v>
      </c>
      <c r="DE85" s="313">
        <f t="shared" si="51"/>
        <v>0</v>
      </c>
      <c r="DF85" s="313">
        <f t="shared" si="51"/>
        <v>0</v>
      </c>
      <c r="DG85" s="313">
        <f t="shared" si="51"/>
        <v>0</v>
      </c>
      <c r="DH85" s="313">
        <f t="shared" si="51"/>
        <v>0</v>
      </c>
      <c r="DI85" s="313">
        <f t="shared" si="51"/>
        <v>0</v>
      </c>
      <c r="DJ85" s="313">
        <f t="shared" si="51"/>
        <v>0</v>
      </c>
      <c r="DK85" s="313">
        <f t="shared" si="51"/>
        <v>0</v>
      </c>
      <c r="DL85" s="313">
        <f t="shared" si="51"/>
        <v>0</v>
      </c>
      <c r="DM85" s="313">
        <f t="shared" si="51"/>
        <v>0</v>
      </c>
      <c r="DN85" s="313">
        <f t="shared" si="51"/>
        <v>0</v>
      </c>
      <c r="DO85" s="313">
        <f t="shared" si="51"/>
        <v>0</v>
      </c>
      <c r="DP85" s="313">
        <f t="shared" si="51"/>
        <v>0</v>
      </c>
      <c r="DQ85" s="313">
        <f t="shared" si="51"/>
        <v>0</v>
      </c>
      <c r="DR85" s="313">
        <f t="shared" si="51"/>
        <v>0</v>
      </c>
      <c r="DS85" s="313">
        <f t="shared" si="51"/>
        <v>0</v>
      </c>
      <c r="DT85" s="313">
        <f t="shared" si="51"/>
        <v>0</v>
      </c>
      <c r="DU85" s="313">
        <f t="shared" si="51"/>
        <v>0</v>
      </c>
      <c r="DV85" s="313">
        <f t="shared" si="51"/>
        <v>0</v>
      </c>
    </row>
    <row r="86" ht="15" customHeight="1">
      <c r="A86" s="311" t="s">
        <v>1342</v>
      </c>
      <c r="B86" s="312" t="s">
        <v>1321</v>
      </c>
      <c r="C86" s="702" t="s">
        <v>1476</v>
      </c>
      <c r="D86" s="703"/>
      <c r="F86" s="313" t="n">
        <f t="shared" ref="F86:AK86" si="52">MAX(0,F$73-F$74-0.5*F$81)*$B$14*F$65/$B$17</f>
        <v>0</v>
      </c>
      <c r="G86" s="313">
        <f t="shared" si="52"/>
        <v>0</v>
      </c>
      <c r="H86" s="313">
        <f t="shared" si="52"/>
        <v>0</v>
      </c>
      <c r="I86" s="313">
        <f t="shared" si="52"/>
        <v>0</v>
      </c>
      <c r="J86" s="313">
        <f t="shared" si="52"/>
        <v>0</v>
      </c>
      <c r="K86" s="313">
        <f t="shared" si="52"/>
        <v>0</v>
      </c>
      <c r="L86" s="313">
        <f t="shared" si="52"/>
        <v>0</v>
      </c>
      <c r="M86" s="313">
        <f t="shared" si="52"/>
        <v>0</v>
      </c>
      <c r="N86" s="313">
        <f t="shared" si="52"/>
        <v>0</v>
      </c>
      <c r="O86" s="313">
        <f t="shared" si="52"/>
        <v>0</v>
      </c>
      <c r="P86" s="313">
        <f t="shared" si="52"/>
        <v>0</v>
      </c>
      <c r="Q86" s="313">
        <f t="shared" si="52"/>
        <v>0</v>
      </c>
      <c r="R86" s="313">
        <f t="shared" si="52"/>
        <v>0</v>
      </c>
      <c r="S86" s="313">
        <f t="shared" si="52"/>
        <v>0</v>
      </c>
      <c r="T86" s="313">
        <f t="shared" si="52"/>
        <v>0</v>
      </c>
      <c r="U86" s="313">
        <f t="shared" si="52"/>
        <v>0</v>
      </c>
      <c r="V86" s="313">
        <f t="shared" si="52"/>
        <v>0</v>
      </c>
      <c r="W86" s="313">
        <f t="shared" si="52"/>
        <v>0</v>
      </c>
      <c r="X86" s="313">
        <f t="shared" si="52"/>
        <v>0</v>
      </c>
      <c r="Y86" s="313">
        <f t="shared" si="52"/>
        <v>0</v>
      </c>
      <c r="Z86" s="313">
        <f t="shared" si="52"/>
        <v>0</v>
      </c>
      <c r="AA86" s="313">
        <f t="shared" si="52"/>
        <v>0</v>
      </c>
      <c r="AB86" s="313">
        <f t="shared" si="52"/>
        <v>0</v>
      </c>
      <c r="AC86" s="313">
        <f t="shared" si="52"/>
        <v>0</v>
      </c>
      <c r="AD86" s="313">
        <f t="shared" si="52"/>
        <v>0</v>
      </c>
      <c r="AE86" s="313">
        <f t="shared" si="52"/>
        <v>0</v>
      </c>
      <c r="AF86" s="313">
        <f t="shared" si="52"/>
        <v>0</v>
      </c>
      <c r="AG86" s="313">
        <f t="shared" si="52"/>
        <v>0</v>
      </c>
      <c r="AH86" s="313">
        <f t="shared" si="52"/>
        <v>0</v>
      </c>
      <c r="AI86" s="313">
        <f t="shared" si="52"/>
        <v>0</v>
      </c>
      <c r="AJ86" s="313">
        <f t="shared" si="52"/>
        <v>0</v>
      </c>
      <c r="AK86" s="313">
        <f t="shared" si="52"/>
        <v>0</v>
      </c>
      <c r="AL86" s="313" t="n">
        <f t="shared" ref="AL86:BQ86" si="53">MAX(0,AL$73-AL$74-0.5*AL$81)*$B$14*AL$65/$B$17</f>
        <v>0</v>
      </c>
      <c r="AM86" s="313">
        <f t="shared" si="53"/>
        <v>0</v>
      </c>
      <c r="AN86" s="313">
        <f t="shared" si="53"/>
        <v>0</v>
      </c>
      <c r="AO86" s="313">
        <f t="shared" si="53"/>
        <v>0</v>
      </c>
      <c r="AP86" s="313">
        <f t="shared" si="53"/>
        <v>0</v>
      </c>
      <c r="AQ86" s="313">
        <f t="shared" si="53"/>
        <v>0</v>
      </c>
      <c r="AR86" s="313">
        <f t="shared" si="53"/>
        <v>0</v>
      </c>
      <c r="AS86" s="313">
        <f t="shared" si="53"/>
        <v>0</v>
      </c>
      <c r="AT86" s="313">
        <f t="shared" si="53"/>
        <v>0</v>
      </c>
      <c r="AU86" s="313">
        <f t="shared" si="53"/>
        <v>0</v>
      </c>
      <c r="AV86" s="313">
        <f t="shared" si="53"/>
        <v>0</v>
      </c>
      <c r="AW86" s="313">
        <f t="shared" si="53"/>
        <v>0</v>
      </c>
      <c r="AX86" s="313">
        <f t="shared" si="53"/>
        <v>0</v>
      </c>
      <c r="AY86" s="313">
        <f t="shared" si="53"/>
        <v>0</v>
      </c>
      <c r="AZ86" s="313">
        <f t="shared" si="53"/>
        <v>0</v>
      </c>
      <c r="BA86" s="313">
        <f t="shared" si="53"/>
        <v>0</v>
      </c>
      <c r="BB86" s="313">
        <f t="shared" si="53"/>
        <v>0</v>
      </c>
      <c r="BC86" s="313">
        <f t="shared" si="53"/>
        <v>0</v>
      </c>
      <c r="BD86" s="313">
        <f t="shared" si="53"/>
        <v>0</v>
      </c>
      <c r="BE86" s="313">
        <f t="shared" si="53"/>
        <v>0</v>
      </c>
      <c r="BF86" s="313">
        <f t="shared" si="53"/>
        <v>0</v>
      </c>
      <c r="BG86" s="313">
        <f t="shared" si="53"/>
        <v>0</v>
      </c>
      <c r="BH86" s="313">
        <f t="shared" si="53"/>
        <v>0</v>
      </c>
      <c r="BI86" s="313">
        <f t="shared" si="53"/>
        <v>0</v>
      </c>
      <c r="BJ86" s="313">
        <f t="shared" si="53"/>
        <v>0</v>
      </c>
      <c r="BK86" s="313">
        <f t="shared" si="53"/>
        <v>0</v>
      </c>
      <c r="BL86" s="313">
        <f t="shared" si="53"/>
        <v>0</v>
      </c>
      <c r="BM86" s="313">
        <f t="shared" si="53"/>
        <v>0</v>
      </c>
      <c r="BN86" s="313">
        <f t="shared" si="53"/>
        <v>0</v>
      </c>
      <c r="BO86" s="313">
        <f t="shared" si="53"/>
        <v>0</v>
      </c>
      <c r="BP86" s="313">
        <f t="shared" si="53"/>
        <v>0</v>
      </c>
      <c r="BQ86" s="313">
        <f t="shared" si="53"/>
        <v>0</v>
      </c>
      <c r="BR86" s="313" t="n">
        <f t="shared" ref="BR86:CW86" si="54">MAX(0,BR$73-BR$74-0.5*BR$81)*$B$14*BR$65/$B$17</f>
        <v>0</v>
      </c>
      <c r="BS86" s="313">
        <f t="shared" si="54"/>
        <v>0</v>
      </c>
      <c r="BT86" s="313">
        <f t="shared" si="54"/>
        <v>0</v>
      </c>
      <c r="BU86" s="313">
        <f t="shared" si="54"/>
        <v>0</v>
      </c>
      <c r="BV86" s="313">
        <f t="shared" si="54"/>
        <v>0</v>
      </c>
      <c r="BW86" s="313">
        <f t="shared" si="54"/>
        <v>0</v>
      </c>
      <c r="BX86" s="313">
        <f t="shared" si="54"/>
        <v>0</v>
      </c>
      <c r="BY86" s="313">
        <f t="shared" si="54"/>
        <v>0</v>
      </c>
      <c r="BZ86" s="313">
        <f t="shared" si="54"/>
        <v>0</v>
      </c>
      <c r="CA86" s="313">
        <f t="shared" si="54"/>
        <v>0</v>
      </c>
      <c r="CB86" s="313">
        <f t="shared" si="54"/>
        <v>0</v>
      </c>
      <c r="CC86" s="313">
        <f t="shared" si="54"/>
        <v>0</v>
      </c>
      <c r="CD86" s="313">
        <f t="shared" si="54"/>
        <v>0</v>
      </c>
      <c r="CE86" s="313">
        <f t="shared" si="54"/>
        <v>0</v>
      </c>
      <c r="CF86" s="313">
        <f t="shared" si="54"/>
        <v>0</v>
      </c>
      <c r="CG86" s="313">
        <f t="shared" si="54"/>
        <v>0</v>
      </c>
      <c r="CH86" s="313">
        <f t="shared" si="54"/>
        <v>0</v>
      </c>
      <c r="CI86" s="313">
        <f t="shared" si="54"/>
        <v>0</v>
      </c>
      <c r="CJ86" s="313">
        <f t="shared" si="54"/>
        <v>0</v>
      </c>
      <c r="CK86" s="313">
        <f t="shared" si="54"/>
        <v>0</v>
      </c>
      <c r="CL86" s="313">
        <f t="shared" si="54"/>
        <v>0</v>
      </c>
      <c r="CM86" s="313">
        <f t="shared" si="54"/>
        <v>0</v>
      </c>
      <c r="CN86" s="313">
        <f t="shared" si="54"/>
        <v>0</v>
      </c>
      <c r="CO86" s="313">
        <f t="shared" si="54"/>
        <v>0</v>
      </c>
      <c r="CP86" s="313">
        <f t="shared" si="54"/>
        <v>0</v>
      </c>
      <c r="CQ86" s="313">
        <f t="shared" si="54"/>
        <v>0</v>
      </c>
      <c r="CR86" s="313">
        <f t="shared" si="54"/>
        <v>0</v>
      </c>
      <c r="CS86" s="313">
        <f t="shared" si="54"/>
        <v>0</v>
      </c>
      <c r="CT86" s="313">
        <f t="shared" si="54"/>
        <v>0</v>
      </c>
      <c r="CU86" s="313">
        <f t="shared" si="54"/>
        <v>0</v>
      </c>
      <c r="CV86" s="313">
        <f t="shared" si="54"/>
        <v>0</v>
      </c>
      <c r="CW86" s="313">
        <f t="shared" si="54"/>
        <v>0</v>
      </c>
      <c r="CX86" s="313" t="n">
        <f t="shared" ref="CX86:DV86" si="55">MAX(0,CX$73-CX$74-0.5*CX$81)*$B$14*CX$65/$B$17</f>
        <v>0</v>
      </c>
      <c r="CY86" s="313">
        <f t="shared" si="55"/>
        <v>0</v>
      </c>
      <c r="CZ86" s="313">
        <f t="shared" si="55"/>
        <v>0</v>
      </c>
      <c r="DA86" s="313">
        <f t="shared" si="55"/>
        <v>0</v>
      </c>
      <c r="DB86" s="313">
        <f t="shared" si="55"/>
        <v>0</v>
      </c>
      <c r="DC86" s="313">
        <f t="shared" si="55"/>
        <v>0</v>
      </c>
      <c r="DD86" s="313">
        <f t="shared" si="55"/>
        <v>0</v>
      </c>
      <c r="DE86" s="313">
        <f t="shared" si="55"/>
        <v>0</v>
      </c>
      <c r="DF86" s="313">
        <f t="shared" si="55"/>
        <v>0</v>
      </c>
      <c r="DG86" s="313">
        <f t="shared" si="55"/>
        <v>0</v>
      </c>
      <c r="DH86" s="313">
        <f t="shared" si="55"/>
        <v>0</v>
      </c>
      <c r="DI86" s="313">
        <f t="shared" si="55"/>
        <v>0</v>
      </c>
      <c r="DJ86" s="313">
        <f t="shared" si="55"/>
        <v>0</v>
      </c>
      <c r="DK86" s="313">
        <f t="shared" si="55"/>
        <v>0</v>
      </c>
      <c r="DL86" s="313">
        <f t="shared" si="55"/>
        <v>0</v>
      </c>
      <c r="DM86" s="313">
        <f t="shared" si="55"/>
        <v>0</v>
      </c>
      <c r="DN86" s="313">
        <f t="shared" si="55"/>
        <v>0</v>
      </c>
      <c r="DO86" s="313">
        <f t="shared" si="55"/>
        <v>0</v>
      </c>
      <c r="DP86" s="313">
        <f t="shared" si="55"/>
        <v>0</v>
      </c>
      <c r="DQ86" s="313">
        <f t="shared" si="55"/>
        <v>0</v>
      </c>
      <c r="DR86" s="313">
        <f t="shared" si="55"/>
        <v>0</v>
      </c>
      <c r="DS86" s="313">
        <f t="shared" si="55"/>
        <v>0</v>
      </c>
      <c r="DT86" s="313">
        <f t="shared" si="55"/>
        <v>0</v>
      </c>
      <c r="DU86" s="313">
        <f t="shared" si="55"/>
        <v>0</v>
      </c>
      <c r="DV86" s="313">
        <f t="shared" si="55"/>
        <v>0</v>
      </c>
    </row>
    <row r="87" ht="15" customHeight="1">
      <c r="A87" s="311" t="s">
        <v>1343</v>
      </c>
      <c r="B87" s="312" t="s">
        <v>1321</v>
      </c>
      <c r="C87" s="702" t="s">
        <v>1477</v>
      </c>
      <c r="D87" s="703"/>
      <c r="F87" s="313" t="n">
        <f>MAX(0,Underwriting!$L$53)</f>
        <v>0</v>
      </c>
      <c r="G87" s="313" t="n">
        <f>MAX(0,Underwriting!$M$53)</f>
        <v>0</v>
      </c>
      <c r="H87" s="313" t="n">
        <f>MAX(0,Underwriting!$N$53)</f>
        <v>0</v>
      </c>
      <c r="I87" s="313" t="n">
        <f>MAX(0,Underwriting!$O$53)</f>
        <v>0</v>
      </c>
      <c r="J87" s="313" t="n">
        <f>MAX(0,Underwriting!$P$53)</f>
        <v>0</v>
      </c>
      <c r="K87" s="313" t="n">
        <f>MAX(0,Underwriting!$Q$53)</f>
        <v>0</v>
      </c>
      <c r="L87" s="313" t="n">
        <f>MAX(0,Underwriting!$R$53)</f>
        <v>0</v>
      </c>
      <c r="M87" s="313" t="n">
        <f>MAX(0,Underwriting!$S$53)</f>
        <v>0</v>
      </c>
      <c r="N87" s="313" t="n">
        <f>MAX(0,Underwriting!$T$53)</f>
        <v>0</v>
      </c>
      <c r="O87" s="313" t="n">
        <f>MAX(0,Underwriting!$U$53)</f>
        <v>0</v>
      </c>
      <c r="P87" s="313" t="n">
        <f>MAX(0,Underwriting!$V$53)</f>
        <v>0</v>
      </c>
      <c r="Q87" s="313" t="n">
        <f>MAX(0,Underwriting!$W$53)</f>
        <v>0</v>
      </c>
      <c r="R87" s="313" t="n">
        <f>MAX(0,Underwriting!$X$53)</f>
        <v>0</v>
      </c>
      <c r="S87" s="313" t="n">
        <f>MAX(0,Underwriting!$Y$53)</f>
        <v>0</v>
      </c>
      <c r="T87" s="313" t="n">
        <f>MAX(0,Underwriting!$Z$53)</f>
        <v>0</v>
      </c>
      <c r="U87" s="313" t="n">
        <f>MAX(0,Underwriting!$AA$53)</f>
        <v>0</v>
      </c>
      <c r="V87" s="313" t="n">
        <f>MAX(0,Underwriting!$AB$53)</f>
        <v>0</v>
      </c>
      <c r="W87" s="313" t="n">
        <f>MAX(0,Underwriting!$AC$53)</f>
        <v>0</v>
      </c>
      <c r="X87" s="313" t="n">
        <f>MAX(0,Underwriting!$AD$53)</f>
        <v>0</v>
      </c>
      <c r="Y87" s="313" t="n">
        <f>MAX(0,Underwriting!$AE$53)</f>
        <v>0</v>
      </c>
      <c r="Z87" s="313" t="n">
        <f>MAX(0,Underwriting!$AF$53)</f>
        <v>0</v>
      </c>
      <c r="AA87" s="313" t="n">
        <f>MAX(0,Underwriting!$AG$53)</f>
        <v>0</v>
      </c>
      <c r="AB87" s="313" t="n">
        <f>MAX(0,Underwriting!$AH$53)</f>
        <v>0</v>
      </c>
      <c r="AC87" s="313" t="n">
        <f>MAX(0,Underwriting!$AI$53)</f>
        <v>0</v>
      </c>
      <c r="AD87" s="313" t="n">
        <f>MAX(0,Underwriting!$AJ$53)</f>
        <v>0</v>
      </c>
      <c r="AE87" s="313" t="n">
        <f>MAX(0,Underwriting!$AK$53)</f>
        <v>0</v>
      </c>
      <c r="AF87" s="313" t="n">
        <f>MAX(0,Underwriting!$AL$53)</f>
        <v>0</v>
      </c>
      <c r="AG87" s="313" t="n">
        <f>MAX(0,Underwriting!$AM$53)</f>
        <v>0</v>
      </c>
      <c r="AH87" s="313" t="n">
        <f>MAX(0,Underwriting!$AN$53)</f>
        <v>0</v>
      </c>
      <c r="AI87" s="313" t="n">
        <f>MAX(0,Underwriting!$AO$53)</f>
        <v>0</v>
      </c>
      <c r="AJ87" s="313" t="n">
        <f>MAX(0,Underwriting!$AP$53)</f>
        <v>0</v>
      </c>
      <c r="AK87" s="313" t="n">
        <f>MAX(0,Underwriting!$AQ$53)</f>
        <v>0</v>
      </c>
      <c r="AL87" s="313" t="n">
        <f>MAX(0,Underwriting!$AR$53)</f>
        <v>0</v>
      </c>
      <c r="AM87" s="313" t="n">
        <f>MAX(0,Underwriting!$AS$53)</f>
        <v>0</v>
      </c>
      <c r="AN87" s="313" t="n">
        <f>MAX(0,Underwriting!$AT$53)</f>
        <v>0</v>
      </c>
      <c r="AO87" s="313" t="n">
        <f>MAX(0,Underwriting!$AU$53)</f>
        <v>0</v>
      </c>
      <c r="AP87" s="313" t="n">
        <f>MAX(0,Underwriting!$AV$53)</f>
        <v>0</v>
      </c>
      <c r="AQ87" s="313" t="n">
        <f>MAX(0,Underwriting!$AW$53)</f>
        <v>0</v>
      </c>
      <c r="AR87" s="313" t="n">
        <f>MAX(0,Underwriting!$AX$53)</f>
        <v>0</v>
      </c>
      <c r="AS87" s="313" t="n">
        <f>MAX(0,Underwriting!$AY$53)</f>
        <v>0</v>
      </c>
      <c r="AT87" s="313" t="n">
        <f>MAX(0,Underwriting!$AZ$53)</f>
        <v>0</v>
      </c>
      <c r="AU87" s="313" t="n">
        <f>MAX(0,Underwriting!$BA$53)</f>
        <v>0</v>
      </c>
      <c r="AV87" s="313" t="n">
        <f>MAX(0,Underwriting!$BB$53)</f>
        <v>0</v>
      </c>
      <c r="AW87" s="313" t="n">
        <f>MAX(0,Underwriting!$BC$53)</f>
        <v>0</v>
      </c>
      <c r="AX87" s="313" t="n">
        <f>MAX(0,Underwriting!$BD$53)</f>
        <v>0</v>
      </c>
      <c r="AY87" s="313" t="n">
        <f>MAX(0,Underwriting!$BE$53)</f>
        <v>0</v>
      </c>
      <c r="AZ87" s="313" t="n">
        <f>MAX(0,Underwriting!$BF$53)</f>
        <v>0</v>
      </c>
      <c r="BA87" s="313" t="n">
        <f>MAX(0,Underwriting!$BG$53)</f>
        <v>0</v>
      </c>
      <c r="BB87" s="313" t="n">
        <f>MAX(0,Underwriting!$BH$53)</f>
        <v>0</v>
      </c>
      <c r="BC87" s="313" t="n">
        <f>MAX(0,Underwriting!$BI$53)</f>
        <v>0</v>
      </c>
      <c r="BD87" s="313" t="n">
        <f>MAX(0,Underwriting!$BJ$53)</f>
        <v>0</v>
      </c>
      <c r="BE87" s="313" t="n">
        <f>MAX(0,Underwriting!$BK$53)</f>
        <v>0</v>
      </c>
      <c r="BF87" s="313" t="n">
        <f>MAX(0,Underwriting!$BL$53)</f>
        <v>0</v>
      </c>
      <c r="BG87" s="313" t="n">
        <f>MAX(0,Underwriting!$BM$53)</f>
        <v>0</v>
      </c>
      <c r="BH87" s="313" t="n">
        <f>MAX(0,Underwriting!$BN$53)</f>
        <v>0</v>
      </c>
      <c r="BI87" s="313" t="n">
        <f>MAX(0,Underwriting!$BO$53)</f>
        <v>0</v>
      </c>
      <c r="BJ87" s="313" t="n">
        <f>MAX(0,Underwriting!$BP$53)</f>
        <v>0</v>
      </c>
      <c r="BK87" s="313" t="n">
        <f>MAX(0,Underwriting!$BQ$53)</f>
        <v>0</v>
      </c>
      <c r="BL87" s="313" t="n">
        <f>MAX(0,Underwriting!$BR$53)</f>
        <v>0</v>
      </c>
      <c r="BM87" s="313" t="n">
        <f>MAX(0,Underwriting!$BS$53)</f>
        <v>0</v>
      </c>
      <c r="BN87" s="313" t="n">
        <f>MAX(0,Underwriting!$BT$53)</f>
        <v>0</v>
      </c>
      <c r="BO87" s="313" t="n">
        <f>MAX(0,Underwriting!$BU$53)</f>
        <v>0</v>
      </c>
      <c r="BP87" s="313" t="n">
        <f>MAX(0,Underwriting!$BV$53)</f>
        <v>0</v>
      </c>
      <c r="BQ87" s="313" t="n">
        <f>MAX(0,Underwriting!$BW$53)</f>
        <v>0</v>
      </c>
      <c r="BR87" s="313" t="n">
        <f>MAX(0,Underwriting!$BX$53)</f>
        <v>0</v>
      </c>
      <c r="BS87" s="313" t="n">
        <f>MAX(0,Underwriting!$BY$53)</f>
        <v>0</v>
      </c>
      <c r="BT87" s="313" t="n">
        <f>MAX(0,Underwriting!$BZ$53)</f>
        <v>0</v>
      </c>
      <c r="BU87" s="313" t="n">
        <f>MAX(0,Underwriting!$CA$53)</f>
        <v>0</v>
      </c>
      <c r="BV87" s="313" t="n">
        <f>MAX(0,Underwriting!$CB$53)</f>
        <v>0</v>
      </c>
      <c r="BW87" s="313" t="n">
        <f>MAX(0,Underwriting!$CC$53)</f>
        <v>0</v>
      </c>
      <c r="BX87" s="313" t="n">
        <f>MAX(0,Underwriting!$CD$53)</f>
        <v>0</v>
      </c>
      <c r="BY87" s="313" t="n">
        <f>MAX(0,Underwriting!$CE$53)</f>
        <v>0</v>
      </c>
      <c r="BZ87" s="313" t="n">
        <f>MAX(0,Underwriting!$CF$53)</f>
        <v>0</v>
      </c>
      <c r="CA87" s="313" t="n">
        <f>MAX(0,Underwriting!$CG$53)</f>
        <v>0</v>
      </c>
      <c r="CB87" s="313" t="n">
        <f>MAX(0,Underwriting!$CH$53)</f>
        <v>0</v>
      </c>
      <c r="CC87" s="313" t="n">
        <f>MAX(0,Underwriting!$CI$53)</f>
        <v>0</v>
      </c>
      <c r="CD87" s="313" t="n">
        <f>MAX(0,Underwriting!$CJ$53)</f>
        <v>0</v>
      </c>
      <c r="CE87" s="313" t="n">
        <f>MAX(0,Underwriting!$CK$53)</f>
        <v>0</v>
      </c>
      <c r="CF87" s="313" t="n">
        <f>MAX(0,Underwriting!$CL$53)</f>
        <v>0</v>
      </c>
      <c r="CG87" s="313" t="n">
        <f>MAX(0,Underwriting!$CM$53)</f>
        <v>0</v>
      </c>
      <c r="CH87" s="313" t="n">
        <f>MAX(0,Underwriting!$CN$53)</f>
        <v>0</v>
      </c>
      <c r="CI87" s="313" t="n">
        <f>MAX(0,Underwriting!$CO$53)</f>
        <v>0</v>
      </c>
      <c r="CJ87" s="313" t="n">
        <f>MAX(0,Underwriting!$CP$53)</f>
        <v>0</v>
      </c>
      <c r="CK87" s="313" t="n">
        <f>MAX(0,Underwriting!$CQ$53)</f>
        <v>0</v>
      </c>
      <c r="CL87" s="313" t="n">
        <f>MAX(0,Underwriting!$CR$53)</f>
        <v>0</v>
      </c>
      <c r="CM87" s="313" t="n">
        <f>MAX(0,Underwriting!$CS$53)</f>
        <v>0</v>
      </c>
      <c r="CN87" s="313" t="n">
        <f>MAX(0,Underwriting!$CT$53)</f>
        <v>0</v>
      </c>
      <c r="CO87" s="313" t="n">
        <f>MAX(0,Underwriting!$CU$53)</f>
        <v>0</v>
      </c>
      <c r="CP87" s="313" t="n">
        <f>MAX(0,Underwriting!$CV$53)</f>
        <v>0</v>
      </c>
      <c r="CQ87" s="313" t="n">
        <f>MAX(0,Underwriting!$CW$53)</f>
        <v>0</v>
      </c>
      <c r="CR87" s="313" t="n">
        <f>MAX(0,Underwriting!$CX$53)</f>
        <v>0</v>
      </c>
      <c r="CS87" s="313" t="n">
        <f>MAX(0,Underwriting!$CY$53)</f>
        <v>0</v>
      </c>
      <c r="CT87" s="313" t="n">
        <f>MAX(0,Underwriting!$CZ$53)</f>
        <v>0</v>
      </c>
      <c r="CU87" s="313" t="n">
        <f>MAX(0,Underwriting!$DA$53)</f>
        <v>0</v>
      </c>
      <c r="CV87" s="313" t="n">
        <f>MAX(0,Underwriting!$DB$53)</f>
        <v>0</v>
      </c>
      <c r="CW87" s="313" t="n">
        <f>MAX(0,Underwriting!$DC$53)</f>
        <v>0</v>
      </c>
      <c r="CX87" s="313" t="n">
        <f>MAX(0,Underwriting!$DD$53)</f>
        <v>0</v>
      </c>
      <c r="CY87" s="313" t="n">
        <f>MAX(0,Underwriting!$DE$53)</f>
        <v>0</v>
      </c>
      <c r="CZ87" s="313" t="n">
        <f>MAX(0,Underwriting!$DF$53)</f>
        <v>0</v>
      </c>
      <c r="DA87" s="313" t="n">
        <f>MAX(0,Underwriting!$DG$53)</f>
        <v>0</v>
      </c>
      <c r="DB87" s="313" t="n">
        <f>MAX(0,Underwriting!$DH$53)</f>
        <v>0</v>
      </c>
      <c r="DC87" s="313" t="n">
        <f>MAX(0,Underwriting!$DI$53)</f>
        <v>0</v>
      </c>
      <c r="DD87" s="313" t="n">
        <f>MAX(0,Underwriting!$DJ$53)</f>
        <v>0</v>
      </c>
      <c r="DE87" s="313" t="n">
        <f>MAX(0,Underwriting!$DK$53)</f>
        <v>0</v>
      </c>
      <c r="DF87" s="313" t="n">
        <f>MAX(0,Underwriting!$DL$53)</f>
        <v>0</v>
      </c>
      <c r="DG87" s="313" t="n">
        <f>MAX(0,Underwriting!$DM$53)</f>
        <v>0</v>
      </c>
      <c r="DH87" s="313" t="n">
        <f>MAX(0,Underwriting!$DN$53)</f>
        <v>0</v>
      </c>
      <c r="DI87" s="313" t="n">
        <f>MAX(0,Underwriting!$DO$53)</f>
        <v>0</v>
      </c>
      <c r="DJ87" s="313" t="n">
        <f>MAX(0,Underwriting!$DP$53)</f>
        <v>0</v>
      </c>
      <c r="DK87" s="313" t="n">
        <f>MAX(0,Underwriting!$DQ$53)</f>
        <v>0</v>
      </c>
      <c r="DL87" s="313" t="n">
        <f>MAX(0,Underwriting!$DR$53)</f>
        <v>0</v>
      </c>
      <c r="DM87" s="313" t="n">
        <f>MAX(0,Underwriting!$DS$53)</f>
        <v>0</v>
      </c>
      <c r="DN87" s="313" t="n">
        <f>MAX(0,Underwriting!$DT$53)</f>
        <v>0</v>
      </c>
      <c r="DO87" s="313" t="n">
        <f>MAX(0,Underwriting!$DU$53)</f>
        <v>0</v>
      </c>
      <c r="DP87" s="313" t="n">
        <f>MAX(0,Underwriting!$DV$53)</f>
        <v>0</v>
      </c>
      <c r="DQ87" s="313" t="n">
        <f>MAX(0,Underwriting!$DW$53)</f>
        <v>0</v>
      </c>
      <c r="DR87" s="313" t="n">
        <f>MAX(0,Underwriting!$DX$53)</f>
        <v>0</v>
      </c>
      <c r="DS87" s="313" t="n">
        <f>MAX(0,Underwriting!$DY$53)</f>
        <v>0</v>
      </c>
      <c r="DT87" s="313" t="n">
        <f>MAX(0,Underwriting!$DZ$53)</f>
        <v>0</v>
      </c>
      <c r="DU87" s="313" t="n">
        <f>MAX(0,Underwriting!$EA$53)</f>
        <v>0</v>
      </c>
      <c r="DV87" s="313" t="n">
        <f>MAX(0,Underwriting!$EB$53)</f>
        <v>0</v>
      </c>
    </row>
    <row r="88" ht="15" customHeight="1">
      <c r="A88" s="311" t="s">
        <v>1345</v>
      </c>
      <c r="B88" s="312" t="s">
        <v>1321</v>
      </c>
      <c r="C88" s="702" t="s">
        <v>1478</v>
      </c>
      <c r="D88" s="703"/>
      <c r="F88" s="313" t="n">
        <f t="shared" ref="F88:AK88" si="56">(F$74+F$81+F$82)*$B$16*F$65/$B$17</f>
        <v>0</v>
      </c>
      <c r="G88" s="313">
        <f t="shared" si="56"/>
        <v>0</v>
      </c>
      <c r="H88" s="313">
        <f t="shared" si="56"/>
        <v>0</v>
      </c>
      <c r="I88" s="313">
        <f t="shared" si="56"/>
        <v>0</v>
      </c>
      <c r="J88" s="313">
        <f t="shared" si="56"/>
        <v>0</v>
      </c>
      <c r="K88" s="313">
        <f t="shared" si="56"/>
        <v>0</v>
      </c>
      <c r="L88" s="313">
        <f t="shared" si="56"/>
        <v>0</v>
      </c>
      <c r="M88" s="313">
        <f t="shared" si="56"/>
        <v>0</v>
      </c>
      <c r="N88" s="313">
        <f t="shared" si="56"/>
        <v>0</v>
      </c>
      <c r="O88" s="313">
        <f t="shared" si="56"/>
        <v>0</v>
      </c>
      <c r="P88" s="313">
        <f t="shared" si="56"/>
        <v>0</v>
      </c>
      <c r="Q88" s="313">
        <f t="shared" si="56"/>
        <v>0</v>
      </c>
      <c r="R88" s="313">
        <f t="shared" si="56"/>
        <v>0</v>
      </c>
      <c r="S88" s="313">
        <f t="shared" si="56"/>
        <v>0</v>
      </c>
      <c r="T88" s="313">
        <f t="shared" si="56"/>
        <v>0</v>
      </c>
      <c r="U88" s="313">
        <f t="shared" si="56"/>
        <v>0</v>
      </c>
      <c r="V88" s="313">
        <f t="shared" si="56"/>
        <v>0</v>
      </c>
      <c r="W88" s="313">
        <f t="shared" si="56"/>
        <v>0</v>
      </c>
      <c r="X88" s="313">
        <f t="shared" si="56"/>
        <v>0</v>
      </c>
      <c r="Y88" s="313">
        <f t="shared" si="56"/>
        <v>0</v>
      </c>
      <c r="Z88" s="313">
        <f t="shared" si="56"/>
        <v>0</v>
      </c>
      <c r="AA88" s="313">
        <f t="shared" si="56"/>
        <v>0</v>
      </c>
      <c r="AB88" s="313">
        <f t="shared" si="56"/>
        <v>0</v>
      </c>
      <c r="AC88" s="313">
        <f t="shared" si="56"/>
        <v>0</v>
      </c>
      <c r="AD88" s="313">
        <f t="shared" si="56"/>
        <v>0</v>
      </c>
      <c r="AE88" s="313">
        <f t="shared" si="56"/>
        <v>0</v>
      </c>
      <c r="AF88" s="313">
        <f t="shared" si="56"/>
        <v>0</v>
      </c>
      <c r="AG88" s="313">
        <f t="shared" si="56"/>
        <v>0</v>
      </c>
      <c r="AH88" s="313">
        <f t="shared" si="56"/>
        <v>0</v>
      </c>
      <c r="AI88" s="313">
        <f t="shared" si="56"/>
        <v>0</v>
      </c>
      <c r="AJ88" s="313">
        <f t="shared" si="56"/>
        <v>0</v>
      </c>
      <c r="AK88" s="313">
        <f t="shared" si="56"/>
        <v>0</v>
      </c>
      <c r="AL88" s="313" t="n">
        <f t="shared" ref="AL88:BQ88" si="57">(AL$74+AL$81+AL$82)*$B$16*AL$65/$B$17</f>
        <v>0</v>
      </c>
      <c r="AM88" s="313">
        <f t="shared" si="57"/>
        <v>0</v>
      </c>
      <c r="AN88" s="313">
        <f t="shared" si="57"/>
        <v>0</v>
      </c>
      <c r="AO88" s="313">
        <f t="shared" si="57"/>
        <v>0</v>
      </c>
      <c r="AP88" s="313">
        <f t="shared" si="57"/>
        <v>0</v>
      </c>
      <c r="AQ88" s="313">
        <f t="shared" si="57"/>
        <v>0</v>
      </c>
      <c r="AR88" s="313">
        <f t="shared" si="57"/>
        <v>0</v>
      </c>
      <c r="AS88" s="313">
        <f t="shared" si="57"/>
        <v>0</v>
      </c>
      <c r="AT88" s="313">
        <f t="shared" si="57"/>
        <v>0</v>
      </c>
      <c r="AU88" s="313">
        <f t="shared" si="57"/>
        <v>0</v>
      </c>
      <c r="AV88" s="313">
        <f t="shared" si="57"/>
        <v>0</v>
      </c>
      <c r="AW88" s="313">
        <f t="shared" si="57"/>
        <v>0</v>
      </c>
      <c r="AX88" s="313">
        <f t="shared" si="57"/>
        <v>0</v>
      </c>
      <c r="AY88" s="313">
        <f t="shared" si="57"/>
        <v>0</v>
      </c>
      <c r="AZ88" s="313">
        <f t="shared" si="57"/>
        <v>0</v>
      </c>
      <c r="BA88" s="313">
        <f t="shared" si="57"/>
        <v>0</v>
      </c>
      <c r="BB88" s="313">
        <f t="shared" si="57"/>
        <v>0</v>
      </c>
      <c r="BC88" s="313">
        <f t="shared" si="57"/>
        <v>0</v>
      </c>
      <c r="BD88" s="313">
        <f t="shared" si="57"/>
        <v>0</v>
      </c>
      <c r="BE88" s="313">
        <f t="shared" si="57"/>
        <v>0</v>
      </c>
      <c r="BF88" s="313">
        <f t="shared" si="57"/>
        <v>0</v>
      </c>
      <c r="BG88" s="313">
        <f t="shared" si="57"/>
        <v>0</v>
      </c>
      <c r="BH88" s="313">
        <f t="shared" si="57"/>
        <v>0</v>
      </c>
      <c r="BI88" s="313">
        <f t="shared" si="57"/>
        <v>0</v>
      </c>
      <c r="BJ88" s="313">
        <f t="shared" si="57"/>
        <v>0</v>
      </c>
      <c r="BK88" s="313">
        <f t="shared" si="57"/>
        <v>0</v>
      </c>
      <c r="BL88" s="313">
        <f t="shared" si="57"/>
        <v>0</v>
      </c>
      <c r="BM88" s="313">
        <f t="shared" si="57"/>
        <v>0</v>
      </c>
      <c r="BN88" s="313">
        <f t="shared" si="57"/>
        <v>0</v>
      </c>
      <c r="BO88" s="313">
        <f t="shared" si="57"/>
        <v>0</v>
      </c>
      <c r="BP88" s="313">
        <f t="shared" si="57"/>
        <v>0</v>
      </c>
      <c r="BQ88" s="313">
        <f t="shared" si="57"/>
        <v>0</v>
      </c>
      <c r="BR88" s="313" t="n">
        <f t="shared" ref="BR88:CW88" si="58">(BR$74+BR$81+BR$82)*$B$16*BR$65/$B$17</f>
        <v>0</v>
      </c>
      <c r="BS88" s="313">
        <f t="shared" si="58"/>
        <v>0</v>
      </c>
      <c r="BT88" s="313">
        <f t="shared" si="58"/>
        <v>0</v>
      </c>
      <c r="BU88" s="313">
        <f t="shared" si="58"/>
        <v>0</v>
      </c>
      <c r="BV88" s="313">
        <f t="shared" si="58"/>
        <v>0</v>
      </c>
      <c r="BW88" s="313">
        <f t="shared" si="58"/>
        <v>0</v>
      </c>
      <c r="BX88" s="313">
        <f t="shared" si="58"/>
        <v>0</v>
      </c>
      <c r="BY88" s="313">
        <f t="shared" si="58"/>
        <v>0</v>
      </c>
      <c r="BZ88" s="313">
        <f t="shared" si="58"/>
        <v>0</v>
      </c>
      <c r="CA88" s="313">
        <f t="shared" si="58"/>
        <v>0</v>
      </c>
      <c r="CB88" s="313">
        <f t="shared" si="58"/>
        <v>0</v>
      </c>
      <c r="CC88" s="313">
        <f t="shared" si="58"/>
        <v>0</v>
      </c>
      <c r="CD88" s="313">
        <f t="shared" si="58"/>
        <v>0</v>
      </c>
      <c r="CE88" s="313">
        <f t="shared" si="58"/>
        <v>0</v>
      </c>
      <c r="CF88" s="313">
        <f t="shared" si="58"/>
        <v>0</v>
      </c>
      <c r="CG88" s="313">
        <f t="shared" si="58"/>
        <v>0</v>
      </c>
      <c r="CH88" s="313">
        <f t="shared" si="58"/>
        <v>0</v>
      </c>
      <c r="CI88" s="313">
        <f t="shared" si="58"/>
        <v>0</v>
      </c>
      <c r="CJ88" s="313">
        <f t="shared" si="58"/>
        <v>0</v>
      </c>
      <c r="CK88" s="313">
        <f t="shared" si="58"/>
        <v>0</v>
      </c>
      <c r="CL88" s="313">
        <f t="shared" si="58"/>
        <v>0</v>
      </c>
      <c r="CM88" s="313">
        <f t="shared" si="58"/>
        <v>0</v>
      </c>
      <c r="CN88" s="313">
        <f t="shared" si="58"/>
        <v>0</v>
      </c>
      <c r="CO88" s="313">
        <f t="shared" si="58"/>
        <v>0</v>
      </c>
      <c r="CP88" s="313">
        <f t="shared" si="58"/>
        <v>0</v>
      </c>
      <c r="CQ88" s="313">
        <f t="shared" si="58"/>
        <v>0</v>
      </c>
      <c r="CR88" s="313">
        <f t="shared" si="58"/>
        <v>0</v>
      </c>
      <c r="CS88" s="313">
        <f t="shared" si="58"/>
        <v>0</v>
      </c>
      <c r="CT88" s="313">
        <f t="shared" si="58"/>
        <v>0</v>
      </c>
      <c r="CU88" s="313">
        <f t="shared" si="58"/>
        <v>0</v>
      </c>
      <c r="CV88" s="313">
        <f t="shared" si="58"/>
        <v>0</v>
      </c>
      <c r="CW88" s="313">
        <f t="shared" si="58"/>
        <v>0</v>
      </c>
      <c r="CX88" s="313" t="n">
        <f t="shared" ref="CX88:DV88" si="59">(CX$74+CX$81+CX$82)*$B$16*CX$65/$B$17</f>
        <v>0</v>
      </c>
      <c r="CY88" s="313">
        <f t="shared" si="59"/>
        <v>0</v>
      </c>
      <c r="CZ88" s="313">
        <f t="shared" si="59"/>
        <v>0</v>
      </c>
      <c r="DA88" s="313">
        <f t="shared" si="59"/>
        <v>0</v>
      </c>
      <c r="DB88" s="313">
        <f t="shared" si="59"/>
        <v>0</v>
      </c>
      <c r="DC88" s="313">
        <f t="shared" si="59"/>
        <v>0</v>
      </c>
      <c r="DD88" s="313">
        <f t="shared" si="59"/>
        <v>0</v>
      </c>
      <c r="DE88" s="313">
        <f t="shared" si="59"/>
        <v>0</v>
      </c>
      <c r="DF88" s="313">
        <f t="shared" si="59"/>
        <v>0</v>
      </c>
      <c r="DG88" s="313">
        <f t="shared" si="59"/>
        <v>0</v>
      </c>
      <c r="DH88" s="313">
        <f t="shared" si="59"/>
        <v>0</v>
      </c>
      <c r="DI88" s="313">
        <f t="shared" si="59"/>
        <v>0</v>
      </c>
      <c r="DJ88" s="313">
        <f t="shared" si="59"/>
        <v>0</v>
      </c>
      <c r="DK88" s="313">
        <f t="shared" si="59"/>
        <v>0</v>
      </c>
      <c r="DL88" s="313">
        <f t="shared" si="59"/>
        <v>0</v>
      </c>
      <c r="DM88" s="313">
        <f t="shared" si="59"/>
        <v>0</v>
      </c>
      <c r="DN88" s="313">
        <f t="shared" si="59"/>
        <v>0</v>
      </c>
      <c r="DO88" s="313">
        <f t="shared" si="59"/>
        <v>0</v>
      </c>
      <c r="DP88" s="313">
        <f t="shared" si="59"/>
        <v>0</v>
      </c>
      <c r="DQ88" s="313">
        <f t="shared" si="59"/>
        <v>0</v>
      </c>
      <c r="DR88" s="313">
        <f t="shared" si="59"/>
        <v>0</v>
      </c>
      <c r="DS88" s="313">
        <f t="shared" si="59"/>
        <v>0</v>
      </c>
      <c r="DT88" s="313">
        <f t="shared" si="59"/>
        <v>0</v>
      </c>
      <c r="DU88" s="313">
        <f t="shared" si="59"/>
        <v>0</v>
      </c>
      <c r="DV88" s="313">
        <f t="shared" si="59"/>
        <v>0</v>
      </c>
    </row>
    <row r="89" ht="15" customHeight="1">
      <c r="A89" s="311" t="s">
        <v>1479</v>
      </c>
      <c r="B89" s="312" t="s">
        <v>1321</v>
      </c>
      <c r="C89" s="702" t="s">
        <v>1480</v>
      </c>
      <c r="D89" s="703"/>
      <c r="F89" s="313" t="n">
        <f t="shared" ref="F89:AK89" si="60">MIN(MAX(0,F$74+F$81+F$82),MAX(0,-F$188))</f>
        <v>0</v>
      </c>
      <c r="G89" s="313">
        <f t="shared" si="60"/>
        <v>0</v>
      </c>
      <c r="H89" s="313">
        <f t="shared" si="60"/>
        <v>626111.11111111112</v>
      </c>
      <c r="I89" s="313">
        <f t="shared" si="60"/>
        <v>0</v>
      </c>
      <c r="J89" s="313">
        <f t="shared" si="60"/>
        <v>0</v>
      </c>
      <c r="K89" s="313">
        <f t="shared" si="60"/>
        <v>0</v>
      </c>
      <c r="L89" s="313">
        <f t="shared" si="60"/>
        <v>0</v>
      </c>
      <c r="M89" s="313">
        <f t="shared" si="60"/>
        <v>0</v>
      </c>
      <c r="N89" s="313">
        <f t="shared" si="60"/>
        <v>0</v>
      </c>
      <c r="O89" s="313">
        <f t="shared" si="60"/>
        <v>0</v>
      </c>
      <c r="P89" s="313">
        <f t="shared" si="60"/>
        <v>0</v>
      </c>
      <c r="Q89" s="313">
        <f t="shared" si="60"/>
        <v>0</v>
      </c>
      <c r="R89" s="313">
        <f t="shared" si="60"/>
        <v>0</v>
      </c>
      <c r="S89" s="313">
        <f t="shared" si="60"/>
        <v>0</v>
      </c>
      <c r="T89" s="313">
        <f t="shared" si="60"/>
        <v>0</v>
      </c>
      <c r="U89" s="313">
        <f t="shared" si="60"/>
        <v>0</v>
      </c>
      <c r="V89" s="313">
        <f t="shared" si="60"/>
        <v>0</v>
      </c>
      <c r="W89" s="313">
        <f t="shared" si="60"/>
        <v>0</v>
      </c>
      <c r="X89" s="313">
        <f t="shared" si="60"/>
        <v>0</v>
      </c>
      <c r="Y89" s="313">
        <f t="shared" si="60"/>
        <v>0</v>
      </c>
      <c r="Z89" s="313">
        <f t="shared" si="60"/>
        <v>90749.137075924315</v>
      </c>
      <c r="AA89" s="313">
        <f t="shared" si="60"/>
        <v>174553.61273367773</v>
      </c>
      <c r="AB89" s="313">
        <f t="shared" si="60"/>
        <v>245346.92688102461</v>
      </c>
      <c r="AC89" s="313">
        <f t="shared" si="60"/>
        <v>298664.76362304972</v>
      </c>
      <c r="AD89" s="313">
        <f t="shared" si="60"/>
        <v>332095.22752505192</v>
      </c>
      <c r="AE89" s="313">
        <f t="shared" si="60"/>
        <v>345395.27257881418</v>
      </c>
      <c r="AF89" s="313">
        <f t="shared" si="60"/>
        <v>340282.33397308982</v>
      </c>
      <c r="AG89" s="313">
        <f t="shared" si="60"/>
        <v>319971.35631247738</v>
      </c>
      <c r="AH89" s="313">
        <f t="shared" si="60"/>
        <v>288567.01646289101</v>
      </c>
      <c r="AI89" s="313">
        <f t="shared" si="60"/>
        <v>250432.2831283253</v>
      </c>
      <c r="AJ89" s="313">
        <f t="shared" si="60"/>
        <v>209638.92700129299</v>
      </c>
      <c r="AK89" s="313">
        <f t="shared" si="60"/>
        <v>169571.13126643118</v>
      </c>
      <c r="AL89" s="313" t="n">
        <f t="shared" ref="AL89:BQ89" si="61">MIN(MAX(0,AL$74+AL$81+AL$82),MAX(0,-AL$188))</f>
        <v>132711.21484693795</v>
      </c>
      <c r="AM89" s="313">
        <f t="shared" si="61"/>
        <v>100597.62539995846</v>
      </c>
      <c r="AN89" s="313">
        <f t="shared" si="61"/>
        <v>73917.59288724004</v>
      </c>
      <c r="AO89" s="313">
        <f t="shared" si="61"/>
        <v>44612.052331992141</v>
      </c>
      <c r="AP89" s="313">
        <f t="shared" si="61"/>
        <v>13625.405868174492</v>
      </c>
      <c r="AQ89" s="313">
        <f t="shared" si="61"/>
        <v>0</v>
      </c>
      <c r="AR89" s="313">
        <f t="shared" si="61"/>
        <v>0</v>
      </c>
      <c r="AS89" s="313">
        <f t="shared" si="61"/>
        <v>0</v>
      </c>
      <c r="AT89" s="313">
        <f t="shared" si="61"/>
        <v>0</v>
      </c>
      <c r="AU89" s="313">
        <f t="shared" si="61"/>
        <v>0</v>
      </c>
      <c r="AV89" s="313">
        <f t="shared" si="61"/>
        <v>0</v>
      </c>
      <c r="AW89" s="313">
        <f t="shared" si="61"/>
        <v>0</v>
      </c>
      <c r="AX89" s="313">
        <f t="shared" si="61"/>
        <v>0</v>
      </c>
      <c r="AY89" s="313">
        <f t="shared" si="61"/>
        <v>0</v>
      </c>
      <c r="AZ89" s="313">
        <f t="shared" si="61"/>
        <v>0</v>
      </c>
      <c r="BA89" s="313">
        <f t="shared" si="61"/>
        <v>0</v>
      </c>
      <c r="BB89" s="313">
        <f t="shared" si="61"/>
        <v>0</v>
      </c>
      <c r="BC89" s="313">
        <f t="shared" si="61"/>
        <v>0</v>
      </c>
      <c r="BD89" s="313">
        <f t="shared" si="61"/>
        <v>0</v>
      </c>
      <c r="BE89" s="313">
        <f t="shared" si="61"/>
        <v>0</v>
      </c>
      <c r="BF89" s="313">
        <f t="shared" si="61"/>
        <v>0</v>
      </c>
      <c r="BG89" s="313">
        <f t="shared" si="61"/>
        <v>0</v>
      </c>
      <c r="BH89" s="313">
        <f t="shared" si="61"/>
        <v>0</v>
      </c>
      <c r="BI89" s="313">
        <f t="shared" si="61"/>
        <v>0</v>
      </c>
      <c r="BJ89" s="313">
        <f t="shared" si="61"/>
        <v>0</v>
      </c>
      <c r="BK89" s="313">
        <f t="shared" si="61"/>
        <v>0</v>
      </c>
      <c r="BL89" s="313">
        <f t="shared" si="61"/>
        <v>0</v>
      </c>
      <c r="BM89" s="313">
        <f t="shared" si="61"/>
        <v>0</v>
      </c>
      <c r="BN89" s="313">
        <f t="shared" si="61"/>
        <v>0</v>
      </c>
      <c r="BO89" s="313">
        <f t="shared" si="61"/>
        <v>0</v>
      </c>
      <c r="BP89" s="313">
        <f t="shared" si="61"/>
        <v>0</v>
      </c>
      <c r="BQ89" s="313">
        <f t="shared" si="61"/>
        <v>0</v>
      </c>
      <c r="BR89" s="313" t="n">
        <f t="shared" ref="BR89:CW89" si="62">MIN(MAX(0,BR$74+BR$81+BR$82),MAX(0,-BR$188))</f>
        <v>0</v>
      </c>
      <c r="BS89" s="313">
        <f t="shared" si="62"/>
        <v>0</v>
      </c>
      <c r="BT89" s="313">
        <f t="shared" si="62"/>
        <v>0</v>
      </c>
      <c r="BU89" s="313">
        <f t="shared" si="62"/>
        <v>0</v>
      </c>
      <c r="BV89" s="313">
        <f t="shared" si="62"/>
        <v>0</v>
      </c>
      <c r="BW89" s="313">
        <f t="shared" si="62"/>
        <v>0</v>
      </c>
      <c r="BX89" s="313">
        <f t="shared" si="62"/>
        <v>0</v>
      </c>
      <c r="BY89" s="313">
        <f t="shared" si="62"/>
        <v>0</v>
      </c>
      <c r="BZ89" s="313">
        <f t="shared" si="62"/>
        <v>0</v>
      </c>
      <c r="CA89" s="313">
        <f t="shared" si="62"/>
        <v>0</v>
      </c>
      <c r="CB89" s="313">
        <f t="shared" si="62"/>
        <v>0</v>
      </c>
      <c r="CC89" s="313">
        <f t="shared" si="62"/>
        <v>0</v>
      </c>
      <c r="CD89" s="313">
        <f t="shared" si="62"/>
        <v>0</v>
      </c>
      <c r="CE89" s="313">
        <f t="shared" si="62"/>
        <v>0</v>
      </c>
      <c r="CF89" s="313">
        <f t="shared" si="62"/>
        <v>0</v>
      </c>
      <c r="CG89" s="313">
        <f t="shared" si="62"/>
        <v>0</v>
      </c>
      <c r="CH89" s="313">
        <f t="shared" si="62"/>
        <v>0</v>
      </c>
      <c r="CI89" s="313">
        <f t="shared" si="62"/>
        <v>0</v>
      </c>
      <c r="CJ89" s="313">
        <f t="shared" si="62"/>
        <v>0</v>
      </c>
      <c r="CK89" s="313">
        <f t="shared" si="62"/>
        <v>0</v>
      </c>
      <c r="CL89" s="313">
        <f t="shared" si="62"/>
        <v>0</v>
      </c>
      <c r="CM89" s="313">
        <f t="shared" si="62"/>
        <v>0</v>
      </c>
      <c r="CN89" s="313">
        <f t="shared" si="62"/>
        <v>0</v>
      </c>
      <c r="CO89" s="313">
        <f t="shared" si="62"/>
        <v>0</v>
      </c>
      <c r="CP89" s="313">
        <f t="shared" si="62"/>
        <v>0</v>
      </c>
      <c r="CQ89" s="313">
        <f t="shared" si="62"/>
        <v>0</v>
      </c>
      <c r="CR89" s="313">
        <f t="shared" si="62"/>
        <v>0</v>
      </c>
      <c r="CS89" s="313">
        <f t="shared" si="62"/>
        <v>0</v>
      </c>
      <c r="CT89" s="313">
        <f t="shared" si="62"/>
        <v>0</v>
      </c>
      <c r="CU89" s="313">
        <f t="shared" si="62"/>
        <v>0</v>
      </c>
      <c r="CV89" s="313">
        <f t="shared" si="62"/>
        <v>0</v>
      </c>
      <c r="CW89" s="313">
        <f t="shared" si="62"/>
        <v>0</v>
      </c>
      <c r="CX89" s="313" t="n">
        <f t="shared" ref="CX89:DV89" si="63">MIN(MAX(0,CX$74+CX$81+CX$82),MAX(0,-CX$188))</f>
        <v>0</v>
      </c>
      <c r="CY89" s="313">
        <f t="shared" si="63"/>
        <v>0</v>
      </c>
      <c r="CZ89" s="313">
        <f t="shared" si="63"/>
        <v>0</v>
      </c>
      <c r="DA89" s="313">
        <f t="shared" si="63"/>
        <v>0</v>
      </c>
      <c r="DB89" s="313">
        <f t="shared" si="63"/>
        <v>0</v>
      </c>
      <c r="DC89" s="313">
        <f t="shared" si="63"/>
        <v>0</v>
      </c>
      <c r="DD89" s="313">
        <f t="shared" si="63"/>
        <v>0</v>
      </c>
      <c r="DE89" s="313">
        <f t="shared" si="63"/>
        <v>0</v>
      </c>
      <c r="DF89" s="313">
        <f t="shared" si="63"/>
        <v>0</v>
      </c>
      <c r="DG89" s="313">
        <f t="shared" si="63"/>
        <v>0</v>
      </c>
      <c r="DH89" s="313">
        <f t="shared" si="63"/>
        <v>0</v>
      </c>
      <c r="DI89" s="313">
        <f t="shared" si="63"/>
        <v>0</v>
      </c>
      <c r="DJ89" s="313">
        <f t="shared" si="63"/>
        <v>0</v>
      </c>
      <c r="DK89" s="313">
        <f t="shared" si="63"/>
        <v>0</v>
      </c>
      <c r="DL89" s="313">
        <f t="shared" si="63"/>
        <v>0</v>
      </c>
      <c r="DM89" s="313">
        <f t="shared" si="63"/>
        <v>0</v>
      </c>
      <c r="DN89" s="313">
        <f t="shared" si="63"/>
        <v>0</v>
      </c>
      <c r="DO89" s="313">
        <f t="shared" si="63"/>
        <v>0</v>
      </c>
      <c r="DP89" s="313">
        <f t="shared" si="63"/>
        <v>0</v>
      </c>
      <c r="DQ89" s="313">
        <f t="shared" si="63"/>
        <v>0</v>
      </c>
      <c r="DR89" s="313">
        <f t="shared" si="63"/>
        <v>0</v>
      </c>
      <c r="DS89" s="313">
        <f t="shared" si="63"/>
        <v>0</v>
      </c>
      <c r="DT89" s="313">
        <f t="shared" si="63"/>
        <v>0</v>
      </c>
      <c r="DU89" s="313">
        <f t="shared" si="63"/>
        <v>0</v>
      </c>
      <c r="DV89" s="313">
        <f t="shared" si="63"/>
        <v>0</v>
      </c>
    </row>
    <row r="90" ht="15" customHeight="1">
      <c r="A90" s="311" t="s">
        <v>1481</v>
      </c>
      <c r="B90" s="312" t="s">
        <v>1321</v>
      </c>
      <c r="C90" s="702" t="s">
        <v>1482</v>
      </c>
      <c r="D90" s="703"/>
      <c r="F90" s="313" t="n">
        <f t="shared" ref="F90:AK90" si="64">IF(F$69=1,MAX(0,F$74+F$81+F$82),0)</f>
        <v>0</v>
      </c>
      <c r="G90" s="313">
        <f t="shared" si="64"/>
        <v>0</v>
      </c>
      <c r="H90" s="313">
        <f t="shared" si="64"/>
        <v>0</v>
      </c>
      <c r="I90" s="313">
        <f t="shared" si="64"/>
        <v>0</v>
      </c>
      <c r="J90" s="313">
        <f t="shared" si="64"/>
        <v>0</v>
      </c>
      <c r="K90" s="313">
        <f t="shared" si="64"/>
        <v>0</v>
      </c>
      <c r="L90" s="313">
        <f t="shared" si="64"/>
        <v>0</v>
      </c>
      <c r="M90" s="313">
        <f t="shared" si="64"/>
        <v>0</v>
      </c>
      <c r="N90" s="313">
        <f t="shared" si="64"/>
        <v>0</v>
      </c>
      <c r="O90" s="313">
        <f t="shared" si="64"/>
        <v>0</v>
      </c>
      <c r="P90" s="313">
        <f t="shared" si="64"/>
        <v>0</v>
      </c>
      <c r="Q90" s="313">
        <f t="shared" si="64"/>
        <v>0</v>
      </c>
      <c r="R90" s="313">
        <f t="shared" si="64"/>
        <v>0</v>
      </c>
      <c r="S90" s="313">
        <f t="shared" si="64"/>
        <v>0</v>
      </c>
      <c r="T90" s="313">
        <f t="shared" si="64"/>
        <v>0</v>
      </c>
      <c r="U90" s="313">
        <f t="shared" si="64"/>
        <v>0</v>
      </c>
      <c r="V90" s="313">
        <f t="shared" si="64"/>
        <v>0</v>
      </c>
      <c r="W90" s="313">
        <f t="shared" si="64"/>
        <v>0</v>
      </c>
      <c r="X90" s="313">
        <f t="shared" si="64"/>
        <v>0</v>
      </c>
      <c r="Y90" s="313">
        <f t="shared" si="64"/>
        <v>0</v>
      </c>
      <c r="Z90" s="313">
        <f t="shared" si="64"/>
        <v>0</v>
      </c>
      <c r="AA90" s="313">
        <f t="shared" si="64"/>
        <v>0</v>
      </c>
      <c r="AB90" s="313">
        <f t="shared" si="64"/>
        <v>0</v>
      </c>
      <c r="AC90" s="313">
        <f t="shared" si="64"/>
        <v>0</v>
      </c>
      <c r="AD90" s="313">
        <f t="shared" si="64"/>
        <v>0</v>
      </c>
      <c r="AE90" s="313">
        <f t="shared" si="64"/>
        <v>0</v>
      </c>
      <c r="AF90" s="313">
        <f t="shared" si="64"/>
        <v>0</v>
      </c>
      <c r="AG90" s="313">
        <f t="shared" si="64"/>
        <v>0</v>
      </c>
      <c r="AH90" s="313">
        <f t="shared" si="64"/>
        <v>0</v>
      </c>
      <c r="AI90" s="313">
        <f t="shared" si="64"/>
        <v>0</v>
      </c>
      <c r="AJ90" s="313">
        <f t="shared" si="64"/>
        <v>0</v>
      </c>
      <c r="AK90" s="313">
        <f t="shared" si="64"/>
        <v>0</v>
      </c>
      <c r="AL90" s="313" t="n">
        <f t="shared" ref="AL90:BQ90" si="65">IF(AL$69=1,MAX(0,AL$74+AL$81+AL$82),0)</f>
        <v>0</v>
      </c>
      <c r="AM90" s="313">
        <f t="shared" si="65"/>
        <v>0</v>
      </c>
      <c r="AN90" s="313">
        <f t="shared" si="65"/>
        <v>0</v>
      </c>
      <c r="AO90" s="313">
        <f t="shared" si="65"/>
        <v>0</v>
      </c>
      <c r="AP90" s="313">
        <f t="shared" si="65"/>
        <v>0</v>
      </c>
      <c r="AQ90" s="313">
        <f t="shared" si="65"/>
        <v>0</v>
      </c>
      <c r="AR90" s="313">
        <f t="shared" si="65"/>
        <v>0</v>
      </c>
      <c r="AS90" s="313">
        <f t="shared" si="65"/>
        <v>0</v>
      </c>
      <c r="AT90" s="313">
        <f t="shared" si="65"/>
        <v>0</v>
      </c>
      <c r="AU90" s="313">
        <f t="shared" si="65"/>
        <v>0</v>
      </c>
      <c r="AV90" s="313">
        <f t="shared" si="65"/>
        <v>0</v>
      </c>
      <c r="AW90" s="313">
        <f t="shared" si="65"/>
        <v>0</v>
      </c>
      <c r="AX90" s="313">
        <f t="shared" si="65"/>
        <v>0</v>
      </c>
      <c r="AY90" s="313">
        <f t="shared" si="65"/>
        <v>0</v>
      </c>
      <c r="AZ90" s="313">
        <f t="shared" si="65"/>
        <v>0</v>
      </c>
      <c r="BA90" s="313">
        <f t="shared" si="65"/>
        <v>0</v>
      </c>
      <c r="BB90" s="313">
        <f t="shared" si="65"/>
        <v>0</v>
      </c>
      <c r="BC90" s="313">
        <f t="shared" si="65"/>
        <v>209365650.23643187</v>
      </c>
      <c r="BD90" s="313">
        <f t="shared" si="65"/>
        <v>0</v>
      </c>
      <c r="BE90" s="313">
        <f t="shared" si="65"/>
        <v>0</v>
      </c>
      <c r="BF90" s="313">
        <f t="shared" si="65"/>
        <v>0</v>
      </c>
      <c r="BG90" s="313">
        <f t="shared" si="65"/>
        <v>0</v>
      </c>
      <c r="BH90" s="313">
        <f t="shared" si="65"/>
        <v>0</v>
      </c>
      <c r="BI90" s="313">
        <f t="shared" si="65"/>
        <v>0</v>
      </c>
      <c r="BJ90" s="313">
        <f t="shared" si="65"/>
        <v>0</v>
      </c>
      <c r="BK90" s="313">
        <f t="shared" si="65"/>
        <v>0</v>
      </c>
      <c r="BL90" s="313">
        <f t="shared" si="65"/>
        <v>0</v>
      </c>
      <c r="BM90" s="313">
        <f t="shared" si="65"/>
        <v>0</v>
      </c>
      <c r="BN90" s="313">
        <f t="shared" si="65"/>
        <v>0</v>
      </c>
      <c r="BO90" s="313">
        <f t="shared" si="65"/>
        <v>0</v>
      </c>
      <c r="BP90" s="313">
        <f t="shared" si="65"/>
        <v>0</v>
      </c>
      <c r="BQ90" s="313">
        <f t="shared" si="65"/>
        <v>0</v>
      </c>
      <c r="BR90" s="313" t="n">
        <f t="shared" ref="BR90:CW90" si="66">IF(BR$69=1,MAX(0,BR$74+BR$81+BR$82),0)</f>
        <v>0</v>
      </c>
      <c r="BS90" s="313">
        <f t="shared" si="66"/>
        <v>0</v>
      </c>
      <c r="BT90" s="313">
        <f t="shared" si="66"/>
        <v>0</v>
      </c>
      <c r="BU90" s="313">
        <f t="shared" si="66"/>
        <v>0</v>
      </c>
      <c r="BV90" s="313">
        <f t="shared" si="66"/>
        <v>0</v>
      </c>
      <c r="BW90" s="313">
        <f t="shared" si="66"/>
        <v>0</v>
      </c>
      <c r="BX90" s="313">
        <f t="shared" si="66"/>
        <v>0</v>
      </c>
      <c r="BY90" s="313">
        <f t="shared" si="66"/>
        <v>0</v>
      </c>
      <c r="BZ90" s="313">
        <f t="shared" si="66"/>
        <v>0</v>
      </c>
      <c r="CA90" s="313">
        <f t="shared" si="66"/>
        <v>0</v>
      </c>
      <c r="CB90" s="313">
        <f t="shared" si="66"/>
        <v>0</v>
      </c>
      <c r="CC90" s="313">
        <f t="shared" si="66"/>
        <v>0</v>
      </c>
      <c r="CD90" s="313">
        <f t="shared" si="66"/>
        <v>0</v>
      </c>
      <c r="CE90" s="313">
        <f t="shared" si="66"/>
        <v>0</v>
      </c>
      <c r="CF90" s="313">
        <f t="shared" si="66"/>
        <v>0</v>
      </c>
      <c r="CG90" s="313">
        <f t="shared" si="66"/>
        <v>0</v>
      </c>
      <c r="CH90" s="313">
        <f t="shared" si="66"/>
        <v>0</v>
      </c>
      <c r="CI90" s="313">
        <f t="shared" si="66"/>
        <v>0</v>
      </c>
      <c r="CJ90" s="313">
        <f t="shared" si="66"/>
        <v>0</v>
      </c>
      <c r="CK90" s="313">
        <f t="shared" si="66"/>
        <v>0</v>
      </c>
      <c r="CL90" s="313">
        <f t="shared" si="66"/>
        <v>0</v>
      </c>
      <c r="CM90" s="313">
        <f t="shared" si="66"/>
        <v>0</v>
      </c>
      <c r="CN90" s="313">
        <f t="shared" si="66"/>
        <v>0</v>
      </c>
      <c r="CO90" s="313">
        <f t="shared" si="66"/>
        <v>0</v>
      </c>
      <c r="CP90" s="313">
        <f t="shared" si="66"/>
        <v>0</v>
      </c>
      <c r="CQ90" s="313">
        <f t="shared" si="66"/>
        <v>0</v>
      </c>
      <c r="CR90" s="313">
        <f t="shared" si="66"/>
        <v>0</v>
      </c>
      <c r="CS90" s="313">
        <f t="shared" si="66"/>
        <v>0</v>
      </c>
      <c r="CT90" s="313">
        <f t="shared" si="66"/>
        <v>0</v>
      </c>
      <c r="CU90" s="313">
        <f t="shared" si="66"/>
        <v>0</v>
      </c>
      <c r="CV90" s="313">
        <f t="shared" si="66"/>
        <v>0</v>
      </c>
      <c r="CW90" s="313">
        <f t="shared" si="66"/>
        <v>0</v>
      </c>
      <c r="CX90" s="313" t="n">
        <f t="shared" ref="CX90:DV90" si="67">IF(CX$69=1,MAX(0,CX$74+CX$81+CX$82),0)</f>
        <v>0</v>
      </c>
      <c r="CY90" s="313">
        <f t="shared" si="67"/>
        <v>0</v>
      </c>
      <c r="CZ90" s="313">
        <f t="shared" si="67"/>
        <v>0</v>
      </c>
      <c r="DA90" s="313">
        <f t="shared" si="67"/>
        <v>0</v>
      </c>
      <c r="DB90" s="313">
        <f t="shared" si="67"/>
        <v>0</v>
      </c>
      <c r="DC90" s="313">
        <f t="shared" si="67"/>
        <v>0</v>
      </c>
      <c r="DD90" s="313">
        <f t="shared" si="67"/>
        <v>0</v>
      </c>
      <c r="DE90" s="313">
        <f t="shared" si="67"/>
        <v>0</v>
      </c>
      <c r="DF90" s="313">
        <f t="shared" si="67"/>
        <v>0</v>
      </c>
      <c r="DG90" s="313">
        <f t="shared" si="67"/>
        <v>0</v>
      </c>
      <c r="DH90" s="313">
        <f t="shared" si="67"/>
        <v>0</v>
      </c>
      <c r="DI90" s="313">
        <f t="shared" si="67"/>
        <v>0</v>
      </c>
      <c r="DJ90" s="313">
        <f t="shared" si="67"/>
        <v>0</v>
      </c>
      <c r="DK90" s="313">
        <f t="shared" si="67"/>
        <v>0</v>
      </c>
      <c r="DL90" s="313">
        <f t="shared" si="67"/>
        <v>0</v>
      </c>
      <c r="DM90" s="313">
        <f t="shared" si="67"/>
        <v>0</v>
      </c>
      <c r="DN90" s="313">
        <f t="shared" si="67"/>
        <v>0</v>
      </c>
      <c r="DO90" s="313">
        <f t="shared" si="67"/>
        <v>0</v>
      </c>
      <c r="DP90" s="313">
        <f t="shared" si="67"/>
        <v>0</v>
      </c>
      <c r="DQ90" s="313">
        <f t="shared" si="67"/>
        <v>0</v>
      </c>
      <c r="DR90" s="313">
        <f t="shared" si="67"/>
        <v>0</v>
      </c>
      <c r="DS90" s="313">
        <f t="shared" si="67"/>
        <v>0</v>
      </c>
      <c r="DT90" s="313">
        <f t="shared" si="67"/>
        <v>0</v>
      </c>
      <c r="DU90" s="313">
        <f t="shared" si="67"/>
        <v>0</v>
      </c>
      <c r="DV90" s="313">
        <f t="shared" si="67"/>
        <v>0</v>
      </c>
    </row>
    <row r="91" ht="15" customHeight="1">
      <c r="A91" s="311" t="s">
        <v>1483</v>
      </c>
      <c r="B91" s="312" t="s">
        <v>1321</v>
      </c>
      <c r="C91" s="702" t="s">
        <v>1484</v>
      </c>
      <c r="D91" s="703"/>
      <c r="F91" s="313" t="n">
        <f t="shared" ref="F91:AK91" si="68">IF(F$70=1,MAX(0,F$74+F$81+F$82-F$90),0)</f>
        <v>0</v>
      </c>
      <c r="G91" s="313">
        <f t="shared" si="68"/>
        <v>0</v>
      </c>
      <c r="H91" s="313">
        <f t="shared" si="68"/>
        <v>0</v>
      </c>
      <c r="I91" s="313">
        <f t="shared" si="68"/>
        <v>0</v>
      </c>
      <c r="J91" s="313">
        <f t="shared" si="68"/>
        <v>0</v>
      </c>
      <c r="K91" s="313">
        <f t="shared" si="68"/>
        <v>0</v>
      </c>
      <c r="L91" s="313">
        <f t="shared" si="68"/>
        <v>0</v>
      </c>
      <c r="M91" s="313">
        <f t="shared" si="68"/>
        <v>0</v>
      </c>
      <c r="N91" s="313">
        <f t="shared" si="68"/>
        <v>0</v>
      </c>
      <c r="O91" s="313">
        <f t="shared" si="68"/>
        <v>0</v>
      </c>
      <c r="P91" s="313">
        <f t="shared" si="68"/>
        <v>0</v>
      </c>
      <c r="Q91" s="313">
        <f t="shared" si="68"/>
        <v>0</v>
      </c>
      <c r="R91" s="313">
        <f t="shared" si="68"/>
        <v>0</v>
      </c>
      <c r="S91" s="313">
        <f t="shared" si="68"/>
        <v>0</v>
      </c>
      <c r="T91" s="313">
        <f t="shared" si="68"/>
        <v>0</v>
      </c>
      <c r="U91" s="313">
        <f t="shared" si="68"/>
        <v>0</v>
      </c>
      <c r="V91" s="313">
        <f t="shared" si="68"/>
        <v>0</v>
      </c>
      <c r="W91" s="313">
        <f t="shared" si="68"/>
        <v>0</v>
      </c>
      <c r="X91" s="313">
        <f t="shared" si="68"/>
        <v>0</v>
      </c>
      <c r="Y91" s="313">
        <f t="shared" si="68"/>
        <v>0</v>
      </c>
      <c r="Z91" s="313">
        <f t="shared" si="68"/>
        <v>0</v>
      </c>
      <c r="AA91" s="313">
        <f t="shared" si="68"/>
        <v>0</v>
      </c>
      <c r="AB91" s="313">
        <f t="shared" si="68"/>
        <v>0</v>
      </c>
      <c r="AC91" s="313">
        <f t="shared" si="68"/>
        <v>0</v>
      </c>
      <c r="AD91" s="313">
        <f t="shared" si="68"/>
        <v>0</v>
      </c>
      <c r="AE91" s="313">
        <f t="shared" si="68"/>
        <v>0</v>
      </c>
      <c r="AF91" s="313">
        <f t="shared" si="68"/>
        <v>0</v>
      </c>
      <c r="AG91" s="313">
        <f t="shared" si="68"/>
        <v>0</v>
      </c>
      <c r="AH91" s="313">
        <f t="shared" si="68"/>
        <v>0</v>
      </c>
      <c r="AI91" s="313">
        <f t="shared" si="68"/>
        <v>0</v>
      </c>
      <c r="AJ91" s="313">
        <f t="shared" si="68"/>
        <v>0</v>
      </c>
      <c r="AK91" s="313">
        <f t="shared" si="68"/>
        <v>0</v>
      </c>
      <c r="AL91" s="313" t="n">
        <f t="shared" ref="AL91:BQ91" si="69">IF(AL$70=1,MAX(0,AL$74+AL$81+AL$82-AL$90),0)</f>
        <v>0</v>
      </c>
      <c r="AM91" s="313">
        <f t="shared" si="69"/>
        <v>0</v>
      </c>
      <c r="AN91" s="313">
        <f t="shared" si="69"/>
        <v>0</v>
      </c>
      <c r="AO91" s="313">
        <f t="shared" si="69"/>
        <v>0</v>
      </c>
      <c r="AP91" s="313">
        <f t="shared" si="69"/>
        <v>0</v>
      </c>
      <c r="AQ91" s="313">
        <f t="shared" si="69"/>
        <v>0</v>
      </c>
      <c r="AR91" s="313">
        <f t="shared" si="69"/>
        <v>0</v>
      </c>
      <c r="AS91" s="313">
        <f t="shared" si="69"/>
        <v>0</v>
      </c>
      <c r="AT91" s="313">
        <f t="shared" si="69"/>
        <v>0</v>
      </c>
      <c r="AU91" s="313">
        <f t="shared" si="69"/>
        <v>0</v>
      </c>
      <c r="AV91" s="313">
        <f t="shared" si="69"/>
        <v>0</v>
      </c>
      <c r="AW91" s="313">
        <f t="shared" si="69"/>
        <v>0</v>
      </c>
      <c r="AX91" s="313">
        <f t="shared" si="69"/>
        <v>0</v>
      </c>
      <c r="AY91" s="313">
        <f t="shared" si="69"/>
        <v>0</v>
      </c>
      <c r="AZ91" s="313">
        <f t="shared" si="69"/>
        <v>0</v>
      </c>
      <c r="BA91" s="313">
        <f t="shared" si="69"/>
        <v>0</v>
      </c>
      <c r="BB91" s="313">
        <f t="shared" si="69"/>
        <v>0</v>
      </c>
      <c r="BC91" s="313">
        <f t="shared" si="69"/>
        <v>0</v>
      </c>
      <c r="BD91" s="313">
        <f t="shared" si="69"/>
        <v>0</v>
      </c>
      <c r="BE91" s="313">
        <f t="shared" si="69"/>
        <v>0</v>
      </c>
      <c r="BF91" s="313">
        <f t="shared" si="69"/>
        <v>0</v>
      </c>
      <c r="BG91" s="313">
        <f t="shared" si="69"/>
        <v>0</v>
      </c>
      <c r="BH91" s="313">
        <f t="shared" si="69"/>
        <v>0</v>
      </c>
      <c r="BI91" s="313">
        <f t="shared" si="69"/>
        <v>0</v>
      </c>
      <c r="BJ91" s="313">
        <f t="shared" si="69"/>
        <v>0</v>
      </c>
      <c r="BK91" s="313">
        <f t="shared" si="69"/>
        <v>0</v>
      </c>
      <c r="BL91" s="313">
        <f t="shared" si="69"/>
        <v>0</v>
      </c>
      <c r="BM91" s="313">
        <f t="shared" si="69"/>
        <v>0</v>
      </c>
      <c r="BN91" s="313">
        <f t="shared" si="69"/>
        <v>0</v>
      </c>
      <c r="BO91" s="313">
        <f t="shared" si="69"/>
        <v>0</v>
      </c>
      <c r="BP91" s="313">
        <f t="shared" si="69"/>
        <v>0</v>
      </c>
      <c r="BQ91" s="313">
        <f t="shared" si="69"/>
        <v>0</v>
      </c>
      <c r="BR91" s="313" t="n">
        <f t="shared" ref="BR91:CW91" si="70">IF(BR$70=1,MAX(0,BR$74+BR$81+BR$82-BR$90),0)</f>
        <v>0</v>
      </c>
      <c r="BS91" s="313">
        <f t="shared" si="70"/>
        <v>0</v>
      </c>
      <c r="BT91" s="313">
        <f t="shared" si="70"/>
        <v>0</v>
      </c>
      <c r="BU91" s="313">
        <f t="shared" si="70"/>
        <v>0</v>
      </c>
      <c r="BV91" s="313">
        <f t="shared" si="70"/>
        <v>0</v>
      </c>
      <c r="BW91" s="313">
        <f t="shared" si="70"/>
        <v>0</v>
      </c>
      <c r="BX91" s="313">
        <f t="shared" si="70"/>
        <v>0</v>
      </c>
      <c r="BY91" s="313">
        <f t="shared" si="70"/>
        <v>0</v>
      </c>
      <c r="BZ91" s="313">
        <f t="shared" si="70"/>
        <v>0</v>
      </c>
      <c r="CA91" s="313">
        <f t="shared" si="70"/>
        <v>0</v>
      </c>
      <c r="CB91" s="313">
        <f t="shared" si="70"/>
        <v>0</v>
      </c>
      <c r="CC91" s="313">
        <f t="shared" si="70"/>
        <v>0</v>
      </c>
      <c r="CD91" s="313">
        <f t="shared" si="70"/>
        <v>0</v>
      </c>
      <c r="CE91" s="313">
        <f t="shared" si="70"/>
        <v>0</v>
      </c>
      <c r="CF91" s="313">
        <f t="shared" si="70"/>
        <v>0</v>
      </c>
      <c r="CG91" s="313">
        <f t="shared" si="70"/>
        <v>0</v>
      </c>
      <c r="CH91" s="313">
        <f t="shared" si="70"/>
        <v>0</v>
      </c>
      <c r="CI91" s="313">
        <f t="shared" si="70"/>
        <v>0</v>
      </c>
      <c r="CJ91" s="313">
        <f t="shared" si="70"/>
        <v>0</v>
      </c>
      <c r="CK91" s="313">
        <f t="shared" si="70"/>
        <v>0</v>
      </c>
      <c r="CL91" s="313">
        <f t="shared" si="70"/>
        <v>0</v>
      </c>
      <c r="CM91" s="313">
        <f t="shared" si="70"/>
        <v>0</v>
      </c>
      <c r="CN91" s="313">
        <f t="shared" si="70"/>
        <v>0</v>
      </c>
      <c r="CO91" s="313">
        <f t="shared" si="70"/>
        <v>0</v>
      </c>
      <c r="CP91" s="313">
        <f t="shared" si="70"/>
        <v>0</v>
      </c>
      <c r="CQ91" s="313">
        <f t="shared" si="70"/>
        <v>0</v>
      </c>
      <c r="CR91" s="313">
        <f t="shared" si="70"/>
        <v>0</v>
      </c>
      <c r="CS91" s="313">
        <f t="shared" si="70"/>
        <v>0</v>
      </c>
      <c r="CT91" s="313">
        <f t="shared" si="70"/>
        <v>0</v>
      </c>
      <c r="CU91" s="313">
        <f t="shared" si="70"/>
        <v>0</v>
      </c>
      <c r="CV91" s="313">
        <f t="shared" si="70"/>
        <v>0</v>
      </c>
      <c r="CW91" s="313">
        <f t="shared" si="70"/>
        <v>0</v>
      </c>
      <c r="CX91" s="313" t="n">
        <f t="shared" ref="CX91:DV91" si="71">IF(CX$70=1,MAX(0,CX$74+CX$81+CX$82-CX$90),0)</f>
        <v>0</v>
      </c>
      <c r="CY91" s="313">
        <f t="shared" si="71"/>
        <v>0</v>
      </c>
      <c r="CZ91" s="313">
        <f t="shared" si="71"/>
        <v>0</v>
      </c>
      <c r="DA91" s="313">
        <f t="shared" si="71"/>
        <v>0</v>
      </c>
      <c r="DB91" s="313">
        <f t="shared" si="71"/>
        <v>0</v>
      </c>
      <c r="DC91" s="313">
        <f t="shared" si="71"/>
        <v>0</v>
      </c>
      <c r="DD91" s="313">
        <f t="shared" si="71"/>
        <v>0</v>
      </c>
      <c r="DE91" s="313">
        <f t="shared" si="71"/>
        <v>0</v>
      </c>
      <c r="DF91" s="313">
        <f t="shared" si="71"/>
        <v>0</v>
      </c>
      <c r="DG91" s="313">
        <f t="shared" si="71"/>
        <v>0</v>
      </c>
      <c r="DH91" s="313">
        <f t="shared" si="71"/>
        <v>0</v>
      </c>
      <c r="DI91" s="313">
        <f t="shared" si="71"/>
        <v>0</v>
      </c>
      <c r="DJ91" s="313">
        <f t="shared" si="71"/>
        <v>0</v>
      </c>
      <c r="DK91" s="313">
        <f t="shared" si="71"/>
        <v>0</v>
      </c>
      <c r="DL91" s="313">
        <f t="shared" si="71"/>
        <v>0</v>
      </c>
      <c r="DM91" s="313">
        <f t="shared" si="71"/>
        <v>0</v>
      </c>
      <c r="DN91" s="313">
        <f t="shared" si="71"/>
        <v>0</v>
      </c>
      <c r="DO91" s="313">
        <f t="shared" si="71"/>
        <v>0</v>
      </c>
      <c r="DP91" s="313">
        <f t="shared" si="71"/>
        <v>0</v>
      </c>
      <c r="DQ91" s="313">
        <f t="shared" si="71"/>
        <v>0</v>
      </c>
      <c r="DR91" s="313">
        <f t="shared" si="71"/>
        <v>0</v>
      </c>
      <c r="DS91" s="313">
        <f t="shared" si="71"/>
        <v>0</v>
      </c>
      <c r="DT91" s="313">
        <f t="shared" si="71"/>
        <v>0</v>
      </c>
      <c r="DU91" s="313">
        <f t="shared" si="71"/>
        <v>0</v>
      </c>
      <c r="DV91" s="313">
        <f t="shared" si="71"/>
        <v>0</v>
      </c>
    </row>
    <row r="92" ht="15" customHeight="1">
      <c r="A92" s="311" t="s">
        <v>1478</v>
      </c>
      <c r="B92" s="312" t="s">
        <v>1321</v>
      </c>
      <c r="C92" s="702" t="s">
        <v>1485</v>
      </c>
      <c r="D92" s="703"/>
      <c r="E92" s="313">
        <v>0</v>
      </c>
      <c r="F92" s="313" t="n">
        <f t="shared" ref="F92:AK92" si="72">MAX(0,F$74+F$81+F$82-F$89-F$90-F$91)</f>
        <v>0</v>
      </c>
      <c r="G92" s="313">
        <f t="shared" si="72"/>
        <v>313055.55555555556</v>
      </c>
      <c r="H92" s="313">
        <f t="shared" si="72"/>
        <v>0</v>
      </c>
      <c r="I92" s="313">
        <f t="shared" si="72"/>
        <v>313055.55555555556</v>
      </c>
      <c r="J92" s="313">
        <f t="shared" si="72"/>
        <v>626111.11111111112</v>
      </c>
      <c r="K92" s="313">
        <f t="shared" si="72"/>
        <v>939166.66666666674</v>
      </c>
      <c r="L92" s="313">
        <f t="shared" si="72"/>
        <v>1252222.2222222222</v>
      </c>
      <c r="M92" s="313">
        <f t="shared" si="72"/>
        <v>1565277.7777777778</v>
      </c>
      <c r="N92" s="313">
        <f t="shared" si="72"/>
        <v>1878333.3333333333</v>
      </c>
      <c r="O92" s="313">
        <f t="shared" si="72"/>
        <v>2191388.888888889</v>
      </c>
      <c r="P92" s="313">
        <f t="shared" si="72"/>
        <v>2504444.4444444445</v>
      </c>
      <c r="Q92" s="313">
        <f t="shared" si="72"/>
        <v>2817500</v>
      </c>
      <c r="R92" s="313">
        <f t="shared" si="72"/>
        <v>3130555.5555555555</v>
      </c>
      <c r="S92" s="313">
        <f t="shared" si="72"/>
        <v>3443611.111111111</v>
      </c>
      <c r="T92" s="313">
        <f t="shared" si="72"/>
        <v>3756666.6666666665</v>
      </c>
      <c r="U92" s="313">
        <f t="shared" si="72"/>
        <v>4069722.222222222</v>
      </c>
      <c r="V92" s="313">
        <f t="shared" si="72"/>
        <v>20532445.400201876</v>
      </c>
      <c r="W92" s="313">
        <f t="shared" si="72"/>
        <v>42317530.785675153</v>
      </c>
      <c r="X92" s="313">
        <f t="shared" si="72"/>
        <v>64308007.759826958</v>
      </c>
      <c r="Y92" s="313">
        <f t="shared" si="72"/>
        <v>85918539.532566577</v>
      </c>
      <c r="Z92" s="313">
        <f t="shared" si="72"/>
        <v>106593154.01911747</v>
      </c>
      <c r="AA92" s="313">
        <f t="shared" si="72"/>
        <v>125847212.01995246</v>
      </c>
      <c r="AB92" s="313">
        <f t="shared" si="72"/>
        <v>143300392.13068548</v>
      </c>
      <c r="AC92" s="313">
        <f t="shared" si="72"/>
        <v>158697029.43534297</v>
      </c>
      <c r="AD92" s="313">
        <f t="shared" si="72"/>
        <v>171912270.90136877</v>
      </c>
      <c r="AE92" s="313">
        <f t="shared" si="72"/>
        <v>182944736.7898353</v>
      </c>
      <c r="AF92" s="313">
        <f t="shared" si="72"/>
        <v>191898261.97474948</v>
      </c>
      <c r="AG92" s="313">
        <f t="shared" si="72"/>
        <v>198956509.82557639</v>
      </c>
      <c r="AH92" s="313">
        <f t="shared" si="72"/>
        <v>203726492.71715525</v>
      </c>
      <c r="AI92" s="313">
        <f t="shared" si="72"/>
        <v>205732007.50672969</v>
      </c>
      <c r="AJ92" s="313">
        <f t="shared" si="72"/>
        <v>207149389.69787142</v>
      </c>
      <c r="AK92" s="313">
        <f t="shared" si="72"/>
        <v>208097017.97943097</v>
      </c>
      <c r="AL92" s="313" t="n">
        <f t="shared" ref="AL92:BQ92" si="73">MAX(0,AL$74+AL$81+AL$82-AL$89-AL$90-AL$91)</f>
        <v>208277362.3201396</v>
      </c>
      <c r="AM92" s="313">
        <f t="shared" si="73"/>
        <v>208991960.55459377</v>
      </c>
      <c r="AN92" s="313">
        <f t="shared" si="73"/>
        <v>209231098.51726207</v>
      </c>
      <c r="AO92" s="313">
        <f t="shared" si="73"/>
        <v>209334663.58996806</v>
      </c>
      <c r="AP92" s="313">
        <f t="shared" si="73"/>
        <v>209365650.23643187</v>
      </c>
      <c r="AQ92" s="313">
        <f t="shared" si="73"/>
        <v>209365650.23643187</v>
      </c>
      <c r="AR92" s="313">
        <f t="shared" si="73"/>
        <v>209365650.23643187</v>
      </c>
      <c r="AS92" s="313">
        <f t="shared" si="73"/>
        <v>209365650.23643187</v>
      </c>
      <c r="AT92" s="313">
        <f t="shared" si="73"/>
        <v>209365650.23643187</v>
      </c>
      <c r="AU92" s="313">
        <f t="shared" si="73"/>
        <v>209365650.23643187</v>
      </c>
      <c r="AV92" s="313">
        <f t="shared" si="73"/>
        <v>209365650.23643187</v>
      </c>
      <c r="AW92" s="313">
        <f t="shared" si="73"/>
        <v>209365650.23643187</v>
      </c>
      <c r="AX92" s="313">
        <f t="shared" si="73"/>
        <v>209365650.23643187</v>
      </c>
      <c r="AY92" s="313">
        <f t="shared" si="73"/>
        <v>209365650.23643187</v>
      </c>
      <c r="AZ92" s="313">
        <f t="shared" si="73"/>
        <v>209365650.23643187</v>
      </c>
      <c r="BA92" s="313">
        <f t="shared" si="73"/>
        <v>209365650.23643187</v>
      </c>
      <c r="BB92" s="313">
        <f t="shared" si="73"/>
        <v>209365650.23643187</v>
      </c>
      <c r="BC92" s="313">
        <f t="shared" si="73"/>
        <v>0</v>
      </c>
      <c r="BD92" s="313">
        <f t="shared" si="73"/>
        <v>0</v>
      </c>
      <c r="BE92" s="313">
        <f t="shared" si="73"/>
        <v>0</v>
      </c>
      <c r="BF92" s="313">
        <f t="shared" si="73"/>
        <v>0</v>
      </c>
      <c r="BG92" s="313">
        <f t="shared" si="73"/>
        <v>0</v>
      </c>
      <c r="BH92" s="313">
        <f t="shared" si="73"/>
        <v>0</v>
      </c>
      <c r="BI92" s="313">
        <f t="shared" si="73"/>
        <v>0</v>
      </c>
      <c r="BJ92" s="313">
        <f t="shared" si="73"/>
        <v>0</v>
      </c>
      <c r="BK92" s="313">
        <f t="shared" si="73"/>
        <v>0</v>
      </c>
      <c r="BL92" s="313">
        <f t="shared" si="73"/>
        <v>0</v>
      </c>
      <c r="BM92" s="313">
        <f t="shared" si="73"/>
        <v>0</v>
      </c>
      <c r="BN92" s="313">
        <f t="shared" si="73"/>
        <v>0</v>
      </c>
      <c r="BO92" s="313">
        <f t="shared" si="73"/>
        <v>0</v>
      </c>
      <c r="BP92" s="313">
        <f t="shared" si="73"/>
        <v>0</v>
      </c>
      <c r="BQ92" s="313">
        <f t="shared" si="73"/>
        <v>0</v>
      </c>
      <c r="BR92" s="313" t="n">
        <f t="shared" ref="BR92:CW92" si="74">MAX(0,BR$74+BR$81+BR$82-BR$89-BR$90-BR$91)</f>
        <v>0</v>
      </c>
      <c r="BS92" s="313">
        <f t="shared" si="74"/>
        <v>0</v>
      </c>
      <c r="BT92" s="313">
        <f t="shared" si="74"/>
        <v>0</v>
      </c>
      <c r="BU92" s="313">
        <f t="shared" si="74"/>
        <v>0</v>
      </c>
      <c r="BV92" s="313">
        <f t="shared" si="74"/>
        <v>0</v>
      </c>
      <c r="BW92" s="313">
        <f t="shared" si="74"/>
        <v>0</v>
      </c>
      <c r="BX92" s="313">
        <f t="shared" si="74"/>
        <v>0</v>
      </c>
      <c r="BY92" s="313">
        <f t="shared" si="74"/>
        <v>0</v>
      </c>
      <c r="BZ92" s="313">
        <f t="shared" si="74"/>
        <v>0</v>
      </c>
      <c r="CA92" s="313">
        <f t="shared" si="74"/>
        <v>0</v>
      </c>
      <c r="CB92" s="313">
        <f t="shared" si="74"/>
        <v>0</v>
      </c>
      <c r="CC92" s="313">
        <f t="shared" si="74"/>
        <v>0</v>
      </c>
      <c r="CD92" s="313">
        <f t="shared" si="74"/>
        <v>0</v>
      </c>
      <c r="CE92" s="313">
        <f t="shared" si="74"/>
        <v>0</v>
      </c>
      <c r="CF92" s="313">
        <f t="shared" si="74"/>
        <v>0</v>
      </c>
      <c r="CG92" s="313">
        <f t="shared" si="74"/>
        <v>0</v>
      </c>
      <c r="CH92" s="313">
        <f t="shared" si="74"/>
        <v>0</v>
      </c>
      <c r="CI92" s="313">
        <f t="shared" si="74"/>
        <v>0</v>
      </c>
      <c r="CJ92" s="313">
        <f t="shared" si="74"/>
        <v>0</v>
      </c>
      <c r="CK92" s="313">
        <f t="shared" si="74"/>
        <v>0</v>
      </c>
      <c r="CL92" s="313">
        <f t="shared" si="74"/>
        <v>0</v>
      </c>
      <c r="CM92" s="313">
        <f t="shared" si="74"/>
        <v>0</v>
      </c>
      <c r="CN92" s="313">
        <f t="shared" si="74"/>
        <v>0</v>
      </c>
      <c r="CO92" s="313">
        <f t="shared" si="74"/>
        <v>0</v>
      </c>
      <c r="CP92" s="313">
        <f t="shared" si="74"/>
        <v>0</v>
      </c>
      <c r="CQ92" s="313">
        <f t="shared" si="74"/>
        <v>0</v>
      </c>
      <c r="CR92" s="313">
        <f t="shared" si="74"/>
        <v>0</v>
      </c>
      <c r="CS92" s="313">
        <f t="shared" si="74"/>
        <v>0</v>
      </c>
      <c r="CT92" s="313">
        <f t="shared" si="74"/>
        <v>0</v>
      </c>
      <c r="CU92" s="313">
        <f t="shared" si="74"/>
        <v>0</v>
      </c>
      <c r="CV92" s="313">
        <f t="shared" si="74"/>
        <v>0</v>
      </c>
      <c r="CW92" s="313">
        <f t="shared" si="74"/>
        <v>0</v>
      </c>
      <c r="CX92" s="313" t="n">
        <f t="shared" ref="CX92:DV92" si="75">MAX(0,CX$74+CX$81+CX$82-CX$89-CX$90-CX$91)</f>
        <v>0</v>
      </c>
      <c r="CY92" s="313">
        <f t="shared" si="75"/>
        <v>0</v>
      </c>
      <c r="CZ92" s="313">
        <f t="shared" si="75"/>
        <v>0</v>
      </c>
      <c r="DA92" s="313">
        <f t="shared" si="75"/>
        <v>0</v>
      </c>
      <c r="DB92" s="313">
        <f t="shared" si="75"/>
        <v>0</v>
      </c>
      <c r="DC92" s="313">
        <f t="shared" si="75"/>
        <v>0</v>
      </c>
      <c r="DD92" s="313">
        <f t="shared" si="75"/>
        <v>0</v>
      </c>
      <c r="DE92" s="313">
        <f t="shared" si="75"/>
        <v>0</v>
      </c>
      <c r="DF92" s="313">
        <f t="shared" si="75"/>
        <v>0</v>
      </c>
      <c r="DG92" s="313">
        <f t="shared" si="75"/>
        <v>0</v>
      </c>
      <c r="DH92" s="313">
        <f t="shared" si="75"/>
        <v>0</v>
      </c>
      <c r="DI92" s="313">
        <f t="shared" si="75"/>
        <v>0</v>
      </c>
      <c r="DJ92" s="313">
        <f t="shared" si="75"/>
        <v>0</v>
      </c>
      <c r="DK92" s="313">
        <f t="shared" si="75"/>
        <v>0</v>
      </c>
      <c r="DL92" s="313">
        <f t="shared" si="75"/>
        <v>0</v>
      </c>
      <c r="DM92" s="313">
        <f t="shared" si="75"/>
        <v>0</v>
      </c>
      <c r="DN92" s="313">
        <f t="shared" si="75"/>
        <v>0</v>
      </c>
      <c r="DO92" s="313">
        <f t="shared" si="75"/>
        <v>0</v>
      </c>
      <c r="DP92" s="313">
        <f t="shared" si="75"/>
        <v>0</v>
      </c>
      <c r="DQ92" s="313">
        <f t="shared" si="75"/>
        <v>0</v>
      </c>
      <c r="DR92" s="313">
        <f t="shared" si="75"/>
        <v>0</v>
      </c>
      <c r="DS92" s="313">
        <f t="shared" si="75"/>
        <v>0</v>
      </c>
      <c r="DT92" s="313">
        <f t="shared" si="75"/>
        <v>0</v>
      </c>
      <c r="DU92" s="313">
        <f t="shared" si="75"/>
        <v>0</v>
      </c>
      <c r="DV92" s="313">
        <f t="shared" si="75"/>
        <v>0</v>
      </c>
    </row>
    <row r="93" ht="15" customHeight="1">
      <c r="A93" s="311" t="s">
        <v>1486</v>
      </c>
      <c r="B93" s="312" t="s">
        <v>1321</v>
      </c>
      <c r="C93" s="702" t="s">
        <v>1487</v>
      </c>
      <c r="D93" s="703"/>
      <c r="F93" s="313" t="n">
        <f t="shared" ref="F93:AK93" si="76">IF(OR(F$90&gt;0,F$64&gt;=$B$19),0,F$73)</f>
        <v>209379275.64230004</v>
      </c>
      <c r="G93" s="313">
        <f t="shared" si="76"/>
        <v>209379275.64230004</v>
      </c>
      <c r="H93" s="313">
        <f t="shared" si="76"/>
        <v>209379275.64230004</v>
      </c>
      <c r="I93" s="313">
        <f t="shared" si="76"/>
        <v>209379275.64230004</v>
      </c>
      <c r="J93" s="313">
        <f t="shared" si="76"/>
        <v>209379275.64230004</v>
      </c>
      <c r="K93" s="313">
        <f t="shared" si="76"/>
        <v>209379275.64230004</v>
      </c>
      <c r="L93" s="313">
        <f t="shared" si="76"/>
        <v>209379275.64230004</v>
      </c>
      <c r="M93" s="313">
        <f t="shared" si="76"/>
        <v>209379275.64230004</v>
      </c>
      <c r="N93" s="313">
        <f t="shared" si="76"/>
        <v>209379275.64230004</v>
      </c>
      <c r="O93" s="313">
        <f t="shared" si="76"/>
        <v>209379275.64230004</v>
      </c>
      <c r="P93" s="313">
        <f t="shared" si="76"/>
        <v>209379275.64230004</v>
      </c>
      <c r="Q93" s="313">
        <f t="shared" si="76"/>
        <v>209379275.64230004</v>
      </c>
      <c r="R93" s="313">
        <f t="shared" si="76"/>
        <v>209379275.64230004</v>
      </c>
      <c r="S93" s="313">
        <f t="shared" si="76"/>
        <v>209379275.64230004</v>
      </c>
      <c r="T93" s="313">
        <f t="shared" si="76"/>
        <v>209379275.64230004</v>
      </c>
      <c r="U93" s="313">
        <f t="shared" si="76"/>
        <v>209379275.64230004</v>
      </c>
      <c r="V93" s="313">
        <f t="shared" si="76"/>
        <v>209379275.64230004</v>
      </c>
      <c r="W93" s="313">
        <f t="shared" si="76"/>
        <v>209379275.64230004</v>
      </c>
      <c r="X93" s="313">
        <f t="shared" si="76"/>
        <v>209379275.64230004</v>
      </c>
      <c r="Y93" s="313">
        <f t="shared" si="76"/>
        <v>209379275.64230004</v>
      </c>
      <c r="Z93" s="313">
        <f t="shared" si="76"/>
        <v>209379275.64230004</v>
      </c>
      <c r="AA93" s="313">
        <f t="shared" si="76"/>
        <v>209379275.64230004</v>
      </c>
      <c r="AB93" s="313">
        <f t="shared" si="76"/>
        <v>209379275.64230004</v>
      </c>
      <c r="AC93" s="313">
        <f t="shared" si="76"/>
        <v>209379275.64230004</v>
      </c>
      <c r="AD93" s="313">
        <f t="shared" si="76"/>
        <v>209379275.64230004</v>
      </c>
      <c r="AE93" s="313">
        <f t="shared" si="76"/>
        <v>209379275.64230004</v>
      </c>
      <c r="AF93" s="313">
        <f t="shared" si="76"/>
        <v>209379275.64230004</v>
      </c>
      <c r="AG93" s="313">
        <f t="shared" si="76"/>
        <v>209379275.64230004</v>
      </c>
      <c r="AH93" s="313">
        <f t="shared" si="76"/>
        <v>209379275.64230004</v>
      </c>
      <c r="AI93" s="313">
        <f t="shared" si="76"/>
        <v>209379275.64230004</v>
      </c>
      <c r="AJ93" s="313">
        <f t="shared" si="76"/>
        <v>209379275.64230004</v>
      </c>
      <c r="AK93" s="313">
        <f t="shared" si="76"/>
        <v>209379275.64230004</v>
      </c>
      <c r="AL93" s="313" t="n">
        <f t="shared" ref="AL93:BQ93" si="77">IF(OR(AL$90&gt;0,AL$64&gt;=$B$19),0,AL$73)</f>
        <v>209379275.64230004</v>
      </c>
      <c r="AM93" s="313">
        <f t="shared" si="77"/>
        <v>209379275.64230004</v>
      </c>
      <c r="AN93" s="313">
        <f t="shared" si="77"/>
        <v>209379275.64230004</v>
      </c>
      <c r="AO93" s="313">
        <f t="shared" si="77"/>
        <v>209379275.64230004</v>
      </c>
      <c r="AP93" s="313">
        <f t="shared" si="77"/>
        <v>209379275.64230004</v>
      </c>
      <c r="AQ93" s="313">
        <f t="shared" si="77"/>
        <v>209379275.64230004</v>
      </c>
      <c r="AR93" s="313">
        <f t="shared" si="77"/>
        <v>209379275.64230004</v>
      </c>
      <c r="AS93" s="313">
        <f t="shared" si="77"/>
        <v>209379275.64230004</v>
      </c>
      <c r="AT93" s="313">
        <f t="shared" si="77"/>
        <v>209379275.64230004</v>
      </c>
      <c r="AU93" s="313">
        <f t="shared" si="77"/>
        <v>209379275.64230004</v>
      </c>
      <c r="AV93" s="313">
        <f t="shared" si="77"/>
        <v>209379275.64230004</v>
      </c>
      <c r="AW93" s="313">
        <f t="shared" si="77"/>
        <v>209379275.64230004</v>
      </c>
      <c r="AX93" s="313">
        <f t="shared" si="77"/>
        <v>209379275.64230004</v>
      </c>
      <c r="AY93" s="313">
        <f t="shared" si="77"/>
        <v>209379275.64230004</v>
      </c>
      <c r="AZ93" s="313">
        <f t="shared" si="77"/>
        <v>209379275.64230004</v>
      </c>
      <c r="BA93" s="313">
        <f t="shared" si="77"/>
        <v>209379275.64230004</v>
      </c>
      <c r="BB93" s="313">
        <f t="shared" si="77"/>
        <v>209379275.64230004</v>
      </c>
      <c r="BC93" s="313">
        <f t="shared" si="77"/>
        <v>0</v>
      </c>
      <c r="BD93" s="313">
        <f t="shared" si="77"/>
        <v>0</v>
      </c>
      <c r="BE93" s="313">
        <f t="shared" si="77"/>
        <v>0</v>
      </c>
      <c r="BF93" s="313">
        <f t="shared" si="77"/>
        <v>0</v>
      </c>
      <c r="BG93" s="313">
        <f t="shared" si="77"/>
        <v>0</v>
      </c>
      <c r="BH93" s="313">
        <f t="shared" si="77"/>
        <v>0</v>
      </c>
      <c r="BI93" s="313">
        <f t="shared" si="77"/>
        <v>0</v>
      </c>
      <c r="BJ93" s="313">
        <f t="shared" si="77"/>
        <v>0</v>
      </c>
      <c r="BK93" s="313">
        <f t="shared" si="77"/>
        <v>0</v>
      </c>
      <c r="BL93" s="313">
        <f t="shared" si="77"/>
        <v>0</v>
      </c>
      <c r="BM93" s="313">
        <f t="shared" si="77"/>
        <v>0</v>
      </c>
      <c r="BN93" s="313">
        <f t="shared" si="77"/>
        <v>0</v>
      </c>
      <c r="BO93" s="313">
        <f t="shared" si="77"/>
        <v>0</v>
      </c>
      <c r="BP93" s="313">
        <f t="shared" si="77"/>
        <v>0</v>
      </c>
      <c r="BQ93" s="313">
        <f t="shared" si="77"/>
        <v>0</v>
      </c>
      <c r="BR93" s="313" t="n">
        <f t="shared" ref="BR93:CW93" si="78">IF(OR(BR$90&gt;0,BR$64&gt;=$B$19),0,BR$73)</f>
        <v>0</v>
      </c>
      <c r="BS93" s="313">
        <f t="shared" si="78"/>
        <v>0</v>
      </c>
      <c r="BT93" s="313">
        <f t="shared" si="78"/>
        <v>0</v>
      </c>
      <c r="BU93" s="313">
        <f t="shared" si="78"/>
        <v>0</v>
      </c>
      <c r="BV93" s="313">
        <f t="shared" si="78"/>
        <v>0</v>
      </c>
      <c r="BW93" s="313">
        <f t="shared" si="78"/>
        <v>0</v>
      </c>
      <c r="BX93" s="313">
        <f t="shared" si="78"/>
        <v>0</v>
      </c>
      <c r="BY93" s="313">
        <f t="shared" si="78"/>
        <v>0</v>
      </c>
      <c r="BZ93" s="313">
        <f t="shared" si="78"/>
        <v>0</v>
      </c>
      <c r="CA93" s="313">
        <f t="shared" si="78"/>
        <v>0</v>
      </c>
      <c r="CB93" s="313">
        <f t="shared" si="78"/>
        <v>0</v>
      </c>
      <c r="CC93" s="313">
        <f t="shared" si="78"/>
        <v>0</v>
      </c>
      <c r="CD93" s="313">
        <f t="shared" si="78"/>
        <v>0</v>
      </c>
      <c r="CE93" s="313">
        <f t="shared" si="78"/>
        <v>0</v>
      </c>
      <c r="CF93" s="313">
        <f t="shared" si="78"/>
        <v>0</v>
      </c>
      <c r="CG93" s="313">
        <f t="shared" si="78"/>
        <v>0</v>
      </c>
      <c r="CH93" s="313">
        <f t="shared" si="78"/>
        <v>0</v>
      </c>
      <c r="CI93" s="313">
        <f t="shared" si="78"/>
        <v>0</v>
      </c>
      <c r="CJ93" s="313">
        <f t="shared" si="78"/>
        <v>0</v>
      </c>
      <c r="CK93" s="313">
        <f t="shared" si="78"/>
        <v>0</v>
      </c>
      <c r="CL93" s="313">
        <f t="shared" si="78"/>
        <v>0</v>
      </c>
      <c r="CM93" s="313">
        <f t="shared" si="78"/>
        <v>0</v>
      </c>
      <c r="CN93" s="313">
        <f t="shared" si="78"/>
        <v>0</v>
      </c>
      <c r="CO93" s="313">
        <f t="shared" si="78"/>
        <v>0</v>
      </c>
      <c r="CP93" s="313">
        <f t="shared" si="78"/>
        <v>0</v>
      </c>
      <c r="CQ93" s="313">
        <f t="shared" si="78"/>
        <v>0</v>
      </c>
      <c r="CR93" s="313">
        <f t="shared" si="78"/>
        <v>0</v>
      </c>
      <c r="CS93" s="313">
        <f t="shared" si="78"/>
        <v>0</v>
      </c>
      <c r="CT93" s="313">
        <f t="shared" si="78"/>
        <v>0</v>
      </c>
      <c r="CU93" s="313">
        <f t="shared" si="78"/>
        <v>0</v>
      </c>
      <c r="CV93" s="313">
        <f t="shared" si="78"/>
        <v>0</v>
      </c>
      <c r="CW93" s="313">
        <f t="shared" si="78"/>
        <v>0</v>
      </c>
      <c r="CX93" s="313" t="n">
        <f t="shared" ref="CX93:DV93" si="79">IF(OR(CX$90&gt;0,CX$64&gt;=$B$19),0,CX$73)</f>
        <v>0</v>
      </c>
      <c r="CY93" s="313">
        <f t="shared" si="79"/>
        <v>0</v>
      </c>
      <c r="CZ93" s="313">
        <f t="shared" si="79"/>
        <v>0</v>
      </c>
      <c r="DA93" s="313">
        <f t="shared" si="79"/>
        <v>0</v>
      </c>
      <c r="DB93" s="313">
        <f t="shared" si="79"/>
        <v>0</v>
      </c>
      <c r="DC93" s="313">
        <f t="shared" si="79"/>
        <v>0</v>
      </c>
      <c r="DD93" s="313">
        <f t="shared" si="79"/>
        <v>0</v>
      </c>
      <c r="DE93" s="313">
        <f t="shared" si="79"/>
        <v>0</v>
      </c>
      <c r="DF93" s="313">
        <f t="shared" si="79"/>
        <v>0</v>
      </c>
      <c r="DG93" s="313">
        <f t="shared" si="79"/>
        <v>0</v>
      </c>
      <c r="DH93" s="313">
        <f t="shared" si="79"/>
        <v>0</v>
      </c>
      <c r="DI93" s="313">
        <f t="shared" si="79"/>
        <v>0</v>
      </c>
      <c r="DJ93" s="313">
        <f t="shared" si="79"/>
        <v>0</v>
      </c>
      <c r="DK93" s="313">
        <f t="shared" si="79"/>
        <v>0</v>
      </c>
      <c r="DL93" s="313">
        <f t="shared" si="79"/>
        <v>0</v>
      </c>
      <c r="DM93" s="313">
        <f t="shared" si="79"/>
        <v>0</v>
      </c>
      <c r="DN93" s="313">
        <f t="shared" si="79"/>
        <v>0</v>
      </c>
      <c r="DO93" s="313">
        <f t="shared" si="79"/>
        <v>0</v>
      </c>
      <c r="DP93" s="313">
        <f t="shared" si="79"/>
        <v>0</v>
      </c>
      <c r="DQ93" s="313">
        <f t="shared" si="79"/>
        <v>0</v>
      </c>
      <c r="DR93" s="313">
        <f t="shared" si="79"/>
        <v>0</v>
      </c>
      <c r="DS93" s="313">
        <f t="shared" si="79"/>
        <v>0</v>
      </c>
      <c r="DT93" s="313">
        <f t="shared" si="79"/>
        <v>0</v>
      </c>
      <c r="DU93" s="313">
        <f t="shared" si="79"/>
        <v>0</v>
      </c>
      <c r="DV93" s="313">
        <f t="shared" si="79"/>
        <v>0</v>
      </c>
    </row>
    <row r="94" ht="15" customHeight="1">
      <c r="A94" s="311" t="s">
        <v>1488</v>
      </c>
      <c r="B94" s="312" t="s">
        <v>1321</v>
      </c>
      <c r="C94" s="702" t="s">
        <v>1489</v>
      </c>
      <c r="D94" s="703"/>
      <c r="F94" s="313" t="n">
        <f t="shared" ref="F94:AK94" si="80">MAX(0,F$93-F$92)</f>
        <v>209379275.64230004</v>
      </c>
      <c r="G94" s="313">
        <f t="shared" si="80"/>
        <v>209066220.08674449</v>
      </c>
      <c r="H94" s="313">
        <f t="shared" si="80"/>
        <v>209379275.64230004</v>
      </c>
      <c r="I94" s="313">
        <f t="shared" si="80"/>
        <v>209066220.08674449</v>
      </c>
      <c r="J94" s="313">
        <f t="shared" si="80"/>
        <v>208753164.53118894</v>
      </c>
      <c r="K94" s="313">
        <f t="shared" si="80"/>
        <v>208440108.97563338</v>
      </c>
      <c r="L94" s="313">
        <f t="shared" si="80"/>
        <v>208127053.42007783</v>
      </c>
      <c r="M94" s="313">
        <f t="shared" si="80"/>
        <v>207813997.86452225</v>
      </c>
      <c r="N94" s="313">
        <f t="shared" si="80"/>
        <v>207500942.3089667</v>
      </c>
      <c r="O94" s="313">
        <f t="shared" si="80"/>
        <v>207187886.75341114</v>
      </c>
      <c r="P94" s="313">
        <f t="shared" si="80"/>
        <v>206874831.19785559</v>
      </c>
      <c r="Q94" s="313">
        <f t="shared" si="80"/>
        <v>206561775.64230004</v>
      </c>
      <c r="R94" s="313">
        <f t="shared" si="80"/>
        <v>206248720.08674449</v>
      </c>
      <c r="S94" s="313">
        <f t="shared" si="80"/>
        <v>205935664.53118894</v>
      </c>
      <c r="T94" s="313">
        <f t="shared" si="80"/>
        <v>205622608.97563338</v>
      </c>
      <c r="U94" s="313">
        <f t="shared" si="80"/>
        <v>205309553.42007783</v>
      </c>
      <c r="V94" s="313">
        <f t="shared" si="80"/>
        <v>188846830.24209815</v>
      </c>
      <c r="W94" s="313">
        <f t="shared" si="80"/>
        <v>167061744.8566249</v>
      </c>
      <c r="X94" s="313">
        <f t="shared" si="80"/>
        <v>145071267.88247308</v>
      </c>
      <c r="Y94" s="313">
        <f t="shared" si="80"/>
        <v>123460736.10973346</v>
      </c>
      <c r="Z94" s="313">
        <f t="shared" si="80"/>
        <v>102786121.62318256</v>
      </c>
      <c r="AA94" s="313">
        <f t="shared" si="80"/>
        <v>83532063.622347578</v>
      </c>
      <c r="AB94" s="313">
        <f t="shared" si="80"/>
        <v>66078883.511614561</v>
      </c>
      <c r="AC94" s="313">
        <f t="shared" si="80"/>
        <v>50682246.206957072</v>
      </c>
      <c r="AD94" s="313">
        <f t="shared" si="80"/>
        <v>37467004.740931273</v>
      </c>
      <c r="AE94" s="313">
        <f t="shared" si="80"/>
        <v>26434538.852464736</v>
      </c>
      <c r="AF94" s="313">
        <f t="shared" si="80"/>
        <v>17481013.667550564</v>
      </c>
      <c r="AG94" s="313">
        <f t="shared" si="80"/>
        <v>10422765.816723645</v>
      </c>
      <c r="AH94" s="313">
        <f t="shared" si="80"/>
        <v>5652782.9251447916</v>
      </c>
      <c r="AI94" s="313">
        <f t="shared" si="80"/>
        <v>3647268.1355703473</v>
      </c>
      <c r="AJ94" s="313">
        <f t="shared" si="80"/>
        <v>2229885.9444286227</v>
      </c>
      <c r="AK94" s="313">
        <f t="shared" si="80"/>
        <v>1282257.662869066</v>
      </c>
      <c r="AL94" s="313" t="n">
        <f t="shared" ref="AL94:BQ94" si="81">MAX(0,AL$93-AL$92)</f>
        <v>1101913.3221604526</v>
      </c>
      <c r="AM94" s="313">
        <f t="shared" si="81"/>
        <v>387315.08770626783</v>
      </c>
      <c r="AN94" s="313">
        <f t="shared" si="81"/>
        <v>148177.12503796816</v>
      </c>
      <c r="AO94" s="313">
        <f t="shared" si="81"/>
        <v>44612.052331984043</v>
      </c>
      <c r="AP94" s="313">
        <f t="shared" si="81"/>
        <v>13625.405868172646</v>
      </c>
      <c r="AQ94" s="313">
        <f t="shared" si="81"/>
        <v>13625.405868172646</v>
      </c>
      <c r="AR94" s="313">
        <f t="shared" si="81"/>
        <v>13625.405868172646</v>
      </c>
      <c r="AS94" s="313">
        <f t="shared" si="81"/>
        <v>13625.405868172646</v>
      </c>
      <c r="AT94" s="313">
        <f t="shared" si="81"/>
        <v>13625.405868172646</v>
      </c>
      <c r="AU94" s="313">
        <f t="shared" si="81"/>
        <v>13625.405868172646</v>
      </c>
      <c r="AV94" s="313">
        <f t="shared" si="81"/>
        <v>13625.405868172646</v>
      </c>
      <c r="AW94" s="313">
        <f t="shared" si="81"/>
        <v>13625.405868172646</v>
      </c>
      <c r="AX94" s="313">
        <f t="shared" si="81"/>
        <v>13625.405868172646</v>
      </c>
      <c r="AY94" s="313">
        <f t="shared" si="81"/>
        <v>13625.405868172646</v>
      </c>
      <c r="AZ94" s="313">
        <f t="shared" si="81"/>
        <v>13625.405868172646</v>
      </c>
      <c r="BA94" s="313">
        <f t="shared" si="81"/>
        <v>13625.405868172646</v>
      </c>
      <c r="BB94" s="313">
        <f t="shared" si="81"/>
        <v>13625.405868172646</v>
      </c>
      <c r="BC94" s="313">
        <f t="shared" si="81"/>
        <v>0</v>
      </c>
      <c r="BD94" s="313">
        <f t="shared" si="81"/>
        <v>0</v>
      </c>
      <c r="BE94" s="313">
        <f t="shared" si="81"/>
        <v>0</v>
      </c>
      <c r="BF94" s="313">
        <f t="shared" si="81"/>
        <v>0</v>
      </c>
      <c r="BG94" s="313">
        <f t="shared" si="81"/>
        <v>0</v>
      </c>
      <c r="BH94" s="313">
        <f t="shared" si="81"/>
        <v>0</v>
      </c>
      <c r="BI94" s="313">
        <f t="shared" si="81"/>
        <v>0</v>
      </c>
      <c r="BJ94" s="313">
        <f t="shared" si="81"/>
        <v>0</v>
      </c>
      <c r="BK94" s="313">
        <f t="shared" si="81"/>
        <v>0</v>
      </c>
      <c r="BL94" s="313">
        <f t="shared" si="81"/>
        <v>0</v>
      </c>
      <c r="BM94" s="313">
        <f t="shared" si="81"/>
        <v>0</v>
      </c>
      <c r="BN94" s="313">
        <f t="shared" si="81"/>
        <v>0</v>
      </c>
      <c r="BO94" s="313">
        <f t="shared" si="81"/>
        <v>0</v>
      </c>
      <c r="BP94" s="313">
        <f t="shared" si="81"/>
        <v>0</v>
      </c>
      <c r="BQ94" s="313">
        <f t="shared" si="81"/>
        <v>0</v>
      </c>
      <c r="BR94" s="313" t="n">
        <f t="shared" ref="BR94:CW94" si="82">MAX(0,BR$93-BR$92)</f>
        <v>0</v>
      </c>
      <c r="BS94" s="313">
        <f t="shared" si="82"/>
        <v>0</v>
      </c>
      <c r="BT94" s="313">
        <f t="shared" si="82"/>
        <v>0</v>
      </c>
      <c r="BU94" s="313">
        <f t="shared" si="82"/>
        <v>0</v>
      </c>
      <c r="BV94" s="313">
        <f t="shared" si="82"/>
        <v>0</v>
      </c>
      <c r="BW94" s="313">
        <f t="shared" si="82"/>
        <v>0</v>
      </c>
      <c r="BX94" s="313">
        <f t="shared" si="82"/>
        <v>0</v>
      </c>
      <c r="BY94" s="313">
        <f t="shared" si="82"/>
        <v>0</v>
      </c>
      <c r="BZ94" s="313">
        <f t="shared" si="82"/>
        <v>0</v>
      </c>
      <c r="CA94" s="313">
        <f t="shared" si="82"/>
        <v>0</v>
      </c>
      <c r="CB94" s="313">
        <f t="shared" si="82"/>
        <v>0</v>
      </c>
      <c r="CC94" s="313">
        <f t="shared" si="82"/>
        <v>0</v>
      </c>
      <c r="CD94" s="313">
        <f t="shared" si="82"/>
        <v>0</v>
      </c>
      <c r="CE94" s="313">
        <f t="shared" si="82"/>
        <v>0</v>
      </c>
      <c r="CF94" s="313">
        <f t="shared" si="82"/>
        <v>0</v>
      </c>
      <c r="CG94" s="313">
        <f t="shared" si="82"/>
        <v>0</v>
      </c>
      <c r="CH94" s="313">
        <f t="shared" si="82"/>
        <v>0</v>
      </c>
      <c r="CI94" s="313">
        <f t="shared" si="82"/>
        <v>0</v>
      </c>
      <c r="CJ94" s="313">
        <f t="shared" si="82"/>
        <v>0</v>
      </c>
      <c r="CK94" s="313">
        <f t="shared" si="82"/>
        <v>0</v>
      </c>
      <c r="CL94" s="313">
        <f t="shared" si="82"/>
        <v>0</v>
      </c>
      <c r="CM94" s="313">
        <f t="shared" si="82"/>
        <v>0</v>
      </c>
      <c r="CN94" s="313">
        <f t="shared" si="82"/>
        <v>0</v>
      </c>
      <c r="CO94" s="313">
        <f t="shared" si="82"/>
        <v>0</v>
      </c>
      <c r="CP94" s="313">
        <f t="shared" si="82"/>
        <v>0</v>
      </c>
      <c r="CQ94" s="313">
        <f t="shared" si="82"/>
        <v>0</v>
      </c>
      <c r="CR94" s="313">
        <f t="shared" si="82"/>
        <v>0</v>
      </c>
      <c r="CS94" s="313">
        <f t="shared" si="82"/>
        <v>0</v>
      </c>
      <c r="CT94" s="313">
        <f t="shared" si="82"/>
        <v>0</v>
      </c>
      <c r="CU94" s="313">
        <f t="shared" si="82"/>
        <v>0</v>
      </c>
      <c r="CV94" s="313">
        <f t="shared" si="82"/>
        <v>0</v>
      </c>
      <c r="CW94" s="313">
        <f t="shared" si="82"/>
        <v>0</v>
      </c>
      <c r="CX94" s="313" t="n">
        <f t="shared" ref="CX94:DV94" si="83">MAX(0,CX$93-CX$92)</f>
        <v>0</v>
      </c>
      <c r="CY94" s="313">
        <f t="shared" si="83"/>
        <v>0</v>
      </c>
      <c r="CZ94" s="313">
        <f t="shared" si="83"/>
        <v>0</v>
      </c>
      <c r="DA94" s="313">
        <f t="shared" si="83"/>
        <v>0</v>
      </c>
      <c r="DB94" s="313">
        <f t="shared" si="83"/>
        <v>0</v>
      </c>
      <c r="DC94" s="313">
        <f t="shared" si="83"/>
        <v>0</v>
      </c>
      <c r="DD94" s="313">
        <f t="shared" si="83"/>
        <v>0</v>
      </c>
      <c r="DE94" s="313">
        <f t="shared" si="83"/>
        <v>0</v>
      </c>
      <c r="DF94" s="313">
        <f t="shared" si="83"/>
        <v>0</v>
      </c>
      <c r="DG94" s="313">
        <f t="shared" si="83"/>
        <v>0</v>
      </c>
      <c r="DH94" s="313">
        <f t="shared" si="83"/>
        <v>0</v>
      </c>
      <c r="DI94" s="313">
        <f t="shared" si="83"/>
        <v>0</v>
      </c>
      <c r="DJ94" s="313">
        <f t="shared" si="83"/>
        <v>0</v>
      </c>
      <c r="DK94" s="313">
        <f t="shared" si="83"/>
        <v>0</v>
      </c>
      <c r="DL94" s="313">
        <f t="shared" si="83"/>
        <v>0</v>
      </c>
      <c r="DM94" s="313">
        <f t="shared" si="83"/>
        <v>0</v>
      </c>
      <c r="DN94" s="313">
        <f t="shared" si="83"/>
        <v>0</v>
      </c>
      <c r="DO94" s="313">
        <f t="shared" si="83"/>
        <v>0</v>
      </c>
      <c r="DP94" s="313">
        <f t="shared" si="83"/>
        <v>0</v>
      </c>
      <c r="DQ94" s="313">
        <f t="shared" si="83"/>
        <v>0</v>
      </c>
      <c r="DR94" s="313">
        <f t="shared" si="83"/>
        <v>0</v>
      </c>
      <c r="DS94" s="313">
        <f t="shared" si="83"/>
        <v>0</v>
      </c>
      <c r="DT94" s="313">
        <f t="shared" si="83"/>
        <v>0</v>
      </c>
      <c r="DU94" s="313">
        <f t="shared" si="83"/>
        <v>0</v>
      </c>
      <c r="DV94" s="313">
        <f t="shared" si="83"/>
        <v>0</v>
      </c>
    </row>
    <row r="95" ht="15" customHeight="1">
      <c r="A95" s="311" t="s">
        <v>1490</v>
      </c>
      <c r="B95" s="312" t="s">
        <v>78</v>
      </c>
      <c r="C95" s="702" t="s">
        <v>1491</v>
      </c>
      <c r="D95" s="703"/>
      <c r="F95" s="316" t="n">
        <f>IF(SUM($F$77:F$77)=0,0,F$92/SUM($F$77:F$77))</f>
        <v>0</v>
      </c>
      <c r="G95" s="316" t="n">
        <f>IF(SUM($F$77:G$77)=0,0,G$92/SUM($F$77:G$77))</f>
        <v>0</v>
      </c>
      <c r="H95" s="316" t="n">
        <f>IF(SUM($F$77:H$77)=0,0,H$92/SUM($F$77:H$77))</f>
        <v>0</v>
      </c>
      <c r="I95" s="316" t="n">
        <f>IF(SUM($F$77:I$77)=0,0,I$92/SUM($F$77:I$77))</f>
        <v>0.4052078000525594</v>
      </c>
      <c r="J95" s="316" t="n">
        <f>IF(SUM($F$77:J$77)=0,0,J$92/SUM($F$77:J$77))</f>
        <v>0.3226070872803925</v>
      </c>
      <c r="K95" s="316" t="n">
        <f>IF(SUM($F$77:K$77)=0,0,K$92/SUM($F$77:K$77))</f>
        <v>0.2435279926630437</v>
      </c>
      <c r="L95" s="316" t="n">
        <f>IF(SUM($F$77:L$77)=0,0,L$92/SUM($F$77:L$77))</f>
        <v>0.1857237114637318</v>
      </c>
      <c r="M95" s="316" t="n">
        <f>IF(SUM($F$77:M$77)=0,0,M$92/SUM($F$77:M$77))</f>
        <v>0.14430880382167294</v>
      </c>
      <c r="N95" s="316" t="n">
        <f>IF(SUM($F$77:N$77)=0,0,N$92/SUM($F$77:N$77))</f>
        <v>0.11432320243693332</v>
      </c>
      <c r="O95" s="316" t="n">
        <f>IF(SUM($F$77:O$77)=0,0,O$92/SUM($F$77:O$77))</f>
        <v>0.09228601288912727</v>
      </c>
      <c r="P95" s="316" t="n">
        <f>IF(SUM($F$77:P$77)=0,0,P$92/SUM($F$77:P$77))</f>
        <v>0.07585790793291984</v>
      </c>
      <c r="Q95" s="316" t="n">
        <f>IF(SUM($F$77:Q$77)=0,0,Q$92/SUM($F$77:Q$77))</f>
        <v>0.06345760861418202</v>
      </c>
      <c r="R95" s="316" t="n">
        <f>IF(SUM($F$77:R$77)=0,0,R$92/SUM($F$77:R$77))</f>
        <v>0.05399903913101496</v>
      </c>
      <c r="S95" s="316" t="n">
        <f>IF(SUM($F$77:S$77)=0,0,S$92/SUM($F$77:S$77))</f>
        <v>0.046723489774523036</v>
      </c>
      <c r="T95" s="316" t="n">
        <f>IF(SUM($F$77:T$77)=0,0,T$92/SUM($F$77:T$77))</f>
        <v>0.04109262282070656</v>
      </c>
      <c r="U95" s="316" t="n">
        <f>IF(SUM($F$77:U$77)=0,0,U$92/SUM($F$77:U$77))</f>
        <v>0.03671917281550926</v>
      </c>
      <c r="V95" s="316" t="n">
        <f>IF(SUM($F$77:V$77)=0,0,V$92/SUM($F$77:V$77))</f>
        <v>0.156103033670867</v>
      </c>
      <c r="W95" s="316" t="n">
        <f>IF(SUM($F$77:W$77)=0,0,W$92/SUM($F$77:W$77))</f>
        <v>0.2765790281954916</v>
      </c>
      <c r="X95" s="316" t="n">
        <f>IF(SUM($F$77:X$77)=0,0,X$92/SUM($F$77:X$77))</f>
        <v>0.36814578974070383</v>
      </c>
      <c r="Y95" s="316" t="n">
        <f>IF(SUM($F$77:Y$77)=0,0,Y$92/SUM($F$77:Y$77))</f>
        <v>0.438408446194275</v>
      </c>
      <c r="Z95" s="316" t="n">
        <f>IF(SUM($F$77:Z$77)=0,0,Z$92/SUM($F$77:Z$77))</f>
        <v>0.49250500071204945</v>
      </c>
      <c r="AA95" s="316" t="n">
        <f>IF(SUM($F$77:AA$77)=0,0,AA$92/SUM($F$77:AA$77))</f>
        <v>0.5342783461690153</v>
      </c>
      <c r="AB95" s="316" t="n">
        <f>IF(SUM($F$77:AB$77)=0,0,AB$92/SUM($F$77:AB$77))</f>
        <v>0.5665578169489202</v>
      </c>
      <c r="AC95" s="316" t="n">
        <f>IF(SUM($F$77:AC$77)=0,0,AC$92/SUM($F$77:AC$77))</f>
        <v>0.5914603877270538</v>
      </c>
      <c r="AD95" s="316" t="n">
        <f>IF(SUM($F$77:AD$77)=0,0,AD$92/SUM($F$77:AD$77))</f>
        <v>0.610596326877909</v>
      </c>
      <c r="AE95" s="316" t="n">
        <f>IF(SUM($F$77:AE$77)=0,0,AE$92/SUM($F$77:AE$77))</f>
        <v>0.6252106357606558</v>
      </c>
      <c r="AF95" s="316" t="n">
        <f>IF(SUM($F$77:AF$77)=0,0,AF$92/SUM($F$77:AF$77))</f>
        <v>0.6362807057648323</v>
      </c>
      <c r="AG95" s="316" t="n">
        <f>IF(SUM($F$77:AG$77)=0,0,AG$92/SUM($F$77:AG$77))</f>
        <v>0.6445837895627717</v>
      </c>
      <c r="AH95" s="316" t="n">
        <f>IF(SUM($F$77:AH$77)=0,0,AH$92/SUM($F$77:AH$77))</f>
        <v>0.6487432502594067</v>
      </c>
      <c r="AI95" s="316" t="n">
        <f>IF(SUM($F$77:AI$77)=0,0,AI$92/SUM($F$77:AI$77))</f>
        <v>0.6470225253005574</v>
      </c>
      <c r="AJ95" s="316" t="n">
        <f>IF(SUM($F$77:AJ$77)=0,0,AJ$92/SUM($F$77:AJ$77))</f>
        <v>0.6458876249771149</v>
      </c>
      <c r="AK95" s="316" t="n">
        <f>IF(SUM($F$77:AK$77)=0,0,AK$92/SUM($F$77:AK$77))</f>
        <v>0.6451908464182439</v>
      </c>
      <c r="AL95" s="316" t="n">
        <f>IF(SUM($F$77:AL$77)=0,0,AL$92/SUM($F$77:AL$77))</f>
        <v>0.6435665220128868</v>
      </c>
      <c r="AM95" s="316" t="n">
        <f>IF(SUM($F$77:AM$77)=0,0,AM$92/SUM($F$77:AM$77))</f>
        <v>0.6446637663500385</v>
      </c>
      <c r="AN95" s="316" t="n">
        <f>IF(SUM($F$77:AN$77)=0,0,AN$92/SUM($F$77:AN$77))</f>
        <v>0.6450625246699824</v>
      </c>
      <c r="AO95" s="316" t="n">
        <f>IF(SUM($F$77:AO$77)=0,0,AO$92/SUM($F$77:AO$77))</f>
        <v>0.645381817297803</v>
      </c>
      <c r="AP95" s="316" t="n">
        <f>IF(SUM($F$77:AP$77)=0,0,AP$92/SUM($F$77:AP$77))</f>
        <v>0.6454773495802439</v>
      </c>
      <c r="AQ95" s="316" t="n">
        <f>IF(SUM($F$77:AQ$77)=0,0,AQ$92/SUM($F$77:AQ$77))</f>
        <v>0.6454773495802439</v>
      </c>
      <c r="AR95" s="316" t="n">
        <f>IF(SUM($F$77:AR$77)=0,0,AR$92/SUM($F$77:AR$77))</f>
        <v>0.6454773495802439</v>
      </c>
      <c r="AS95" s="316" t="n">
        <f>IF(SUM($F$77:AS$77)=0,0,AS$92/SUM($F$77:AS$77))</f>
        <v>0.6454773495802439</v>
      </c>
      <c r="AT95" s="316" t="n">
        <f>IF(SUM($F$77:AT$77)=0,0,AT$92/SUM($F$77:AT$77))</f>
        <v>0.6454773495802439</v>
      </c>
      <c r="AU95" s="316" t="n">
        <f>IF(SUM($F$77:AU$77)=0,0,AU$92/SUM($F$77:AU$77))</f>
        <v>0.6454773495802439</v>
      </c>
      <c r="AV95" s="316" t="n">
        <f>IF(SUM($F$77:AV$77)=0,0,AV$92/SUM($F$77:AV$77))</f>
        <v>0.6454773495802439</v>
      </c>
      <c r="AW95" s="316" t="n">
        <f>IF(SUM($F$77:AW$77)=0,0,AW$92/SUM($F$77:AW$77))</f>
        <v>0.6454773495802439</v>
      </c>
      <c r="AX95" s="316" t="n">
        <f>IF(SUM($F$77:AX$77)=0,0,AX$92/SUM($F$77:AX$77))</f>
        <v>0.6454773495802439</v>
      </c>
      <c r="AY95" s="316" t="n">
        <f>IF(SUM($F$77:AY$77)=0,0,AY$92/SUM($F$77:AY$77))</f>
        <v>0.6454773495802439</v>
      </c>
      <c r="AZ95" s="316" t="n">
        <f>IF(SUM($F$77:AZ$77)=0,0,AZ$92/SUM($F$77:AZ$77))</f>
        <v>0.6454773495802439</v>
      </c>
      <c r="BA95" s="316" t="n">
        <f>IF(SUM($F$77:BA$77)=0,0,BA$92/SUM($F$77:BA$77))</f>
        <v>0.6454773495802439</v>
      </c>
      <c r="BB95" s="316" t="n">
        <f>IF(SUM($F$77:BB$77)=0,0,BB$92/SUM($F$77:BB$77))</f>
        <v>0.6454773495802439</v>
      </c>
      <c r="BC95" s="316" t="n">
        <f>IF(SUM($F$77:BC$77)=0,0,BC$92/SUM($F$77:BC$77))</f>
        <v>0</v>
      </c>
      <c r="BD95" s="316" t="n">
        <f>IF(SUM($F$77:BD$77)=0,0,BD$92/SUM($F$77:BD$77))</f>
        <v>0</v>
      </c>
      <c r="BE95" s="316" t="n">
        <f>IF(SUM($F$77:BE$77)=0,0,BE$92/SUM($F$77:BE$77))</f>
        <v>0</v>
      </c>
      <c r="BF95" s="316" t="n">
        <f>IF(SUM($F$77:BF$77)=0,0,BF$92/SUM($F$77:BF$77))</f>
        <v>0</v>
      </c>
      <c r="BG95" s="316" t="n">
        <f>IF(SUM($F$77:BG$77)=0,0,BG$92/SUM($F$77:BG$77))</f>
        <v>0</v>
      </c>
      <c r="BH95" s="316" t="n">
        <f>IF(SUM($F$77:BH$77)=0,0,BH$92/SUM($F$77:BH$77))</f>
        <v>0</v>
      </c>
      <c r="BI95" s="316" t="n">
        <f>IF(SUM($F$77:BI$77)=0,0,BI$92/SUM($F$77:BI$77))</f>
        <v>0</v>
      </c>
      <c r="BJ95" s="316" t="n">
        <f>IF(SUM($F$77:BJ$77)=0,0,BJ$92/SUM($F$77:BJ$77))</f>
        <v>0</v>
      </c>
      <c r="BK95" s="316" t="n">
        <f>IF(SUM($F$77:BK$77)=0,0,BK$92/SUM($F$77:BK$77))</f>
        <v>0</v>
      </c>
      <c r="BL95" s="316" t="n">
        <f>IF(SUM($F$77:BL$77)=0,0,BL$92/SUM($F$77:BL$77))</f>
        <v>0</v>
      </c>
      <c r="BM95" s="316" t="n">
        <f>IF(SUM($F$77:BM$77)=0,0,BM$92/SUM($F$77:BM$77))</f>
        <v>0</v>
      </c>
      <c r="BN95" s="316" t="n">
        <f>IF(SUM($F$77:BN$77)=0,0,BN$92/SUM($F$77:BN$77))</f>
        <v>0</v>
      </c>
      <c r="BO95" s="316" t="n">
        <f>IF(SUM($F$77:BO$77)=0,0,BO$92/SUM($F$77:BO$77))</f>
        <v>0</v>
      </c>
      <c r="BP95" s="316" t="n">
        <f>IF(SUM($F$77:BP$77)=0,0,BP$92/SUM($F$77:BP$77))</f>
        <v>0</v>
      </c>
      <c r="BQ95" s="316" t="n">
        <f>IF(SUM($F$77:BQ$77)=0,0,BQ$92/SUM($F$77:BQ$77))</f>
        <v>0</v>
      </c>
      <c r="BR95" s="316" t="n">
        <f>IF(SUM($F$77:BR$77)=0,0,BR$92/SUM($F$77:BR$77))</f>
        <v>0</v>
      </c>
      <c r="BS95" s="316" t="n">
        <f>IF(SUM($F$77:BS$77)=0,0,BS$92/SUM($F$77:BS$77))</f>
        <v>0</v>
      </c>
      <c r="BT95" s="316" t="n">
        <f>IF(SUM($F$77:BT$77)=0,0,BT$92/SUM($F$77:BT$77))</f>
        <v>0</v>
      </c>
      <c r="BU95" s="316" t="n">
        <f>IF(SUM($F$77:BU$77)=0,0,BU$92/SUM($F$77:BU$77))</f>
        <v>0</v>
      </c>
      <c r="BV95" s="316" t="n">
        <f>IF(SUM($F$77:BV$77)=0,0,BV$92/SUM($F$77:BV$77))</f>
        <v>0</v>
      </c>
      <c r="BW95" s="316" t="n">
        <f>IF(SUM($F$77:BW$77)=0,0,BW$92/SUM($F$77:BW$77))</f>
        <v>0</v>
      </c>
      <c r="BX95" s="316" t="n">
        <f>IF(SUM($F$77:BX$77)=0,0,BX$92/SUM($F$77:BX$77))</f>
        <v>0</v>
      </c>
      <c r="BY95" s="316" t="n">
        <f>IF(SUM($F$77:BY$77)=0,0,BY$92/SUM($F$77:BY$77))</f>
        <v>0</v>
      </c>
      <c r="BZ95" s="316" t="n">
        <f>IF(SUM($F$77:BZ$77)=0,0,BZ$92/SUM($F$77:BZ$77))</f>
        <v>0</v>
      </c>
      <c r="CA95" s="316" t="n">
        <f>IF(SUM($F$77:CA$77)=0,0,CA$92/SUM($F$77:CA$77))</f>
        <v>0</v>
      </c>
      <c r="CB95" s="316" t="n">
        <f>IF(SUM($F$77:CB$77)=0,0,CB$92/SUM($F$77:CB$77))</f>
        <v>0</v>
      </c>
      <c r="CC95" s="316" t="n">
        <f>IF(SUM($F$77:CC$77)=0,0,CC$92/SUM($F$77:CC$77))</f>
        <v>0</v>
      </c>
      <c r="CD95" s="316" t="n">
        <f>IF(SUM($F$77:CD$77)=0,0,CD$92/SUM($F$77:CD$77))</f>
        <v>0</v>
      </c>
      <c r="CE95" s="316" t="n">
        <f>IF(SUM($F$77:CE$77)=0,0,CE$92/SUM($F$77:CE$77))</f>
        <v>0</v>
      </c>
      <c r="CF95" s="316" t="n">
        <f>IF(SUM($F$77:CF$77)=0,0,CF$92/SUM($F$77:CF$77))</f>
        <v>0</v>
      </c>
      <c r="CG95" s="316" t="n">
        <f>IF(SUM($F$77:CG$77)=0,0,CG$92/SUM($F$77:CG$77))</f>
        <v>0</v>
      </c>
      <c r="CH95" s="316" t="n">
        <f>IF(SUM($F$77:CH$77)=0,0,CH$92/SUM($F$77:CH$77))</f>
        <v>0</v>
      </c>
      <c r="CI95" s="316" t="n">
        <f>IF(SUM($F$77:CI$77)=0,0,CI$92/SUM($F$77:CI$77))</f>
        <v>0</v>
      </c>
      <c r="CJ95" s="316" t="n">
        <f>IF(SUM($F$77:CJ$77)=0,0,CJ$92/SUM($F$77:CJ$77))</f>
        <v>0</v>
      </c>
      <c r="CK95" s="316" t="n">
        <f>IF(SUM($F$77:CK$77)=0,0,CK$92/SUM($F$77:CK$77))</f>
        <v>0</v>
      </c>
      <c r="CL95" s="316" t="n">
        <f>IF(SUM($F$77:CL$77)=0,0,CL$92/SUM($F$77:CL$77))</f>
        <v>0</v>
      </c>
      <c r="CM95" s="316" t="n">
        <f>IF(SUM($F$77:CM$77)=0,0,CM$92/SUM($F$77:CM$77))</f>
        <v>0</v>
      </c>
      <c r="CN95" s="316" t="n">
        <f>IF(SUM($F$77:CN$77)=0,0,CN$92/SUM($F$77:CN$77))</f>
        <v>0</v>
      </c>
      <c r="CO95" s="316" t="n">
        <f>IF(SUM($F$77:CO$77)=0,0,CO$92/SUM($F$77:CO$77))</f>
        <v>0</v>
      </c>
      <c r="CP95" s="316" t="n">
        <f>IF(SUM($F$77:CP$77)=0,0,CP$92/SUM($F$77:CP$77))</f>
        <v>0</v>
      </c>
      <c r="CQ95" s="316" t="n">
        <f>IF(SUM($F$77:CQ$77)=0,0,CQ$92/SUM($F$77:CQ$77))</f>
        <v>0</v>
      </c>
      <c r="CR95" s="316" t="n">
        <f>IF(SUM($F$77:CR$77)=0,0,CR$92/SUM($F$77:CR$77))</f>
        <v>0</v>
      </c>
      <c r="CS95" s="316" t="n">
        <f>IF(SUM($F$77:CS$77)=0,0,CS$92/SUM($F$77:CS$77))</f>
        <v>0</v>
      </c>
      <c r="CT95" s="316" t="n">
        <f>IF(SUM($F$77:CT$77)=0,0,CT$92/SUM($F$77:CT$77))</f>
        <v>0</v>
      </c>
      <c r="CU95" s="316" t="n">
        <f>IF(SUM($F$77:CU$77)=0,0,CU$92/SUM($F$77:CU$77))</f>
        <v>0</v>
      </c>
      <c r="CV95" s="316" t="n">
        <f>IF(SUM($F$77:CV$77)=0,0,CV$92/SUM($F$77:CV$77))</f>
        <v>0</v>
      </c>
      <c r="CW95" s="316" t="n">
        <f>IF(SUM($F$77:CW$77)=0,0,CW$92/SUM($F$77:CW$77))</f>
        <v>0</v>
      </c>
      <c r="CX95" s="316" t="n">
        <f>IF(SUM($F$77:CX$77)=0,0,CX$92/SUM($F$77:CX$77))</f>
        <v>0</v>
      </c>
      <c r="CY95" s="316" t="n">
        <f>IF(SUM($F$77:CY$77)=0,0,CY$92/SUM($F$77:CY$77))</f>
        <v>0</v>
      </c>
      <c r="CZ95" s="316" t="n">
        <f>IF(SUM($F$77:CZ$77)=0,0,CZ$92/SUM($F$77:CZ$77))</f>
        <v>0</v>
      </c>
      <c r="DA95" s="316" t="n">
        <f>IF(SUM($F$77:DA$77)=0,0,DA$92/SUM($F$77:DA$77))</f>
        <v>0</v>
      </c>
      <c r="DB95" s="316" t="n">
        <f>IF(SUM($F$77:DB$77)=0,0,DB$92/SUM($F$77:DB$77))</f>
        <v>0</v>
      </c>
      <c r="DC95" s="316" t="n">
        <f>IF(SUM($F$77:DC$77)=0,0,DC$92/SUM($F$77:DC$77))</f>
        <v>0</v>
      </c>
      <c r="DD95" s="316" t="n">
        <f>IF(SUM($F$77:DD$77)=0,0,DD$92/SUM($F$77:DD$77))</f>
        <v>0</v>
      </c>
      <c r="DE95" s="316" t="n">
        <f>IF(SUM($F$77:DE$77)=0,0,DE$92/SUM($F$77:DE$77))</f>
        <v>0</v>
      </c>
      <c r="DF95" s="316" t="n">
        <f>IF(SUM($F$77:DF$77)=0,0,DF$92/SUM($F$77:DF$77))</f>
        <v>0</v>
      </c>
      <c r="DG95" s="316" t="n">
        <f>IF(SUM($F$77:DG$77)=0,0,DG$92/SUM($F$77:DG$77))</f>
        <v>0</v>
      </c>
      <c r="DH95" s="316" t="n">
        <f>IF(SUM($F$77:DH$77)=0,0,DH$92/SUM($F$77:DH$77))</f>
        <v>0</v>
      </c>
      <c r="DI95" s="316" t="n">
        <f>IF(SUM($F$77:DI$77)=0,0,DI$92/SUM($F$77:DI$77))</f>
        <v>0</v>
      </c>
      <c r="DJ95" s="316" t="n">
        <f>IF(SUM($F$77:DJ$77)=0,0,DJ$92/SUM($F$77:DJ$77))</f>
        <v>0</v>
      </c>
      <c r="DK95" s="316" t="n">
        <f>IF(SUM($F$77:DK$77)=0,0,DK$92/SUM($F$77:DK$77))</f>
        <v>0</v>
      </c>
      <c r="DL95" s="316" t="n">
        <f>IF(SUM($F$77:DL$77)=0,0,DL$92/SUM($F$77:DL$77))</f>
        <v>0</v>
      </c>
      <c r="DM95" s="316" t="n">
        <f>IF(SUM($F$77:DM$77)=0,0,DM$92/SUM($F$77:DM$77))</f>
        <v>0</v>
      </c>
      <c r="DN95" s="316" t="n">
        <f>IF(SUM($F$77:DN$77)=0,0,DN$92/SUM($F$77:DN$77))</f>
        <v>0</v>
      </c>
      <c r="DO95" s="316" t="n">
        <f>IF(SUM($F$77:DO$77)=0,0,DO$92/SUM($F$77:DO$77))</f>
        <v>0</v>
      </c>
      <c r="DP95" s="316" t="n">
        <f>IF(SUM($F$77:DP$77)=0,0,DP$92/SUM($F$77:DP$77))</f>
        <v>0</v>
      </c>
      <c r="DQ95" s="316" t="n">
        <f>IF(SUM($F$77:DQ$77)=0,0,DQ$92/SUM($F$77:DQ$77))</f>
        <v>0</v>
      </c>
      <c r="DR95" s="316" t="n">
        <f>IF(SUM($F$77:DR$77)=0,0,DR$92/SUM($F$77:DR$77))</f>
        <v>0</v>
      </c>
      <c r="DS95" s="316" t="n">
        <f>IF(SUM($F$77:DS$77)=0,0,DS$92/SUM($F$77:DS$77))</f>
        <v>0</v>
      </c>
      <c r="DT95" s="316" t="n">
        <f>IF(SUM($F$77:DT$77)=0,0,DT$92/SUM($F$77:DT$77))</f>
        <v>0</v>
      </c>
      <c r="DU95" s="316" t="n">
        <f>IF(SUM($F$77:DU$77)=0,0,DU$92/SUM($F$77:DU$77))</f>
        <v>0</v>
      </c>
      <c r="DV95" s="316" t="n">
        <f>IF(SUM($F$77:DV$77)=0,0,DV$92/SUM($F$77:DV$77))</f>
        <v>0</v>
      </c>
    </row>
    <row r="96" ht="15" customHeight="1">
      <c r="A96" s="311" t="s">
        <v>1492</v>
      </c>
      <c r="B96" s="312" t="s">
        <v>78</v>
      </c>
      <c r="C96" s="702" t="s">
        <v>1493</v>
      </c>
      <c r="D96" s="703"/>
      <c r="F96" s="316" t="n">
        <f>IF('VALUATION &amp; RETURNS'!$DA$8*1000000*INDEX($O$31:$O$33,MATCH($B$6,$J$31:$J$33,0))=0,0,F$92/('VALUATION &amp; RETURNS'!$DA$8*1000000*INDEX($O$31:$O$33,MATCH($B$6,$J$31:$J$33,0))))</f>
        <v>0</v>
      </c>
      <c r="G96" s="316" t="n">
        <f>IF('VALUATION &amp; RETURNS'!$DA$8*1000000*INDEX($O$31:$O$33,MATCH($B$6,$J$31:$J$33,0))=0,0,G$92/('VALUATION &amp; RETURNS'!$DA$8*1000000*INDEX($O$31:$O$33,MATCH($B$6,$J$31:$J$33,0))))</f>
        <v>0.00046061491141545085</v>
      </c>
      <c r="H96" s="316" t="n">
        <f>IF('VALUATION &amp; RETURNS'!$DA$8*1000000*INDEX($O$31:$O$33,MATCH($B$6,$J$31:$J$33,0))=0,0,H$92/('VALUATION &amp; RETURNS'!$DA$8*1000000*INDEX($O$31:$O$33,MATCH($B$6,$J$31:$J$33,0))))</f>
        <v>0</v>
      </c>
      <c r="I96" s="316" t="n">
        <f>IF('VALUATION &amp; RETURNS'!$DA$8*1000000*INDEX($O$31:$O$33,MATCH($B$6,$J$31:$J$33,0))=0,0,I$92/('VALUATION &amp; RETURNS'!$DA$8*1000000*INDEX($O$31:$O$33,MATCH($B$6,$J$31:$J$33,0))))</f>
        <v>0.00046061491141545085</v>
      </c>
      <c r="J96" s="316" t="n">
        <f>IF('VALUATION &amp; RETURNS'!$DA$8*1000000*INDEX($O$31:$O$33,MATCH($B$6,$J$31:$J$33,0))=0,0,J$92/('VALUATION &amp; RETURNS'!$DA$8*1000000*INDEX($O$31:$O$33,MATCH($B$6,$J$31:$J$33,0))))</f>
        <v>0.0009212298228309017</v>
      </c>
      <c r="K96" s="316" t="n">
        <f>IF('VALUATION &amp; RETURNS'!$DA$8*1000000*INDEX($O$31:$O$33,MATCH($B$6,$J$31:$J$33,0))=0,0,K$92/('VALUATION &amp; RETURNS'!$DA$8*1000000*INDEX($O$31:$O$33,MATCH($B$6,$J$31:$J$33,0))))</f>
        <v>0.0013818447342463526</v>
      </c>
      <c r="L96" s="316" t="n">
        <f>IF('VALUATION &amp; RETURNS'!$DA$8*1000000*INDEX($O$31:$O$33,MATCH($B$6,$J$31:$J$33,0))=0,0,L$92/('VALUATION &amp; RETURNS'!$DA$8*1000000*INDEX($O$31:$O$33,MATCH($B$6,$J$31:$J$33,0))))</f>
        <v>0.0018424596456618034</v>
      </c>
      <c r="M96" s="316" t="n">
        <f>IF('VALUATION &amp; RETURNS'!$DA$8*1000000*INDEX($O$31:$O$33,MATCH($B$6,$J$31:$J$33,0))=0,0,M$92/('VALUATION &amp; RETURNS'!$DA$8*1000000*INDEX($O$31:$O$33,MATCH($B$6,$J$31:$J$33,0))))</f>
        <v>0.002303074557077254</v>
      </c>
      <c r="N96" s="316" t="n">
        <f>IF('VALUATION &amp; RETURNS'!$DA$8*1000000*INDEX($O$31:$O$33,MATCH($B$6,$J$31:$J$33,0))=0,0,N$92/('VALUATION &amp; RETURNS'!$DA$8*1000000*INDEX($O$31:$O$33,MATCH($B$6,$J$31:$J$33,0))))</f>
        <v>0.002763689468492705</v>
      </c>
      <c r="O96" s="316" t="n">
        <f>IF('VALUATION &amp; RETURNS'!$DA$8*1000000*INDEX($O$31:$O$33,MATCH($B$6,$J$31:$J$33,0))=0,0,O$92/('VALUATION &amp; RETURNS'!$DA$8*1000000*INDEX($O$31:$O$33,MATCH($B$6,$J$31:$J$33,0))))</f>
        <v>0.003224304379908156</v>
      </c>
      <c r="P96" s="316" t="n">
        <f>IF('VALUATION &amp; RETURNS'!$DA$8*1000000*INDEX($O$31:$O$33,MATCH($B$6,$J$31:$J$33,0))=0,0,P$92/('VALUATION &amp; RETURNS'!$DA$8*1000000*INDEX($O$31:$O$33,MATCH($B$6,$J$31:$J$33,0))))</f>
        <v>0.0036849192913236068</v>
      </c>
      <c r="Q96" s="316" t="n">
        <f>IF('VALUATION &amp; RETURNS'!$DA$8*1000000*INDEX($O$31:$O$33,MATCH($B$6,$J$31:$J$33,0))=0,0,Q$92/('VALUATION &amp; RETURNS'!$DA$8*1000000*INDEX($O$31:$O$33,MATCH($B$6,$J$31:$J$33,0))))</f>
        <v>0.0041455342027390575</v>
      </c>
      <c r="R96" s="316" t="n">
        <f>IF('VALUATION &amp; RETURNS'!$DA$8*1000000*INDEX($O$31:$O$33,MATCH($B$6,$J$31:$J$33,0))=0,0,R$92/('VALUATION &amp; RETURNS'!$DA$8*1000000*INDEX($O$31:$O$33,MATCH($B$6,$J$31:$J$33,0))))</f>
        <v>0.004606149114154508</v>
      </c>
      <c r="S96" s="316" t="n">
        <f>IF('VALUATION &amp; RETURNS'!$DA$8*1000000*INDEX($O$31:$O$33,MATCH($B$6,$J$31:$J$33,0))=0,0,S$92/('VALUATION &amp; RETURNS'!$DA$8*1000000*INDEX($O$31:$O$33,MATCH($B$6,$J$31:$J$33,0))))</f>
        <v>0.005066764025569959</v>
      </c>
      <c r="T96" s="316" t="n">
        <f>IF('VALUATION &amp; RETURNS'!$DA$8*1000000*INDEX($O$31:$O$33,MATCH($B$6,$J$31:$J$33,0))=0,0,T$92/('VALUATION &amp; RETURNS'!$DA$8*1000000*INDEX($O$31:$O$33,MATCH($B$6,$J$31:$J$33,0))))</f>
        <v>0.00552737893698541</v>
      </c>
      <c r="U96" s="316" t="n">
        <f>IF('VALUATION &amp; RETURNS'!$DA$8*1000000*INDEX($O$31:$O$33,MATCH($B$6,$J$31:$J$33,0))=0,0,U$92/('VALUATION &amp; RETURNS'!$DA$8*1000000*INDEX($O$31:$O$33,MATCH($B$6,$J$31:$J$33,0))))</f>
        <v>0.0059879938484008605</v>
      </c>
      <c r="V96" s="316" t="n">
        <f>IF('VALUATION &amp; RETURNS'!$DA$8*1000000*INDEX($O$31:$O$33,MATCH($B$6,$J$31:$J$33,0))=0,0,V$92/('VALUATION &amp; RETURNS'!$DA$8*1000000*INDEX($O$31:$O$33,MATCH($B$6,$J$31:$J$33,0))))</f>
        <v>0.030210454187190455</v>
      </c>
      <c r="W96" s="316" t="n">
        <f>IF('VALUATION &amp; RETURNS'!$DA$8*1000000*INDEX($O$31:$O$33,MATCH($B$6,$J$31:$J$33,0))=0,0,W$92/('VALUATION &amp; RETURNS'!$DA$8*1000000*INDEX($O$31:$O$33,MATCH($B$6,$J$31:$J$33,0))))</f>
        <v>0.06226398269653216</v>
      </c>
      <c r="X96" s="316" t="n">
        <f>IF('VALUATION &amp; RETURNS'!$DA$8*1000000*INDEX($O$31:$O$33,MATCH($B$6,$J$31:$J$33,0))=0,0,X$92/('VALUATION &amp; RETURNS'!$DA$8*1000000*INDEX($O$31:$O$33,MATCH($B$6,$J$31:$J$33,0))))</f>
        <v>0.09461971452648496</v>
      </c>
      <c r="Y96" s="316" t="n">
        <f>IF('VALUATION &amp; RETURNS'!$DA$8*1000000*INDEX($O$31:$O$33,MATCH($B$6,$J$31:$J$33,0))=0,0,Y$92/('VALUATION &amp; RETURNS'!$DA$8*1000000*INDEX($O$31:$O$33,MATCH($B$6,$J$31:$J$33,0))))</f>
        <v>0.1264164132321713</v>
      </c>
      <c r="Z96" s="316" t="n">
        <f>IF('VALUATION &amp; RETURNS'!$DA$8*1000000*INDEX($O$31:$O$33,MATCH($B$6,$J$31:$J$33,0))=0,0,Z$92/('VALUATION &amp; RETURNS'!$DA$8*1000000*INDEX($O$31:$O$33,MATCH($B$6,$J$31:$J$33,0))))</f>
        <v>0.15683604818601019</v>
      </c>
      <c r="AA96" s="316" t="n">
        <f>IF('VALUATION &amp; RETURNS'!$DA$8*1000000*INDEX($O$31:$O$33,MATCH($B$6,$J$31:$J$33,0))=0,0,AA$92/('VALUATION &amp; RETURNS'!$DA$8*1000000*INDEX($O$31:$O$33,MATCH($B$6,$J$31:$J$33,0))))</f>
        <v>0.18516554454234846</v>
      </c>
      <c r="AB96" s="316" t="n">
        <f>IF('VALUATION &amp; RETURNS'!$DA$8*1000000*INDEX($O$31:$O$33,MATCH($B$6,$J$31:$J$33,0))=0,0,AB$92/('VALUATION &amp; RETURNS'!$DA$8*1000000*INDEX($O$31:$O$33,MATCH($B$6,$J$31:$J$33,0))))</f>
        <v>0.2108453156499292</v>
      </c>
      <c r="AC96" s="316" t="n">
        <f>IF('VALUATION &amp; RETURNS'!$DA$8*1000000*INDEX($O$31:$O$33,MATCH($B$6,$J$31:$J$33,0))=0,0,AC$92/('VALUATION &amp; RETURNS'!$DA$8*1000000*INDEX($O$31:$O$33,MATCH($B$6,$J$31:$J$33,0))))</f>
        <v>0.23349918842850087</v>
      </c>
      <c r="AD96" s="316" t="n">
        <f>IF('VALUATION &amp; RETURNS'!$DA$8*1000000*INDEX($O$31:$O$33,MATCH($B$6,$J$31:$J$33,0))=0,0,AD$92/('VALUATION &amp; RETURNS'!$DA$8*1000000*INDEX($O$31:$O$33,MATCH($B$6,$J$31:$J$33,0))))</f>
        <v>0.25294346012144336</v>
      </c>
      <c r="AE96" s="316" t="n">
        <f>IF('VALUATION &amp; RETURNS'!$DA$8*1000000*INDEX($O$31:$O$33,MATCH($B$6,$J$31:$J$33,0))=0,0,AE$92/('VALUATION &amp; RETURNS'!$DA$8*1000000*INDEX($O$31:$O$33,MATCH($B$6,$J$31:$J$33,0))))</f>
        <v>0.2691761006471541</v>
      </c>
      <c r="AF96" s="316" t="n">
        <f>IF('VALUATION &amp; RETURNS'!$DA$8*1000000*INDEX($O$31:$O$33,MATCH($B$6,$J$31:$J$33,0))=0,0,AF$92/('VALUATION &amp; RETURNS'!$DA$8*1000000*INDEX($O$31:$O$33,MATCH($B$6,$J$31:$J$33,0))))</f>
        <v>0.28234988765306257</v>
      </c>
      <c r="AG96" s="316" t="n">
        <f>IF('VALUATION &amp; RETURNS'!$DA$8*1000000*INDEX($O$31:$O$33,MATCH($B$6,$J$31:$J$33,0))=0,0,AG$92/('VALUATION &amp; RETURNS'!$DA$8*1000000*INDEX($O$31:$O$33,MATCH($B$6,$J$31:$J$33,0))))</f>
        <v>0.29273505460142546</v>
      </c>
      <c r="AH96" s="316" t="n">
        <f>IF('VALUATION &amp; RETURNS'!$DA$8*1000000*INDEX($O$31:$O$33,MATCH($B$6,$J$31:$J$33,0))=0,0,AH$92/('VALUATION &amp; RETURNS'!$DA$8*1000000*INDEX($O$31:$O$33,MATCH($B$6,$J$31:$J$33,0))))</f>
        <v>0.2997533783719739</v>
      </c>
      <c r="AI96" s="316" t="n">
        <f>IF('VALUATION &amp; RETURNS'!$DA$8*1000000*INDEX($O$31:$O$33,MATCH($B$6,$J$31:$J$33,0))=0,0,AI$92/('VALUATION &amp; RETURNS'!$DA$8*1000000*INDEX($O$31:$O$33,MATCH($B$6,$J$31:$J$33,0))))</f>
        <v>0.30270419652788516</v>
      </c>
      <c r="AJ96" s="316" t="n">
        <f>IF('VALUATION &amp; RETURNS'!$DA$8*1000000*INDEX($O$31:$O$33,MATCH($B$6,$J$31:$J$33,0))=0,0,AJ$92/('VALUATION &amp; RETURNS'!$DA$8*1000000*INDEX($O$31:$O$33,MATCH($B$6,$J$31:$J$33,0))))</f>
        <v>0.30478966462078</v>
      </c>
      <c r="AK96" s="316" t="n">
        <f>IF('VALUATION &amp; RETURNS'!$DA$8*1000000*INDEX($O$31:$O$33,MATCH($B$6,$J$31:$J$33,0))=0,0,AK$92/('VALUATION &amp; RETURNS'!$DA$8*1000000*INDEX($O$31:$O$33,MATCH($B$6,$J$31:$J$33,0))))</f>
        <v>0.3061839593688503</v>
      </c>
      <c r="AL96" s="316" t="n">
        <f>IF('VALUATION &amp; RETURNS'!$DA$8*1000000*INDEX($O$31:$O$33,MATCH($B$6,$J$31:$J$33,0))=0,0,AL$92/('VALUATION &amp; RETURNS'!$DA$8*1000000*INDEX($O$31:$O$33,MATCH($B$6,$J$31:$J$33,0))))</f>
        <v>0.3064493093715754</v>
      </c>
      <c r="AM96" s="316" t="n">
        <f>IF('VALUATION &amp; RETURNS'!$DA$8*1000000*INDEX($O$31:$O$33,MATCH($B$6,$J$31:$J$33,0))=0,0,AM$92/('VALUATION &amp; RETURNS'!$DA$8*1000000*INDEX($O$31:$O$33,MATCH($B$6,$J$31:$J$33,0))))</f>
        <v>0.30750073489851304</v>
      </c>
      <c r="AN96" s="316" t="n">
        <f>IF('VALUATION &amp; RETURNS'!$DA$8*1000000*INDEX($O$31:$O$33,MATCH($B$6,$J$31:$J$33,0))=0,0,AN$92/('VALUATION &amp; RETURNS'!$DA$8*1000000*INDEX($O$31:$O$33,MATCH($B$6,$J$31:$J$33,0))))</f>
        <v>0.30785259101330087</v>
      </c>
      <c r="AO96" s="316" t="n">
        <f>IF('VALUATION &amp; RETURNS'!$DA$8*1000000*INDEX($O$31:$O$33,MATCH($B$6,$J$31:$J$33,0))=0,0,AO$92/('VALUATION &amp; RETURNS'!$DA$8*1000000*INDEX($O$31:$O$33,MATCH($B$6,$J$31:$J$33,0))))</f>
        <v>0.3080049716880522</v>
      </c>
      <c r="AP96" s="316" t="n">
        <f>IF('VALUATION &amp; RETURNS'!$DA$8*1000000*INDEX($O$31:$O$33,MATCH($B$6,$J$31:$J$33,0))=0,0,AP$92/('VALUATION &amp; RETURNS'!$DA$8*1000000*INDEX($O$31:$O$33,MATCH($B$6,$J$31:$J$33,0))))</f>
        <v>0.30805056395167024</v>
      </c>
      <c r="AQ96" s="316" t="n">
        <f>IF('VALUATION &amp; RETURNS'!$DA$8*1000000*INDEX($O$31:$O$33,MATCH($B$6,$J$31:$J$33,0))=0,0,AQ$92/('VALUATION &amp; RETURNS'!$DA$8*1000000*INDEX($O$31:$O$33,MATCH($B$6,$J$31:$J$33,0))))</f>
        <v>0.30805056395167024</v>
      </c>
      <c r="AR96" s="316" t="n">
        <f>IF('VALUATION &amp; RETURNS'!$DA$8*1000000*INDEX($O$31:$O$33,MATCH($B$6,$J$31:$J$33,0))=0,0,AR$92/('VALUATION &amp; RETURNS'!$DA$8*1000000*INDEX($O$31:$O$33,MATCH($B$6,$J$31:$J$33,0))))</f>
        <v>0.30805056395167024</v>
      </c>
      <c r="AS96" s="316" t="n">
        <f>IF('VALUATION &amp; RETURNS'!$DA$8*1000000*INDEX($O$31:$O$33,MATCH($B$6,$J$31:$J$33,0))=0,0,AS$92/('VALUATION &amp; RETURNS'!$DA$8*1000000*INDEX($O$31:$O$33,MATCH($B$6,$J$31:$J$33,0))))</f>
        <v>0.30805056395167024</v>
      </c>
      <c r="AT96" s="316" t="n">
        <f>IF('VALUATION &amp; RETURNS'!$DA$8*1000000*INDEX($O$31:$O$33,MATCH($B$6,$J$31:$J$33,0))=0,0,AT$92/('VALUATION &amp; RETURNS'!$DA$8*1000000*INDEX($O$31:$O$33,MATCH($B$6,$J$31:$J$33,0))))</f>
        <v>0.30805056395167024</v>
      </c>
      <c r="AU96" s="316" t="n">
        <f>IF('VALUATION &amp; RETURNS'!$DA$8*1000000*INDEX($O$31:$O$33,MATCH($B$6,$J$31:$J$33,0))=0,0,AU$92/('VALUATION &amp; RETURNS'!$DA$8*1000000*INDEX($O$31:$O$33,MATCH($B$6,$J$31:$J$33,0))))</f>
        <v>0.30805056395167024</v>
      </c>
      <c r="AV96" s="316" t="n">
        <f>IF('VALUATION &amp; RETURNS'!$DA$8*1000000*INDEX($O$31:$O$33,MATCH($B$6,$J$31:$J$33,0))=0,0,AV$92/('VALUATION &amp; RETURNS'!$DA$8*1000000*INDEX($O$31:$O$33,MATCH($B$6,$J$31:$J$33,0))))</f>
        <v>0.30805056395167024</v>
      </c>
      <c r="AW96" s="316" t="n">
        <f>IF('VALUATION &amp; RETURNS'!$DA$8*1000000*INDEX($O$31:$O$33,MATCH($B$6,$J$31:$J$33,0))=0,0,AW$92/('VALUATION &amp; RETURNS'!$DA$8*1000000*INDEX($O$31:$O$33,MATCH($B$6,$J$31:$J$33,0))))</f>
        <v>0.30805056395167024</v>
      </c>
      <c r="AX96" s="316" t="n">
        <f>IF('VALUATION &amp; RETURNS'!$DA$8*1000000*INDEX($O$31:$O$33,MATCH($B$6,$J$31:$J$33,0))=0,0,AX$92/('VALUATION &amp; RETURNS'!$DA$8*1000000*INDEX($O$31:$O$33,MATCH($B$6,$J$31:$J$33,0))))</f>
        <v>0.30805056395167024</v>
      </c>
      <c r="AY96" s="316" t="n">
        <f>IF('VALUATION &amp; RETURNS'!$DA$8*1000000*INDEX($O$31:$O$33,MATCH($B$6,$J$31:$J$33,0))=0,0,AY$92/('VALUATION &amp; RETURNS'!$DA$8*1000000*INDEX($O$31:$O$33,MATCH($B$6,$J$31:$J$33,0))))</f>
        <v>0.30805056395167024</v>
      </c>
      <c r="AZ96" s="316" t="n">
        <f>IF('VALUATION &amp; RETURNS'!$DA$8*1000000*INDEX($O$31:$O$33,MATCH($B$6,$J$31:$J$33,0))=0,0,AZ$92/('VALUATION &amp; RETURNS'!$DA$8*1000000*INDEX($O$31:$O$33,MATCH($B$6,$J$31:$J$33,0))))</f>
        <v>0.30805056395167024</v>
      </c>
      <c r="BA96" s="316" t="n">
        <f>IF('VALUATION &amp; RETURNS'!$DA$8*1000000*INDEX($O$31:$O$33,MATCH($B$6,$J$31:$J$33,0))=0,0,BA$92/('VALUATION &amp; RETURNS'!$DA$8*1000000*INDEX($O$31:$O$33,MATCH($B$6,$J$31:$J$33,0))))</f>
        <v>0.30805056395167024</v>
      </c>
      <c r="BB96" s="316" t="n">
        <f>IF('VALUATION &amp; RETURNS'!$DA$8*1000000*INDEX($O$31:$O$33,MATCH($B$6,$J$31:$J$33,0))=0,0,BB$92/('VALUATION &amp; RETURNS'!$DA$8*1000000*INDEX($O$31:$O$33,MATCH($B$6,$J$31:$J$33,0))))</f>
        <v>0.30805056395167024</v>
      </c>
      <c r="BC96" s="316" t="n">
        <f>IF('VALUATION &amp; RETURNS'!$DA$8*1000000*INDEX($O$31:$O$33,MATCH($B$6,$J$31:$J$33,0))=0,0,BC$92/('VALUATION &amp; RETURNS'!$DA$8*1000000*INDEX($O$31:$O$33,MATCH($B$6,$J$31:$J$33,0))))</f>
        <v>0</v>
      </c>
      <c r="BD96" s="316" t="n">
        <f>IF('VALUATION &amp; RETURNS'!$DA$8*1000000*INDEX($O$31:$O$33,MATCH($B$6,$J$31:$J$33,0))=0,0,BD$92/('VALUATION &amp; RETURNS'!$DA$8*1000000*INDEX($O$31:$O$33,MATCH($B$6,$J$31:$J$33,0))))</f>
        <v>0</v>
      </c>
      <c r="BE96" s="316" t="n">
        <f>IF('VALUATION &amp; RETURNS'!$DA$8*1000000*INDEX($O$31:$O$33,MATCH($B$6,$J$31:$J$33,0))=0,0,BE$92/('VALUATION &amp; RETURNS'!$DA$8*1000000*INDEX($O$31:$O$33,MATCH($B$6,$J$31:$J$33,0))))</f>
        <v>0</v>
      </c>
      <c r="BF96" s="316" t="n">
        <f>IF('VALUATION &amp; RETURNS'!$DA$8*1000000*INDEX($O$31:$O$33,MATCH($B$6,$J$31:$J$33,0))=0,0,BF$92/('VALUATION &amp; RETURNS'!$DA$8*1000000*INDEX($O$31:$O$33,MATCH($B$6,$J$31:$J$33,0))))</f>
        <v>0</v>
      </c>
      <c r="BG96" s="316" t="n">
        <f>IF('VALUATION &amp; RETURNS'!$DA$8*1000000*INDEX($O$31:$O$33,MATCH($B$6,$J$31:$J$33,0))=0,0,BG$92/('VALUATION &amp; RETURNS'!$DA$8*1000000*INDEX($O$31:$O$33,MATCH($B$6,$J$31:$J$33,0))))</f>
        <v>0</v>
      </c>
      <c r="BH96" s="316" t="n">
        <f>IF('VALUATION &amp; RETURNS'!$DA$8*1000000*INDEX($O$31:$O$33,MATCH($B$6,$J$31:$J$33,0))=0,0,BH$92/('VALUATION &amp; RETURNS'!$DA$8*1000000*INDEX($O$31:$O$33,MATCH($B$6,$J$31:$J$33,0))))</f>
        <v>0</v>
      </c>
      <c r="BI96" s="316" t="n">
        <f>IF('VALUATION &amp; RETURNS'!$DA$8*1000000*INDEX($O$31:$O$33,MATCH($B$6,$J$31:$J$33,0))=0,0,BI$92/('VALUATION &amp; RETURNS'!$DA$8*1000000*INDEX($O$31:$O$33,MATCH($B$6,$J$31:$J$33,0))))</f>
        <v>0</v>
      </c>
      <c r="BJ96" s="316" t="n">
        <f>IF('VALUATION &amp; RETURNS'!$DA$8*1000000*INDEX($O$31:$O$33,MATCH($B$6,$J$31:$J$33,0))=0,0,BJ$92/('VALUATION &amp; RETURNS'!$DA$8*1000000*INDEX($O$31:$O$33,MATCH($B$6,$J$31:$J$33,0))))</f>
        <v>0</v>
      </c>
      <c r="BK96" s="316" t="n">
        <f>IF('VALUATION &amp; RETURNS'!$DA$8*1000000*INDEX($O$31:$O$33,MATCH($B$6,$J$31:$J$33,0))=0,0,BK$92/('VALUATION &amp; RETURNS'!$DA$8*1000000*INDEX($O$31:$O$33,MATCH($B$6,$J$31:$J$33,0))))</f>
        <v>0</v>
      </c>
      <c r="BL96" s="316" t="n">
        <f>IF('VALUATION &amp; RETURNS'!$DA$8*1000000*INDEX($O$31:$O$33,MATCH($B$6,$J$31:$J$33,0))=0,0,BL$92/('VALUATION &amp; RETURNS'!$DA$8*1000000*INDEX($O$31:$O$33,MATCH($B$6,$J$31:$J$33,0))))</f>
        <v>0</v>
      </c>
      <c r="BM96" s="316" t="n">
        <f>IF('VALUATION &amp; RETURNS'!$DA$8*1000000*INDEX($O$31:$O$33,MATCH($B$6,$J$31:$J$33,0))=0,0,BM$92/('VALUATION &amp; RETURNS'!$DA$8*1000000*INDEX($O$31:$O$33,MATCH($B$6,$J$31:$J$33,0))))</f>
        <v>0</v>
      </c>
      <c r="BN96" s="316" t="n">
        <f>IF('VALUATION &amp; RETURNS'!$DA$8*1000000*INDEX($O$31:$O$33,MATCH($B$6,$J$31:$J$33,0))=0,0,BN$92/('VALUATION &amp; RETURNS'!$DA$8*1000000*INDEX($O$31:$O$33,MATCH($B$6,$J$31:$J$33,0))))</f>
        <v>0</v>
      </c>
      <c r="BO96" s="316" t="n">
        <f>IF('VALUATION &amp; RETURNS'!$DA$8*1000000*INDEX($O$31:$O$33,MATCH($B$6,$J$31:$J$33,0))=0,0,BO$92/('VALUATION &amp; RETURNS'!$DA$8*1000000*INDEX($O$31:$O$33,MATCH($B$6,$J$31:$J$33,0))))</f>
        <v>0</v>
      </c>
      <c r="BP96" s="316" t="n">
        <f>IF('VALUATION &amp; RETURNS'!$DA$8*1000000*INDEX($O$31:$O$33,MATCH($B$6,$J$31:$J$33,0))=0,0,BP$92/('VALUATION &amp; RETURNS'!$DA$8*1000000*INDEX($O$31:$O$33,MATCH($B$6,$J$31:$J$33,0))))</f>
        <v>0</v>
      </c>
      <c r="BQ96" s="316" t="n">
        <f>IF('VALUATION &amp; RETURNS'!$DA$8*1000000*INDEX($O$31:$O$33,MATCH($B$6,$J$31:$J$33,0))=0,0,BQ$92/('VALUATION &amp; RETURNS'!$DA$8*1000000*INDEX($O$31:$O$33,MATCH($B$6,$J$31:$J$33,0))))</f>
        <v>0</v>
      </c>
      <c r="BR96" s="316" t="n">
        <f>IF('VALUATION &amp; RETURNS'!$DA$8*1000000*INDEX($O$31:$O$33,MATCH($B$6,$J$31:$J$33,0))=0,0,BR$92/('VALUATION &amp; RETURNS'!$DA$8*1000000*INDEX($O$31:$O$33,MATCH($B$6,$J$31:$J$33,0))))</f>
        <v>0</v>
      </c>
      <c r="BS96" s="316" t="n">
        <f>IF('VALUATION &amp; RETURNS'!$DA$8*1000000*INDEX($O$31:$O$33,MATCH($B$6,$J$31:$J$33,0))=0,0,BS$92/('VALUATION &amp; RETURNS'!$DA$8*1000000*INDEX($O$31:$O$33,MATCH($B$6,$J$31:$J$33,0))))</f>
        <v>0</v>
      </c>
      <c r="BT96" s="316" t="n">
        <f>IF('VALUATION &amp; RETURNS'!$DA$8*1000000*INDEX($O$31:$O$33,MATCH($B$6,$J$31:$J$33,0))=0,0,BT$92/('VALUATION &amp; RETURNS'!$DA$8*1000000*INDEX($O$31:$O$33,MATCH($B$6,$J$31:$J$33,0))))</f>
        <v>0</v>
      </c>
      <c r="BU96" s="316" t="n">
        <f>IF('VALUATION &amp; RETURNS'!$DA$8*1000000*INDEX($O$31:$O$33,MATCH($B$6,$J$31:$J$33,0))=0,0,BU$92/('VALUATION &amp; RETURNS'!$DA$8*1000000*INDEX($O$31:$O$33,MATCH($B$6,$J$31:$J$33,0))))</f>
        <v>0</v>
      </c>
      <c r="BV96" s="316" t="n">
        <f>IF('VALUATION &amp; RETURNS'!$DA$8*1000000*INDEX($O$31:$O$33,MATCH($B$6,$J$31:$J$33,0))=0,0,BV$92/('VALUATION &amp; RETURNS'!$DA$8*1000000*INDEX($O$31:$O$33,MATCH($B$6,$J$31:$J$33,0))))</f>
        <v>0</v>
      </c>
      <c r="BW96" s="316" t="n">
        <f>IF('VALUATION &amp; RETURNS'!$DA$8*1000000*INDEX($O$31:$O$33,MATCH($B$6,$J$31:$J$33,0))=0,0,BW$92/('VALUATION &amp; RETURNS'!$DA$8*1000000*INDEX($O$31:$O$33,MATCH($B$6,$J$31:$J$33,0))))</f>
        <v>0</v>
      </c>
      <c r="BX96" s="316" t="n">
        <f>IF('VALUATION &amp; RETURNS'!$DA$8*1000000*INDEX($O$31:$O$33,MATCH($B$6,$J$31:$J$33,0))=0,0,BX$92/('VALUATION &amp; RETURNS'!$DA$8*1000000*INDEX($O$31:$O$33,MATCH($B$6,$J$31:$J$33,0))))</f>
        <v>0</v>
      </c>
      <c r="BY96" s="316" t="n">
        <f>IF('VALUATION &amp; RETURNS'!$DA$8*1000000*INDEX($O$31:$O$33,MATCH($B$6,$J$31:$J$33,0))=0,0,BY$92/('VALUATION &amp; RETURNS'!$DA$8*1000000*INDEX($O$31:$O$33,MATCH($B$6,$J$31:$J$33,0))))</f>
        <v>0</v>
      </c>
      <c r="BZ96" s="316" t="n">
        <f>IF('VALUATION &amp; RETURNS'!$DA$8*1000000*INDEX($O$31:$O$33,MATCH($B$6,$J$31:$J$33,0))=0,0,BZ$92/('VALUATION &amp; RETURNS'!$DA$8*1000000*INDEX($O$31:$O$33,MATCH($B$6,$J$31:$J$33,0))))</f>
        <v>0</v>
      </c>
      <c r="CA96" s="316" t="n">
        <f>IF('VALUATION &amp; RETURNS'!$DA$8*1000000*INDEX($O$31:$O$33,MATCH($B$6,$J$31:$J$33,0))=0,0,CA$92/('VALUATION &amp; RETURNS'!$DA$8*1000000*INDEX($O$31:$O$33,MATCH($B$6,$J$31:$J$33,0))))</f>
        <v>0</v>
      </c>
      <c r="CB96" s="316" t="n">
        <f>IF('VALUATION &amp; RETURNS'!$DA$8*1000000*INDEX($O$31:$O$33,MATCH($B$6,$J$31:$J$33,0))=0,0,CB$92/('VALUATION &amp; RETURNS'!$DA$8*1000000*INDEX($O$31:$O$33,MATCH($B$6,$J$31:$J$33,0))))</f>
        <v>0</v>
      </c>
      <c r="CC96" s="316" t="n">
        <f>IF('VALUATION &amp; RETURNS'!$DA$8*1000000*INDEX($O$31:$O$33,MATCH($B$6,$J$31:$J$33,0))=0,0,CC$92/('VALUATION &amp; RETURNS'!$DA$8*1000000*INDEX($O$31:$O$33,MATCH($B$6,$J$31:$J$33,0))))</f>
        <v>0</v>
      </c>
      <c r="CD96" s="316" t="n">
        <f>IF('VALUATION &amp; RETURNS'!$DA$8*1000000*INDEX($O$31:$O$33,MATCH($B$6,$J$31:$J$33,0))=0,0,CD$92/('VALUATION &amp; RETURNS'!$DA$8*1000000*INDEX($O$31:$O$33,MATCH($B$6,$J$31:$J$33,0))))</f>
        <v>0</v>
      </c>
      <c r="CE96" s="316" t="n">
        <f>IF('VALUATION &amp; RETURNS'!$DA$8*1000000*INDEX($O$31:$O$33,MATCH($B$6,$J$31:$J$33,0))=0,0,CE$92/('VALUATION &amp; RETURNS'!$DA$8*1000000*INDEX($O$31:$O$33,MATCH($B$6,$J$31:$J$33,0))))</f>
        <v>0</v>
      </c>
      <c r="CF96" s="316" t="n">
        <f>IF('VALUATION &amp; RETURNS'!$DA$8*1000000*INDEX($O$31:$O$33,MATCH($B$6,$J$31:$J$33,0))=0,0,CF$92/('VALUATION &amp; RETURNS'!$DA$8*1000000*INDEX($O$31:$O$33,MATCH($B$6,$J$31:$J$33,0))))</f>
        <v>0</v>
      </c>
      <c r="CG96" s="316" t="n">
        <f>IF('VALUATION &amp; RETURNS'!$DA$8*1000000*INDEX($O$31:$O$33,MATCH($B$6,$J$31:$J$33,0))=0,0,CG$92/('VALUATION &amp; RETURNS'!$DA$8*1000000*INDEX($O$31:$O$33,MATCH($B$6,$J$31:$J$33,0))))</f>
        <v>0</v>
      </c>
      <c r="CH96" s="316" t="n">
        <f>IF('VALUATION &amp; RETURNS'!$DA$8*1000000*INDEX($O$31:$O$33,MATCH($B$6,$J$31:$J$33,0))=0,0,CH$92/('VALUATION &amp; RETURNS'!$DA$8*1000000*INDEX($O$31:$O$33,MATCH($B$6,$J$31:$J$33,0))))</f>
        <v>0</v>
      </c>
      <c r="CI96" s="316" t="n">
        <f>IF('VALUATION &amp; RETURNS'!$DA$8*1000000*INDEX($O$31:$O$33,MATCH($B$6,$J$31:$J$33,0))=0,0,CI$92/('VALUATION &amp; RETURNS'!$DA$8*1000000*INDEX($O$31:$O$33,MATCH($B$6,$J$31:$J$33,0))))</f>
        <v>0</v>
      </c>
      <c r="CJ96" s="316" t="n">
        <f>IF('VALUATION &amp; RETURNS'!$DA$8*1000000*INDEX($O$31:$O$33,MATCH($B$6,$J$31:$J$33,0))=0,0,CJ$92/('VALUATION &amp; RETURNS'!$DA$8*1000000*INDEX($O$31:$O$33,MATCH($B$6,$J$31:$J$33,0))))</f>
        <v>0</v>
      </c>
      <c r="CK96" s="316" t="n">
        <f>IF('VALUATION &amp; RETURNS'!$DA$8*1000000*INDEX($O$31:$O$33,MATCH($B$6,$J$31:$J$33,0))=0,0,CK$92/('VALUATION &amp; RETURNS'!$DA$8*1000000*INDEX($O$31:$O$33,MATCH($B$6,$J$31:$J$33,0))))</f>
        <v>0</v>
      </c>
      <c r="CL96" s="316" t="n">
        <f>IF('VALUATION &amp; RETURNS'!$DA$8*1000000*INDEX($O$31:$O$33,MATCH($B$6,$J$31:$J$33,0))=0,0,CL$92/('VALUATION &amp; RETURNS'!$DA$8*1000000*INDEX($O$31:$O$33,MATCH($B$6,$J$31:$J$33,0))))</f>
        <v>0</v>
      </c>
      <c r="CM96" s="316" t="n">
        <f>IF('VALUATION &amp; RETURNS'!$DA$8*1000000*INDEX($O$31:$O$33,MATCH($B$6,$J$31:$J$33,0))=0,0,CM$92/('VALUATION &amp; RETURNS'!$DA$8*1000000*INDEX($O$31:$O$33,MATCH($B$6,$J$31:$J$33,0))))</f>
        <v>0</v>
      </c>
      <c r="CN96" s="316" t="n">
        <f>IF('VALUATION &amp; RETURNS'!$DA$8*1000000*INDEX($O$31:$O$33,MATCH($B$6,$J$31:$J$33,0))=0,0,CN$92/('VALUATION &amp; RETURNS'!$DA$8*1000000*INDEX($O$31:$O$33,MATCH($B$6,$J$31:$J$33,0))))</f>
        <v>0</v>
      </c>
      <c r="CO96" s="316" t="n">
        <f>IF('VALUATION &amp; RETURNS'!$DA$8*1000000*INDEX($O$31:$O$33,MATCH($B$6,$J$31:$J$33,0))=0,0,CO$92/('VALUATION &amp; RETURNS'!$DA$8*1000000*INDEX($O$31:$O$33,MATCH($B$6,$J$31:$J$33,0))))</f>
        <v>0</v>
      </c>
      <c r="CP96" s="316" t="n">
        <f>IF('VALUATION &amp; RETURNS'!$DA$8*1000000*INDEX($O$31:$O$33,MATCH($B$6,$J$31:$J$33,0))=0,0,CP$92/('VALUATION &amp; RETURNS'!$DA$8*1000000*INDEX($O$31:$O$33,MATCH($B$6,$J$31:$J$33,0))))</f>
        <v>0</v>
      </c>
      <c r="CQ96" s="316" t="n">
        <f>IF('VALUATION &amp; RETURNS'!$DA$8*1000000*INDEX($O$31:$O$33,MATCH($B$6,$J$31:$J$33,0))=0,0,CQ$92/('VALUATION &amp; RETURNS'!$DA$8*1000000*INDEX($O$31:$O$33,MATCH($B$6,$J$31:$J$33,0))))</f>
        <v>0</v>
      </c>
      <c r="CR96" s="316" t="n">
        <f>IF('VALUATION &amp; RETURNS'!$DA$8*1000000*INDEX($O$31:$O$33,MATCH($B$6,$J$31:$J$33,0))=0,0,CR$92/('VALUATION &amp; RETURNS'!$DA$8*1000000*INDEX($O$31:$O$33,MATCH($B$6,$J$31:$J$33,0))))</f>
        <v>0</v>
      </c>
      <c r="CS96" s="316" t="n">
        <f>IF('VALUATION &amp; RETURNS'!$DA$8*1000000*INDEX($O$31:$O$33,MATCH($B$6,$J$31:$J$33,0))=0,0,CS$92/('VALUATION &amp; RETURNS'!$DA$8*1000000*INDEX($O$31:$O$33,MATCH($B$6,$J$31:$J$33,0))))</f>
        <v>0</v>
      </c>
      <c r="CT96" s="316" t="n">
        <f>IF('VALUATION &amp; RETURNS'!$DA$8*1000000*INDEX($O$31:$O$33,MATCH($B$6,$J$31:$J$33,0))=0,0,CT$92/('VALUATION &amp; RETURNS'!$DA$8*1000000*INDEX($O$31:$O$33,MATCH($B$6,$J$31:$J$33,0))))</f>
        <v>0</v>
      </c>
      <c r="CU96" s="316" t="n">
        <f>IF('VALUATION &amp; RETURNS'!$DA$8*1000000*INDEX($O$31:$O$33,MATCH($B$6,$J$31:$J$33,0))=0,0,CU$92/('VALUATION &amp; RETURNS'!$DA$8*1000000*INDEX($O$31:$O$33,MATCH($B$6,$J$31:$J$33,0))))</f>
        <v>0</v>
      </c>
      <c r="CV96" s="316" t="n">
        <f>IF('VALUATION &amp; RETURNS'!$DA$8*1000000*INDEX($O$31:$O$33,MATCH($B$6,$J$31:$J$33,0))=0,0,CV$92/('VALUATION &amp; RETURNS'!$DA$8*1000000*INDEX($O$31:$O$33,MATCH($B$6,$J$31:$J$33,0))))</f>
        <v>0</v>
      </c>
      <c r="CW96" s="316" t="n">
        <f>IF('VALUATION &amp; RETURNS'!$DA$8*1000000*INDEX($O$31:$O$33,MATCH($B$6,$J$31:$J$33,0))=0,0,CW$92/('VALUATION &amp; RETURNS'!$DA$8*1000000*INDEX($O$31:$O$33,MATCH($B$6,$J$31:$J$33,0))))</f>
        <v>0</v>
      </c>
      <c r="CX96" s="316" t="n">
        <f>IF('VALUATION &amp; RETURNS'!$DA$8*1000000*INDEX($O$31:$O$33,MATCH($B$6,$J$31:$J$33,0))=0,0,CX$92/('VALUATION &amp; RETURNS'!$DA$8*1000000*INDEX($O$31:$O$33,MATCH($B$6,$J$31:$J$33,0))))</f>
        <v>0</v>
      </c>
      <c r="CY96" s="316" t="n">
        <f>IF('VALUATION &amp; RETURNS'!$DA$8*1000000*INDEX($O$31:$O$33,MATCH($B$6,$J$31:$J$33,0))=0,0,CY$92/('VALUATION &amp; RETURNS'!$DA$8*1000000*INDEX($O$31:$O$33,MATCH($B$6,$J$31:$J$33,0))))</f>
        <v>0</v>
      </c>
      <c r="CZ96" s="316" t="n">
        <f>IF('VALUATION &amp; RETURNS'!$DA$8*1000000*INDEX($O$31:$O$33,MATCH($B$6,$J$31:$J$33,0))=0,0,CZ$92/('VALUATION &amp; RETURNS'!$DA$8*1000000*INDEX($O$31:$O$33,MATCH($B$6,$J$31:$J$33,0))))</f>
        <v>0</v>
      </c>
      <c r="DA96" s="316" t="n">
        <f>IF('VALUATION &amp; RETURNS'!$DA$8*1000000*INDEX($O$31:$O$33,MATCH($B$6,$J$31:$J$33,0))=0,0,DA$92/('VALUATION &amp; RETURNS'!$DA$8*1000000*INDEX($O$31:$O$33,MATCH($B$6,$J$31:$J$33,0))))</f>
        <v>0</v>
      </c>
      <c r="DB96" s="316" t="n">
        <f>IF('VALUATION &amp; RETURNS'!$DA$8*1000000*INDEX($O$31:$O$33,MATCH($B$6,$J$31:$J$33,0))=0,0,DB$92/('VALUATION &amp; RETURNS'!$DA$8*1000000*INDEX($O$31:$O$33,MATCH($B$6,$J$31:$J$33,0))))</f>
        <v>0</v>
      </c>
      <c r="DC96" s="316" t="n">
        <f>IF('VALUATION &amp; RETURNS'!$DA$8*1000000*INDEX($O$31:$O$33,MATCH($B$6,$J$31:$J$33,0))=0,0,DC$92/('VALUATION &amp; RETURNS'!$DA$8*1000000*INDEX($O$31:$O$33,MATCH($B$6,$J$31:$J$33,0))))</f>
        <v>0</v>
      </c>
      <c r="DD96" s="316" t="n">
        <f>IF('VALUATION &amp; RETURNS'!$DA$8*1000000*INDEX($O$31:$O$33,MATCH($B$6,$J$31:$J$33,0))=0,0,DD$92/('VALUATION &amp; RETURNS'!$DA$8*1000000*INDEX($O$31:$O$33,MATCH($B$6,$J$31:$J$33,0))))</f>
        <v>0</v>
      </c>
      <c r="DE96" s="316" t="n">
        <f>IF('VALUATION &amp; RETURNS'!$DA$8*1000000*INDEX($O$31:$O$33,MATCH($B$6,$J$31:$J$33,0))=0,0,DE$92/('VALUATION &amp; RETURNS'!$DA$8*1000000*INDEX($O$31:$O$33,MATCH($B$6,$J$31:$J$33,0))))</f>
        <v>0</v>
      </c>
      <c r="DF96" s="316" t="n">
        <f>IF('VALUATION &amp; RETURNS'!$DA$8*1000000*INDEX($O$31:$O$33,MATCH($B$6,$J$31:$J$33,0))=0,0,DF$92/('VALUATION &amp; RETURNS'!$DA$8*1000000*INDEX($O$31:$O$33,MATCH($B$6,$J$31:$J$33,0))))</f>
        <v>0</v>
      </c>
      <c r="DG96" s="316" t="n">
        <f>IF('VALUATION &amp; RETURNS'!$DA$8*1000000*INDEX($O$31:$O$33,MATCH($B$6,$J$31:$J$33,0))=0,0,DG$92/('VALUATION &amp; RETURNS'!$DA$8*1000000*INDEX($O$31:$O$33,MATCH($B$6,$J$31:$J$33,0))))</f>
        <v>0</v>
      </c>
      <c r="DH96" s="316" t="n">
        <f>IF('VALUATION &amp; RETURNS'!$DA$8*1000000*INDEX($O$31:$O$33,MATCH($B$6,$J$31:$J$33,0))=0,0,DH$92/('VALUATION &amp; RETURNS'!$DA$8*1000000*INDEX($O$31:$O$33,MATCH($B$6,$J$31:$J$33,0))))</f>
        <v>0</v>
      </c>
      <c r="DI96" s="316" t="n">
        <f>IF('VALUATION &amp; RETURNS'!$DA$8*1000000*INDEX($O$31:$O$33,MATCH($B$6,$J$31:$J$33,0))=0,0,DI$92/('VALUATION &amp; RETURNS'!$DA$8*1000000*INDEX($O$31:$O$33,MATCH($B$6,$J$31:$J$33,0))))</f>
        <v>0</v>
      </c>
      <c r="DJ96" s="316" t="n">
        <f>IF('VALUATION &amp; RETURNS'!$DA$8*1000000*INDEX($O$31:$O$33,MATCH($B$6,$J$31:$J$33,0))=0,0,DJ$92/('VALUATION &amp; RETURNS'!$DA$8*1000000*INDEX($O$31:$O$33,MATCH($B$6,$J$31:$J$33,0))))</f>
        <v>0</v>
      </c>
      <c r="DK96" s="316" t="n">
        <f>IF('VALUATION &amp; RETURNS'!$DA$8*1000000*INDEX($O$31:$O$33,MATCH($B$6,$J$31:$J$33,0))=0,0,DK$92/('VALUATION &amp; RETURNS'!$DA$8*1000000*INDEX($O$31:$O$33,MATCH($B$6,$J$31:$J$33,0))))</f>
        <v>0</v>
      </c>
      <c r="DL96" s="316" t="n">
        <f>IF('VALUATION &amp; RETURNS'!$DA$8*1000000*INDEX($O$31:$O$33,MATCH($B$6,$J$31:$J$33,0))=0,0,DL$92/('VALUATION &amp; RETURNS'!$DA$8*1000000*INDEX($O$31:$O$33,MATCH($B$6,$J$31:$J$33,0))))</f>
        <v>0</v>
      </c>
      <c r="DM96" s="316" t="n">
        <f>IF('VALUATION &amp; RETURNS'!$DA$8*1000000*INDEX($O$31:$O$33,MATCH($B$6,$J$31:$J$33,0))=0,0,DM$92/('VALUATION &amp; RETURNS'!$DA$8*1000000*INDEX($O$31:$O$33,MATCH($B$6,$J$31:$J$33,0))))</f>
        <v>0</v>
      </c>
      <c r="DN96" s="316" t="n">
        <f>IF('VALUATION &amp; RETURNS'!$DA$8*1000000*INDEX($O$31:$O$33,MATCH($B$6,$J$31:$J$33,0))=0,0,DN$92/('VALUATION &amp; RETURNS'!$DA$8*1000000*INDEX($O$31:$O$33,MATCH($B$6,$J$31:$J$33,0))))</f>
        <v>0</v>
      </c>
      <c r="DO96" s="316" t="n">
        <f>IF('VALUATION &amp; RETURNS'!$DA$8*1000000*INDEX($O$31:$O$33,MATCH($B$6,$J$31:$J$33,0))=0,0,DO$92/('VALUATION &amp; RETURNS'!$DA$8*1000000*INDEX($O$31:$O$33,MATCH($B$6,$J$31:$J$33,0))))</f>
        <v>0</v>
      </c>
      <c r="DP96" s="316" t="n">
        <f>IF('VALUATION &amp; RETURNS'!$DA$8*1000000*INDEX($O$31:$O$33,MATCH($B$6,$J$31:$J$33,0))=0,0,DP$92/('VALUATION &amp; RETURNS'!$DA$8*1000000*INDEX($O$31:$O$33,MATCH($B$6,$J$31:$J$33,0))))</f>
        <v>0</v>
      </c>
      <c r="DQ96" s="316" t="n">
        <f>IF('VALUATION &amp; RETURNS'!$DA$8*1000000*INDEX($O$31:$O$33,MATCH($B$6,$J$31:$J$33,0))=0,0,DQ$92/('VALUATION &amp; RETURNS'!$DA$8*1000000*INDEX($O$31:$O$33,MATCH($B$6,$J$31:$J$33,0))))</f>
        <v>0</v>
      </c>
      <c r="DR96" s="316" t="n">
        <f>IF('VALUATION &amp; RETURNS'!$DA$8*1000000*INDEX($O$31:$O$33,MATCH($B$6,$J$31:$J$33,0))=0,0,DR$92/('VALUATION &amp; RETURNS'!$DA$8*1000000*INDEX($O$31:$O$33,MATCH($B$6,$J$31:$J$33,0))))</f>
        <v>0</v>
      </c>
      <c r="DS96" s="316" t="n">
        <f>IF('VALUATION &amp; RETURNS'!$DA$8*1000000*INDEX($O$31:$O$33,MATCH($B$6,$J$31:$J$33,0))=0,0,DS$92/('VALUATION &amp; RETURNS'!$DA$8*1000000*INDEX($O$31:$O$33,MATCH($B$6,$J$31:$J$33,0))))</f>
        <v>0</v>
      </c>
      <c r="DT96" s="316" t="n">
        <f>IF('VALUATION &amp; RETURNS'!$DA$8*1000000*INDEX($O$31:$O$33,MATCH($B$6,$J$31:$J$33,0))=0,0,DT$92/('VALUATION &amp; RETURNS'!$DA$8*1000000*INDEX($O$31:$O$33,MATCH($B$6,$J$31:$J$33,0))))</f>
        <v>0</v>
      </c>
      <c r="DU96" s="316" t="n">
        <f>IF('VALUATION &amp; RETURNS'!$DA$8*1000000*INDEX($O$31:$O$33,MATCH($B$6,$J$31:$J$33,0))=0,0,DU$92/('VALUATION &amp; RETURNS'!$DA$8*1000000*INDEX($O$31:$O$33,MATCH($B$6,$J$31:$J$33,0))))</f>
        <v>0</v>
      </c>
      <c r="DV96" s="316" t="n">
        <f>IF('VALUATION &amp; RETURNS'!$DA$8*1000000*INDEX($O$31:$O$33,MATCH($B$6,$J$31:$J$33,0))=0,0,DV$92/('VALUATION &amp; RETURNS'!$DA$8*1000000*INDEX($O$31:$O$33,MATCH($B$6,$J$31:$J$33,0))))</f>
        <v>0</v>
      </c>
    </row>
    <row r="97" ht="15" customHeight="1">
      <c r="A97" s="311" t="s">
        <v>1494</v>
      </c>
      <c r="B97" s="312" t="s">
        <v>1440</v>
      </c>
      <c r="C97" s="702" t="s">
        <v>1495</v>
      </c>
      <c r="D97" s="703"/>
      <c r="F97" s="327" t="str">
        <f t="shared" ref="F97:AK97" si="84">IF(OR(F$92&gt;F$93+0.01,F$95&gt;MAX(0,$B$10+INDEX($R$31:$R$33,MATCH($B$6,$J$31:$J$33,0)))+0.000001,F$96&gt;MAX(0,$B$11+INDEX($R$31:$R$33,MATCH($B$6,$J$31:$J$33,0)))+0.000001,AND(F$64&gt;$B$20,F$92&gt;0.01)),"STOP","OK")</f>
        <v>OK</v>
      </c>
      <c r="G97" s="327" t="str">
        <f t="shared" si="84"/>
        <v>OK</v>
      </c>
      <c r="H97" s="327" t="str">
        <f t="shared" si="84"/>
        <v>OK</v>
      </c>
      <c r="I97" s="327" t="str">
        <f t="shared" si="84"/>
        <v>OK</v>
      </c>
      <c r="J97" s="327" t="str">
        <f t="shared" si="84"/>
        <v>OK</v>
      </c>
      <c r="K97" s="327" t="str">
        <f t="shared" si="84"/>
        <v>OK</v>
      </c>
      <c r="L97" s="327" t="str">
        <f t="shared" si="84"/>
        <v>OK</v>
      </c>
      <c r="M97" s="327" t="str">
        <f t="shared" si="84"/>
        <v>OK</v>
      </c>
      <c r="N97" s="327" t="str">
        <f t="shared" si="84"/>
        <v>OK</v>
      </c>
      <c r="O97" s="327" t="str">
        <f t="shared" si="84"/>
        <v>OK</v>
      </c>
      <c r="P97" s="327" t="str">
        <f t="shared" si="84"/>
        <v>OK</v>
      </c>
      <c r="Q97" s="327" t="str">
        <f t="shared" si="84"/>
        <v>OK</v>
      </c>
      <c r="R97" s="327" t="str">
        <f t="shared" si="84"/>
        <v>OK</v>
      </c>
      <c r="S97" s="327" t="str">
        <f t="shared" si="84"/>
        <v>OK</v>
      </c>
      <c r="T97" s="327" t="str">
        <f t="shared" si="84"/>
        <v>OK</v>
      </c>
      <c r="U97" s="327" t="str">
        <f t="shared" si="84"/>
        <v>OK</v>
      </c>
      <c r="V97" s="327" t="str">
        <f t="shared" si="84"/>
        <v>OK</v>
      </c>
      <c r="W97" s="327" t="str">
        <f t="shared" si="84"/>
        <v>OK</v>
      </c>
      <c r="X97" s="327" t="str">
        <f t="shared" si="84"/>
        <v>OK</v>
      </c>
      <c r="Y97" s="327" t="str">
        <f t="shared" si="84"/>
        <v>OK</v>
      </c>
      <c r="Z97" s="327" t="str">
        <f t="shared" si="84"/>
        <v>OK</v>
      </c>
      <c r="AA97" s="327" t="str">
        <f t="shared" si="84"/>
        <v>OK</v>
      </c>
      <c r="AB97" s="327" t="str">
        <f t="shared" si="84"/>
        <v>OK</v>
      </c>
      <c r="AC97" s="327" t="str">
        <f t="shared" si="84"/>
        <v>OK</v>
      </c>
      <c r="AD97" s="327" t="str">
        <f t="shared" si="84"/>
        <v>OK</v>
      </c>
      <c r="AE97" s="327" t="str">
        <f t="shared" si="84"/>
        <v>OK</v>
      </c>
      <c r="AF97" s="327" t="str">
        <f t="shared" si="84"/>
        <v>OK</v>
      </c>
      <c r="AG97" s="327" t="str">
        <f t="shared" si="84"/>
        <v>OK</v>
      </c>
      <c r="AH97" s="327" t="str">
        <f t="shared" si="84"/>
        <v>OK</v>
      </c>
      <c r="AI97" s="327" t="str">
        <f t="shared" si="84"/>
        <v>OK</v>
      </c>
      <c r="AJ97" s="327" t="str">
        <f t="shared" si="84"/>
        <v>OK</v>
      </c>
      <c r="AK97" s="327" t="str">
        <f t="shared" si="84"/>
        <v>OK</v>
      </c>
      <c r="AL97" s="327" t="str">
        <f t="shared" ref="AL97:BQ97" si="85">IF(OR(AL$92&gt;AL$93+0.01,AL$95&gt;MAX(0,$B$10+INDEX($R$31:$R$33,MATCH($B$6,$J$31:$J$33,0)))+0.000001,AL$96&gt;MAX(0,$B$11+INDEX($R$31:$R$33,MATCH($B$6,$J$31:$J$33,0)))+0.000001,AND(AL$64&gt;$B$20,AL$92&gt;0.01)),"STOP","OK")</f>
        <v>STOP</v>
      </c>
      <c r="AM97" s="327" t="str">
        <f t="shared" si="85"/>
        <v>OK</v>
      </c>
      <c r="AN97" s="327" t="str">
        <f t="shared" si="85"/>
        <v>STOP</v>
      </c>
      <c r="AO97" s="327" t="str">
        <f t="shared" si="85"/>
        <v>STOP</v>
      </c>
      <c r="AP97" s="327" t="str">
        <f t="shared" si="85"/>
        <v>STOP</v>
      </c>
      <c r="AQ97" s="327" t="str">
        <f t="shared" si="85"/>
        <v>STOP</v>
      </c>
      <c r="AR97" s="327" t="str">
        <f t="shared" si="85"/>
        <v>STOP</v>
      </c>
      <c r="AS97" s="327" t="str">
        <f t="shared" si="85"/>
        <v>STOP</v>
      </c>
      <c r="AT97" s="327" t="str">
        <f t="shared" si="85"/>
        <v>STOP</v>
      </c>
      <c r="AU97" s="327" t="str">
        <f t="shared" si="85"/>
        <v>STOP</v>
      </c>
      <c r="AV97" s="327" t="str">
        <f t="shared" si="85"/>
        <v>STOP</v>
      </c>
      <c r="AW97" s="327" t="str">
        <f t="shared" si="85"/>
        <v>STOP</v>
      </c>
      <c r="AX97" s="327" t="str">
        <f t="shared" si="85"/>
        <v>STOP</v>
      </c>
      <c r="AY97" s="327" t="str">
        <f t="shared" si="85"/>
        <v>STOP</v>
      </c>
      <c r="AZ97" s="327" t="str">
        <f t="shared" si="85"/>
        <v>STOP</v>
      </c>
      <c r="BA97" s="327" t="str">
        <f t="shared" si="85"/>
        <v>STOP</v>
      </c>
      <c r="BB97" s="327" t="str">
        <f t="shared" si="85"/>
        <v>STOP</v>
      </c>
      <c r="BC97" s="327" t="str">
        <f t="shared" si="85"/>
        <v>OK</v>
      </c>
      <c r="BD97" s="327" t="str">
        <f t="shared" si="85"/>
        <v>OK</v>
      </c>
      <c r="BE97" s="327" t="str">
        <f t="shared" si="85"/>
        <v>OK</v>
      </c>
      <c r="BF97" s="327" t="str">
        <f t="shared" si="85"/>
        <v>OK</v>
      </c>
      <c r="BG97" s="327" t="str">
        <f t="shared" si="85"/>
        <v>OK</v>
      </c>
      <c r="BH97" s="327" t="str">
        <f t="shared" si="85"/>
        <v>OK</v>
      </c>
      <c r="BI97" s="327" t="str">
        <f t="shared" si="85"/>
        <v>OK</v>
      </c>
      <c r="BJ97" s="327" t="str">
        <f t="shared" si="85"/>
        <v>OK</v>
      </c>
      <c r="BK97" s="327" t="str">
        <f t="shared" si="85"/>
        <v>OK</v>
      </c>
      <c r="BL97" s="327" t="str">
        <f t="shared" si="85"/>
        <v>OK</v>
      </c>
      <c r="BM97" s="327" t="str">
        <f t="shared" si="85"/>
        <v>OK</v>
      </c>
      <c r="BN97" s="327" t="str">
        <f t="shared" si="85"/>
        <v>OK</v>
      </c>
      <c r="BO97" s="327" t="str">
        <f t="shared" si="85"/>
        <v>OK</v>
      </c>
      <c r="BP97" s="327" t="str">
        <f t="shared" si="85"/>
        <v>OK</v>
      </c>
      <c r="BQ97" s="327" t="str">
        <f t="shared" si="85"/>
        <v>OK</v>
      </c>
      <c r="BR97" s="327" t="str">
        <f t="shared" ref="BR97:CW97" si="86">IF(OR(BR$92&gt;BR$93+0.01,BR$95&gt;MAX(0,$B$10+INDEX($R$31:$R$33,MATCH($B$6,$J$31:$J$33,0)))+0.000001,BR$96&gt;MAX(0,$B$11+INDEX($R$31:$R$33,MATCH($B$6,$J$31:$J$33,0)))+0.000001,AND(BR$64&gt;$B$20,BR$92&gt;0.01)),"STOP","OK")</f>
        <v>OK</v>
      </c>
      <c r="BS97" s="327" t="str">
        <f t="shared" si="86"/>
        <v>OK</v>
      </c>
      <c r="BT97" s="327" t="str">
        <f t="shared" si="86"/>
        <v>OK</v>
      </c>
      <c r="BU97" s="327" t="str">
        <f t="shared" si="86"/>
        <v>OK</v>
      </c>
      <c r="BV97" s="327" t="str">
        <f t="shared" si="86"/>
        <v>OK</v>
      </c>
      <c r="BW97" s="327" t="str">
        <f t="shared" si="86"/>
        <v>OK</v>
      </c>
      <c r="BX97" s="327" t="str">
        <f t="shared" si="86"/>
        <v>OK</v>
      </c>
      <c r="BY97" s="327" t="str">
        <f t="shared" si="86"/>
        <v>OK</v>
      </c>
      <c r="BZ97" s="327" t="str">
        <f t="shared" si="86"/>
        <v>OK</v>
      </c>
      <c r="CA97" s="327" t="str">
        <f t="shared" si="86"/>
        <v>OK</v>
      </c>
      <c r="CB97" s="327" t="str">
        <f t="shared" si="86"/>
        <v>OK</v>
      </c>
      <c r="CC97" s="327" t="str">
        <f t="shared" si="86"/>
        <v>OK</v>
      </c>
      <c r="CD97" s="327" t="str">
        <f t="shared" si="86"/>
        <v>OK</v>
      </c>
      <c r="CE97" s="327" t="str">
        <f t="shared" si="86"/>
        <v>OK</v>
      </c>
      <c r="CF97" s="327" t="str">
        <f t="shared" si="86"/>
        <v>OK</v>
      </c>
      <c r="CG97" s="327" t="str">
        <f t="shared" si="86"/>
        <v>OK</v>
      </c>
      <c r="CH97" s="327" t="str">
        <f t="shared" si="86"/>
        <v>OK</v>
      </c>
      <c r="CI97" s="327" t="str">
        <f t="shared" si="86"/>
        <v>OK</v>
      </c>
      <c r="CJ97" s="327" t="str">
        <f t="shared" si="86"/>
        <v>OK</v>
      </c>
      <c r="CK97" s="327" t="str">
        <f t="shared" si="86"/>
        <v>OK</v>
      </c>
      <c r="CL97" s="327" t="str">
        <f t="shared" si="86"/>
        <v>OK</v>
      </c>
      <c r="CM97" s="327" t="str">
        <f t="shared" si="86"/>
        <v>OK</v>
      </c>
      <c r="CN97" s="327" t="str">
        <f t="shared" si="86"/>
        <v>OK</v>
      </c>
      <c r="CO97" s="327" t="str">
        <f t="shared" si="86"/>
        <v>OK</v>
      </c>
      <c r="CP97" s="327" t="str">
        <f t="shared" si="86"/>
        <v>OK</v>
      </c>
      <c r="CQ97" s="327" t="str">
        <f t="shared" si="86"/>
        <v>OK</v>
      </c>
      <c r="CR97" s="327" t="str">
        <f t="shared" si="86"/>
        <v>OK</v>
      </c>
      <c r="CS97" s="327" t="str">
        <f t="shared" si="86"/>
        <v>OK</v>
      </c>
      <c r="CT97" s="327" t="str">
        <f t="shared" si="86"/>
        <v>OK</v>
      </c>
      <c r="CU97" s="327" t="str">
        <f t="shared" si="86"/>
        <v>OK</v>
      </c>
      <c r="CV97" s="327" t="str">
        <f t="shared" si="86"/>
        <v>OK</v>
      </c>
      <c r="CW97" s="327" t="str">
        <f t="shared" si="86"/>
        <v>OK</v>
      </c>
      <c r="CX97" s="327" t="str">
        <f t="shared" ref="CX97:DV97" si="87">IF(OR(CX$92&gt;CX$93+0.01,CX$95&gt;MAX(0,$B$10+INDEX($R$31:$R$33,MATCH($B$6,$J$31:$J$33,0)))+0.000001,CX$96&gt;MAX(0,$B$11+INDEX($R$31:$R$33,MATCH($B$6,$J$31:$J$33,0)))+0.000001,AND(CX$64&gt;$B$20,CX$92&gt;0.01)),"STOP","OK")</f>
        <v>OK</v>
      </c>
      <c r="CY97" s="327" t="str">
        <f t="shared" si="87"/>
        <v>OK</v>
      </c>
      <c r="CZ97" s="327" t="str">
        <f t="shared" si="87"/>
        <v>OK</v>
      </c>
      <c r="DA97" s="327" t="str">
        <f t="shared" si="87"/>
        <v>OK</v>
      </c>
      <c r="DB97" s="327" t="str">
        <f t="shared" si="87"/>
        <v>OK</v>
      </c>
      <c r="DC97" s="327" t="str">
        <f t="shared" si="87"/>
        <v>OK</v>
      </c>
      <c r="DD97" s="327" t="str">
        <f t="shared" si="87"/>
        <v>OK</v>
      </c>
      <c r="DE97" s="327" t="str">
        <f t="shared" si="87"/>
        <v>OK</v>
      </c>
      <c r="DF97" s="327" t="str">
        <f t="shared" si="87"/>
        <v>OK</v>
      </c>
      <c r="DG97" s="327" t="str">
        <f t="shared" si="87"/>
        <v>OK</v>
      </c>
      <c r="DH97" s="327" t="str">
        <f t="shared" si="87"/>
        <v>OK</v>
      </c>
      <c r="DI97" s="327" t="str">
        <f t="shared" si="87"/>
        <v>OK</v>
      </c>
      <c r="DJ97" s="327" t="str">
        <f t="shared" si="87"/>
        <v>OK</v>
      </c>
      <c r="DK97" s="327" t="str">
        <f t="shared" si="87"/>
        <v>OK</v>
      </c>
      <c r="DL97" s="327" t="str">
        <f t="shared" si="87"/>
        <v>OK</v>
      </c>
      <c r="DM97" s="327" t="str">
        <f t="shared" si="87"/>
        <v>OK</v>
      </c>
      <c r="DN97" s="327" t="str">
        <f t="shared" si="87"/>
        <v>OK</v>
      </c>
      <c r="DO97" s="327" t="str">
        <f t="shared" si="87"/>
        <v>OK</v>
      </c>
      <c r="DP97" s="327" t="str">
        <f t="shared" si="87"/>
        <v>OK</v>
      </c>
      <c r="DQ97" s="327" t="str">
        <f t="shared" si="87"/>
        <v>OK</v>
      </c>
      <c r="DR97" s="327" t="str">
        <f t="shared" si="87"/>
        <v>OK</v>
      </c>
      <c r="DS97" s="327" t="str">
        <f t="shared" si="87"/>
        <v>OK</v>
      </c>
      <c r="DT97" s="327" t="str">
        <f t="shared" si="87"/>
        <v>OK</v>
      </c>
      <c r="DU97" s="327" t="str">
        <f t="shared" si="87"/>
        <v>OK</v>
      </c>
      <c r="DV97" s="327" t="str">
        <f t="shared" si="87"/>
        <v>OK</v>
      </c>
    </row>
    <row r="98" ht="15" customHeight="1">
      <c r="A98" s="311" t="s">
        <v>1496</v>
      </c>
      <c r="B98" s="312" t="s">
        <v>1321</v>
      </c>
      <c r="C98" s="702" t="s">
        <v>1497</v>
      </c>
      <c r="D98" s="703"/>
      <c r="F98" s="313" t="n">
        <f t="shared" ref="F98:AK98" si="88">F$74+F$81+F$82-F$89-F$90-F$91-F$92</f>
        <v>0</v>
      </c>
      <c r="G98" s="313">
        <f t="shared" si="88"/>
        <v>0</v>
      </c>
      <c r="H98" s="313">
        <f t="shared" si="88"/>
        <v>0</v>
      </c>
      <c r="I98" s="313">
        <f t="shared" si="88"/>
        <v>0</v>
      </c>
      <c r="J98" s="313">
        <f t="shared" si="88"/>
        <v>0</v>
      </c>
      <c r="K98" s="313">
        <f t="shared" si="88"/>
        <v>0</v>
      </c>
      <c r="L98" s="313">
        <f t="shared" si="88"/>
        <v>0</v>
      </c>
      <c r="M98" s="313">
        <f t="shared" si="88"/>
        <v>0</v>
      </c>
      <c r="N98" s="313">
        <f t="shared" si="88"/>
        <v>0</v>
      </c>
      <c r="O98" s="313">
        <f t="shared" si="88"/>
        <v>0</v>
      </c>
      <c r="P98" s="313">
        <f t="shared" si="88"/>
        <v>0</v>
      </c>
      <c r="Q98" s="313">
        <f t="shared" si="88"/>
        <v>0</v>
      </c>
      <c r="R98" s="313">
        <f t="shared" si="88"/>
        <v>0</v>
      </c>
      <c r="S98" s="313">
        <f t="shared" si="88"/>
        <v>0</v>
      </c>
      <c r="T98" s="313">
        <f t="shared" si="88"/>
        <v>0</v>
      </c>
      <c r="U98" s="313">
        <f t="shared" si="88"/>
        <v>0</v>
      </c>
      <c r="V98" s="313">
        <f t="shared" si="88"/>
        <v>0</v>
      </c>
      <c r="W98" s="313">
        <f t="shared" si="88"/>
        <v>0</v>
      </c>
      <c r="X98" s="313">
        <f t="shared" si="88"/>
        <v>0</v>
      </c>
      <c r="Y98" s="313">
        <f t="shared" si="88"/>
        <v>0</v>
      </c>
      <c r="Z98" s="313">
        <f t="shared" si="88"/>
        <v>0</v>
      </c>
      <c r="AA98" s="313">
        <f t="shared" si="88"/>
        <v>0</v>
      </c>
      <c r="AB98" s="313">
        <f t="shared" si="88"/>
        <v>0</v>
      </c>
      <c r="AC98" s="313">
        <f t="shared" si="88"/>
        <v>0</v>
      </c>
      <c r="AD98" s="313">
        <f t="shared" si="88"/>
        <v>0</v>
      </c>
      <c r="AE98" s="313">
        <f t="shared" si="88"/>
        <v>0</v>
      </c>
      <c r="AF98" s="313">
        <f t="shared" si="88"/>
        <v>0</v>
      </c>
      <c r="AG98" s="313">
        <f t="shared" si="88"/>
        <v>0</v>
      </c>
      <c r="AH98" s="313">
        <f t="shared" si="88"/>
        <v>0</v>
      </c>
      <c r="AI98" s="313">
        <f t="shared" si="88"/>
        <v>0</v>
      </c>
      <c r="AJ98" s="313">
        <f t="shared" si="88"/>
        <v>0</v>
      </c>
      <c r="AK98" s="313">
        <f t="shared" si="88"/>
        <v>0</v>
      </c>
      <c r="AL98" s="313" t="n">
        <f t="shared" ref="AL98:BQ98" si="89">AL$74+AL$81+AL$82-AL$89-AL$90-AL$91-AL$92</f>
        <v>0</v>
      </c>
      <c r="AM98" s="313">
        <f t="shared" si="89"/>
        <v>0</v>
      </c>
      <c r="AN98" s="313">
        <f t="shared" si="89"/>
        <v>0</v>
      </c>
      <c r="AO98" s="313">
        <f t="shared" si="89"/>
        <v>0</v>
      </c>
      <c r="AP98" s="313">
        <f t="shared" si="89"/>
        <v>0</v>
      </c>
      <c r="AQ98" s="313">
        <f t="shared" si="89"/>
        <v>0</v>
      </c>
      <c r="AR98" s="313">
        <f t="shared" si="89"/>
        <v>0</v>
      </c>
      <c r="AS98" s="313">
        <f t="shared" si="89"/>
        <v>0</v>
      </c>
      <c r="AT98" s="313">
        <f t="shared" si="89"/>
        <v>0</v>
      </c>
      <c r="AU98" s="313">
        <f t="shared" si="89"/>
        <v>0</v>
      </c>
      <c r="AV98" s="313">
        <f t="shared" si="89"/>
        <v>0</v>
      </c>
      <c r="AW98" s="313">
        <f t="shared" si="89"/>
        <v>0</v>
      </c>
      <c r="AX98" s="313">
        <f t="shared" si="89"/>
        <v>0</v>
      </c>
      <c r="AY98" s="313">
        <f t="shared" si="89"/>
        <v>0</v>
      </c>
      <c r="AZ98" s="313">
        <f t="shared" si="89"/>
        <v>0</v>
      </c>
      <c r="BA98" s="313">
        <f t="shared" si="89"/>
        <v>0</v>
      </c>
      <c r="BB98" s="313">
        <f t="shared" si="89"/>
        <v>0</v>
      </c>
      <c r="BC98" s="313">
        <f t="shared" si="89"/>
        <v>0</v>
      </c>
      <c r="BD98" s="313">
        <f t="shared" si="89"/>
        <v>0</v>
      </c>
      <c r="BE98" s="313">
        <f t="shared" si="89"/>
        <v>0</v>
      </c>
      <c r="BF98" s="313">
        <f t="shared" si="89"/>
        <v>0</v>
      </c>
      <c r="BG98" s="313">
        <f t="shared" si="89"/>
        <v>0</v>
      </c>
      <c r="BH98" s="313">
        <f t="shared" si="89"/>
        <v>0</v>
      </c>
      <c r="BI98" s="313">
        <f t="shared" si="89"/>
        <v>0</v>
      </c>
      <c r="BJ98" s="313">
        <f t="shared" si="89"/>
        <v>0</v>
      </c>
      <c r="BK98" s="313">
        <f t="shared" si="89"/>
        <v>0</v>
      </c>
      <c r="BL98" s="313">
        <f t="shared" si="89"/>
        <v>0</v>
      </c>
      <c r="BM98" s="313">
        <f t="shared" si="89"/>
        <v>0</v>
      </c>
      <c r="BN98" s="313">
        <f t="shared" si="89"/>
        <v>0</v>
      </c>
      <c r="BO98" s="313">
        <f t="shared" si="89"/>
        <v>0</v>
      </c>
      <c r="BP98" s="313">
        <f t="shared" si="89"/>
        <v>0</v>
      </c>
      <c r="BQ98" s="313">
        <f t="shared" si="89"/>
        <v>0</v>
      </c>
      <c r="BR98" s="313" t="n">
        <f t="shared" ref="BR98:CW98" si="90">BR$74+BR$81+BR$82-BR$89-BR$90-BR$91-BR$92</f>
        <v>0</v>
      </c>
      <c r="BS98" s="313">
        <f t="shared" si="90"/>
        <v>0</v>
      </c>
      <c r="BT98" s="313">
        <f t="shared" si="90"/>
        <v>0</v>
      </c>
      <c r="BU98" s="313">
        <f t="shared" si="90"/>
        <v>0</v>
      </c>
      <c r="BV98" s="313">
        <f t="shared" si="90"/>
        <v>0</v>
      </c>
      <c r="BW98" s="313">
        <f t="shared" si="90"/>
        <v>0</v>
      </c>
      <c r="BX98" s="313">
        <f t="shared" si="90"/>
        <v>0</v>
      </c>
      <c r="BY98" s="313">
        <f t="shared" si="90"/>
        <v>0</v>
      </c>
      <c r="BZ98" s="313">
        <f t="shared" si="90"/>
        <v>0</v>
      </c>
      <c r="CA98" s="313">
        <f t="shared" si="90"/>
        <v>0</v>
      </c>
      <c r="CB98" s="313">
        <f t="shared" si="90"/>
        <v>0</v>
      </c>
      <c r="CC98" s="313">
        <f t="shared" si="90"/>
        <v>0</v>
      </c>
      <c r="CD98" s="313">
        <f t="shared" si="90"/>
        <v>0</v>
      </c>
      <c r="CE98" s="313">
        <f t="shared" si="90"/>
        <v>0</v>
      </c>
      <c r="CF98" s="313">
        <f t="shared" si="90"/>
        <v>0</v>
      </c>
      <c r="CG98" s="313">
        <f t="shared" si="90"/>
        <v>0</v>
      </c>
      <c r="CH98" s="313">
        <f t="shared" si="90"/>
        <v>0</v>
      </c>
      <c r="CI98" s="313">
        <f t="shared" si="90"/>
        <v>0</v>
      </c>
      <c r="CJ98" s="313">
        <f t="shared" si="90"/>
        <v>0</v>
      </c>
      <c r="CK98" s="313">
        <f t="shared" si="90"/>
        <v>0</v>
      </c>
      <c r="CL98" s="313">
        <f t="shared" si="90"/>
        <v>0</v>
      </c>
      <c r="CM98" s="313">
        <f t="shared" si="90"/>
        <v>0</v>
      </c>
      <c r="CN98" s="313">
        <f t="shared" si="90"/>
        <v>0</v>
      </c>
      <c r="CO98" s="313">
        <f t="shared" si="90"/>
        <v>0</v>
      </c>
      <c r="CP98" s="313">
        <f t="shared" si="90"/>
        <v>0</v>
      </c>
      <c r="CQ98" s="313">
        <f t="shared" si="90"/>
        <v>0</v>
      </c>
      <c r="CR98" s="313">
        <f t="shared" si="90"/>
        <v>0</v>
      </c>
      <c r="CS98" s="313">
        <f t="shared" si="90"/>
        <v>0</v>
      </c>
      <c r="CT98" s="313">
        <f t="shared" si="90"/>
        <v>0</v>
      </c>
      <c r="CU98" s="313">
        <f t="shared" si="90"/>
        <v>0</v>
      </c>
      <c r="CV98" s="313">
        <f t="shared" si="90"/>
        <v>0</v>
      </c>
      <c r="CW98" s="313">
        <f t="shared" si="90"/>
        <v>0</v>
      </c>
      <c r="CX98" s="313" t="n">
        <f t="shared" ref="CX98:DV98" si="91">CX$74+CX$81+CX$82-CX$89-CX$90-CX$91-CX$92</f>
        <v>0</v>
      </c>
      <c r="CY98" s="313">
        <f t="shared" si="91"/>
        <v>0</v>
      </c>
      <c r="CZ98" s="313">
        <f t="shared" si="91"/>
        <v>0</v>
      </c>
      <c r="DA98" s="313">
        <f t="shared" si="91"/>
        <v>0</v>
      </c>
      <c r="DB98" s="313">
        <f t="shared" si="91"/>
        <v>0</v>
      </c>
      <c r="DC98" s="313">
        <f t="shared" si="91"/>
        <v>0</v>
      </c>
      <c r="DD98" s="313">
        <f t="shared" si="91"/>
        <v>0</v>
      </c>
      <c r="DE98" s="313">
        <f t="shared" si="91"/>
        <v>0</v>
      </c>
      <c r="DF98" s="313">
        <f t="shared" si="91"/>
        <v>0</v>
      </c>
      <c r="DG98" s="313">
        <f t="shared" si="91"/>
        <v>0</v>
      </c>
      <c r="DH98" s="313">
        <f t="shared" si="91"/>
        <v>0</v>
      </c>
      <c r="DI98" s="313">
        <f t="shared" si="91"/>
        <v>0</v>
      </c>
      <c r="DJ98" s="313">
        <f t="shared" si="91"/>
        <v>0</v>
      </c>
      <c r="DK98" s="313">
        <f t="shared" si="91"/>
        <v>0</v>
      </c>
      <c r="DL98" s="313">
        <f t="shared" si="91"/>
        <v>0</v>
      </c>
      <c r="DM98" s="313">
        <f t="shared" si="91"/>
        <v>0</v>
      </c>
      <c r="DN98" s="313">
        <f t="shared" si="91"/>
        <v>0</v>
      </c>
      <c r="DO98" s="313">
        <f t="shared" si="91"/>
        <v>0</v>
      </c>
      <c r="DP98" s="313">
        <f t="shared" si="91"/>
        <v>0</v>
      </c>
      <c r="DQ98" s="313">
        <f t="shared" si="91"/>
        <v>0</v>
      </c>
      <c r="DR98" s="313">
        <f t="shared" si="91"/>
        <v>0</v>
      </c>
      <c r="DS98" s="313">
        <f t="shared" si="91"/>
        <v>0</v>
      </c>
      <c r="DT98" s="313">
        <f t="shared" si="91"/>
        <v>0</v>
      </c>
      <c r="DU98" s="313">
        <f t="shared" si="91"/>
        <v>0</v>
      </c>
      <c r="DV98" s="313">
        <f t="shared" si="91"/>
        <v>0</v>
      </c>
    </row>
    <row r="100" ht="21" customHeight="1">
      <c r="A100" s="704" t="s">
        <v>1498</v>
      </c>
      <c r="B100" s="699"/>
      <c r="C100" s="699"/>
      <c r="D100" s="699"/>
      <c r="E100" s="699"/>
      <c r="F100" s="699"/>
      <c r="G100" s="699"/>
      <c r="H100" s="699"/>
      <c r="I100" s="699"/>
      <c r="J100" s="699"/>
      <c r="K100" s="699"/>
      <c r="L100" s="699"/>
      <c r="M100" s="699"/>
      <c r="N100" s="699"/>
      <c r="O100" s="699"/>
      <c r="P100" s="699"/>
      <c r="Q100" s="699"/>
      <c r="R100" s="699"/>
      <c r="S100" s="699"/>
      <c r="T100" s="699"/>
      <c r="U100" s="699"/>
      <c r="V100" s="699"/>
      <c r="W100" s="699"/>
      <c r="X100" s="699"/>
      <c r="Y100" s="699"/>
      <c r="Z100" s="699"/>
      <c r="AA100" s="699"/>
      <c r="AB100" s="699"/>
      <c r="AC100" s="699"/>
      <c r="AD100" s="699"/>
      <c r="AE100" s="699"/>
      <c r="AF100" s="699"/>
      <c r="AG100" s="699"/>
      <c r="AH100" s="699"/>
      <c r="AI100" s="699"/>
      <c r="AJ100" s="699"/>
      <c r="AK100" s="699"/>
      <c r="AL100" s="699"/>
      <c r="AM100" s="699"/>
      <c r="AN100" s="699"/>
      <c r="AO100" s="699"/>
      <c r="AP100" s="699"/>
      <c r="AQ100" s="699"/>
      <c r="AR100" s="699"/>
      <c r="AS100" s="699"/>
      <c r="AT100" s="699"/>
      <c r="AU100" s="699"/>
      <c r="AV100" s="699"/>
      <c r="AW100" s="699"/>
      <c r="AX100" s="699"/>
      <c r="AY100" s="699"/>
      <c r="AZ100" s="699"/>
      <c r="BA100" s="699"/>
      <c r="BB100" s="699"/>
      <c r="BC100" s="699"/>
      <c r="BD100" s="699"/>
      <c r="BE100" s="699"/>
      <c r="BF100" s="699"/>
      <c r="BG100" s="699"/>
      <c r="BH100" s="699"/>
      <c r="BI100" s="699"/>
      <c r="BJ100" s="699"/>
      <c r="BK100" s="699"/>
      <c r="BL100" s="699"/>
      <c r="BM100" s="699"/>
      <c r="BN100" s="699"/>
      <c r="BO100" s="699"/>
      <c r="BP100" s="699"/>
      <c r="BQ100" s="699"/>
      <c r="BR100" s="699"/>
      <c r="BS100" s="699"/>
      <c r="BT100" s="699"/>
      <c r="BU100" s="699"/>
      <c r="BV100" s="699"/>
      <c r="BW100" s="699"/>
      <c r="BX100" s="699"/>
      <c r="BY100" s="699"/>
      <c r="BZ100" s="699"/>
      <c r="CA100" s="699"/>
      <c r="CB100" s="699"/>
      <c r="CC100" s="699"/>
      <c r="CD100" s="699"/>
      <c r="CE100" s="699"/>
      <c r="CF100" s="699"/>
      <c r="CG100" s="699"/>
      <c r="CH100" s="699"/>
      <c r="CI100" s="699"/>
      <c r="CJ100" s="699"/>
      <c r="CK100" s="699"/>
      <c r="CL100" s="699"/>
      <c r="CM100" s="699"/>
      <c r="CN100" s="699"/>
      <c r="CO100" s="699"/>
      <c r="CP100" s="699"/>
      <c r="CQ100" s="699"/>
      <c r="CR100" s="699"/>
      <c r="CS100" s="699"/>
      <c r="CT100" s="699"/>
      <c r="CU100" s="699"/>
      <c r="CV100" s="699"/>
      <c r="CW100" s="699"/>
      <c r="CX100" s="699"/>
      <c r="CY100" s="699"/>
      <c r="CZ100" s="699"/>
      <c r="DA100" s="699"/>
      <c r="DB100" s="699"/>
      <c r="DC100" s="699"/>
      <c r="DD100" s="699"/>
      <c r="DE100" s="699"/>
      <c r="DF100" s="699"/>
      <c r="DG100" s="699"/>
      <c r="DH100" s="699"/>
      <c r="DI100" s="699"/>
      <c r="DJ100" s="699"/>
      <c r="DK100" s="699"/>
      <c r="DL100" s="699"/>
      <c r="DM100" s="699"/>
      <c r="DN100" s="699"/>
      <c r="DO100" s="699"/>
      <c r="DP100" s="699"/>
      <c r="DQ100" s="699"/>
      <c r="DR100" s="699"/>
      <c r="DS100" s="699"/>
      <c r="DT100" s="699"/>
      <c r="DU100" s="699"/>
      <c r="DV100" s="699"/>
    </row>
    <row r="101" ht="15" customHeight="1">
      <c r="A101" s="311" t="s">
        <v>1499</v>
      </c>
      <c r="B101" s="312" t="s">
        <v>1321</v>
      </c>
      <c r="C101" s="702" t="s">
        <v>1454</v>
      </c>
      <c r="D101" s="703"/>
      <c r="E101" s="313">
        <v>0</v>
      </c>
      <c r="F101" s="313" t="n">
        <f t="shared" ref="F101:AK101" si="92">E$110</f>
        <v>0</v>
      </c>
      <c r="G101" s="313">
        <f t="shared" si="92"/>
        <v>99060.457516339869</v>
      </c>
      <c r="H101" s="313">
        <f t="shared" si="92"/>
        <v>99117.129443101439</v>
      </c>
      <c r="I101" s="313">
        <f t="shared" si="92"/>
        <v>99664.310308383225</v>
      </c>
      <c r="J101" s="313">
        <f t="shared" si="92"/>
        <v>100196.76347304446</v>
      </c>
      <c r="K101" s="313">
        <f t="shared" si="92"/>
        <v>100749.90450975181</v>
      </c>
      <c r="L101" s="313">
        <f t="shared" si="92"/>
        <v>101288.15742425596</v>
      </c>
      <c r="M101" s="313">
        <f t="shared" si="92"/>
        <v>216186.21318950364</v>
      </c>
      <c r="N101" s="313">
        <f t="shared" si="92"/>
        <v>0</v>
      </c>
      <c r="O101" s="313">
        <f t="shared" si="92"/>
        <v>0</v>
      </c>
      <c r="P101" s="313">
        <f t="shared" si="92"/>
        <v>0</v>
      </c>
      <c r="Q101" s="313">
        <f t="shared" si="92"/>
        <v>0</v>
      </c>
      <c r="R101" s="313">
        <f t="shared" si="92"/>
        <v>0</v>
      </c>
      <c r="S101" s="313">
        <f t="shared" si="92"/>
        <v>0</v>
      </c>
      <c r="T101" s="313">
        <f t="shared" si="92"/>
        <v>0</v>
      </c>
      <c r="U101" s="313">
        <f t="shared" si="92"/>
        <v>0</v>
      </c>
      <c r="V101" s="313">
        <f t="shared" si="92"/>
        <v>0</v>
      </c>
      <c r="W101" s="313">
        <f t="shared" si="92"/>
        <v>0</v>
      </c>
      <c r="X101" s="313">
        <f t="shared" si="92"/>
        <v>0</v>
      </c>
      <c r="Y101" s="313">
        <f t="shared" si="92"/>
        <v>0</v>
      </c>
      <c r="Z101" s="313">
        <f t="shared" si="92"/>
        <v>0</v>
      </c>
      <c r="AA101" s="313">
        <f t="shared" si="92"/>
        <v>0</v>
      </c>
      <c r="AB101" s="313">
        <f t="shared" si="92"/>
        <v>0</v>
      </c>
      <c r="AC101" s="313">
        <f t="shared" si="92"/>
        <v>0</v>
      </c>
      <c r="AD101" s="313">
        <f t="shared" si="92"/>
        <v>0</v>
      </c>
      <c r="AE101" s="313">
        <f t="shared" si="92"/>
        <v>0</v>
      </c>
      <c r="AF101" s="313">
        <f t="shared" si="92"/>
        <v>0</v>
      </c>
      <c r="AG101" s="313">
        <f t="shared" si="92"/>
        <v>0</v>
      </c>
      <c r="AH101" s="313">
        <f t="shared" si="92"/>
        <v>0</v>
      </c>
      <c r="AI101" s="313">
        <f t="shared" si="92"/>
        <v>0</v>
      </c>
      <c r="AJ101" s="313">
        <f t="shared" si="92"/>
        <v>0</v>
      </c>
      <c r="AK101" s="313">
        <f t="shared" si="92"/>
        <v>0</v>
      </c>
      <c r="AL101" s="313" t="n">
        <f t="shared" ref="AL101:BQ101" si="93">AK$110</f>
        <v>0</v>
      </c>
      <c r="AM101" s="313">
        <f t="shared" si="93"/>
        <v>0</v>
      </c>
      <c r="AN101" s="313">
        <f t="shared" si="93"/>
        <v>0</v>
      </c>
      <c r="AO101" s="313">
        <f t="shared" si="93"/>
        <v>0</v>
      </c>
      <c r="AP101" s="313">
        <f t="shared" si="93"/>
        <v>0</v>
      </c>
      <c r="AQ101" s="313">
        <f t="shared" si="93"/>
        <v>0</v>
      </c>
      <c r="AR101" s="313">
        <f t="shared" si="93"/>
        <v>0</v>
      </c>
      <c r="AS101" s="313">
        <f t="shared" si="93"/>
        <v>0</v>
      </c>
      <c r="AT101" s="313">
        <f t="shared" si="93"/>
        <v>0</v>
      </c>
      <c r="AU101" s="313">
        <f t="shared" si="93"/>
        <v>0</v>
      </c>
      <c r="AV101" s="313">
        <f t="shared" si="93"/>
        <v>0</v>
      </c>
      <c r="AW101" s="313">
        <f t="shared" si="93"/>
        <v>0</v>
      </c>
      <c r="AX101" s="313">
        <f t="shared" si="93"/>
        <v>0</v>
      </c>
      <c r="AY101" s="313">
        <f t="shared" si="93"/>
        <v>0</v>
      </c>
      <c r="AZ101" s="313">
        <f t="shared" si="93"/>
        <v>0</v>
      </c>
      <c r="BA101" s="313">
        <f t="shared" si="93"/>
        <v>0</v>
      </c>
      <c r="BB101" s="313">
        <f t="shared" si="93"/>
        <v>0</v>
      </c>
      <c r="BC101" s="313">
        <f t="shared" si="93"/>
        <v>0</v>
      </c>
      <c r="BD101" s="313">
        <f t="shared" si="93"/>
        <v>0</v>
      </c>
      <c r="BE101" s="313">
        <f t="shared" si="93"/>
        <v>0</v>
      </c>
      <c r="BF101" s="313">
        <f t="shared" si="93"/>
        <v>0</v>
      </c>
      <c r="BG101" s="313">
        <f t="shared" si="93"/>
        <v>0</v>
      </c>
      <c r="BH101" s="313">
        <f t="shared" si="93"/>
        <v>0</v>
      </c>
      <c r="BI101" s="313">
        <f t="shared" si="93"/>
        <v>0</v>
      </c>
      <c r="BJ101" s="313">
        <f t="shared" si="93"/>
        <v>0</v>
      </c>
      <c r="BK101" s="313">
        <f t="shared" si="93"/>
        <v>0</v>
      </c>
      <c r="BL101" s="313">
        <f t="shared" si="93"/>
        <v>0</v>
      </c>
      <c r="BM101" s="313">
        <f t="shared" si="93"/>
        <v>0</v>
      </c>
      <c r="BN101" s="313">
        <f t="shared" si="93"/>
        <v>0</v>
      </c>
      <c r="BO101" s="313">
        <f t="shared" si="93"/>
        <v>0</v>
      </c>
      <c r="BP101" s="313">
        <f t="shared" si="93"/>
        <v>976604.00736571662</v>
      </c>
      <c r="BQ101" s="313">
        <f t="shared" si="93"/>
        <v>0</v>
      </c>
      <c r="BR101" s="313" t="n">
        <f t="shared" ref="BR101:CW101" si="94">BQ$110</f>
        <v>0</v>
      </c>
      <c r="BS101" s="313">
        <f t="shared" si="94"/>
        <v>0</v>
      </c>
      <c r="BT101" s="313">
        <f t="shared" si="94"/>
        <v>0</v>
      </c>
      <c r="BU101" s="313">
        <f t="shared" si="94"/>
        <v>0</v>
      </c>
      <c r="BV101" s="313">
        <f t="shared" si="94"/>
        <v>0</v>
      </c>
      <c r="BW101" s="313">
        <f t="shared" si="94"/>
        <v>0</v>
      </c>
      <c r="BX101" s="313">
        <f t="shared" si="94"/>
        <v>0</v>
      </c>
      <c r="BY101" s="313">
        <f t="shared" si="94"/>
        <v>0</v>
      </c>
      <c r="BZ101" s="313">
        <f t="shared" si="94"/>
        <v>0</v>
      </c>
      <c r="CA101" s="313">
        <f t="shared" si="94"/>
        <v>0</v>
      </c>
      <c r="CB101" s="313">
        <f t="shared" si="94"/>
        <v>0</v>
      </c>
      <c r="CC101" s="313">
        <f t="shared" si="94"/>
        <v>0</v>
      </c>
      <c r="CD101" s="313">
        <f t="shared" si="94"/>
        <v>0</v>
      </c>
      <c r="CE101" s="313">
        <f t="shared" si="94"/>
        <v>0</v>
      </c>
      <c r="CF101" s="313">
        <f t="shared" si="94"/>
        <v>0</v>
      </c>
      <c r="CG101" s="313">
        <f t="shared" si="94"/>
        <v>0</v>
      </c>
      <c r="CH101" s="313">
        <f t="shared" si="94"/>
        <v>0</v>
      </c>
      <c r="CI101" s="313">
        <f t="shared" si="94"/>
        <v>0</v>
      </c>
      <c r="CJ101" s="313">
        <f t="shared" si="94"/>
        <v>0</v>
      </c>
      <c r="CK101" s="313">
        <f t="shared" si="94"/>
        <v>0</v>
      </c>
      <c r="CL101" s="313">
        <f t="shared" si="94"/>
        <v>0</v>
      </c>
      <c r="CM101" s="313">
        <f t="shared" si="94"/>
        <v>0</v>
      </c>
      <c r="CN101" s="313">
        <f t="shared" si="94"/>
        <v>0</v>
      </c>
      <c r="CO101" s="313">
        <f t="shared" si="94"/>
        <v>0</v>
      </c>
      <c r="CP101" s="313">
        <f t="shared" si="94"/>
        <v>0</v>
      </c>
      <c r="CQ101" s="313">
        <f t="shared" si="94"/>
        <v>0</v>
      </c>
      <c r="CR101" s="313">
        <f t="shared" si="94"/>
        <v>0</v>
      </c>
      <c r="CS101" s="313">
        <f t="shared" si="94"/>
        <v>0</v>
      </c>
      <c r="CT101" s="313">
        <f t="shared" si="94"/>
        <v>0</v>
      </c>
      <c r="CU101" s="313">
        <f t="shared" si="94"/>
        <v>0</v>
      </c>
      <c r="CV101" s="313">
        <f t="shared" si="94"/>
        <v>0</v>
      </c>
      <c r="CW101" s="313">
        <f t="shared" si="94"/>
        <v>0</v>
      </c>
      <c r="CX101" s="313" t="n">
        <f t="shared" ref="CX101:DV101" si="95">CW$110</f>
        <v>0</v>
      </c>
      <c r="CY101" s="313">
        <f t="shared" si="95"/>
        <v>0</v>
      </c>
      <c r="CZ101" s="313">
        <f t="shared" si="95"/>
        <v>0</v>
      </c>
      <c r="DA101" s="313">
        <f t="shared" si="95"/>
        <v>0</v>
      </c>
      <c r="DB101" s="313">
        <f t="shared" si="95"/>
        <v>0</v>
      </c>
      <c r="DC101" s="313">
        <f t="shared" si="95"/>
        <v>0</v>
      </c>
      <c r="DD101" s="313">
        <f t="shared" si="95"/>
        <v>0</v>
      </c>
      <c r="DE101" s="313">
        <f t="shared" si="95"/>
        <v>0</v>
      </c>
      <c r="DF101" s="313">
        <f t="shared" si="95"/>
        <v>0</v>
      </c>
      <c r="DG101" s="313">
        <f t="shared" si="95"/>
        <v>0</v>
      </c>
      <c r="DH101" s="313">
        <f t="shared" si="95"/>
        <v>0</v>
      </c>
      <c r="DI101" s="313">
        <f t="shared" si="95"/>
        <v>0</v>
      </c>
      <c r="DJ101" s="313">
        <f t="shared" si="95"/>
        <v>0</v>
      </c>
      <c r="DK101" s="313">
        <f t="shared" si="95"/>
        <v>0</v>
      </c>
      <c r="DL101" s="313">
        <f t="shared" si="95"/>
        <v>0</v>
      </c>
      <c r="DM101" s="313">
        <f t="shared" si="95"/>
        <v>0</v>
      </c>
      <c r="DN101" s="313">
        <f t="shared" si="95"/>
        <v>0</v>
      </c>
      <c r="DO101" s="313">
        <f t="shared" si="95"/>
        <v>0</v>
      </c>
      <c r="DP101" s="313">
        <f t="shared" si="95"/>
        <v>0</v>
      </c>
      <c r="DQ101" s="313">
        <f t="shared" si="95"/>
        <v>0</v>
      </c>
      <c r="DR101" s="313">
        <f t="shared" si="95"/>
        <v>0</v>
      </c>
      <c r="DS101" s="313">
        <f t="shared" si="95"/>
        <v>0</v>
      </c>
      <c r="DT101" s="313">
        <f t="shared" si="95"/>
        <v>0</v>
      </c>
      <c r="DU101" s="313">
        <f t="shared" si="95"/>
        <v>0</v>
      </c>
      <c r="DV101" s="313">
        <f t="shared" si="95"/>
        <v>0</v>
      </c>
    </row>
    <row r="102" ht="15" customHeight="1">
      <c r="A102" s="311" t="s">
        <v>1363</v>
      </c>
      <c r="B102" s="312" t="s">
        <v>1321</v>
      </c>
      <c r="C102" s="702" t="s">
        <v>1500</v>
      </c>
      <c r="D102" s="703"/>
      <c r="F102" s="313" t="n">
        <f t="shared" ref="F102:AK102" si="96">$B$24</f>
        <v>976604.0073657166</v>
      </c>
      <c r="G102" s="313">
        <f t="shared" si="96"/>
        <v>976604.00736571662</v>
      </c>
      <c r="H102" s="313">
        <f t="shared" si="96"/>
        <v>976604.00736571662</v>
      </c>
      <c r="I102" s="313">
        <f t="shared" si="96"/>
        <v>976604.00736571662</v>
      </c>
      <c r="J102" s="313">
        <f t="shared" si="96"/>
        <v>976604.00736571662</v>
      </c>
      <c r="K102" s="313">
        <f t="shared" si="96"/>
        <v>976604.00736571662</v>
      </c>
      <c r="L102" s="313">
        <f t="shared" si="96"/>
        <v>976604.00736571662</v>
      </c>
      <c r="M102" s="313">
        <f t="shared" si="96"/>
        <v>976604.00736571662</v>
      </c>
      <c r="N102" s="313">
        <f t="shared" si="96"/>
        <v>976604.00736571662</v>
      </c>
      <c r="O102" s="313">
        <f t="shared" si="96"/>
        <v>976604.00736571662</v>
      </c>
      <c r="P102" s="313">
        <f t="shared" si="96"/>
        <v>976604.00736571662</v>
      </c>
      <c r="Q102" s="313">
        <f t="shared" si="96"/>
        <v>976604.00736571662</v>
      </c>
      <c r="R102" s="313">
        <f t="shared" si="96"/>
        <v>976604.00736571662</v>
      </c>
      <c r="S102" s="313">
        <f t="shared" si="96"/>
        <v>976604.00736571662</v>
      </c>
      <c r="T102" s="313">
        <f t="shared" si="96"/>
        <v>976604.00736571662</v>
      </c>
      <c r="U102" s="313">
        <f t="shared" si="96"/>
        <v>976604.00736571662</v>
      </c>
      <c r="V102" s="313">
        <f t="shared" si="96"/>
        <v>976604.00736571662</v>
      </c>
      <c r="W102" s="313">
        <f t="shared" si="96"/>
        <v>976604.00736571662</v>
      </c>
      <c r="X102" s="313">
        <f t="shared" si="96"/>
        <v>976604.00736571662</v>
      </c>
      <c r="Y102" s="313">
        <f t="shared" si="96"/>
        <v>976604.00736571662</v>
      </c>
      <c r="Z102" s="313">
        <f t="shared" si="96"/>
        <v>976604.00736571662</v>
      </c>
      <c r="AA102" s="313">
        <f t="shared" si="96"/>
        <v>976604.00736571662</v>
      </c>
      <c r="AB102" s="313">
        <f t="shared" si="96"/>
        <v>976604.00736571662</v>
      </c>
      <c r="AC102" s="313">
        <f t="shared" si="96"/>
        <v>976604.00736571662</v>
      </c>
      <c r="AD102" s="313">
        <f t="shared" si="96"/>
        <v>976604.00736571662</v>
      </c>
      <c r="AE102" s="313">
        <f t="shared" si="96"/>
        <v>976604.00736571662</v>
      </c>
      <c r="AF102" s="313">
        <f t="shared" si="96"/>
        <v>976604.00736571662</v>
      </c>
      <c r="AG102" s="313">
        <f t="shared" si="96"/>
        <v>976604.00736571662</v>
      </c>
      <c r="AH102" s="313">
        <f t="shared" si="96"/>
        <v>976604.00736571662</v>
      </c>
      <c r="AI102" s="313">
        <f t="shared" si="96"/>
        <v>976604.00736571662</v>
      </c>
      <c r="AJ102" s="313">
        <f t="shared" si="96"/>
        <v>976604.00736571662</v>
      </c>
      <c r="AK102" s="313">
        <f t="shared" si="96"/>
        <v>976604.00736571662</v>
      </c>
      <c r="AL102" s="313" t="n">
        <f t="shared" ref="AL102:BQ102" si="97">$B$24</f>
        <v>976604.0073657166</v>
      </c>
      <c r="AM102" s="313">
        <f t="shared" si="97"/>
        <v>976604.00736571662</v>
      </c>
      <c r="AN102" s="313">
        <f t="shared" si="97"/>
        <v>976604.00736571662</v>
      </c>
      <c r="AO102" s="313">
        <f t="shared" si="97"/>
        <v>976604.00736571662</v>
      </c>
      <c r="AP102" s="313">
        <f t="shared" si="97"/>
        <v>976604.00736571662</v>
      </c>
      <c r="AQ102" s="313">
        <f t="shared" si="97"/>
        <v>976604.00736571662</v>
      </c>
      <c r="AR102" s="313">
        <f t="shared" si="97"/>
        <v>976604.00736571662</v>
      </c>
      <c r="AS102" s="313">
        <f t="shared" si="97"/>
        <v>976604.00736571662</v>
      </c>
      <c r="AT102" s="313">
        <f t="shared" si="97"/>
        <v>976604.00736571662</v>
      </c>
      <c r="AU102" s="313">
        <f t="shared" si="97"/>
        <v>976604.00736571662</v>
      </c>
      <c r="AV102" s="313">
        <f t="shared" si="97"/>
        <v>976604.00736571662</v>
      </c>
      <c r="AW102" s="313">
        <f t="shared" si="97"/>
        <v>976604.00736571662</v>
      </c>
      <c r="AX102" s="313">
        <f t="shared" si="97"/>
        <v>976604.00736571662</v>
      </c>
      <c r="AY102" s="313">
        <f t="shared" si="97"/>
        <v>976604.00736571662</v>
      </c>
      <c r="AZ102" s="313">
        <f t="shared" si="97"/>
        <v>976604.00736571662</v>
      </c>
      <c r="BA102" s="313">
        <f t="shared" si="97"/>
        <v>976604.00736571662</v>
      </c>
      <c r="BB102" s="313">
        <f t="shared" si="97"/>
        <v>976604.00736571662</v>
      </c>
      <c r="BC102" s="313">
        <f t="shared" si="97"/>
        <v>976604.00736571662</v>
      </c>
      <c r="BD102" s="313">
        <f t="shared" si="97"/>
        <v>976604.00736571662</v>
      </c>
      <c r="BE102" s="313">
        <f t="shared" si="97"/>
        <v>976604.00736571662</v>
      </c>
      <c r="BF102" s="313">
        <f t="shared" si="97"/>
        <v>976604.00736571662</v>
      </c>
      <c r="BG102" s="313">
        <f t="shared" si="97"/>
        <v>976604.00736571662</v>
      </c>
      <c r="BH102" s="313">
        <f t="shared" si="97"/>
        <v>976604.00736571662</v>
      </c>
      <c r="BI102" s="313">
        <f t="shared" si="97"/>
        <v>976604.00736571662</v>
      </c>
      <c r="BJ102" s="313">
        <f t="shared" si="97"/>
        <v>976604.00736571662</v>
      </c>
      <c r="BK102" s="313">
        <f t="shared" si="97"/>
        <v>976604.00736571662</v>
      </c>
      <c r="BL102" s="313">
        <f t="shared" si="97"/>
        <v>976604.00736571662</v>
      </c>
      <c r="BM102" s="313">
        <f t="shared" si="97"/>
        <v>976604.00736571662</v>
      </c>
      <c r="BN102" s="313">
        <f t="shared" si="97"/>
        <v>976604.00736571662</v>
      </c>
      <c r="BO102" s="313">
        <f t="shared" si="97"/>
        <v>976604.00736571662</v>
      </c>
      <c r="BP102" s="313">
        <f t="shared" si="97"/>
        <v>976604.00736571662</v>
      </c>
      <c r="BQ102" s="313">
        <f t="shared" si="97"/>
        <v>976604.00736571662</v>
      </c>
      <c r="BR102" s="313" t="n">
        <f t="shared" ref="BR102:CW102" si="98">$B$24</f>
        <v>976604.0073657166</v>
      </c>
      <c r="BS102" s="313">
        <f t="shared" si="98"/>
        <v>976604.00736571662</v>
      </c>
      <c r="BT102" s="313">
        <f t="shared" si="98"/>
        <v>976604.00736571662</v>
      </c>
      <c r="BU102" s="313">
        <f t="shared" si="98"/>
        <v>976604.00736571662</v>
      </c>
      <c r="BV102" s="313">
        <f t="shared" si="98"/>
        <v>976604.00736571662</v>
      </c>
      <c r="BW102" s="313">
        <f t="shared" si="98"/>
        <v>976604.00736571662</v>
      </c>
      <c r="BX102" s="313">
        <f t="shared" si="98"/>
        <v>976604.00736571662</v>
      </c>
      <c r="BY102" s="313">
        <f t="shared" si="98"/>
        <v>976604.00736571662</v>
      </c>
      <c r="BZ102" s="313">
        <f t="shared" si="98"/>
        <v>976604.00736571662</v>
      </c>
      <c r="CA102" s="313">
        <f t="shared" si="98"/>
        <v>976604.00736571662</v>
      </c>
      <c r="CB102" s="313">
        <f t="shared" si="98"/>
        <v>976604.00736571662</v>
      </c>
      <c r="CC102" s="313">
        <f t="shared" si="98"/>
        <v>976604.00736571662</v>
      </c>
      <c r="CD102" s="313">
        <f t="shared" si="98"/>
        <v>976604.00736571662</v>
      </c>
      <c r="CE102" s="313">
        <f t="shared" si="98"/>
        <v>976604.00736571662</v>
      </c>
      <c r="CF102" s="313">
        <f t="shared" si="98"/>
        <v>976604.00736571662</v>
      </c>
      <c r="CG102" s="313">
        <f t="shared" si="98"/>
        <v>976604.00736571662</v>
      </c>
      <c r="CH102" s="313">
        <f t="shared" si="98"/>
        <v>976604.00736571662</v>
      </c>
      <c r="CI102" s="313">
        <f t="shared" si="98"/>
        <v>976604.00736571662</v>
      </c>
      <c r="CJ102" s="313">
        <f t="shared" si="98"/>
        <v>976604.00736571662</v>
      </c>
      <c r="CK102" s="313">
        <f t="shared" si="98"/>
        <v>976604.00736571662</v>
      </c>
      <c r="CL102" s="313">
        <f t="shared" si="98"/>
        <v>976604.00736571662</v>
      </c>
      <c r="CM102" s="313">
        <f t="shared" si="98"/>
        <v>976604.00736571662</v>
      </c>
      <c r="CN102" s="313">
        <f t="shared" si="98"/>
        <v>976604.00736571662</v>
      </c>
      <c r="CO102" s="313">
        <f t="shared" si="98"/>
        <v>976604.00736571662</v>
      </c>
      <c r="CP102" s="313">
        <f t="shared" si="98"/>
        <v>976604.00736571662</v>
      </c>
      <c r="CQ102" s="313">
        <f t="shared" si="98"/>
        <v>976604.00736571662</v>
      </c>
      <c r="CR102" s="313">
        <f t="shared" si="98"/>
        <v>976604.00736571662</v>
      </c>
      <c r="CS102" s="313">
        <f t="shared" si="98"/>
        <v>976604.00736571662</v>
      </c>
      <c r="CT102" s="313">
        <f t="shared" si="98"/>
        <v>976604.00736571662</v>
      </c>
      <c r="CU102" s="313">
        <f t="shared" si="98"/>
        <v>976604.00736571662</v>
      </c>
      <c r="CV102" s="313">
        <f t="shared" si="98"/>
        <v>976604.00736571662</v>
      </c>
      <c r="CW102" s="313">
        <f t="shared" si="98"/>
        <v>976604.00736571662</v>
      </c>
      <c r="CX102" s="313" t="n">
        <f t="shared" ref="CX102:DV102" si="99">$B$24</f>
        <v>976604.0073657166</v>
      </c>
      <c r="CY102" s="313">
        <f t="shared" si="99"/>
        <v>976604.00736571662</v>
      </c>
      <c r="CZ102" s="313">
        <f t="shared" si="99"/>
        <v>976604.00736571662</v>
      </c>
      <c r="DA102" s="313">
        <f t="shared" si="99"/>
        <v>976604.00736571662</v>
      </c>
      <c r="DB102" s="313">
        <f t="shared" si="99"/>
        <v>976604.00736571662</v>
      </c>
      <c r="DC102" s="313">
        <f t="shared" si="99"/>
        <v>976604.00736571662</v>
      </c>
      <c r="DD102" s="313">
        <f t="shared" si="99"/>
        <v>976604.00736571662</v>
      </c>
      <c r="DE102" s="313">
        <f t="shared" si="99"/>
        <v>976604.00736571662</v>
      </c>
      <c r="DF102" s="313">
        <f t="shared" si="99"/>
        <v>976604.00736571662</v>
      </c>
      <c r="DG102" s="313">
        <f t="shared" si="99"/>
        <v>976604.00736571662</v>
      </c>
      <c r="DH102" s="313">
        <f t="shared" si="99"/>
        <v>976604.00736571662</v>
      </c>
      <c r="DI102" s="313">
        <f t="shared" si="99"/>
        <v>976604.00736571662</v>
      </c>
      <c r="DJ102" s="313">
        <f t="shared" si="99"/>
        <v>976604.00736571662</v>
      </c>
      <c r="DK102" s="313">
        <f t="shared" si="99"/>
        <v>976604.00736571662</v>
      </c>
      <c r="DL102" s="313">
        <f t="shared" si="99"/>
        <v>976604.00736571662</v>
      </c>
      <c r="DM102" s="313">
        <f t="shared" si="99"/>
        <v>976604.00736571662</v>
      </c>
      <c r="DN102" s="313">
        <f t="shared" si="99"/>
        <v>976604.00736571662</v>
      </c>
      <c r="DO102" s="313">
        <f t="shared" si="99"/>
        <v>976604.00736571662</v>
      </c>
      <c r="DP102" s="313">
        <f t="shared" si="99"/>
        <v>976604.00736571662</v>
      </c>
      <c r="DQ102" s="313">
        <f t="shared" si="99"/>
        <v>976604.00736571662</v>
      </c>
      <c r="DR102" s="313">
        <f t="shared" si="99"/>
        <v>976604.00736571662</v>
      </c>
      <c r="DS102" s="313">
        <f t="shared" si="99"/>
        <v>976604.00736571662</v>
      </c>
      <c r="DT102" s="313">
        <f t="shared" si="99"/>
        <v>976604.00736571662</v>
      </c>
      <c r="DU102" s="313">
        <f t="shared" si="99"/>
        <v>976604.00736571662</v>
      </c>
      <c r="DV102" s="313">
        <f t="shared" si="99"/>
        <v>976604.00736571662</v>
      </c>
    </row>
    <row r="103" ht="15" customHeight="1">
      <c r="A103" s="311" t="s">
        <v>1501</v>
      </c>
      <c r="B103" s="312" t="s">
        <v>1321</v>
      </c>
      <c r="C103" s="702" t="s">
        <v>1502</v>
      </c>
      <c r="D103" s="703"/>
      <c r="F103" s="313" t="n">
        <f t="shared" ref="F103:AK103" si="100">MAX(0,F$104-(E$153+F$144-F$108-F$109-F$84-F$86-F$88-F$123-F$124-F$125-F$126-F$127))</f>
        <v>99060.45751633987</v>
      </c>
      <c r="G103" s="313">
        <f t="shared" si="100"/>
        <v>56.671926761569921</v>
      </c>
      <c r="H103" s="313">
        <f t="shared" si="100"/>
        <v>547.18086528178537</v>
      </c>
      <c r="I103" s="313">
        <f t="shared" si="100"/>
        <v>532.4531646612304</v>
      </c>
      <c r="J103" s="313">
        <f t="shared" si="100"/>
        <v>553.14103670735494</v>
      </c>
      <c r="K103" s="313">
        <f t="shared" si="100"/>
        <v>538.25291450414807</v>
      </c>
      <c r="L103" s="313">
        <f t="shared" si="100"/>
        <v>114898.05576524769</v>
      </c>
      <c r="M103" s="313">
        <f t="shared" si="100"/>
        <v>0</v>
      </c>
      <c r="N103" s="313">
        <f t="shared" si="100"/>
        <v>0</v>
      </c>
      <c r="O103" s="313">
        <f t="shared" si="100"/>
        <v>0</v>
      </c>
      <c r="P103" s="313">
        <f t="shared" si="100"/>
        <v>0</v>
      </c>
      <c r="Q103" s="313">
        <f t="shared" si="100"/>
        <v>0</v>
      </c>
      <c r="R103" s="313">
        <f t="shared" si="100"/>
        <v>0</v>
      </c>
      <c r="S103" s="313">
        <f t="shared" si="100"/>
        <v>0</v>
      </c>
      <c r="T103" s="313">
        <f t="shared" si="100"/>
        <v>0</v>
      </c>
      <c r="U103" s="313">
        <f t="shared" si="100"/>
        <v>0</v>
      </c>
      <c r="V103" s="313">
        <f t="shared" si="100"/>
        <v>0</v>
      </c>
      <c r="W103" s="313">
        <f t="shared" si="100"/>
        <v>0</v>
      </c>
      <c r="X103" s="313">
        <f t="shared" si="100"/>
        <v>0</v>
      </c>
      <c r="Y103" s="313">
        <f t="shared" si="100"/>
        <v>0</v>
      </c>
      <c r="Z103" s="313">
        <f t="shared" si="100"/>
        <v>0</v>
      </c>
      <c r="AA103" s="313">
        <f t="shared" si="100"/>
        <v>0</v>
      </c>
      <c r="AB103" s="313">
        <f t="shared" si="100"/>
        <v>0</v>
      </c>
      <c r="AC103" s="313">
        <f t="shared" si="100"/>
        <v>0</v>
      </c>
      <c r="AD103" s="313">
        <f t="shared" si="100"/>
        <v>0</v>
      </c>
      <c r="AE103" s="313">
        <f t="shared" si="100"/>
        <v>0</v>
      </c>
      <c r="AF103" s="313">
        <f t="shared" si="100"/>
        <v>0</v>
      </c>
      <c r="AG103" s="313">
        <f t="shared" si="100"/>
        <v>0</v>
      </c>
      <c r="AH103" s="313">
        <f t="shared" si="100"/>
        <v>0</v>
      </c>
      <c r="AI103" s="313">
        <f t="shared" si="100"/>
        <v>0</v>
      </c>
      <c r="AJ103" s="313">
        <f t="shared" si="100"/>
        <v>0</v>
      </c>
      <c r="AK103" s="313">
        <f t="shared" si="100"/>
        <v>0</v>
      </c>
      <c r="AL103" s="313" t="n">
        <f t="shared" ref="AL103:BQ103" si="101">MAX(0,AL$104-(AK$153+AL$144-AL$108-AL$109-AL$84-AL$86-AL$88-AL$123-AL$124-AL$125-AL$126-AL$127))</f>
        <v>0</v>
      </c>
      <c r="AM103" s="313">
        <f t="shared" si="101"/>
        <v>0</v>
      </c>
      <c r="AN103" s="313">
        <f t="shared" si="101"/>
        <v>0</v>
      </c>
      <c r="AO103" s="313">
        <f t="shared" si="101"/>
        <v>0</v>
      </c>
      <c r="AP103" s="313">
        <f t="shared" si="101"/>
        <v>0</v>
      </c>
      <c r="AQ103" s="313">
        <f t="shared" si="101"/>
        <v>0</v>
      </c>
      <c r="AR103" s="313">
        <f t="shared" si="101"/>
        <v>0</v>
      </c>
      <c r="AS103" s="313">
        <f t="shared" si="101"/>
        <v>0</v>
      </c>
      <c r="AT103" s="313">
        <f t="shared" si="101"/>
        <v>0</v>
      </c>
      <c r="AU103" s="313">
        <f t="shared" si="101"/>
        <v>0</v>
      </c>
      <c r="AV103" s="313">
        <f t="shared" si="101"/>
        <v>0</v>
      </c>
      <c r="AW103" s="313">
        <f t="shared" si="101"/>
        <v>0</v>
      </c>
      <c r="AX103" s="313">
        <f t="shared" si="101"/>
        <v>0</v>
      </c>
      <c r="AY103" s="313">
        <f t="shared" si="101"/>
        <v>0</v>
      </c>
      <c r="AZ103" s="313">
        <f t="shared" si="101"/>
        <v>0</v>
      </c>
      <c r="BA103" s="313">
        <f t="shared" si="101"/>
        <v>0</v>
      </c>
      <c r="BB103" s="313">
        <f t="shared" si="101"/>
        <v>0</v>
      </c>
      <c r="BC103" s="313">
        <f t="shared" si="101"/>
        <v>0</v>
      </c>
      <c r="BD103" s="313">
        <f t="shared" si="101"/>
        <v>0</v>
      </c>
      <c r="BE103" s="313">
        <f t="shared" si="101"/>
        <v>0</v>
      </c>
      <c r="BF103" s="313">
        <f t="shared" si="101"/>
        <v>0</v>
      </c>
      <c r="BG103" s="313">
        <f t="shared" si="101"/>
        <v>0</v>
      </c>
      <c r="BH103" s="313">
        <f t="shared" si="101"/>
        <v>0</v>
      </c>
      <c r="BI103" s="313">
        <f t="shared" si="101"/>
        <v>0</v>
      </c>
      <c r="BJ103" s="313">
        <f t="shared" si="101"/>
        <v>0</v>
      </c>
      <c r="BK103" s="313">
        <f t="shared" si="101"/>
        <v>0</v>
      </c>
      <c r="BL103" s="313">
        <f t="shared" si="101"/>
        <v>0</v>
      </c>
      <c r="BM103" s="313">
        <f t="shared" si="101"/>
        <v>0</v>
      </c>
      <c r="BN103" s="313">
        <f t="shared" si="101"/>
        <v>0</v>
      </c>
      <c r="BO103" s="313">
        <f t="shared" si="101"/>
        <v>188933643.58350629</v>
      </c>
      <c r="BP103" s="313">
        <f t="shared" si="101"/>
        <v>0</v>
      </c>
      <c r="BQ103" s="313">
        <f t="shared" si="101"/>
        <v>0</v>
      </c>
      <c r="BR103" s="313" t="n">
        <f t="shared" ref="BR103:CW103" si="102">MAX(0,BR$104-(BQ$153+BR$144-BR$108-BR$109-BR$84-BR$86-BR$88-BR$123-BR$124-BR$125-BR$126-BR$127))</f>
        <v>0</v>
      </c>
      <c r="BS103" s="313">
        <f t="shared" si="102"/>
        <v>0</v>
      </c>
      <c r="BT103" s="313">
        <f t="shared" si="102"/>
        <v>0</v>
      </c>
      <c r="BU103" s="313">
        <f t="shared" si="102"/>
        <v>0</v>
      </c>
      <c r="BV103" s="313">
        <f t="shared" si="102"/>
        <v>0</v>
      </c>
      <c r="BW103" s="313">
        <f t="shared" si="102"/>
        <v>0</v>
      </c>
      <c r="BX103" s="313">
        <f t="shared" si="102"/>
        <v>0</v>
      </c>
      <c r="BY103" s="313">
        <f t="shared" si="102"/>
        <v>0</v>
      </c>
      <c r="BZ103" s="313">
        <f t="shared" si="102"/>
        <v>0</v>
      </c>
      <c r="CA103" s="313">
        <f t="shared" si="102"/>
        <v>0</v>
      </c>
      <c r="CB103" s="313">
        <f t="shared" si="102"/>
        <v>0</v>
      </c>
      <c r="CC103" s="313">
        <f t="shared" si="102"/>
        <v>0</v>
      </c>
      <c r="CD103" s="313">
        <f t="shared" si="102"/>
        <v>0</v>
      </c>
      <c r="CE103" s="313">
        <f t="shared" si="102"/>
        <v>0</v>
      </c>
      <c r="CF103" s="313">
        <f t="shared" si="102"/>
        <v>0</v>
      </c>
      <c r="CG103" s="313">
        <f t="shared" si="102"/>
        <v>0</v>
      </c>
      <c r="CH103" s="313">
        <f t="shared" si="102"/>
        <v>0</v>
      </c>
      <c r="CI103" s="313">
        <f t="shared" si="102"/>
        <v>0</v>
      </c>
      <c r="CJ103" s="313">
        <f t="shared" si="102"/>
        <v>0</v>
      </c>
      <c r="CK103" s="313">
        <f t="shared" si="102"/>
        <v>0</v>
      </c>
      <c r="CL103" s="313">
        <f t="shared" si="102"/>
        <v>0</v>
      </c>
      <c r="CM103" s="313">
        <f t="shared" si="102"/>
        <v>0</v>
      </c>
      <c r="CN103" s="313">
        <f t="shared" si="102"/>
        <v>0</v>
      </c>
      <c r="CO103" s="313">
        <f t="shared" si="102"/>
        <v>0</v>
      </c>
      <c r="CP103" s="313">
        <f t="shared" si="102"/>
        <v>0</v>
      </c>
      <c r="CQ103" s="313">
        <f t="shared" si="102"/>
        <v>0</v>
      </c>
      <c r="CR103" s="313">
        <f t="shared" si="102"/>
        <v>0</v>
      </c>
      <c r="CS103" s="313">
        <f t="shared" si="102"/>
        <v>0</v>
      </c>
      <c r="CT103" s="313">
        <f t="shared" si="102"/>
        <v>0</v>
      </c>
      <c r="CU103" s="313">
        <f t="shared" si="102"/>
        <v>0</v>
      </c>
      <c r="CV103" s="313">
        <f t="shared" si="102"/>
        <v>0</v>
      </c>
      <c r="CW103" s="313">
        <f t="shared" si="102"/>
        <v>0</v>
      </c>
      <c r="CX103" s="313" t="n">
        <f t="shared" ref="CX103:DV103" si="103">MAX(0,CX$104-(CW$153+CX$144-CX$108-CX$109-CX$84-CX$86-CX$88-CX$123-CX$124-CX$125-CX$126-CX$127))</f>
        <v>0</v>
      </c>
      <c r="CY103" s="313">
        <f t="shared" si="103"/>
        <v>0</v>
      </c>
      <c r="CZ103" s="313">
        <f t="shared" si="103"/>
        <v>0</v>
      </c>
      <c r="DA103" s="313">
        <f t="shared" si="103"/>
        <v>0</v>
      </c>
      <c r="DB103" s="313">
        <f t="shared" si="103"/>
        <v>0</v>
      </c>
      <c r="DC103" s="313">
        <f t="shared" si="103"/>
        <v>0</v>
      </c>
      <c r="DD103" s="313">
        <f t="shared" si="103"/>
        <v>0</v>
      </c>
      <c r="DE103" s="313">
        <f t="shared" si="103"/>
        <v>0</v>
      </c>
      <c r="DF103" s="313">
        <f t="shared" si="103"/>
        <v>0</v>
      </c>
      <c r="DG103" s="313">
        <f t="shared" si="103"/>
        <v>0</v>
      </c>
      <c r="DH103" s="313">
        <f t="shared" si="103"/>
        <v>0</v>
      </c>
      <c r="DI103" s="313">
        <f t="shared" si="103"/>
        <v>0</v>
      </c>
      <c r="DJ103" s="313">
        <f t="shared" si="103"/>
        <v>0</v>
      </c>
      <c r="DK103" s="313">
        <f t="shared" si="103"/>
        <v>0</v>
      </c>
      <c r="DL103" s="313">
        <f t="shared" si="103"/>
        <v>0</v>
      </c>
      <c r="DM103" s="313">
        <f t="shared" si="103"/>
        <v>0</v>
      </c>
      <c r="DN103" s="313">
        <f t="shared" si="103"/>
        <v>0</v>
      </c>
      <c r="DO103" s="313">
        <f t="shared" si="103"/>
        <v>0</v>
      </c>
      <c r="DP103" s="313">
        <f t="shared" si="103"/>
        <v>0</v>
      </c>
      <c r="DQ103" s="313">
        <f t="shared" si="103"/>
        <v>0</v>
      </c>
      <c r="DR103" s="313">
        <f t="shared" si="103"/>
        <v>0</v>
      </c>
      <c r="DS103" s="313">
        <f t="shared" si="103"/>
        <v>0</v>
      </c>
      <c r="DT103" s="313">
        <f t="shared" si="103"/>
        <v>0</v>
      </c>
      <c r="DU103" s="313">
        <f t="shared" si="103"/>
        <v>0</v>
      </c>
      <c r="DV103" s="313">
        <f t="shared" si="103"/>
        <v>0</v>
      </c>
    </row>
    <row r="104" ht="15" customHeight="1">
      <c r="A104" s="311" t="s">
        <v>1503</v>
      </c>
      <c r="B104" s="312" t="s">
        <v>1321</v>
      </c>
      <c r="C104" s="702" t="s">
        <v>1504</v>
      </c>
      <c r="D104" s="703"/>
      <c r="F104" s="313" t="n">
        <f t="shared" ref="F104:AK104" si="104">$B$27</f>
        <v>100000</v>
      </c>
      <c r="G104" s="313">
        <f t="shared" si="104"/>
        <v>100000</v>
      </c>
      <c r="H104" s="313">
        <f t="shared" si="104"/>
        <v>100000</v>
      </c>
      <c r="I104" s="313">
        <f t="shared" si="104"/>
        <v>100000</v>
      </c>
      <c r="J104" s="313">
        <f t="shared" si="104"/>
        <v>100000</v>
      </c>
      <c r="K104" s="313">
        <f t="shared" si="104"/>
        <v>100000</v>
      </c>
      <c r="L104" s="313">
        <f t="shared" si="104"/>
        <v>100000</v>
      </c>
      <c r="M104" s="313">
        <f t="shared" si="104"/>
        <v>100000</v>
      </c>
      <c r="N104" s="313">
        <f t="shared" si="104"/>
        <v>100000</v>
      </c>
      <c r="O104" s="313">
        <f t="shared" si="104"/>
        <v>100000</v>
      </c>
      <c r="P104" s="313">
        <f t="shared" si="104"/>
        <v>100000</v>
      </c>
      <c r="Q104" s="313">
        <f t="shared" si="104"/>
        <v>100000</v>
      </c>
      <c r="R104" s="313">
        <f t="shared" si="104"/>
        <v>100000</v>
      </c>
      <c r="S104" s="313">
        <f t="shared" si="104"/>
        <v>100000</v>
      </c>
      <c r="T104" s="313">
        <f t="shared" si="104"/>
        <v>100000</v>
      </c>
      <c r="U104" s="313">
        <f t="shared" si="104"/>
        <v>100000</v>
      </c>
      <c r="V104" s="313">
        <f t="shared" si="104"/>
        <v>100000</v>
      </c>
      <c r="W104" s="313">
        <f t="shared" si="104"/>
        <v>100000</v>
      </c>
      <c r="X104" s="313">
        <f t="shared" si="104"/>
        <v>100000</v>
      </c>
      <c r="Y104" s="313">
        <f t="shared" si="104"/>
        <v>100000</v>
      </c>
      <c r="Z104" s="313">
        <f t="shared" si="104"/>
        <v>100000</v>
      </c>
      <c r="AA104" s="313">
        <f t="shared" si="104"/>
        <v>100000</v>
      </c>
      <c r="AB104" s="313">
        <f t="shared" si="104"/>
        <v>100000</v>
      </c>
      <c r="AC104" s="313">
        <f t="shared" si="104"/>
        <v>100000</v>
      </c>
      <c r="AD104" s="313">
        <f t="shared" si="104"/>
        <v>100000</v>
      </c>
      <c r="AE104" s="313">
        <f t="shared" si="104"/>
        <v>100000</v>
      </c>
      <c r="AF104" s="313">
        <f t="shared" si="104"/>
        <v>100000</v>
      </c>
      <c r="AG104" s="313">
        <f t="shared" si="104"/>
        <v>100000</v>
      </c>
      <c r="AH104" s="313">
        <f t="shared" si="104"/>
        <v>100000</v>
      </c>
      <c r="AI104" s="313">
        <f t="shared" si="104"/>
        <v>100000</v>
      </c>
      <c r="AJ104" s="313">
        <f t="shared" si="104"/>
        <v>100000</v>
      </c>
      <c r="AK104" s="313">
        <f t="shared" si="104"/>
        <v>100000</v>
      </c>
      <c r="AL104" s="313" t="n">
        <f t="shared" ref="AL104:BQ104" si="105">$B$27</f>
        <v>100000</v>
      </c>
      <c r="AM104" s="313">
        <f t="shared" si="105"/>
        <v>100000</v>
      </c>
      <c r="AN104" s="313">
        <f t="shared" si="105"/>
        <v>100000</v>
      </c>
      <c r="AO104" s="313">
        <f t="shared" si="105"/>
        <v>100000</v>
      </c>
      <c r="AP104" s="313">
        <f t="shared" si="105"/>
        <v>100000</v>
      </c>
      <c r="AQ104" s="313">
        <f t="shared" si="105"/>
        <v>100000</v>
      </c>
      <c r="AR104" s="313">
        <f t="shared" si="105"/>
        <v>100000</v>
      </c>
      <c r="AS104" s="313">
        <f t="shared" si="105"/>
        <v>100000</v>
      </c>
      <c r="AT104" s="313">
        <f t="shared" si="105"/>
        <v>100000</v>
      </c>
      <c r="AU104" s="313">
        <f t="shared" si="105"/>
        <v>100000</v>
      </c>
      <c r="AV104" s="313">
        <f t="shared" si="105"/>
        <v>100000</v>
      </c>
      <c r="AW104" s="313">
        <f t="shared" si="105"/>
        <v>100000</v>
      </c>
      <c r="AX104" s="313">
        <f t="shared" si="105"/>
        <v>100000</v>
      </c>
      <c r="AY104" s="313">
        <f t="shared" si="105"/>
        <v>100000</v>
      </c>
      <c r="AZ104" s="313">
        <f t="shared" si="105"/>
        <v>100000</v>
      </c>
      <c r="BA104" s="313">
        <f t="shared" si="105"/>
        <v>100000</v>
      </c>
      <c r="BB104" s="313">
        <f t="shared" si="105"/>
        <v>100000</v>
      </c>
      <c r="BC104" s="313">
        <f t="shared" si="105"/>
        <v>100000</v>
      </c>
      <c r="BD104" s="313">
        <f t="shared" si="105"/>
        <v>100000</v>
      </c>
      <c r="BE104" s="313">
        <f t="shared" si="105"/>
        <v>100000</v>
      </c>
      <c r="BF104" s="313">
        <f t="shared" si="105"/>
        <v>100000</v>
      </c>
      <c r="BG104" s="313">
        <f t="shared" si="105"/>
        <v>100000</v>
      </c>
      <c r="BH104" s="313">
        <f t="shared" si="105"/>
        <v>100000</v>
      </c>
      <c r="BI104" s="313">
        <f t="shared" si="105"/>
        <v>100000</v>
      </c>
      <c r="BJ104" s="313">
        <f t="shared" si="105"/>
        <v>100000</v>
      </c>
      <c r="BK104" s="313">
        <f t="shared" si="105"/>
        <v>100000</v>
      </c>
      <c r="BL104" s="313">
        <f t="shared" si="105"/>
        <v>100000</v>
      </c>
      <c r="BM104" s="313">
        <f t="shared" si="105"/>
        <v>100000</v>
      </c>
      <c r="BN104" s="313">
        <f t="shared" si="105"/>
        <v>100000</v>
      </c>
      <c r="BO104" s="313">
        <f t="shared" si="105"/>
        <v>100000</v>
      </c>
      <c r="BP104" s="313">
        <f t="shared" si="105"/>
        <v>100000</v>
      </c>
      <c r="BQ104" s="313">
        <f t="shared" si="105"/>
        <v>100000</v>
      </c>
      <c r="BR104" s="313" t="n">
        <f t="shared" ref="BR104:CW104" si="106">$B$27</f>
        <v>100000</v>
      </c>
      <c r="BS104" s="313">
        <f t="shared" si="106"/>
        <v>100000</v>
      </c>
      <c r="BT104" s="313">
        <f t="shared" si="106"/>
        <v>100000</v>
      </c>
      <c r="BU104" s="313">
        <f t="shared" si="106"/>
        <v>100000</v>
      </c>
      <c r="BV104" s="313">
        <f t="shared" si="106"/>
        <v>100000</v>
      </c>
      <c r="BW104" s="313">
        <f t="shared" si="106"/>
        <v>100000</v>
      </c>
      <c r="BX104" s="313">
        <f t="shared" si="106"/>
        <v>100000</v>
      </c>
      <c r="BY104" s="313">
        <f t="shared" si="106"/>
        <v>100000</v>
      </c>
      <c r="BZ104" s="313">
        <f t="shared" si="106"/>
        <v>100000</v>
      </c>
      <c r="CA104" s="313">
        <f t="shared" si="106"/>
        <v>100000</v>
      </c>
      <c r="CB104" s="313">
        <f t="shared" si="106"/>
        <v>100000</v>
      </c>
      <c r="CC104" s="313">
        <f t="shared" si="106"/>
        <v>100000</v>
      </c>
      <c r="CD104" s="313">
        <f t="shared" si="106"/>
        <v>100000</v>
      </c>
      <c r="CE104" s="313">
        <f t="shared" si="106"/>
        <v>100000</v>
      </c>
      <c r="CF104" s="313">
        <f t="shared" si="106"/>
        <v>100000</v>
      </c>
      <c r="CG104" s="313">
        <f t="shared" si="106"/>
        <v>100000</v>
      </c>
      <c r="CH104" s="313">
        <f t="shared" si="106"/>
        <v>100000</v>
      </c>
      <c r="CI104" s="313">
        <f t="shared" si="106"/>
        <v>100000</v>
      </c>
      <c r="CJ104" s="313">
        <f t="shared" si="106"/>
        <v>100000</v>
      </c>
      <c r="CK104" s="313">
        <f t="shared" si="106"/>
        <v>100000</v>
      </c>
      <c r="CL104" s="313">
        <f t="shared" si="106"/>
        <v>100000</v>
      </c>
      <c r="CM104" s="313">
        <f t="shared" si="106"/>
        <v>100000</v>
      </c>
      <c r="CN104" s="313">
        <f t="shared" si="106"/>
        <v>100000</v>
      </c>
      <c r="CO104" s="313">
        <f t="shared" si="106"/>
        <v>100000</v>
      </c>
      <c r="CP104" s="313">
        <f t="shared" si="106"/>
        <v>100000</v>
      </c>
      <c r="CQ104" s="313">
        <f t="shared" si="106"/>
        <v>100000</v>
      </c>
      <c r="CR104" s="313">
        <f t="shared" si="106"/>
        <v>100000</v>
      </c>
      <c r="CS104" s="313">
        <f t="shared" si="106"/>
        <v>100000</v>
      </c>
      <c r="CT104" s="313">
        <f t="shared" si="106"/>
        <v>100000</v>
      </c>
      <c r="CU104" s="313">
        <f t="shared" si="106"/>
        <v>100000</v>
      </c>
      <c r="CV104" s="313">
        <f t="shared" si="106"/>
        <v>100000</v>
      </c>
      <c r="CW104" s="313">
        <f t="shared" si="106"/>
        <v>100000</v>
      </c>
      <c r="CX104" s="313" t="n">
        <f t="shared" ref="CX104:DV104" si="107">$B$27</f>
        <v>100000</v>
      </c>
      <c r="CY104" s="313">
        <f t="shared" si="107"/>
        <v>100000</v>
      </c>
      <c r="CZ104" s="313">
        <f t="shared" si="107"/>
        <v>100000</v>
      </c>
      <c r="DA104" s="313">
        <f t="shared" si="107"/>
        <v>100000</v>
      </c>
      <c r="DB104" s="313">
        <f t="shared" si="107"/>
        <v>100000</v>
      </c>
      <c r="DC104" s="313">
        <f t="shared" si="107"/>
        <v>100000</v>
      </c>
      <c r="DD104" s="313">
        <f t="shared" si="107"/>
        <v>100000</v>
      </c>
      <c r="DE104" s="313">
        <f t="shared" si="107"/>
        <v>100000</v>
      </c>
      <c r="DF104" s="313">
        <f t="shared" si="107"/>
        <v>100000</v>
      </c>
      <c r="DG104" s="313">
        <f t="shared" si="107"/>
        <v>100000</v>
      </c>
      <c r="DH104" s="313">
        <f t="shared" si="107"/>
        <v>100000</v>
      </c>
      <c r="DI104" s="313">
        <f t="shared" si="107"/>
        <v>100000</v>
      </c>
      <c r="DJ104" s="313">
        <f t="shared" si="107"/>
        <v>100000</v>
      </c>
      <c r="DK104" s="313">
        <f t="shared" si="107"/>
        <v>100000</v>
      </c>
      <c r="DL104" s="313">
        <f t="shared" si="107"/>
        <v>100000</v>
      </c>
      <c r="DM104" s="313">
        <f t="shared" si="107"/>
        <v>100000</v>
      </c>
      <c r="DN104" s="313">
        <f t="shared" si="107"/>
        <v>100000</v>
      </c>
      <c r="DO104" s="313">
        <f t="shared" si="107"/>
        <v>100000</v>
      </c>
      <c r="DP104" s="313">
        <f t="shared" si="107"/>
        <v>100000</v>
      </c>
      <c r="DQ104" s="313">
        <f t="shared" si="107"/>
        <v>100000</v>
      </c>
      <c r="DR104" s="313">
        <f t="shared" si="107"/>
        <v>100000</v>
      </c>
      <c r="DS104" s="313">
        <f t="shared" si="107"/>
        <v>100000</v>
      </c>
      <c r="DT104" s="313">
        <f t="shared" si="107"/>
        <v>100000</v>
      </c>
      <c r="DU104" s="313">
        <f t="shared" si="107"/>
        <v>100000</v>
      </c>
      <c r="DV104" s="313">
        <f t="shared" si="107"/>
        <v>100000</v>
      </c>
    </row>
    <row r="105" ht="15" customHeight="1">
      <c r="A105" s="311" t="s">
        <v>1505</v>
      </c>
      <c r="B105" s="312" t="s">
        <v>1321</v>
      </c>
      <c r="C105" s="702" t="s">
        <v>1506</v>
      </c>
      <c r="D105" s="703"/>
      <c r="F105" s="313" t="n">
        <f t="shared" ref="F105:AK105" si="108">IF(F$64&lt;=$B$29,MIN(F$103,MAX(0,$B$24-F$101)),0)</f>
        <v>99060.45751633987</v>
      </c>
      <c r="G105" s="313">
        <f t="shared" si="108"/>
        <v>56.671926761569921</v>
      </c>
      <c r="H105" s="313">
        <f t="shared" si="108"/>
        <v>547.18086528178537</v>
      </c>
      <c r="I105" s="313">
        <f t="shared" si="108"/>
        <v>532.4531646612304</v>
      </c>
      <c r="J105" s="313">
        <f t="shared" si="108"/>
        <v>553.14103670735494</v>
      </c>
      <c r="K105" s="313">
        <f t="shared" si="108"/>
        <v>538.25291450414807</v>
      </c>
      <c r="L105" s="313">
        <f t="shared" si="108"/>
        <v>114898.05576524769</v>
      </c>
      <c r="M105" s="313">
        <f t="shared" si="108"/>
        <v>0</v>
      </c>
      <c r="N105" s="313">
        <f t="shared" si="108"/>
        <v>0</v>
      </c>
      <c r="O105" s="313">
        <f t="shared" si="108"/>
        <v>0</v>
      </c>
      <c r="P105" s="313">
        <f t="shared" si="108"/>
        <v>0</v>
      </c>
      <c r="Q105" s="313">
        <f t="shared" si="108"/>
        <v>0</v>
      </c>
      <c r="R105" s="313">
        <f t="shared" si="108"/>
        <v>0</v>
      </c>
      <c r="S105" s="313">
        <f t="shared" si="108"/>
        <v>0</v>
      </c>
      <c r="T105" s="313">
        <f t="shared" si="108"/>
        <v>0</v>
      </c>
      <c r="U105" s="313">
        <f t="shared" si="108"/>
        <v>0</v>
      </c>
      <c r="V105" s="313">
        <f t="shared" si="108"/>
        <v>0</v>
      </c>
      <c r="W105" s="313">
        <f t="shared" si="108"/>
        <v>0</v>
      </c>
      <c r="X105" s="313">
        <f t="shared" si="108"/>
        <v>0</v>
      </c>
      <c r="Y105" s="313">
        <f t="shared" si="108"/>
        <v>0</v>
      </c>
      <c r="Z105" s="313">
        <f t="shared" si="108"/>
        <v>0</v>
      </c>
      <c r="AA105" s="313">
        <f t="shared" si="108"/>
        <v>0</v>
      </c>
      <c r="AB105" s="313">
        <f t="shared" si="108"/>
        <v>0</v>
      </c>
      <c r="AC105" s="313">
        <f t="shared" si="108"/>
        <v>0</v>
      </c>
      <c r="AD105" s="313">
        <f t="shared" si="108"/>
        <v>0</v>
      </c>
      <c r="AE105" s="313">
        <f t="shared" si="108"/>
        <v>0</v>
      </c>
      <c r="AF105" s="313">
        <f t="shared" si="108"/>
        <v>0</v>
      </c>
      <c r="AG105" s="313">
        <f t="shared" si="108"/>
        <v>0</v>
      </c>
      <c r="AH105" s="313">
        <f t="shared" si="108"/>
        <v>0</v>
      </c>
      <c r="AI105" s="313">
        <f t="shared" si="108"/>
        <v>0</v>
      </c>
      <c r="AJ105" s="313">
        <f t="shared" si="108"/>
        <v>0</v>
      </c>
      <c r="AK105" s="313">
        <f t="shared" si="108"/>
        <v>0</v>
      </c>
      <c r="AL105" s="313" t="n">
        <f t="shared" ref="AL105:BQ105" si="109">IF(AL$64&lt;=$B$29,MIN(AL$103,MAX(0,$B$24-AL$101)),0)</f>
        <v>0</v>
      </c>
      <c r="AM105" s="313">
        <f t="shared" si="109"/>
        <v>0</v>
      </c>
      <c r="AN105" s="313">
        <f t="shared" si="109"/>
        <v>0</v>
      </c>
      <c r="AO105" s="313">
        <f t="shared" si="109"/>
        <v>0</v>
      </c>
      <c r="AP105" s="313">
        <f t="shared" si="109"/>
        <v>0</v>
      </c>
      <c r="AQ105" s="313">
        <f t="shared" si="109"/>
        <v>0</v>
      </c>
      <c r="AR105" s="313">
        <f t="shared" si="109"/>
        <v>0</v>
      </c>
      <c r="AS105" s="313">
        <f t="shared" si="109"/>
        <v>0</v>
      </c>
      <c r="AT105" s="313">
        <f t="shared" si="109"/>
        <v>0</v>
      </c>
      <c r="AU105" s="313">
        <f t="shared" si="109"/>
        <v>0</v>
      </c>
      <c r="AV105" s="313">
        <f t="shared" si="109"/>
        <v>0</v>
      </c>
      <c r="AW105" s="313">
        <f t="shared" si="109"/>
        <v>0</v>
      </c>
      <c r="AX105" s="313">
        <f t="shared" si="109"/>
        <v>0</v>
      </c>
      <c r="AY105" s="313">
        <f t="shared" si="109"/>
        <v>0</v>
      </c>
      <c r="AZ105" s="313">
        <f t="shared" si="109"/>
        <v>0</v>
      </c>
      <c r="BA105" s="313">
        <f t="shared" si="109"/>
        <v>0</v>
      </c>
      <c r="BB105" s="313">
        <f t="shared" si="109"/>
        <v>0</v>
      </c>
      <c r="BC105" s="313">
        <f t="shared" si="109"/>
        <v>0</v>
      </c>
      <c r="BD105" s="313">
        <f t="shared" si="109"/>
        <v>0</v>
      </c>
      <c r="BE105" s="313">
        <f t="shared" si="109"/>
        <v>0</v>
      </c>
      <c r="BF105" s="313">
        <f t="shared" si="109"/>
        <v>0</v>
      </c>
      <c r="BG105" s="313">
        <f t="shared" si="109"/>
        <v>0</v>
      </c>
      <c r="BH105" s="313">
        <f t="shared" si="109"/>
        <v>0</v>
      </c>
      <c r="BI105" s="313">
        <f t="shared" si="109"/>
        <v>0</v>
      </c>
      <c r="BJ105" s="313">
        <f t="shared" si="109"/>
        <v>0</v>
      </c>
      <c r="BK105" s="313">
        <f t="shared" si="109"/>
        <v>0</v>
      </c>
      <c r="BL105" s="313">
        <f t="shared" si="109"/>
        <v>0</v>
      </c>
      <c r="BM105" s="313">
        <f t="shared" si="109"/>
        <v>0</v>
      </c>
      <c r="BN105" s="313">
        <f t="shared" si="109"/>
        <v>0</v>
      </c>
      <c r="BO105" s="313">
        <f t="shared" si="109"/>
        <v>976604.00736571662</v>
      </c>
      <c r="BP105" s="313">
        <f t="shared" si="109"/>
        <v>0</v>
      </c>
      <c r="BQ105" s="313">
        <f t="shared" si="109"/>
        <v>0</v>
      </c>
      <c r="BR105" s="313" t="n">
        <f t="shared" ref="BR105:CW105" si="110">IF(BR$64&lt;=$B$29,MIN(BR$103,MAX(0,$B$24-BR$101)),0)</f>
        <v>0</v>
      </c>
      <c r="BS105" s="313">
        <f t="shared" si="110"/>
        <v>0</v>
      </c>
      <c r="BT105" s="313">
        <f t="shared" si="110"/>
        <v>0</v>
      </c>
      <c r="BU105" s="313">
        <f t="shared" si="110"/>
        <v>0</v>
      </c>
      <c r="BV105" s="313">
        <f t="shared" si="110"/>
        <v>0</v>
      </c>
      <c r="BW105" s="313">
        <f t="shared" si="110"/>
        <v>0</v>
      </c>
      <c r="BX105" s="313">
        <f t="shared" si="110"/>
        <v>0</v>
      </c>
      <c r="BY105" s="313">
        <f t="shared" si="110"/>
        <v>0</v>
      </c>
      <c r="BZ105" s="313">
        <f t="shared" si="110"/>
        <v>0</v>
      </c>
      <c r="CA105" s="313">
        <f t="shared" si="110"/>
        <v>0</v>
      </c>
      <c r="CB105" s="313">
        <f t="shared" si="110"/>
        <v>0</v>
      </c>
      <c r="CC105" s="313">
        <f t="shared" si="110"/>
        <v>0</v>
      </c>
      <c r="CD105" s="313">
        <f t="shared" si="110"/>
        <v>0</v>
      </c>
      <c r="CE105" s="313">
        <f t="shared" si="110"/>
        <v>0</v>
      </c>
      <c r="CF105" s="313">
        <f t="shared" si="110"/>
        <v>0</v>
      </c>
      <c r="CG105" s="313">
        <f t="shared" si="110"/>
        <v>0</v>
      </c>
      <c r="CH105" s="313">
        <f t="shared" si="110"/>
        <v>0</v>
      </c>
      <c r="CI105" s="313">
        <f t="shared" si="110"/>
        <v>0</v>
      </c>
      <c r="CJ105" s="313">
        <f t="shared" si="110"/>
        <v>0</v>
      </c>
      <c r="CK105" s="313">
        <f t="shared" si="110"/>
        <v>0</v>
      </c>
      <c r="CL105" s="313">
        <f t="shared" si="110"/>
        <v>0</v>
      </c>
      <c r="CM105" s="313">
        <f t="shared" si="110"/>
        <v>0</v>
      </c>
      <c r="CN105" s="313">
        <f t="shared" si="110"/>
        <v>0</v>
      </c>
      <c r="CO105" s="313">
        <f t="shared" si="110"/>
        <v>0</v>
      </c>
      <c r="CP105" s="313">
        <f t="shared" si="110"/>
        <v>0</v>
      </c>
      <c r="CQ105" s="313">
        <f t="shared" si="110"/>
        <v>0</v>
      </c>
      <c r="CR105" s="313">
        <f t="shared" si="110"/>
        <v>0</v>
      </c>
      <c r="CS105" s="313">
        <f t="shared" si="110"/>
        <v>0</v>
      </c>
      <c r="CT105" s="313">
        <f t="shared" si="110"/>
        <v>0</v>
      </c>
      <c r="CU105" s="313">
        <f t="shared" si="110"/>
        <v>0</v>
      </c>
      <c r="CV105" s="313">
        <f t="shared" si="110"/>
        <v>0</v>
      </c>
      <c r="CW105" s="313">
        <f t="shared" si="110"/>
        <v>0</v>
      </c>
      <c r="CX105" s="313" t="n">
        <f t="shared" ref="CX105:DV105" si="111">IF(CX$64&lt;=$B$29,MIN(CX$103,MAX(0,$B$24-CX$101)),0)</f>
        <v>0</v>
      </c>
      <c r="CY105" s="313">
        <f t="shared" si="111"/>
        <v>0</v>
      </c>
      <c r="CZ105" s="313">
        <f t="shared" si="111"/>
        <v>0</v>
      </c>
      <c r="DA105" s="313">
        <f t="shared" si="111"/>
        <v>0</v>
      </c>
      <c r="DB105" s="313">
        <f t="shared" si="111"/>
        <v>0</v>
      </c>
      <c r="DC105" s="313">
        <f t="shared" si="111"/>
        <v>0</v>
      </c>
      <c r="DD105" s="313">
        <f t="shared" si="111"/>
        <v>0</v>
      </c>
      <c r="DE105" s="313">
        <f t="shared" si="111"/>
        <v>0</v>
      </c>
      <c r="DF105" s="313">
        <f t="shared" si="111"/>
        <v>0</v>
      </c>
      <c r="DG105" s="313">
        <f t="shared" si="111"/>
        <v>0</v>
      </c>
      <c r="DH105" s="313">
        <f t="shared" si="111"/>
        <v>0</v>
      </c>
      <c r="DI105" s="313">
        <f t="shared" si="111"/>
        <v>0</v>
      </c>
      <c r="DJ105" s="313">
        <f t="shared" si="111"/>
        <v>0</v>
      </c>
      <c r="DK105" s="313">
        <f t="shared" si="111"/>
        <v>0</v>
      </c>
      <c r="DL105" s="313">
        <f t="shared" si="111"/>
        <v>0</v>
      </c>
      <c r="DM105" s="313">
        <f t="shared" si="111"/>
        <v>0</v>
      </c>
      <c r="DN105" s="313">
        <f t="shared" si="111"/>
        <v>0</v>
      </c>
      <c r="DO105" s="313">
        <f t="shared" si="111"/>
        <v>0</v>
      </c>
      <c r="DP105" s="313">
        <f t="shared" si="111"/>
        <v>0</v>
      </c>
      <c r="DQ105" s="313">
        <f t="shared" si="111"/>
        <v>0</v>
      </c>
      <c r="DR105" s="313">
        <f t="shared" si="111"/>
        <v>0</v>
      </c>
      <c r="DS105" s="313">
        <f t="shared" si="111"/>
        <v>0</v>
      </c>
      <c r="DT105" s="313">
        <f t="shared" si="111"/>
        <v>0</v>
      </c>
      <c r="DU105" s="313">
        <f t="shared" si="111"/>
        <v>0</v>
      </c>
      <c r="DV105" s="313">
        <f t="shared" si="111"/>
        <v>0</v>
      </c>
    </row>
    <row r="106" ht="15" customHeight="1">
      <c r="A106" s="311" t="s">
        <v>1507</v>
      </c>
      <c r="B106" s="312" t="s">
        <v>1321</v>
      </c>
      <c r="C106" s="702" t="s">
        <v>1508</v>
      </c>
      <c r="D106" s="703"/>
      <c r="F106" s="313" t="n">
        <f t="shared" ref="F106:AK106" si="112">F$105</f>
        <v>99060.45751633987</v>
      </c>
      <c r="G106" s="313">
        <f t="shared" si="112"/>
        <v>56.671926761569921</v>
      </c>
      <c r="H106" s="313">
        <f t="shared" si="112"/>
        <v>547.18086528178537</v>
      </c>
      <c r="I106" s="313">
        <f t="shared" si="112"/>
        <v>532.4531646612304</v>
      </c>
      <c r="J106" s="313">
        <f t="shared" si="112"/>
        <v>553.14103670735494</v>
      </c>
      <c r="K106" s="313">
        <f t="shared" si="112"/>
        <v>538.25291450414807</v>
      </c>
      <c r="L106" s="313">
        <f t="shared" si="112"/>
        <v>114898.05576524769</v>
      </c>
      <c r="M106" s="313">
        <f t="shared" si="112"/>
        <v>0</v>
      </c>
      <c r="N106" s="313">
        <f t="shared" si="112"/>
        <v>0</v>
      </c>
      <c r="O106" s="313">
        <f t="shared" si="112"/>
        <v>0</v>
      </c>
      <c r="P106" s="313">
        <f t="shared" si="112"/>
        <v>0</v>
      </c>
      <c r="Q106" s="313">
        <f t="shared" si="112"/>
        <v>0</v>
      </c>
      <c r="R106" s="313">
        <f t="shared" si="112"/>
        <v>0</v>
      </c>
      <c r="S106" s="313">
        <f t="shared" si="112"/>
        <v>0</v>
      </c>
      <c r="T106" s="313">
        <f t="shared" si="112"/>
        <v>0</v>
      </c>
      <c r="U106" s="313">
        <f t="shared" si="112"/>
        <v>0</v>
      </c>
      <c r="V106" s="313">
        <f t="shared" si="112"/>
        <v>0</v>
      </c>
      <c r="W106" s="313">
        <f t="shared" si="112"/>
        <v>0</v>
      </c>
      <c r="X106" s="313">
        <f t="shared" si="112"/>
        <v>0</v>
      </c>
      <c r="Y106" s="313">
        <f t="shared" si="112"/>
        <v>0</v>
      </c>
      <c r="Z106" s="313">
        <f t="shared" si="112"/>
        <v>0</v>
      </c>
      <c r="AA106" s="313">
        <f t="shared" si="112"/>
        <v>0</v>
      </c>
      <c r="AB106" s="313">
        <f t="shared" si="112"/>
        <v>0</v>
      </c>
      <c r="AC106" s="313">
        <f t="shared" si="112"/>
        <v>0</v>
      </c>
      <c r="AD106" s="313">
        <f t="shared" si="112"/>
        <v>0</v>
      </c>
      <c r="AE106" s="313">
        <f t="shared" si="112"/>
        <v>0</v>
      </c>
      <c r="AF106" s="313">
        <f t="shared" si="112"/>
        <v>0</v>
      </c>
      <c r="AG106" s="313">
        <f t="shared" si="112"/>
        <v>0</v>
      </c>
      <c r="AH106" s="313">
        <f t="shared" si="112"/>
        <v>0</v>
      </c>
      <c r="AI106" s="313">
        <f t="shared" si="112"/>
        <v>0</v>
      </c>
      <c r="AJ106" s="313">
        <f t="shared" si="112"/>
        <v>0</v>
      </c>
      <c r="AK106" s="313">
        <f t="shared" si="112"/>
        <v>0</v>
      </c>
      <c r="AL106" s="313" t="n">
        <f t="shared" ref="AL106:BQ106" si="113">AL$105</f>
        <v>0</v>
      </c>
      <c r="AM106" s="313">
        <f t="shared" si="113"/>
        <v>0</v>
      </c>
      <c r="AN106" s="313">
        <f t="shared" si="113"/>
        <v>0</v>
      </c>
      <c r="AO106" s="313">
        <f t="shared" si="113"/>
        <v>0</v>
      </c>
      <c r="AP106" s="313">
        <f t="shared" si="113"/>
        <v>0</v>
      </c>
      <c r="AQ106" s="313">
        <f t="shared" si="113"/>
        <v>0</v>
      </c>
      <c r="AR106" s="313">
        <f t="shared" si="113"/>
        <v>0</v>
      </c>
      <c r="AS106" s="313">
        <f t="shared" si="113"/>
        <v>0</v>
      </c>
      <c r="AT106" s="313">
        <f t="shared" si="113"/>
        <v>0</v>
      </c>
      <c r="AU106" s="313">
        <f t="shared" si="113"/>
        <v>0</v>
      </c>
      <c r="AV106" s="313">
        <f t="shared" si="113"/>
        <v>0</v>
      </c>
      <c r="AW106" s="313">
        <f t="shared" si="113"/>
        <v>0</v>
      </c>
      <c r="AX106" s="313">
        <f t="shared" si="113"/>
        <v>0</v>
      </c>
      <c r="AY106" s="313">
        <f t="shared" si="113"/>
        <v>0</v>
      </c>
      <c r="AZ106" s="313">
        <f t="shared" si="113"/>
        <v>0</v>
      </c>
      <c r="BA106" s="313">
        <f t="shared" si="113"/>
        <v>0</v>
      </c>
      <c r="BB106" s="313">
        <f t="shared" si="113"/>
        <v>0</v>
      </c>
      <c r="BC106" s="313">
        <f t="shared" si="113"/>
        <v>0</v>
      </c>
      <c r="BD106" s="313">
        <f t="shared" si="113"/>
        <v>0</v>
      </c>
      <c r="BE106" s="313">
        <f t="shared" si="113"/>
        <v>0</v>
      </c>
      <c r="BF106" s="313">
        <f t="shared" si="113"/>
        <v>0</v>
      </c>
      <c r="BG106" s="313">
        <f t="shared" si="113"/>
        <v>0</v>
      </c>
      <c r="BH106" s="313">
        <f t="shared" si="113"/>
        <v>0</v>
      </c>
      <c r="BI106" s="313">
        <f t="shared" si="113"/>
        <v>0</v>
      </c>
      <c r="BJ106" s="313">
        <f t="shared" si="113"/>
        <v>0</v>
      </c>
      <c r="BK106" s="313">
        <f t="shared" si="113"/>
        <v>0</v>
      </c>
      <c r="BL106" s="313">
        <f t="shared" si="113"/>
        <v>0</v>
      </c>
      <c r="BM106" s="313">
        <f t="shared" si="113"/>
        <v>0</v>
      </c>
      <c r="BN106" s="313">
        <f t="shared" si="113"/>
        <v>0</v>
      </c>
      <c r="BO106" s="313">
        <f t="shared" si="113"/>
        <v>976604.00736571662</v>
      </c>
      <c r="BP106" s="313">
        <f t="shared" si="113"/>
        <v>0</v>
      </c>
      <c r="BQ106" s="313">
        <f t="shared" si="113"/>
        <v>0</v>
      </c>
      <c r="BR106" s="313" t="n">
        <f t="shared" ref="BR106:CW106" si="114">BR$105</f>
        <v>0</v>
      </c>
      <c r="BS106" s="313">
        <f t="shared" si="114"/>
        <v>0</v>
      </c>
      <c r="BT106" s="313">
        <f t="shared" si="114"/>
        <v>0</v>
      </c>
      <c r="BU106" s="313">
        <f t="shared" si="114"/>
        <v>0</v>
      </c>
      <c r="BV106" s="313">
        <f t="shared" si="114"/>
        <v>0</v>
      </c>
      <c r="BW106" s="313">
        <f t="shared" si="114"/>
        <v>0</v>
      </c>
      <c r="BX106" s="313">
        <f t="shared" si="114"/>
        <v>0</v>
      </c>
      <c r="BY106" s="313">
        <f t="shared" si="114"/>
        <v>0</v>
      </c>
      <c r="BZ106" s="313">
        <f t="shared" si="114"/>
        <v>0</v>
      </c>
      <c r="CA106" s="313">
        <f t="shared" si="114"/>
        <v>0</v>
      </c>
      <c r="CB106" s="313">
        <f t="shared" si="114"/>
        <v>0</v>
      </c>
      <c r="CC106" s="313">
        <f t="shared" si="114"/>
        <v>0</v>
      </c>
      <c r="CD106" s="313">
        <f t="shared" si="114"/>
        <v>0</v>
      </c>
      <c r="CE106" s="313">
        <f t="shared" si="114"/>
        <v>0</v>
      </c>
      <c r="CF106" s="313">
        <f t="shared" si="114"/>
        <v>0</v>
      </c>
      <c r="CG106" s="313">
        <f t="shared" si="114"/>
        <v>0</v>
      </c>
      <c r="CH106" s="313">
        <f t="shared" si="114"/>
        <v>0</v>
      </c>
      <c r="CI106" s="313">
        <f t="shared" si="114"/>
        <v>0</v>
      </c>
      <c r="CJ106" s="313">
        <f t="shared" si="114"/>
        <v>0</v>
      </c>
      <c r="CK106" s="313">
        <f t="shared" si="114"/>
        <v>0</v>
      </c>
      <c r="CL106" s="313">
        <f t="shared" si="114"/>
        <v>0</v>
      </c>
      <c r="CM106" s="313">
        <f t="shared" si="114"/>
        <v>0</v>
      </c>
      <c r="CN106" s="313">
        <f t="shared" si="114"/>
        <v>0</v>
      </c>
      <c r="CO106" s="313">
        <f t="shared" si="114"/>
        <v>0</v>
      </c>
      <c r="CP106" s="313">
        <f t="shared" si="114"/>
        <v>0</v>
      </c>
      <c r="CQ106" s="313">
        <f t="shared" si="114"/>
        <v>0</v>
      </c>
      <c r="CR106" s="313">
        <f t="shared" si="114"/>
        <v>0</v>
      </c>
      <c r="CS106" s="313">
        <f t="shared" si="114"/>
        <v>0</v>
      </c>
      <c r="CT106" s="313">
        <f t="shared" si="114"/>
        <v>0</v>
      </c>
      <c r="CU106" s="313">
        <f t="shared" si="114"/>
        <v>0</v>
      </c>
      <c r="CV106" s="313">
        <f t="shared" si="114"/>
        <v>0</v>
      </c>
      <c r="CW106" s="313">
        <f t="shared" si="114"/>
        <v>0</v>
      </c>
      <c r="CX106" s="313" t="n">
        <f t="shared" ref="CX106:DV106" si="115">CX$105</f>
        <v>0</v>
      </c>
      <c r="CY106" s="313">
        <f t="shared" si="115"/>
        <v>0</v>
      </c>
      <c r="CZ106" s="313">
        <f t="shared" si="115"/>
        <v>0</v>
      </c>
      <c r="DA106" s="313">
        <f t="shared" si="115"/>
        <v>0</v>
      </c>
      <c r="DB106" s="313">
        <f t="shared" si="115"/>
        <v>0</v>
      </c>
      <c r="DC106" s="313">
        <f t="shared" si="115"/>
        <v>0</v>
      </c>
      <c r="DD106" s="313">
        <f t="shared" si="115"/>
        <v>0</v>
      </c>
      <c r="DE106" s="313">
        <f t="shared" si="115"/>
        <v>0</v>
      </c>
      <c r="DF106" s="313">
        <f t="shared" si="115"/>
        <v>0</v>
      </c>
      <c r="DG106" s="313">
        <f t="shared" si="115"/>
        <v>0</v>
      </c>
      <c r="DH106" s="313">
        <f t="shared" si="115"/>
        <v>0</v>
      </c>
      <c r="DI106" s="313">
        <f t="shared" si="115"/>
        <v>0</v>
      </c>
      <c r="DJ106" s="313">
        <f t="shared" si="115"/>
        <v>0</v>
      </c>
      <c r="DK106" s="313">
        <f t="shared" si="115"/>
        <v>0</v>
      </c>
      <c r="DL106" s="313">
        <f t="shared" si="115"/>
        <v>0</v>
      </c>
      <c r="DM106" s="313">
        <f t="shared" si="115"/>
        <v>0</v>
      </c>
      <c r="DN106" s="313">
        <f t="shared" si="115"/>
        <v>0</v>
      </c>
      <c r="DO106" s="313">
        <f t="shared" si="115"/>
        <v>0</v>
      </c>
      <c r="DP106" s="313">
        <f t="shared" si="115"/>
        <v>0</v>
      </c>
      <c r="DQ106" s="313">
        <f t="shared" si="115"/>
        <v>0</v>
      </c>
      <c r="DR106" s="313">
        <f t="shared" si="115"/>
        <v>0</v>
      </c>
      <c r="DS106" s="313">
        <f t="shared" si="115"/>
        <v>0</v>
      </c>
      <c r="DT106" s="313">
        <f t="shared" si="115"/>
        <v>0</v>
      </c>
      <c r="DU106" s="313">
        <f t="shared" si="115"/>
        <v>0</v>
      </c>
      <c r="DV106" s="313">
        <f t="shared" si="115"/>
        <v>0</v>
      </c>
    </row>
    <row r="107" ht="15" customHeight="1">
      <c r="A107" s="311" t="s">
        <v>1509</v>
      </c>
      <c r="B107" s="312" t="s">
        <v>1321</v>
      </c>
      <c r="C107" s="702" t="s">
        <v>1510</v>
      </c>
      <c r="D107" s="703"/>
      <c r="F107" s="313" t="n">
        <f t="shared" ref="F107:AK107" si="116">IF(F$69=1,MAX(0,F$101+F$106),MIN(F$101+F$106,F$118+MAX(0,(E$153+F$144-F$108-F$109-F$84-F$86-F$88-F$123-F$124-F$125-F$126-F$127)+F$106-F$104)))</f>
        <v>0</v>
      </c>
      <c r="G107" s="313">
        <f t="shared" si="116"/>
        <v>0</v>
      </c>
      <c r="H107" s="313">
        <f t="shared" si="116"/>
        <v>0</v>
      </c>
      <c r="I107" s="313">
        <f t="shared" si="116"/>
        <v>0</v>
      </c>
      <c r="J107" s="313">
        <f t="shared" si="116"/>
        <v>0</v>
      </c>
      <c r="K107" s="313">
        <f t="shared" si="116"/>
        <v>0</v>
      </c>
      <c r="L107" s="313">
        <f t="shared" si="116"/>
        <v>0</v>
      </c>
      <c r="M107" s="313">
        <f t="shared" si="116"/>
        <v>216186.21318950364</v>
      </c>
      <c r="N107" s="313">
        <f t="shared" si="116"/>
        <v>0</v>
      </c>
      <c r="O107" s="313">
        <f t="shared" si="116"/>
        <v>0</v>
      </c>
      <c r="P107" s="313">
        <f t="shared" si="116"/>
        <v>0</v>
      </c>
      <c r="Q107" s="313">
        <f t="shared" si="116"/>
        <v>0</v>
      </c>
      <c r="R107" s="313">
        <f t="shared" si="116"/>
        <v>0</v>
      </c>
      <c r="S107" s="313">
        <f t="shared" si="116"/>
        <v>0</v>
      </c>
      <c r="T107" s="313">
        <f t="shared" si="116"/>
        <v>0</v>
      </c>
      <c r="U107" s="313">
        <f t="shared" si="116"/>
        <v>0</v>
      </c>
      <c r="V107" s="313">
        <f t="shared" si="116"/>
        <v>0</v>
      </c>
      <c r="W107" s="313">
        <f t="shared" si="116"/>
        <v>0</v>
      </c>
      <c r="X107" s="313">
        <f t="shared" si="116"/>
        <v>0</v>
      </c>
      <c r="Y107" s="313">
        <f t="shared" si="116"/>
        <v>0</v>
      </c>
      <c r="Z107" s="313">
        <f t="shared" si="116"/>
        <v>0</v>
      </c>
      <c r="AA107" s="313">
        <f t="shared" si="116"/>
        <v>0</v>
      </c>
      <c r="AB107" s="313">
        <f t="shared" si="116"/>
        <v>0</v>
      </c>
      <c r="AC107" s="313">
        <f t="shared" si="116"/>
        <v>0</v>
      </c>
      <c r="AD107" s="313">
        <f t="shared" si="116"/>
        <v>0</v>
      </c>
      <c r="AE107" s="313">
        <f t="shared" si="116"/>
        <v>0</v>
      </c>
      <c r="AF107" s="313">
        <f t="shared" si="116"/>
        <v>0</v>
      </c>
      <c r="AG107" s="313">
        <f t="shared" si="116"/>
        <v>0</v>
      </c>
      <c r="AH107" s="313">
        <f t="shared" si="116"/>
        <v>0</v>
      </c>
      <c r="AI107" s="313">
        <f t="shared" si="116"/>
        <v>0</v>
      </c>
      <c r="AJ107" s="313">
        <f t="shared" si="116"/>
        <v>0</v>
      </c>
      <c r="AK107" s="313">
        <f t="shared" si="116"/>
        <v>0</v>
      </c>
      <c r="AL107" s="313" t="n">
        <f t="shared" ref="AL107:BQ107" si="117">IF(AL$69=1,MAX(0,AL$101+AL$106),MIN(AL$101+AL$106,AL$118+MAX(0,(AK$153+AL$144-AL$108-AL$109-AL$84-AL$86-AL$88-AL$123-AL$124-AL$125-AL$126-AL$127)+AL$106-AL$104)))</f>
        <v>0</v>
      </c>
      <c r="AM107" s="313">
        <f t="shared" si="117"/>
        <v>0</v>
      </c>
      <c r="AN107" s="313">
        <f t="shared" si="117"/>
        <v>0</v>
      </c>
      <c r="AO107" s="313">
        <f t="shared" si="117"/>
        <v>0</v>
      </c>
      <c r="AP107" s="313">
        <f t="shared" si="117"/>
        <v>0</v>
      </c>
      <c r="AQ107" s="313">
        <f t="shared" si="117"/>
        <v>0</v>
      </c>
      <c r="AR107" s="313">
        <f t="shared" si="117"/>
        <v>0</v>
      </c>
      <c r="AS107" s="313">
        <f t="shared" si="117"/>
        <v>0</v>
      </c>
      <c r="AT107" s="313">
        <f t="shared" si="117"/>
        <v>0</v>
      </c>
      <c r="AU107" s="313">
        <f t="shared" si="117"/>
        <v>0</v>
      </c>
      <c r="AV107" s="313">
        <f t="shared" si="117"/>
        <v>0</v>
      </c>
      <c r="AW107" s="313">
        <f t="shared" si="117"/>
        <v>0</v>
      </c>
      <c r="AX107" s="313">
        <f t="shared" si="117"/>
        <v>0</v>
      </c>
      <c r="AY107" s="313">
        <f t="shared" si="117"/>
        <v>0</v>
      </c>
      <c r="AZ107" s="313">
        <f t="shared" si="117"/>
        <v>0</v>
      </c>
      <c r="BA107" s="313">
        <f t="shared" si="117"/>
        <v>0</v>
      </c>
      <c r="BB107" s="313">
        <f t="shared" si="117"/>
        <v>0</v>
      </c>
      <c r="BC107" s="313">
        <f t="shared" si="117"/>
        <v>0</v>
      </c>
      <c r="BD107" s="313">
        <f t="shared" si="117"/>
        <v>0</v>
      </c>
      <c r="BE107" s="313">
        <f t="shared" si="117"/>
        <v>0</v>
      </c>
      <c r="BF107" s="313">
        <f t="shared" si="117"/>
        <v>0</v>
      </c>
      <c r="BG107" s="313">
        <f t="shared" si="117"/>
        <v>0</v>
      </c>
      <c r="BH107" s="313">
        <f t="shared" si="117"/>
        <v>0</v>
      </c>
      <c r="BI107" s="313">
        <f t="shared" si="117"/>
        <v>0</v>
      </c>
      <c r="BJ107" s="313">
        <f t="shared" si="117"/>
        <v>0</v>
      </c>
      <c r="BK107" s="313">
        <f t="shared" si="117"/>
        <v>0</v>
      </c>
      <c r="BL107" s="313">
        <f t="shared" si="117"/>
        <v>0</v>
      </c>
      <c r="BM107" s="313">
        <f t="shared" si="117"/>
        <v>0</v>
      </c>
      <c r="BN107" s="313">
        <f t="shared" si="117"/>
        <v>0</v>
      </c>
      <c r="BO107" s="313">
        <f t="shared" si="117"/>
        <v>0</v>
      </c>
      <c r="BP107" s="313">
        <f t="shared" si="117"/>
        <v>976604.00736571662</v>
      </c>
      <c r="BQ107" s="313">
        <f t="shared" si="117"/>
        <v>0</v>
      </c>
      <c r="BR107" s="313" t="n">
        <f t="shared" ref="BR107:CW107" si="118">IF(BR$69=1,MAX(0,BR$101+BR$106),MIN(BR$101+BR$106,BR$118+MAX(0,(BQ$153+BR$144-BR$108-BR$109-BR$84-BR$86-BR$88-BR$123-BR$124-BR$125-BR$126-BR$127)+BR$106-BR$104)))</f>
        <v>0</v>
      </c>
      <c r="BS107" s="313">
        <f t="shared" si="118"/>
        <v>0</v>
      </c>
      <c r="BT107" s="313">
        <f t="shared" si="118"/>
        <v>0</v>
      </c>
      <c r="BU107" s="313">
        <f t="shared" si="118"/>
        <v>0</v>
      </c>
      <c r="BV107" s="313">
        <f t="shared" si="118"/>
        <v>0</v>
      </c>
      <c r="BW107" s="313">
        <f t="shared" si="118"/>
        <v>0</v>
      </c>
      <c r="BX107" s="313">
        <f t="shared" si="118"/>
        <v>0</v>
      </c>
      <c r="BY107" s="313">
        <f t="shared" si="118"/>
        <v>0</v>
      </c>
      <c r="BZ107" s="313">
        <f t="shared" si="118"/>
        <v>0</v>
      </c>
      <c r="CA107" s="313">
        <f t="shared" si="118"/>
        <v>0</v>
      </c>
      <c r="CB107" s="313">
        <f t="shared" si="118"/>
        <v>0</v>
      </c>
      <c r="CC107" s="313">
        <f t="shared" si="118"/>
        <v>0</v>
      </c>
      <c r="CD107" s="313">
        <f t="shared" si="118"/>
        <v>0</v>
      </c>
      <c r="CE107" s="313">
        <f t="shared" si="118"/>
        <v>0</v>
      </c>
      <c r="CF107" s="313">
        <f t="shared" si="118"/>
        <v>0</v>
      </c>
      <c r="CG107" s="313">
        <f t="shared" si="118"/>
        <v>0</v>
      </c>
      <c r="CH107" s="313">
        <f t="shared" si="118"/>
        <v>0</v>
      </c>
      <c r="CI107" s="313">
        <f t="shared" si="118"/>
        <v>0</v>
      </c>
      <c r="CJ107" s="313">
        <f t="shared" si="118"/>
        <v>0</v>
      </c>
      <c r="CK107" s="313">
        <f t="shared" si="118"/>
        <v>0</v>
      </c>
      <c r="CL107" s="313">
        <f t="shared" si="118"/>
        <v>0</v>
      </c>
      <c r="CM107" s="313">
        <f t="shared" si="118"/>
        <v>0</v>
      </c>
      <c r="CN107" s="313">
        <f t="shared" si="118"/>
        <v>0</v>
      </c>
      <c r="CO107" s="313">
        <f t="shared" si="118"/>
        <v>0</v>
      </c>
      <c r="CP107" s="313">
        <f t="shared" si="118"/>
        <v>0</v>
      </c>
      <c r="CQ107" s="313">
        <f t="shared" si="118"/>
        <v>0</v>
      </c>
      <c r="CR107" s="313">
        <f t="shared" si="118"/>
        <v>0</v>
      </c>
      <c r="CS107" s="313">
        <f t="shared" si="118"/>
        <v>0</v>
      </c>
      <c r="CT107" s="313">
        <f t="shared" si="118"/>
        <v>0</v>
      </c>
      <c r="CU107" s="313">
        <f t="shared" si="118"/>
        <v>0</v>
      </c>
      <c r="CV107" s="313">
        <f t="shared" si="118"/>
        <v>0</v>
      </c>
      <c r="CW107" s="313">
        <f t="shared" si="118"/>
        <v>0</v>
      </c>
      <c r="CX107" s="313" t="n">
        <f t="shared" ref="CX107:DV107" si="119">IF(CX$69=1,MAX(0,CX$101+CX$106),MIN(CX$101+CX$106,CX$118+MAX(0,(CW$153+CX$144-CX$108-CX$109-CX$84-CX$86-CX$88-CX$123-CX$124-CX$125-CX$126-CX$127)+CX$106-CX$104)))</f>
        <v>0</v>
      </c>
      <c r="CY107" s="313">
        <f t="shared" si="119"/>
        <v>0</v>
      </c>
      <c r="CZ107" s="313">
        <f t="shared" si="119"/>
        <v>0</v>
      </c>
      <c r="DA107" s="313">
        <f t="shared" si="119"/>
        <v>0</v>
      </c>
      <c r="DB107" s="313">
        <f t="shared" si="119"/>
        <v>0</v>
      </c>
      <c r="DC107" s="313">
        <f t="shared" si="119"/>
        <v>0</v>
      </c>
      <c r="DD107" s="313">
        <f t="shared" si="119"/>
        <v>0</v>
      </c>
      <c r="DE107" s="313">
        <f t="shared" si="119"/>
        <v>0</v>
      </c>
      <c r="DF107" s="313">
        <f t="shared" si="119"/>
        <v>0</v>
      </c>
      <c r="DG107" s="313">
        <f t="shared" si="119"/>
        <v>0</v>
      </c>
      <c r="DH107" s="313">
        <f t="shared" si="119"/>
        <v>0</v>
      </c>
      <c r="DI107" s="313">
        <f t="shared" si="119"/>
        <v>0</v>
      </c>
      <c r="DJ107" s="313">
        <f t="shared" si="119"/>
        <v>0</v>
      </c>
      <c r="DK107" s="313">
        <f t="shared" si="119"/>
        <v>0</v>
      </c>
      <c r="DL107" s="313">
        <f t="shared" si="119"/>
        <v>0</v>
      </c>
      <c r="DM107" s="313">
        <f t="shared" si="119"/>
        <v>0</v>
      </c>
      <c r="DN107" s="313">
        <f t="shared" si="119"/>
        <v>0</v>
      </c>
      <c r="DO107" s="313">
        <f t="shared" si="119"/>
        <v>0</v>
      </c>
      <c r="DP107" s="313">
        <f t="shared" si="119"/>
        <v>0</v>
      </c>
      <c r="DQ107" s="313">
        <f t="shared" si="119"/>
        <v>0</v>
      </c>
      <c r="DR107" s="313">
        <f t="shared" si="119"/>
        <v>0</v>
      </c>
      <c r="DS107" s="313">
        <f t="shared" si="119"/>
        <v>0</v>
      </c>
      <c r="DT107" s="313">
        <f t="shared" si="119"/>
        <v>0</v>
      </c>
      <c r="DU107" s="313">
        <f t="shared" si="119"/>
        <v>0</v>
      </c>
      <c r="DV107" s="313">
        <f t="shared" si="119"/>
        <v>0</v>
      </c>
    </row>
    <row r="108" ht="15" customHeight="1">
      <c r="A108" s="311" t="s">
        <v>1511</v>
      </c>
      <c r="B108" s="312" t="s">
        <v>1321</v>
      </c>
      <c r="C108" s="702" t="s">
        <v>1512</v>
      </c>
      <c r="D108" s="703"/>
      <c r="F108" s="313" t="n">
        <f t="shared" ref="F108:AK108" si="120">F$101*MAX(0,$B$25+$B$26+INDEX($M$31:$M$33,MATCH($B$6,$J$31:$J$33,0)))*F$65/$B$17</f>
        <v>0</v>
      </c>
      <c r="G108" s="313">
        <f t="shared" si="120"/>
        <v>546.86800519294479</v>
      </c>
      <c r="H108" s="313">
        <f t="shared" si="120"/>
        <v>547.18086528177923</v>
      </c>
      <c r="I108" s="313">
        <f t="shared" si="120"/>
        <v>532.4531646612254</v>
      </c>
      <c r="J108" s="313">
        <f t="shared" si="120"/>
        <v>553.14103670735506</v>
      </c>
      <c r="K108" s="313">
        <f t="shared" si="120"/>
        <v>538.25291450415352</v>
      </c>
      <c r="L108" s="313">
        <f t="shared" si="120"/>
        <v>559.16612934212537</v>
      </c>
      <c r="M108" s="313">
        <f t="shared" si="120"/>
        <v>1193.466355005068</v>
      </c>
      <c r="N108" s="313">
        <f t="shared" si="120"/>
        <v>0</v>
      </c>
      <c r="O108" s="313">
        <f t="shared" si="120"/>
        <v>0</v>
      </c>
      <c r="P108" s="313">
        <f t="shared" si="120"/>
        <v>0</v>
      </c>
      <c r="Q108" s="313">
        <f t="shared" si="120"/>
        <v>0</v>
      </c>
      <c r="R108" s="313">
        <f t="shared" si="120"/>
        <v>0</v>
      </c>
      <c r="S108" s="313">
        <f t="shared" si="120"/>
        <v>0</v>
      </c>
      <c r="T108" s="313">
        <f t="shared" si="120"/>
        <v>0</v>
      </c>
      <c r="U108" s="313">
        <f t="shared" si="120"/>
        <v>0</v>
      </c>
      <c r="V108" s="313">
        <f t="shared" si="120"/>
        <v>0</v>
      </c>
      <c r="W108" s="313">
        <f t="shared" si="120"/>
        <v>0</v>
      </c>
      <c r="X108" s="313">
        <f t="shared" si="120"/>
        <v>0</v>
      </c>
      <c r="Y108" s="313">
        <f t="shared" si="120"/>
        <v>0</v>
      </c>
      <c r="Z108" s="313">
        <f t="shared" si="120"/>
        <v>0</v>
      </c>
      <c r="AA108" s="313">
        <f t="shared" si="120"/>
        <v>0</v>
      </c>
      <c r="AB108" s="313">
        <f t="shared" si="120"/>
        <v>0</v>
      </c>
      <c r="AC108" s="313">
        <f t="shared" si="120"/>
        <v>0</v>
      </c>
      <c r="AD108" s="313">
        <f t="shared" si="120"/>
        <v>0</v>
      </c>
      <c r="AE108" s="313">
        <f t="shared" si="120"/>
        <v>0</v>
      </c>
      <c r="AF108" s="313">
        <f t="shared" si="120"/>
        <v>0</v>
      </c>
      <c r="AG108" s="313">
        <f t="shared" si="120"/>
        <v>0</v>
      </c>
      <c r="AH108" s="313">
        <f t="shared" si="120"/>
        <v>0</v>
      </c>
      <c r="AI108" s="313">
        <f t="shared" si="120"/>
        <v>0</v>
      </c>
      <c r="AJ108" s="313">
        <f t="shared" si="120"/>
        <v>0</v>
      </c>
      <c r="AK108" s="313">
        <f t="shared" si="120"/>
        <v>0</v>
      </c>
      <c r="AL108" s="313" t="n">
        <f t="shared" ref="AL108:BQ108" si="121">AL$101*MAX(0,$B$25+$B$26+INDEX($M$31:$M$33,MATCH($B$6,$J$31:$J$33,0)))*AL$65/$B$17</f>
        <v>0</v>
      </c>
      <c r="AM108" s="313">
        <f t="shared" si="121"/>
        <v>0</v>
      </c>
      <c r="AN108" s="313">
        <f t="shared" si="121"/>
        <v>0</v>
      </c>
      <c r="AO108" s="313">
        <f t="shared" si="121"/>
        <v>0</v>
      </c>
      <c r="AP108" s="313">
        <f t="shared" si="121"/>
        <v>0</v>
      </c>
      <c r="AQ108" s="313">
        <f t="shared" si="121"/>
        <v>0</v>
      </c>
      <c r="AR108" s="313">
        <f t="shared" si="121"/>
        <v>0</v>
      </c>
      <c r="AS108" s="313">
        <f t="shared" si="121"/>
        <v>0</v>
      </c>
      <c r="AT108" s="313">
        <f t="shared" si="121"/>
        <v>0</v>
      </c>
      <c r="AU108" s="313">
        <f t="shared" si="121"/>
        <v>0</v>
      </c>
      <c r="AV108" s="313">
        <f t="shared" si="121"/>
        <v>0</v>
      </c>
      <c r="AW108" s="313">
        <f t="shared" si="121"/>
        <v>0</v>
      </c>
      <c r="AX108" s="313">
        <f t="shared" si="121"/>
        <v>0</v>
      </c>
      <c r="AY108" s="313">
        <f t="shared" si="121"/>
        <v>0</v>
      </c>
      <c r="AZ108" s="313">
        <f t="shared" si="121"/>
        <v>0</v>
      </c>
      <c r="BA108" s="313">
        <f t="shared" si="121"/>
        <v>0</v>
      </c>
      <c r="BB108" s="313">
        <f t="shared" si="121"/>
        <v>0</v>
      </c>
      <c r="BC108" s="313">
        <f t="shared" si="121"/>
        <v>0</v>
      </c>
      <c r="BD108" s="313">
        <f t="shared" si="121"/>
        <v>0</v>
      </c>
      <c r="BE108" s="313">
        <f t="shared" si="121"/>
        <v>0</v>
      </c>
      <c r="BF108" s="313">
        <f t="shared" si="121"/>
        <v>0</v>
      </c>
      <c r="BG108" s="313">
        <f t="shared" si="121"/>
        <v>0</v>
      </c>
      <c r="BH108" s="313">
        <f t="shared" si="121"/>
        <v>0</v>
      </c>
      <c r="BI108" s="313">
        <f t="shared" si="121"/>
        <v>0</v>
      </c>
      <c r="BJ108" s="313">
        <f t="shared" si="121"/>
        <v>0</v>
      </c>
      <c r="BK108" s="313">
        <f t="shared" si="121"/>
        <v>0</v>
      </c>
      <c r="BL108" s="313">
        <f t="shared" si="121"/>
        <v>0</v>
      </c>
      <c r="BM108" s="313">
        <f t="shared" si="121"/>
        <v>0</v>
      </c>
      <c r="BN108" s="313">
        <f t="shared" si="121"/>
        <v>0</v>
      </c>
      <c r="BO108" s="313">
        <f t="shared" si="121"/>
        <v>0</v>
      </c>
      <c r="BP108" s="313">
        <f t="shared" si="121"/>
        <v>5391.3892461422438</v>
      </c>
      <c r="BQ108" s="313">
        <f t="shared" si="121"/>
        <v>0</v>
      </c>
      <c r="BR108" s="313" t="n">
        <f t="shared" ref="BR108:CW108" si="122">BR$101*MAX(0,$B$25+$B$26+INDEX($M$31:$M$33,MATCH($B$6,$J$31:$J$33,0)))*BR$65/$B$17</f>
        <v>0</v>
      </c>
      <c r="BS108" s="313">
        <f t="shared" si="122"/>
        <v>0</v>
      </c>
      <c r="BT108" s="313">
        <f t="shared" si="122"/>
        <v>0</v>
      </c>
      <c r="BU108" s="313">
        <f t="shared" si="122"/>
        <v>0</v>
      </c>
      <c r="BV108" s="313">
        <f t="shared" si="122"/>
        <v>0</v>
      </c>
      <c r="BW108" s="313">
        <f t="shared" si="122"/>
        <v>0</v>
      </c>
      <c r="BX108" s="313">
        <f t="shared" si="122"/>
        <v>0</v>
      </c>
      <c r="BY108" s="313">
        <f t="shared" si="122"/>
        <v>0</v>
      </c>
      <c r="BZ108" s="313">
        <f t="shared" si="122"/>
        <v>0</v>
      </c>
      <c r="CA108" s="313">
        <f t="shared" si="122"/>
        <v>0</v>
      </c>
      <c r="CB108" s="313">
        <f t="shared" si="122"/>
        <v>0</v>
      </c>
      <c r="CC108" s="313">
        <f t="shared" si="122"/>
        <v>0</v>
      </c>
      <c r="CD108" s="313">
        <f t="shared" si="122"/>
        <v>0</v>
      </c>
      <c r="CE108" s="313">
        <f t="shared" si="122"/>
        <v>0</v>
      </c>
      <c r="CF108" s="313">
        <f t="shared" si="122"/>
        <v>0</v>
      </c>
      <c r="CG108" s="313">
        <f t="shared" si="122"/>
        <v>0</v>
      </c>
      <c r="CH108" s="313">
        <f t="shared" si="122"/>
        <v>0</v>
      </c>
      <c r="CI108" s="313">
        <f t="shared" si="122"/>
        <v>0</v>
      </c>
      <c r="CJ108" s="313">
        <f t="shared" si="122"/>
        <v>0</v>
      </c>
      <c r="CK108" s="313">
        <f t="shared" si="122"/>
        <v>0</v>
      </c>
      <c r="CL108" s="313">
        <f t="shared" si="122"/>
        <v>0</v>
      </c>
      <c r="CM108" s="313">
        <f t="shared" si="122"/>
        <v>0</v>
      </c>
      <c r="CN108" s="313">
        <f t="shared" si="122"/>
        <v>0</v>
      </c>
      <c r="CO108" s="313">
        <f t="shared" si="122"/>
        <v>0</v>
      </c>
      <c r="CP108" s="313">
        <f t="shared" si="122"/>
        <v>0</v>
      </c>
      <c r="CQ108" s="313">
        <f t="shared" si="122"/>
        <v>0</v>
      </c>
      <c r="CR108" s="313">
        <f t="shared" si="122"/>
        <v>0</v>
      </c>
      <c r="CS108" s="313">
        <f t="shared" si="122"/>
        <v>0</v>
      </c>
      <c r="CT108" s="313">
        <f t="shared" si="122"/>
        <v>0</v>
      </c>
      <c r="CU108" s="313">
        <f t="shared" si="122"/>
        <v>0</v>
      </c>
      <c r="CV108" s="313">
        <f t="shared" si="122"/>
        <v>0</v>
      </c>
      <c r="CW108" s="313">
        <f t="shared" si="122"/>
        <v>0</v>
      </c>
      <c r="CX108" s="313" t="n">
        <f t="shared" ref="CX108:DV108" si="123">CX$101*MAX(0,$B$25+$B$26+INDEX($M$31:$M$33,MATCH($B$6,$J$31:$J$33,0)))*CX$65/$B$17</f>
        <v>0</v>
      </c>
      <c r="CY108" s="313">
        <f t="shared" si="123"/>
        <v>0</v>
      </c>
      <c r="CZ108" s="313">
        <f t="shared" si="123"/>
        <v>0</v>
      </c>
      <c r="DA108" s="313">
        <f t="shared" si="123"/>
        <v>0</v>
      </c>
      <c r="DB108" s="313">
        <f t="shared" si="123"/>
        <v>0</v>
      </c>
      <c r="DC108" s="313">
        <f t="shared" si="123"/>
        <v>0</v>
      </c>
      <c r="DD108" s="313">
        <f t="shared" si="123"/>
        <v>0</v>
      </c>
      <c r="DE108" s="313">
        <f t="shared" si="123"/>
        <v>0</v>
      </c>
      <c r="DF108" s="313">
        <f t="shared" si="123"/>
        <v>0</v>
      </c>
      <c r="DG108" s="313">
        <f t="shared" si="123"/>
        <v>0</v>
      </c>
      <c r="DH108" s="313">
        <f t="shared" si="123"/>
        <v>0</v>
      </c>
      <c r="DI108" s="313">
        <f t="shared" si="123"/>
        <v>0</v>
      </c>
      <c r="DJ108" s="313">
        <f t="shared" si="123"/>
        <v>0</v>
      </c>
      <c r="DK108" s="313">
        <f t="shared" si="123"/>
        <v>0</v>
      </c>
      <c r="DL108" s="313">
        <f t="shared" si="123"/>
        <v>0</v>
      </c>
      <c r="DM108" s="313">
        <f t="shared" si="123"/>
        <v>0</v>
      </c>
      <c r="DN108" s="313">
        <f t="shared" si="123"/>
        <v>0</v>
      </c>
      <c r="DO108" s="313">
        <f t="shared" si="123"/>
        <v>0</v>
      </c>
      <c r="DP108" s="313">
        <f t="shared" si="123"/>
        <v>0</v>
      </c>
      <c r="DQ108" s="313">
        <f t="shared" si="123"/>
        <v>0</v>
      </c>
      <c r="DR108" s="313">
        <f t="shared" si="123"/>
        <v>0</v>
      </c>
      <c r="DS108" s="313">
        <f t="shared" si="123"/>
        <v>0</v>
      </c>
      <c r="DT108" s="313">
        <f t="shared" si="123"/>
        <v>0</v>
      </c>
      <c r="DU108" s="313">
        <f t="shared" si="123"/>
        <v>0</v>
      </c>
      <c r="DV108" s="313">
        <f t="shared" si="123"/>
        <v>0</v>
      </c>
    </row>
    <row r="109" ht="15" customHeight="1">
      <c r="A109" s="311" t="s">
        <v>1513</v>
      </c>
      <c r="B109" s="312" t="s">
        <v>1321</v>
      </c>
      <c r="C109" s="702" t="s">
        <v>1374</v>
      </c>
      <c r="D109" s="703"/>
      <c r="F109" s="313" t="n">
        <f t="shared" ref="F109:AK109" si="124">MAX(0,$B$24-F$101)*$B$28*F$65/$B$17</f>
        <v>0</v>
      </c>
      <c r="G109" s="313">
        <f t="shared" si="124"/>
        <v>0</v>
      </c>
      <c r="H109" s="313">
        <f t="shared" si="124"/>
        <v>0</v>
      </c>
      <c r="I109" s="313">
        <f t="shared" si="124"/>
        <v>0</v>
      </c>
      <c r="J109" s="313">
        <f t="shared" si="124"/>
        <v>0</v>
      </c>
      <c r="K109" s="313">
        <f t="shared" si="124"/>
        <v>0</v>
      </c>
      <c r="L109" s="313">
        <f t="shared" si="124"/>
        <v>0</v>
      </c>
      <c r="M109" s="313">
        <f t="shared" si="124"/>
        <v>0</v>
      </c>
      <c r="N109" s="313">
        <f t="shared" si="124"/>
        <v>0</v>
      </c>
      <c r="O109" s="313">
        <f t="shared" si="124"/>
        <v>0</v>
      </c>
      <c r="P109" s="313">
        <f t="shared" si="124"/>
        <v>0</v>
      </c>
      <c r="Q109" s="313">
        <f t="shared" si="124"/>
        <v>0</v>
      </c>
      <c r="R109" s="313">
        <f t="shared" si="124"/>
        <v>0</v>
      </c>
      <c r="S109" s="313">
        <f t="shared" si="124"/>
        <v>0</v>
      </c>
      <c r="T109" s="313">
        <f t="shared" si="124"/>
        <v>0</v>
      </c>
      <c r="U109" s="313">
        <f t="shared" si="124"/>
        <v>0</v>
      </c>
      <c r="V109" s="313">
        <f t="shared" si="124"/>
        <v>0</v>
      </c>
      <c r="W109" s="313">
        <f t="shared" si="124"/>
        <v>0</v>
      </c>
      <c r="X109" s="313">
        <f t="shared" si="124"/>
        <v>0</v>
      </c>
      <c r="Y109" s="313">
        <f t="shared" si="124"/>
        <v>0</v>
      </c>
      <c r="Z109" s="313">
        <f t="shared" si="124"/>
        <v>0</v>
      </c>
      <c r="AA109" s="313">
        <f t="shared" si="124"/>
        <v>0</v>
      </c>
      <c r="AB109" s="313">
        <f t="shared" si="124"/>
        <v>0</v>
      </c>
      <c r="AC109" s="313">
        <f t="shared" si="124"/>
        <v>0</v>
      </c>
      <c r="AD109" s="313">
        <f t="shared" si="124"/>
        <v>0</v>
      </c>
      <c r="AE109" s="313">
        <f t="shared" si="124"/>
        <v>0</v>
      </c>
      <c r="AF109" s="313">
        <f t="shared" si="124"/>
        <v>0</v>
      </c>
      <c r="AG109" s="313">
        <f t="shared" si="124"/>
        <v>0</v>
      </c>
      <c r="AH109" s="313">
        <f t="shared" si="124"/>
        <v>0</v>
      </c>
      <c r="AI109" s="313">
        <f t="shared" si="124"/>
        <v>0</v>
      </c>
      <c r="AJ109" s="313">
        <f t="shared" si="124"/>
        <v>0</v>
      </c>
      <c r="AK109" s="313">
        <f t="shared" si="124"/>
        <v>0</v>
      </c>
      <c r="AL109" s="313" t="n">
        <f t="shared" ref="AL109:BQ109" si="125">MAX(0,$B$24-AL$101)*$B$28*AL$65/$B$17</f>
        <v>0</v>
      </c>
      <c r="AM109" s="313">
        <f t="shared" si="125"/>
        <v>0</v>
      </c>
      <c r="AN109" s="313">
        <f t="shared" si="125"/>
        <v>0</v>
      </c>
      <c r="AO109" s="313">
        <f t="shared" si="125"/>
        <v>0</v>
      </c>
      <c r="AP109" s="313">
        <f t="shared" si="125"/>
        <v>0</v>
      </c>
      <c r="AQ109" s="313">
        <f t="shared" si="125"/>
        <v>0</v>
      </c>
      <c r="AR109" s="313">
        <f t="shared" si="125"/>
        <v>0</v>
      </c>
      <c r="AS109" s="313">
        <f t="shared" si="125"/>
        <v>0</v>
      </c>
      <c r="AT109" s="313">
        <f t="shared" si="125"/>
        <v>0</v>
      </c>
      <c r="AU109" s="313">
        <f t="shared" si="125"/>
        <v>0</v>
      </c>
      <c r="AV109" s="313">
        <f t="shared" si="125"/>
        <v>0</v>
      </c>
      <c r="AW109" s="313">
        <f t="shared" si="125"/>
        <v>0</v>
      </c>
      <c r="AX109" s="313">
        <f t="shared" si="125"/>
        <v>0</v>
      </c>
      <c r="AY109" s="313">
        <f t="shared" si="125"/>
        <v>0</v>
      </c>
      <c r="AZ109" s="313">
        <f t="shared" si="125"/>
        <v>0</v>
      </c>
      <c r="BA109" s="313">
        <f t="shared" si="125"/>
        <v>0</v>
      </c>
      <c r="BB109" s="313">
        <f t="shared" si="125"/>
        <v>0</v>
      </c>
      <c r="BC109" s="313">
        <f t="shared" si="125"/>
        <v>0</v>
      </c>
      <c r="BD109" s="313">
        <f t="shared" si="125"/>
        <v>0</v>
      </c>
      <c r="BE109" s="313">
        <f t="shared" si="125"/>
        <v>0</v>
      </c>
      <c r="BF109" s="313">
        <f t="shared" si="125"/>
        <v>0</v>
      </c>
      <c r="BG109" s="313">
        <f t="shared" si="125"/>
        <v>0</v>
      </c>
      <c r="BH109" s="313">
        <f t="shared" si="125"/>
        <v>0</v>
      </c>
      <c r="BI109" s="313">
        <f t="shared" si="125"/>
        <v>0</v>
      </c>
      <c r="BJ109" s="313">
        <f t="shared" si="125"/>
        <v>0</v>
      </c>
      <c r="BK109" s="313">
        <f t="shared" si="125"/>
        <v>0</v>
      </c>
      <c r="BL109" s="313">
        <f t="shared" si="125"/>
        <v>0</v>
      </c>
      <c r="BM109" s="313">
        <f t="shared" si="125"/>
        <v>0</v>
      </c>
      <c r="BN109" s="313">
        <f t="shared" si="125"/>
        <v>0</v>
      </c>
      <c r="BO109" s="313">
        <f t="shared" si="125"/>
        <v>0</v>
      </c>
      <c r="BP109" s="313">
        <f t="shared" si="125"/>
        <v>0</v>
      </c>
      <c r="BQ109" s="313">
        <f t="shared" si="125"/>
        <v>0</v>
      </c>
      <c r="BR109" s="313" t="n">
        <f t="shared" ref="BR109:CW109" si="126">MAX(0,$B$24-BR$101)*$B$28*BR$65/$B$17</f>
        <v>0</v>
      </c>
      <c r="BS109" s="313">
        <f t="shared" si="126"/>
        <v>0</v>
      </c>
      <c r="BT109" s="313">
        <f t="shared" si="126"/>
        <v>0</v>
      </c>
      <c r="BU109" s="313">
        <f t="shared" si="126"/>
        <v>0</v>
      </c>
      <c r="BV109" s="313">
        <f t="shared" si="126"/>
        <v>0</v>
      </c>
      <c r="BW109" s="313">
        <f t="shared" si="126"/>
        <v>0</v>
      </c>
      <c r="BX109" s="313">
        <f t="shared" si="126"/>
        <v>0</v>
      </c>
      <c r="BY109" s="313">
        <f t="shared" si="126"/>
        <v>0</v>
      </c>
      <c r="BZ109" s="313">
        <f t="shared" si="126"/>
        <v>0</v>
      </c>
      <c r="CA109" s="313">
        <f t="shared" si="126"/>
        <v>0</v>
      </c>
      <c r="CB109" s="313">
        <f t="shared" si="126"/>
        <v>0</v>
      </c>
      <c r="CC109" s="313">
        <f t="shared" si="126"/>
        <v>0</v>
      </c>
      <c r="CD109" s="313">
        <f t="shared" si="126"/>
        <v>0</v>
      </c>
      <c r="CE109" s="313">
        <f t="shared" si="126"/>
        <v>0</v>
      </c>
      <c r="CF109" s="313">
        <f t="shared" si="126"/>
        <v>0</v>
      </c>
      <c r="CG109" s="313">
        <f t="shared" si="126"/>
        <v>0</v>
      </c>
      <c r="CH109" s="313">
        <f t="shared" si="126"/>
        <v>0</v>
      </c>
      <c r="CI109" s="313">
        <f t="shared" si="126"/>
        <v>0</v>
      </c>
      <c r="CJ109" s="313">
        <f t="shared" si="126"/>
        <v>0</v>
      </c>
      <c r="CK109" s="313">
        <f t="shared" si="126"/>
        <v>0</v>
      </c>
      <c r="CL109" s="313">
        <f t="shared" si="126"/>
        <v>0</v>
      </c>
      <c r="CM109" s="313">
        <f t="shared" si="126"/>
        <v>0</v>
      </c>
      <c r="CN109" s="313">
        <f t="shared" si="126"/>
        <v>0</v>
      </c>
      <c r="CO109" s="313">
        <f t="shared" si="126"/>
        <v>0</v>
      </c>
      <c r="CP109" s="313">
        <f t="shared" si="126"/>
        <v>0</v>
      </c>
      <c r="CQ109" s="313">
        <f t="shared" si="126"/>
        <v>0</v>
      </c>
      <c r="CR109" s="313">
        <f t="shared" si="126"/>
        <v>0</v>
      </c>
      <c r="CS109" s="313">
        <f t="shared" si="126"/>
        <v>0</v>
      </c>
      <c r="CT109" s="313">
        <f t="shared" si="126"/>
        <v>0</v>
      </c>
      <c r="CU109" s="313">
        <f t="shared" si="126"/>
        <v>0</v>
      </c>
      <c r="CV109" s="313">
        <f t="shared" si="126"/>
        <v>0</v>
      </c>
      <c r="CW109" s="313">
        <f t="shared" si="126"/>
        <v>0</v>
      </c>
      <c r="CX109" s="313" t="n">
        <f t="shared" ref="CX109:DV109" si="127">MAX(0,$B$24-CX$101)*$B$28*CX$65/$B$17</f>
        <v>0</v>
      </c>
      <c r="CY109" s="313">
        <f t="shared" si="127"/>
        <v>0</v>
      </c>
      <c r="CZ109" s="313">
        <f t="shared" si="127"/>
        <v>0</v>
      </c>
      <c r="DA109" s="313">
        <f t="shared" si="127"/>
        <v>0</v>
      </c>
      <c r="DB109" s="313">
        <f t="shared" si="127"/>
        <v>0</v>
      </c>
      <c r="DC109" s="313">
        <f t="shared" si="127"/>
        <v>0</v>
      </c>
      <c r="DD109" s="313">
        <f t="shared" si="127"/>
        <v>0</v>
      </c>
      <c r="DE109" s="313">
        <f t="shared" si="127"/>
        <v>0</v>
      </c>
      <c r="DF109" s="313">
        <f t="shared" si="127"/>
        <v>0</v>
      </c>
      <c r="DG109" s="313">
        <f t="shared" si="127"/>
        <v>0</v>
      </c>
      <c r="DH109" s="313">
        <f t="shared" si="127"/>
        <v>0</v>
      </c>
      <c r="DI109" s="313">
        <f t="shared" si="127"/>
        <v>0</v>
      </c>
      <c r="DJ109" s="313">
        <f t="shared" si="127"/>
        <v>0</v>
      </c>
      <c r="DK109" s="313">
        <f t="shared" si="127"/>
        <v>0</v>
      </c>
      <c r="DL109" s="313">
        <f t="shared" si="127"/>
        <v>0</v>
      </c>
      <c r="DM109" s="313">
        <f t="shared" si="127"/>
        <v>0</v>
      </c>
      <c r="DN109" s="313">
        <f t="shared" si="127"/>
        <v>0</v>
      </c>
      <c r="DO109" s="313">
        <f t="shared" si="127"/>
        <v>0</v>
      </c>
      <c r="DP109" s="313">
        <f t="shared" si="127"/>
        <v>0</v>
      </c>
      <c r="DQ109" s="313">
        <f t="shared" si="127"/>
        <v>0</v>
      </c>
      <c r="DR109" s="313">
        <f t="shared" si="127"/>
        <v>0</v>
      </c>
      <c r="DS109" s="313">
        <f t="shared" si="127"/>
        <v>0</v>
      </c>
      <c r="DT109" s="313">
        <f t="shared" si="127"/>
        <v>0</v>
      </c>
      <c r="DU109" s="313">
        <f t="shared" si="127"/>
        <v>0</v>
      </c>
      <c r="DV109" s="313">
        <f t="shared" si="127"/>
        <v>0</v>
      </c>
    </row>
    <row r="110" ht="15" customHeight="1">
      <c r="A110" s="311" t="s">
        <v>1514</v>
      </c>
      <c r="B110" s="312" t="s">
        <v>1321</v>
      </c>
      <c r="C110" s="702" t="s">
        <v>1515</v>
      </c>
      <c r="D110" s="703"/>
      <c r="E110" s="313">
        <v>0</v>
      </c>
      <c r="F110" s="313" t="n">
        <f t="shared" ref="F110:AK110" si="128">MAX(0,F$101+F$106-F$107)</f>
        <v>99060.45751633987</v>
      </c>
      <c r="G110" s="313">
        <f t="shared" si="128"/>
        <v>99117.129443101439</v>
      </c>
      <c r="H110" s="313">
        <f t="shared" si="128"/>
        <v>99664.310308383225</v>
      </c>
      <c r="I110" s="313">
        <f t="shared" si="128"/>
        <v>100196.76347304446</v>
      </c>
      <c r="J110" s="313">
        <f t="shared" si="128"/>
        <v>100749.90450975181</v>
      </c>
      <c r="K110" s="313">
        <f t="shared" si="128"/>
        <v>101288.15742425596</v>
      </c>
      <c r="L110" s="313">
        <f t="shared" si="128"/>
        <v>216186.21318950364</v>
      </c>
      <c r="M110" s="313">
        <f t="shared" si="128"/>
        <v>0</v>
      </c>
      <c r="N110" s="313">
        <f t="shared" si="128"/>
        <v>0</v>
      </c>
      <c r="O110" s="313">
        <f t="shared" si="128"/>
        <v>0</v>
      </c>
      <c r="P110" s="313">
        <f t="shared" si="128"/>
        <v>0</v>
      </c>
      <c r="Q110" s="313">
        <f t="shared" si="128"/>
        <v>0</v>
      </c>
      <c r="R110" s="313">
        <f t="shared" si="128"/>
        <v>0</v>
      </c>
      <c r="S110" s="313">
        <f t="shared" si="128"/>
        <v>0</v>
      </c>
      <c r="T110" s="313">
        <f t="shared" si="128"/>
        <v>0</v>
      </c>
      <c r="U110" s="313">
        <f t="shared" si="128"/>
        <v>0</v>
      </c>
      <c r="V110" s="313">
        <f t="shared" si="128"/>
        <v>0</v>
      </c>
      <c r="W110" s="313">
        <f t="shared" si="128"/>
        <v>0</v>
      </c>
      <c r="X110" s="313">
        <f t="shared" si="128"/>
        <v>0</v>
      </c>
      <c r="Y110" s="313">
        <f t="shared" si="128"/>
        <v>0</v>
      </c>
      <c r="Z110" s="313">
        <f t="shared" si="128"/>
        <v>0</v>
      </c>
      <c r="AA110" s="313">
        <f t="shared" si="128"/>
        <v>0</v>
      </c>
      <c r="AB110" s="313">
        <f t="shared" si="128"/>
        <v>0</v>
      </c>
      <c r="AC110" s="313">
        <f t="shared" si="128"/>
        <v>0</v>
      </c>
      <c r="AD110" s="313">
        <f t="shared" si="128"/>
        <v>0</v>
      </c>
      <c r="AE110" s="313">
        <f t="shared" si="128"/>
        <v>0</v>
      </c>
      <c r="AF110" s="313">
        <f t="shared" si="128"/>
        <v>0</v>
      </c>
      <c r="AG110" s="313">
        <f t="shared" si="128"/>
        <v>0</v>
      </c>
      <c r="AH110" s="313">
        <f t="shared" si="128"/>
        <v>0</v>
      </c>
      <c r="AI110" s="313">
        <f t="shared" si="128"/>
        <v>0</v>
      </c>
      <c r="AJ110" s="313">
        <f t="shared" si="128"/>
        <v>0</v>
      </c>
      <c r="AK110" s="313">
        <f t="shared" si="128"/>
        <v>0</v>
      </c>
      <c r="AL110" s="313" t="n">
        <f t="shared" ref="AL110:BQ110" si="129">MAX(0,AL$101+AL$106-AL$107)</f>
        <v>0</v>
      </c>
      <c r="AM110" s="313">
        <f t="shared" si="129"/>
        <v>0</v>
      </c>
      <c r="AN110" s="313">
        <f t="shared" si="129"/>
        <v>0</v>
      </c>
      <c r="AO110" s="313">
        <f t="shared" si="129"/>
        <v>0</v>
      </c>
      <c r="AP110" s="313">
        <f t="shared" si="129"/>
        <v>0</v>
      </c>
      <c r="AQ110" s="313">
        <f t="shared" si="129"/>
        <v>0</v>
      </c>
      <c r="AR110" s="313">
        <f t="shared" si="129"/>
        <v>0</v>
      </c>
      <c r="AS110" s="313">
        <f t="shared" si="129"/>
        <v>0</v>
      </c>
      <c r="AT110" s="313">
        <f t="shared" si="129"/>
        <v>0</v>
      </c>
      <c r="AU110" s="313">
        <f t="shared" si="129"/>
        <v>0</v>
      </c>
      <c r="AV110" s="313">
        <f t="shared" si="129"/>
        <v>0</v>
      </c>
      <c r="AW110" s="313">
        <f t="shared" si="129"/>
        <v>0</v>
      </c>
      <c r="AX110" s="313">
        <f t="shared" si="129"/>
        <v>0</v>
      </c>
      <c r="AY110" s="313">
        <f t="shared" si="129"/>
        <v>0</v>
      </c>
      <c r="AZ110" s="313">
        <f t="shared" si="129"/>
        <v>0</v>
      </c>
      <c r="BA110" s="313">
        <f t="shared" si="129"/>
        <v>0</v>
      </c>
      <c r="BB110" s="313">
        <f t="shared" si="129"/>
        <v>0</v>
      </c>
      <c r="BC110" s="313">
        <f t="shared" si="129"/>
        <v>0</v>
      </c>
      <c r="BD110" s="313">
        <f t="shared" si="129"/>
        <v>0</v>
      </c>
      <c r="BE110" s="313">
        <f t="shared" si="129"/>
        <v>0</v>
      </c>
      <c r="BF110" s="313">
        <f t="shared" si="129"/>
        <v>0</v>
      </c>
      <c r="BG110" s="313">
        <f t="shared" si="129"/>
        <v>0</v>
      </c>
      <c r="BH110" s="313">
        <f t="shared" si="129"/>
        <v>0</v>
      </c>
      <c r="BI110" s="313">
        <f t="shared" si="129"/>
        <v>0</v>
      </c>
      <c r="BJ110" s="313">
        <f t="shared" si="129"/>
        <v>0</v>
      </c>
      <c r="BK110" s="313">
        <f t="shared" si="129"/>
        <v>0</v>
      </c>
      <c r="BL110" s="313">
        <f t="shared" si="129"/>
        <v>0</v>
      </c>
      <c r="BM110" s="313">
        <f t="shared" si="129"/>
        <v>0</v>
      </c>
      <c r="BN110" s="313">
        <f t="shared" si="129"/>
        <v>0</v>
      </c>
      <c r="BO110" s="313">
        <f t="shared" si="129"/>
        <v>976604.00736571662</v>
      </c>
      <c r="BP110" s="313">
        <f t="shared" si="129"/>
        <v>0</v>
      </c>
      <c r="BQ110" s="313">
        <f t="shared" si="129"/>
        <v>0</v>
      </c>
      <c r="BR110" s="313" t="n">
        <f t="shared" ref="BR110:CW110" si="130">MAX(0,BR$101+BR$106-BR$107)</f>
        <v>0</v>
      </c>
      <c r="BS110" s="313">
        <f t="shared" si="130"/>
        <v>0</v>
      </c>
      <c r="BT110" s="313">
        <f t="shared" si="130"/>
        <v>0</v>
      </c>
      <c r="BU110" s="313">
        <f t="shared" si="130"/>
        <v>0</v>
      </c>
      <c r="BV110" s="313">
        <f t="shared" si="130"/>
        <v>0</v>
      </c>
      <c r="BW110" s="313">
        <f t="shared" si="130"/>
        <v>0</v>
      </c>
      <c r="BX110" s="313">
        <f t="shared" si="130"/>
        <v>0</v>
      </c>
      <c r="BY110" s="313">
        <f t="shared" si="130"/>
        <v>0</v>
      </c>
      <c r="BZ110" s="313">
        <f t="shared" si="130"/>
        <v>0</v>
      </c>
      <c r="CA110" s="313">
        <f t="shared" si="130"/>
        <v>0</v>
      </c>
      <c r="CB110" s="313">
        <f t="shared" si="130"/>
        <v>0</v>
      </c>
      <c r="CC110" s="313">
        <f t="shared" si="130"/>
        <v>0</v>
      </c>
      <c r="CD110" s="313">
        <f t="shared" si="130"/>
        <v>0</v>
      </c>
      <c r="CE110" s="313">
        <f t="shared" si="130"/>
        <v>0</v>
      </c>
      <c r="CF110" s="313">
        <f t="shared" si="130"/>
        <v>0</v>
      </c>
      <c r="CG110" s="313">
        <f t="shared" si="130"/>
        <v>0</v>
      </c>
      <c r="CH110" s="313">
        <f t="shared" si="130"/>
        <v>0</v>
      </c>
      <c r="CI110" s="313">
        <f t="shared" si="130"/>
        <v>0</v>
      </c>
      <c r="CJ110" s="313">
        <f t="shared" si="130"/>
        <v>0</v>
      </c>
      <c r="CK110" s="313">
        <f t="shared" si="130"/>
        <v>0</v>
      </c>
      <c r="CL110" s="313">
        <f t="shared" si="130"/>
        <v>0</v>
      </c>
      <c r="CM110" s="313">
        <f t="shared" si="130"/>
        <v>0</v>
      </c>
      <c r="CN110" s="313">
        <f t="shared" si="130"/>
        <v>0</v>
      </c>
      <c r="CO110" s="313">
        <f t="shared" si="130"/>
        <v>0</v>
      </c>
      <c r="CP110" s="313">
        <f t="shared" si="130"/>
        <v>0</v>
      </c>
      <c r="CQ110" s="313">
        <f t="shared" si="130"/>
        <v>0</v>
      </c>
      <c r="CR110" s="313">
        <f t="shared" si="130"/>
        <v>0</v>
      </c>
      <c r="CS110" s="313">
        <f t="shared" si="130"/>
        <v>0</v>
      </c>
      <c r="CT110" s="313">
        <f t="shared" si="130"/>
        <v>0</v>
      </c>
      <c r="CU110" s="313">
        <f t="shared" si="130"/>
        <v>0</v>
      </c>
      <c r="CV110" s="313">
        <f t="shared" si="130"/>
        <v>0</v>
      </c>
      <c r="CW110" s="313">
        <f t="shared" si="130"/>
        <v>0</v>
      </c>
      <c r="CX110" s="313" t="n">
        <f t="shared" ref="CX110:DV110" si="131">MAX(0,CX$101+CX$106-CX$107)</f>
        <v>0</v>
      </c>
      <c r="CY110" s="313">
        <f t="shared" si="131"/>
        <v>0</v>
      </c>
      <c r="CZ110" s="313">
        <f t="shared" si="131"/>
        <v>0</v>
      </c>
      <c r="DA110" s="313">
        <f t="shared" si="131"/>
        <v>0</v>
      </c>
      <c r="DB110" s="313">
        <f t="shared" si="131"/>
        <v>0</v>
      </c>
      <c r="DC110" s="313">
        <f t="shared" si="131"/>
        <v>0</v>
      </c>
      <c r="DD110" s="313">
        <f t="shared" si="131"/>
        <v>0</v>
      </c>
      <c r="DE110" s="313">
        <f t="shared" si="131"/>
        <v>0</v>
      </c>
      <c r="DF110" s="313">
        <f t="shared" si="131"/>
        <v>0</v>
      </c>
      <c r="DG110" s="313">
        <f t="shared" si="131"/>
        <v>0</v>
      </c>
      <c r="DH110" s="313">
        <f t="shared" si="131"/>
        <v>0</v>
      </c>
      <c r="DI110" s="313">
        <f t="shared" si="131"/>
        <v>0</v>
      </c>
      <c r="DJ110" s="313">
        <f t="shared" si="131"/>
        <v>0</v>
      </c>
      <c r="DK110" s="313">
        <f t="shared" si="131"/>
        <v>0</v>
      </c>
      <c r="DL110" s="313">
        <f t="shared" si="131"/>
        <v>0</v>
      </c>
      <c r="DM110" s="313">
        <f t="shared" si="131"/>
        <v>0</v>
      </c>
      <c r="DN110" s="313">
        <f t="shared" si="131"/>
        <v>0</v>
      </c>
      <c r="DO110" s="313">
        <f t="shared" si="131"/>
        <v>0</v>
      </c>
      <c r="DP110" s="313">
        <f t="shared" si="131"/>
        <v>0</v>
      </c>
      <c r="DQ110" s="313">
        <f t="shared" si="131"/>
        <v>0</v>
      </c>
      <c r="DR110" s="313">
        <f t="shared" si="131"/>
        <v>0</v>
      </c>
      <c r="DS110" s="313">
        <f t="shared" si="131"/>
        <v>0</v>
      </c>
      <c r="DT110" s="313">
        <f t="shared" si="131"/>
        <v>0</v>
      </c>
      <c r="DU110" s="313">
        <f t="shared" si="131"/>
        <v>0</v>
      </c>
      <c r="DV110" s="313">
        <f t="shared" si="131"/>
        <v>0</v>
      </c>
    </row>
    <row r="111" ht="15" customHeight="1">
      <c r="A111" s="311" t="s">
        <v>1516</v>
      </c>
      <c r="B111" s="312" t="s">
        <v>1321</v>
      </c>
      <c r="C111" s="702" t="s">
        <v>1517</v>
      </c>
      <c r="D111" s="703"/>
      <c r="F111" s="313" t="n">
        <f t="shared" ref="F111:AK111" si="132">MAX(0,$B$24-F$110)</f>
        <v>877543.5498493768</v>
      </c>
      <c r="G111" s="313">
        <f t="shared" si="132"/>
        <v>877486.87792261515</v>
      </c>
      <c r="H111" s="313">
        <f t="shared" si="132"/>
        <v>876939.69705733343</v>
      </c>
      <c r="I111" s="313">
        <f t="shared" si="132"/>
        <v>876407.24389267212</v>
      </c>
      <c r="J111" s="313">
        <f t="shared" si="132"/>
        <v>875854.1028559648</v>
      </c>
      <c r="K111" s="313">
        <f t="shared" si="132"/>
        <v>875315.84994146065</v>
      </c>
      <c r="L111" s="313">
        <f t="shared" si="132"/>
        <v>760417.79417621298</v>
      </c>
      <c r="M111" s="313">
        <f t="shared" si="132"/>
        <v>976604.00736571662</v>
      </c>
      <c r="N111" s="313">
        <f t="shared" si="132"/>
        <v>976604.00736571662</v>
      </c>
      <c r="O111" s="313">
        <f t="shared" si="132"/>
        <v>976604.00736571662</v>
      </c>
      <c r="P111" s="313">
        <f t="shared" si="132"/>
        <v>976604.00736571662</v>
      </c>
      <c r="Q111" s="313">
        <f t="shared" si="132"/>
        <v>976604.00736571662</v>
      </c>
      <c r="R111" s="313">
        <f t="shared" si="132"/>
        <v>976604.00736571662</v>
      </c>
      <c r="S111" s="313">
        <f t="shared" si="132"/>
        <v>976604.00736571662</v>
      </c>
      <c r="T111" s="313">
        <f t="shared" si="132"/>
        <v>976604.00736571662</v>
      </c>
      <c r="U111" s="313">
        <f t="shared" si="132"/>
        <v>976604.00736571662</v>
      </c>
      <c r="V111" s="313">
        <f t="shared" si="132"/>
        <v>976604.00736571662</v>
      </c>
      <c r="W111" s="313">
        <f t="shared" si="132"/>
        <v>976604.00736571662</v>
      </c>
      <c r="X111" s="313">
        <f t="shared" si="132"/>
        <v>976604.00736571662</v>
      </c>
      <c r="Y111" s="313">
        <f t="shared" si="132"/>
        <v>976604.00736571662</v>
      </c>
      <c r="Z111" s="313">
        <f t="shared" si="132"/>
        <v>976604.00736571662</v>
      </c>
      <c r="AA111" s="313">
        <f t="shared" si="132"/>
        <v>976604.00736571662</v>
      </c>
      <c r="AB111" s="313">
        <f t="shared" si="132"/>
        <v>976604.00736571662</v>
      </c>
      <c r="AC111" s="313">
        <f t="shared" si="132"/>
        <v>976604.00736571662</v>
      </c>
      <c r="AD111" s="313">
        <f t="shared" si="132"/>
        <v>976604.00736571662</v>
      </c>
      <c r="AE111" s="313">
        <f t="shared" si="132"/>
        <v>976604.00736571662</v>
      </c>
      <c r="AF111" s="313">
        <f t="shared" si="132"/>
        <v>976604.00736571662</v>
      </c>
      <c r="AG111" s="313">
        <f t="shared" si="132"/>
        <v>976604.00736571662</v>
      </c>
      <c r="AH111" s="313">
        <f t="shared" si="132"/>
        <v>976604.00736571662</v>
      </c>
      <c r="AI111" s="313">
        <f t="shared" si="132"/>
        <v>976604.00736571662</v>
      </c>
      <c r="AJ111" s="313">
        <f t="shared" si="132"/>
        <v>976604.00736571662</v>
      </c>
      <c r="AK111" s="313">
        <f t="shared" si="132"/>
        <v>976604.00736571662</v>
      </c>
      <c r="AL111" s="313" t="n">
        <f t="shared" ref="AL111:BQ111" si="133">MAX(0,$B$24-AL$110)</f>
        <v>976604.0073657166</v>
      </c>
      <c r="AM111" s="313">
        <f t="shared" si="133"/>
        <v>976604.00736571662</v>
      </c>
      <c r="AN111" s="313">
        <f t="shared" si="133"/>
        <v>976604.00736571662</v>
      </c>
      <c r="AO111" s="313">
        <f t="shared" si="133"/>
        <v>976604.00736571662</v>
      </c>
      <c r="AP111" s="313">
        <f t="shared" si="133"/>
        <v>976604.00736571662</v>
      </c>
      <c r="AQ111" s="313">
        <f t="shared" si="133"/>
        <v>976604.00736571662</v>
      </c>
      <c r="AR111" s="313">
        <f t="shared" si="133"/>
        <v>976604.00736571662</v>
      </c>
      <c r="AS111" s="313">
        <f t="shared" si="133"/>
        <v>976604.00736571662</v>
      </c>
      <c r="AT111" s="313">
        <f t="shared" si="133"/>
        <v>976604.00736571662</v>
      </c>
      <c r="AU111" s="313">
        <f t="shared" si="133"/>
        <v>976604.00736571662</v>
      </c>
      <c r="AV111" s="313">
        <f t="shared" si="133"/>
        <v>976604.00736571662</v>
      </c>
      <c r="AW111" s="313">
        <f t="shared" si="133"/>
        <v>976604.00736571662</v>
      </c>
      <c r="AX111" s="313">
        <f t="shared" si="133"/>
        <v>976604.00736571662</v>
      </c>
      <c r="AY111" s="313">
        <f t="shared" si="133"/>
        <v>976604.00736571662</v>
      </c>
      <c r="AZ111" s="313">
        <f t="shared" si="133"/>
        <v>976604.00736571662</v>
      </c>
      <c r="BA111" s="313">
        <f t="shared" si="133"/>
        <v>976604.00736571662</v>
      </c>
      <c r="BB111" s="313">
        <f t="shared" si="133"/>
        <v>976604.00736571662</v>
      </c>
      <c r="BC111" s="313">
        <f t="shared" si="133"/>
        <v>976604.00736571662</v>
      </c>
      <c r="BD111" s="313">
        <f t="shared" si="133"/>
        <v>976604.00736571662</v>
      </c>
      <c r="BE111" s="313">
        <f t="shared" si="133"/>
        <v>976604.00736571662</v>
      </c>
      <c r="BF111" s="313">
        <f t="shared" si="133"/>
        <v>976604.00736571662</v>
      </c>
      <c r="BG111" s="313">
        <f t="shared" si="133"/>
        <v>976604.00736571662</v>
      </c>
      <c r="BH111" s="313">
        <f t="shared" si="133"/>
        <v>976604.00736571662</v>
      </c>
      <c r="BI111" s="313">
        <f t="shared" si="133"/>
        <v>976604.00736571662</v>
      </c>
      <c r="BJ111" s="313">
        <f t="shared" si="133"/>
        <v>976604.00736571662</v>
      </c>
      <c r="BK111" s="313">
        <f t="shared" si="133"/>
        <v>976604.00736571662</v>
      </c>
      <c r="BL111" s="313">
        <f t="shared" si="133"/>
        <v>976604.00736571662</v>
      </c>
      <c r="BM111" s="313">
        <f t="shared" si="133"/>
        <v>976604.00736571662</v>
      </c>
      <c r="BN111" s="313">
        <f t="shared" si="133"/>
        <v>976604.00736571662</v>
      </c>
      <c r="BO111" s="313">
        <f t="shared" si="133"/>
        <v>0</v>
      </c>
      <c r="BP111" s="313">
        <f t="shared" si="133"/>
        <v>976604.00736571662</v>
      </c>
      <c r="BQ111" s="313">
        <f t="shared" si="133"/>
        <v>976604.00736571662</v>
      </c>
      <c r="BR111" s="313" t="n">
        <f t="shared" ref="BR111:CW111" si="134">MAX(0,$B$24-BR$110)</f>
        <v>976604.0073657166</v>
      </c>
      <c r="BS111" s="313">
        <f t="shared" si="134"/>
        <v>976604.00736571662</v>
      </c>
      <c r="BT111" s="313">
        <f t="shared" si="134"/>
        <v>976604.00736571662</v>
      </c>
      <c r="BU111" s="313">
        <f t="shared" si="134"/>
        <v>976604.00736571662</v>
      </c>
      <c r="BV111" s="313">
        <f t="shared" si="134"/>
        <v>976604.00736571662</v>
      </c>
      <c r="BW111" s="313">
        <f t="shared" si="134"/>
        <v>976604.00736571662</v>
      </c>
      <c r="BX111" s="313">
        <f t="shared" si="134"/>
        <v>976604.00736571662</v>
      </c>
      <c r="BY111" s="313">
        <f t="shared" si="134"/>
        <v>976604.00736571662</v>
      </c>
      <c r="BZ111" s="313">
        <f t="shared" si="134"/>
        <v>976604.00736571662</v>
      </c>
      <c r="CA111" s="313">
        <f t="shared" si="134"/>
        <v>976604.00736571662</v>
      </c>
      <c r="CB111" s="313">
        <f t="shared" si="134"/>
        <v>976604.00736571662</v>
      </c>
      <c r="CC111" s="313">
        <f t="shared" si="134"/>
        <v>976604.00736571662</v>
      </c>
      <c r="CD111" s="313">
        <f t="shared" si="134"/>
        <v>976604.00736571662</v>
      </c>
      <c r="CE111" s="313">
        <f t="shared" si="134"/>
        <v>976604.00736571662</v>
      </c>
      <c r="CF111" s="313">
        <f t="shared" si="134"/>
        <v>976604.00736571662</v>
      </c>
      <c r="CG111" s="313">
        <f t="shared" si="134"/>
        <v>976604.00736571662</v>
      </c>
      <c r="CH111" s="313">
        <f t="shared" si="134"/>
        <v>976604.00736571662</v>
      </c>
      <c r="CI111" s="313">
        <f t="shared" si="134"/>
        <v>976604.00736571662</v>
      </c>
      <c r="CJ111" s="313">
        <f t="shared" si="134"/>
        <v>976604.00736571662</v>
      </c>
      <c r="CK111" s="313">
        <f t="shared" si="134"/>
        <v>976604.00736571662</v>
      </c>
      <c r="CL111" s="313">
        <f t="shared" si="134"/>
        <v>976604.00736571662</v>
      </c>
      <c r="CM111" s="313">
        <f t="shared" si="134"/>
        <v>976604.00736571662</v>
      </c>
      <c r="CN111" s="313">
        <f t="shared" si="134"/>
        <v>976604.00736571662</v>
      </c>
      <c r="CO111" s="313">
        <f t="shared" si="134"/>
        <v>976604.00736571662</v>
      </c>
      <c r="CP111" s="313">
        <f t="shared" si="134"/>
        <v>976604.00736571662</v>
      </c>
      <c r="CQ111" s="313">
        <f t="shared" si="134"/>
        <v>976604.00736571662</v>
      </c>
      <c r="CR111" s="313">
        <f t="shared" si="134"/>
        <v>976604.00736571662</v>
      </c>
      <c r="CS111" s="313">
        <f t="shared" si="134"/>
        <v>976604.00736571662</v>
      </c>
      <c r="CT111" s="313">
        <f t="shared" si="134"/>
        <v>976604.00736571662</v>
      </c>
      <c r="CU111" s="313">
        <f t="shared" si="134"/>
        <v>976604.00736571662</v>
      </c>
      <c r="CV111" s="313">
        <f t="shared" si="134"/>
        <v>976604.00736571662</v>
      </c>
      <c r="CW111" s="313">
        <f t="shared" si="134"/>
        <v>976604.00736571662</v>
      </c>
      <c r="CX111" s="313" t="n">
        <f t="shared" ref="CX111:DV111" si="135">MAX(0,$B$24-CX$110)</f>
        <v>976604.0073657166</v>
      </c>
      <c r="CY111" s="313">
        <f t="shared" si="135"/>
        <v>976604.00736571662</v>
      </c>
      <c r="CZ111" s="313">
        <f t="shared" si="135"/>
        <v>976604.00736571662</v>
      </c>
      <c r="DA111" s="313">
        <f t="shared" si="135"/>
        <v>976604.00736571662</v>
      </c>
      <c r="DB111" s="313">
        <f t="shared" si="135"/>
        <v>976604.00736571662</v>
      </c>
      <c r="DC111" s="313">
        <f t="shared" si="135"/>
        <v>976604.00736571662</v>
      </c>
      <c r="DD111" s="313">
        <f t="shared" si="135"/>
        <v>976604.00736571662</v>
      </c>
      <c r="DE111" s="313">
        <f t="shared" si="135"/>
        <v>976604.00736571662</v>
      </c>
      <c r="DF111" s="313">
        <f t="shared" si="135"/>
        <v>976604.00736571662</v>
      </c>
      <c r="DG111" s="313">
        <f t="shared" si="135"/>
        <v>976604.00736571662</v>
      </c>
      <c r="DH111" s="313">
        <f t="shared" si="135"/>
        <v>976604.00736571662</v>
      </c>
      <c r="DI111" s="313">
        <f t="shared" si="135"/>
        <v>976604.00736571662</v>
      </c>
      <c r="DJ111" s="313">
        <f t="shared" si="135"/>
        <v>976604.00736571662</v>
      </c>
      <c r="DK111" s="313">
        <f t="shared" si="135"/>
        <v>976604.00736571662</v>
      </c>
      <c r="DL111" s="313">
        <f t="shared" si="135"/>
        <v>976604.00736571662</v>
      </c>
      <c r="DM111" s="313">
        <f t="shared" si="135"/>
        <v>976604.00736571662</v>
      </c>
      <c r="DN111" s="313">
        <f t="shared" si="135"/>
        <v>976604.00736571662</v>
      </c>
      <c r="DO111" s="313">
        <f t="shared" si="135"/>
        <v>976604.00736571662</v>
      </c>
      <c r="DP111" s="313">
        <f t="shared" si="135"/>
        <v>976604.00736571662</v>
      </c>
      <c r="DQ111" s="313">
        <f t="shared" si="135"/>
        <v>976604.00736571662</v>
      </c>
      <c r="DR111" s="313">
        <f t="shared" si="135"/>
        <v>976604.00736571662</v>
      </c>
      <c r="DS111" s="313">
        <f t="shared" si="135"/>
        <v>976604.00736571662</v>
      </c>
      <c r="DT111" s="313">
        <f t="shared" si="135"/>
        <v>976604.00736571662</v>
      </c>
      <c r="DU111" s="313">
        <f t="shared" si="135"/>
        <v>976604.00736571662</v>
      </c>
      <c r="DV111" s="313">
        <f t="shared" si="135"/>
        <v>976604.00736571662</v>
      </c>
    </row>
    <row r="112" ht="15" customHeight="1">
      <c r="A112" s="311" t="s">
        <v>1518</v>
      </c>
      <c r="B112" s="312" t="s">
        <v>1440</v>
      </c>
      <c r="C112" s="702" t="s">
        <v>1519</v>
      </c>
      <c r="D112" s="703"/>
      <c r="F112" s="327" t="str">
        <f t="shared" ref="F112:AK112" si="136">IF(AND(F$64&gt;$B$29,F$110&gt;0.01),"MATURED / OUTSTANDING","OK")</f>
        <v>OK</v>
      </c>
      <c r="G112" s="327" t="str">
        <f t="shared" si="136"/>
        <v>OK</v>
      </c>
      <c r="H112" s="327" t="str">
        <f t="shared" si="136"/>
        <v>OK</v>
      </c>
      <c r="I112" s="327" t="str">
        <f t="shared" si="136"/>
        <v>OK</v>
      </c>
      <c r="J112" s="327" t="str">
        <f t="shared" si="136"/>
        <v>OK</v>
      </c>
      <c r="K112" s="327" t="str">
        <f t="shared" si="136"/>
        <v>OK</v>
      </c>
      <c r="L112" s="327" t="str">
        <f t="shared" si="136"/>
        <v>OK</v>
      </c>
      <c r="M112" s="327" t="str">
        <f t="shared" si="136"/>
        <v>OK</v>
      </c>
      <c r="N112" s="327" t="str">
        <f t="shared" si="136"/>
        <v>OK</v>
      </c>
      <c r="O112" s="327" t="str">
        <f t="shared" si="136"/>
        <v>OK</v>
      </c>
      <c r="P112" s="327" t="str">
        <f t="shared" si="136"/>
        <v>OK</v>
      </c>
      <c r="Q112" s="327" t="str">
        <f t="shared" si="136"/>
        <v>OK</v>
      </c>
      <c r="R112" s="327" t="str">
        <f t="shared" si="136"/>
        <v>OK</v>
      </c>
      <c r="S112" s="327" t="str">
        <f t="shared" si="136"/>
        <v>OK</v>
      </c>
      <c r="T112" s="327" t="str">
        <f t="shared" si="136"/>
        <v>OK</v>
      </c>
      <c r="U112" s="327" t="str">
        <f t="shared" si="136"/>
        <v>OK</v>
      </c>
      <c r="V112" s="327" t="str">
        <f t="shared" si="136"/>
        <v>OK</v>
      </c>
      <c r="W112" s="327" t="str">
        <f t="shared" si="136"/>
        <v>OK</v>
      </c>
      <c r="X112" s="327" t="str">
        <f t="shared" si="136"/>
        <v>OK</v>
      </c>
      <c r="Y112" s="327" t="str">
        <f t="shared" si="136"/>
        <v>OK</v>
      </c>
      <c r="Z112" s="327" t="str">
        <f t="shared" si="136"/>
        <v>OK</v>
      </c>
      <c r="AA112" s="327" t="str">
        <f t="shared" si="136"/>
        <v>OK</v>
      </c>
      <c r="AB112" s="327" t="str">
        <f t="shared" si="136"/>
        <v>OK</v>
      </c>
      <c r="AC112" s="327" t="str">
        <f t="shared" si="136"/>
        <v>OK</v>
      </c>
      <c r="AD112" s="327" t="str">
        <f t="shared" si="136"/>
        <v>OK</v>
      </c>
      <c r="AE112" s="327" t="str">
        <f t="shared" si="136"/>
        <v>OK</v>
      </c>
      <c r="AF112" s="327" t="str">
        <f t="shared" si="136"/>
        <v>OK</v>
      </c>
      <c r="AG112" s="327" t="str">
        <f t="shared" si="136"/>
        <v>OK</v>
      </c>
      <c r="AH112" s="327" t="str">
        <f t="shared" si="136"/>
        <v>OK</v>
      </c>
      <c r="AI112" s="327" t="str">
        <f t="shared" si="136"/>
        <v>OK</v>
      </c>
      <c r="AJ112" s="327" t="str">
        <f t="shared" si="136"/>
        <v>OK</v>
      </c>
      <c r="AK112" s="327" t="str">
        <f t="shared" si="136"/>
        <v>OK</v>
      </c>
      <c r="AL112" s="327" t="str">
        <f t="shared" ref="AL112:BQ112" si="137">IF(AND(AL$64&gt;$B$29,AL$110&gt;0.01),"MATURED / OUTSTANDING","OK")</f>
        <v>OK</v>
      </c>
      <c r="AM112" s="327" t="str">
        <f t="shared" si="137"/>
        <v>OK</v>
      </c>
      <c r="AN112" s="327" t="str">
        <f t="shared" si="137"/>
        <v>OK</v>
      </c>
      <c r="AO112" s="327" t="str">
        <f t="shared" si="137"/>
        <v>OK</v>
      </c>
      <c r="AP112" s="327" t="str">
        <f t="shared" si="137"/>
        <v>OK</v>
      </c>
      <c r="AQ112" s="327" t="str">
        <f t="shared" si="137"/>
        <v>OK</v>
      </c>
      <c r="AR112" s="327" t="str">
        <f t="shared" si="137"/>
        <v>OK</v>
      </c>
      <c r="AS112" s="327" t="str">
        <f t="shared" si="137"/>
        <v>OK</v>
      </c>
      <c r="AT112" s="327" t="str">
        <f t="shared" si="137"/>
        <v>OK</v>
      </c>
      <c r="AU112" s="327" t="str">
        <f t="shared" si="137"/>
        <v>OK</v>
      </c>
      <c r="AV112" s="327" t="str">
        <f t="shared" si="137"/>
        <v>OK</v>
      </c>
      <c r="AW112" s="327" t="str">
        <f t="shared" si="137"/>
        <v>OK</v>
      </c>
      <c r="AX112" s="327" t="str">
        <f t="shared" si="137"/>
        <v>OK</v>
      </c>
      <c r="AY112" s="327" t="str">
        <f t="shared" si="137"/>
        <v>OK</v>
      </c>
      <c r="AZ112" s="327" t="str">
        <f t="shared" si="137"/>
        <v>OK</v>
      </c>
      <c r="BA112" s="327" t="str">
        <f t="shared" si="137"/>
        <v>OK</v>
      </c>
      <c r="BB112" s="327" t="str">
        <f t="shared" si="137"/>
        <v>OK</v>
      </c>
      <c r="BC112" s="327" t="str">
        <f t="shared" si="137"/>
        <v>OK</v>
      </c>
      <c r="BD112" s="327" t="str">
        <f t="shared" si="137"/>
        <v>OK</v>
      </c>
      <c r="BE112" s="327" t="str">
        <f t="shared" si="137"/>
        <v>OK</v>
      </c>
      <c r="BF112" s="327" t="str">
        <f t="shared" si="137"/>
        <v>OK</v>
      </c>
      <c r="BG112" s="327" t="str">
        <f t="shared" si="137"/>
        <v>OK</v>
      </c>
      <c r="BH112" s="327" t="str">
        <f t="shared" si="137"/>
        <v>OK</v>
      </c>
      <c r="BI112" s="327" t="str">
        <f t="shared" si="137"/>
        <v>OK</v>
      </c>
      <c r="BJ112" s="327" t="str">
        <f t="shared" si="137"/>
        <v>OK</v>
      </c>
      <c r="BK112" s="327" t="str">
        <f t="shared" si="137"/>
        <v>OK</v>
      </c>
      <c r="BL112" s="327" t="str">
        <f t="shared" si="137"/>
        <v>OK</v>
      </c>
      <c r="BM112" s="327" t="str">
        <f t="shared" si="137"/>
        <v>OK</v>
      </c>
      <c r="BN112" s="327" t="str">
        <f t="shared" si="137"/>
        <v>OK</v>
      </c>
      <c r="BO112" s="327" t="str">
        <f t="shared" si="137"/>
        <v>OK</v>
      </c>
      <c r="BP112" s="327" t="str">
        <f t="shared" si="137"/>
        <v>OK</v>
      </c>
      <c r="BQ112" s="327" t="str">
        <f t="shared" si="137"/>
        <v>OK</v>
      </c>
      <c r="BR112" s="327" t="str">
        <f t="shared" ref="BR112:CW112" si="138">IF(AND(BR$64&gt;$B$29,BR$110&gt;0.01),"MATURED / OUTSTANDING","OK")</f>
        <v>OK</v>
      </c>
      <c r="BS112" s="327" t="str">
        <f t="shared" si="138"/>
        <v>OK</v>
      </c>
      <c r="BT112" s="327" t="str">
        <f t="shared" si="138"/>
        <v>OK</v>
      </c>
      <c r="BU112" s="327" t="str">
        <f t="shared" si="138"/>
        <v>OK</v>
      </c>
      <c r="BV112" s="327" t="str">
        <f t="shared" si="138"/>
        <v>OK</v>
      </c>
      <c r="BW112" s="327" t="str">
        <f t="shared" si="138"/>
        <v>OK</v>
      </c>
      <c r="BX112" s="327" t="str">
        <f t="shared" si="138"/>
        <v>OK</v>
      </c>
      <c r="BY112" s="327" t="str">
        <f t="shared" si="138"/>
        <v>OK</v>
      </c>
      <c r="BZ112" s="327" t="str">
        <f t="shared" si="138"/>
        <v>OK</v>
      </c>
      <c r="CA112" s="327" t="str">
        <f t="shared" si="138"/>
        <v>OK</v>
      </c>
      <c r="CB112" s="327" t="str">
        <f t="shared" si="138"/>
        <v>OK</v>
      </c>
      <c r="CC112" s="327" t="str">
        <f t="shared" si="138"/>
        <v>OK</v>
      </c>
      <c r="CD112" s="327" t="str">
        <f t="shared" si="138"/>
        <v>OK</v>
      </c>
      <c r="CE112" s="327" t="str">
        <f t="shared" si="138"/>
        <v>OK</v>
      </c>
      <c r="CF112" s="327" t="str">
        <f t="shared" si="138"/>
        <v>OK</v>
      </c>
      <c r="CG112" s="327" t="str">
        <f t="shared" si="138"/>
        <v>OK</v>
      </c>
      <c r="CH112" s="327" t="str">
        <f t="shared" si="138"/>
        <v>OK</v>
      </c>
      <c r="CI112" s="327" t="str">
        <f t="shared" si="138"/>
        <v>OK</v>
      </c>
      <c r="CJ112" s="327" t="str">
        <f t="shared" si="138"/>
        <v>OK</v>
      </c>
      <c r="CK112" s="327" t="str">
        <f t="shared" si="138"/>
        <v>OK</v>
      </c>
      <c r="CL112" s="327" t="str">
        <f t="shared" si="138"/>
        <v>OK</v>
      </c>
      <c r="CM112" s="327" t="str">
        <f t="shared" si="138"/>
        <v>OK</v>
      </c>
      <c r="CN112" s="327" t="str">
        <f t="shared" si="138"/>
        <v>OK</v>
      </c>
      <c r="CO112" s="327" t="str">
        <f t="shared" si="138"/>
        <v>OK</v>
      </c>
      <c r="CP112" s="327" t="str">
        <f t="shared" si="138"/>
        <v>OK</v>
      </c>
      <c r="CQ112" s="327" t="str">
        <f t="shared" si="138"/>
        <v>OK</v>
      </c>
      <c r="CR112" s="327" t="str">
        <f t="shared" si="138"/>
        <v>OK</v>
      </c>
      <c r="CS112" s="327" t="str">
        <f t="shared" si="138"/>
        <v>OK</v>
      </c>
      <c r="CT112" s="327" t="str">
        <f t="shared" si="138"/>
        <v>OK</v>
      </c>
      <c r="CU112" s="327" t="str">
        <f t="shared" si="138"/>
        <v>OK</v>
      </c>
      <c r="CV112" s="327" t="str">
        <f t="shared" si="138"/>
        <v>OK</v>
      </c>
      <c r="CW112" s="327" t="str">
        <f t="shared" si="138"/>
        <v>OK</v>
      </c>
      <c r="CX112" s="327" t="str">
        <f t="shared" ref="CX112:DV112" si="139">IF(AND(CX$64&gt;$B$29,CX$110&gt;0.01),"MATURED / OUTSTANDING","OK")</f>
        <v>OK</v>
      </c>
      <c r="CY112" s="327" t="str">
        <f t="shared" si="139"/>
        <v>OK</v>
      </c>
      <c r="CZ112" s="327" t="str">
        <f t="shared" si="139"/>
        <v>OK</v>
      </c>
      <c r="DA112" s="327" t="str">
        <f t="shared" si="139"/>
        <v>OK</v>
      </c>
      <c r="DB112" s="327" t="str">
        <f t="shared" si="139"/>
        <v>OK</v>
      </c>
      <c r="DC112" s="327" t="str">
        <f t="shared" si="139"/>
        <v>OK</v>
      </c>
      <c r="DD112" s="327" t="str">
        <f t="shared" si="139"/>
        <v>OK</v>
      </c>
      <c r="DE112" s="327" t="str">
        <f t="shared" si="139"/>
        <v>OK</v>
      </c>
      <c r="DF112" s="327" t="str">
        <f t="shared" si="139"/>
        <v>OK</v>
      </c>
      <c r="DG112" s="327" t="str">
        <f t="shared" si="139"/>
        <v>OK</v>
      </c>
      <c r="DH112" s="327" t="str">
        <f t="shared" si="139"/>
        <v>OK</v>
      </c>
      <c r="DI112" s="327" t="str">
        <f t="shared" si="139"/>
        <v>OK</v>
      </c>
      <c r="DJ112" s="327" t="str">
        <f t="shared" si="139"/>
        <v>OK</v>
      </c>
      <c r="DK112" s="327" t="str">
        <f t="shared" si="139"/>
        <v>OK</v>
      </c>
      <c r="DL112" s="327" t="str">
        <f t="shared" si="139"/>
        <v>OK</v>
      </c>
      <c r="DM112" s="327" t="str">
        <f t="shared" si="139"/>
        <v>OK</v>
      </c>
      <c r="DN112" s="327" t="str">
        <f t="shared" si="139"/>
        <v>OK</v>
      </c>
      <c r="DO112" s="327" t="str">
        <f t="shared" si="139"/>
        <v>OK</v>
      </c>
      <c r="DP112" s="327" t="str">
        <f t="shared" si="139"/>
        <v>OK</v>
      </c>
      <c r="DQ112" s="327" t="str">
        <f t="shared" si="139"/>
        <v>OK</v>
      </c>
      <c r="DR112" s="327" t="str">
        <f t="shared" si="139"/>
        <v>OK</v>
      </c>
      <c r="DS112" s="327" t="str">
        <f t="shared" si="139"/>
        <v>OK</v>
      </c>
      <c r="DT112" s="327" t="str">
        <f t="shared" si="139"/>
        <v>OK</v>
      </c>
      <c r="DU112" s="327" t="str">
        <f t="shared" si="139"/>
        <v>OK</v>
      </c>
      <c r="DV112" s="327" t="str">
        <f t="shared" si="139"/>
        <v>OK</v>
      </c>
    </row>
    <row r="113" ht="15" customHeight="1">
      <c r="A113" s="311" t="s">
        <v>1520</v>
      </c>
      <c r="B113" s="312" t="s">
        <v>1321</v>
      </c>
      <c r="C113" s="702" t="s">
        <v>1497</v>
      </c>
      <c r="D113" s="703"/>
      <c r="F113" s="313" t="n">
        <f t="shared" ref="F113:AK113" si="140">F$101+F$106-F$107-F$110</f>
        <v>0</v>
      </c>
      <c r="G113" s="313">
        <f t="shared" si="140"/>
        <v>0</v>
      </c>
      <c r="H113" s="313">
        <f t="shared" si="140"/>
        <v>0</v>
      </c>
      <c r="I113" s="313">
        <f t="shared" si="140"/>
        <v>0</v>
      </c>
      <c r="J113" s="313">
        <f t="shared" si="140"/>
        <v>0</v>
      </c>
      <c r="K113" s="313">
        <f t="shared" si="140"/>
        <v>0</v>
      </c>
      <c r="L113" s="313">
        <f t="shared" si="140"/>
        <v>0</v>
      </c>
      <c r="M113" s="313">
        <f t="shared" si="140"/>
        <v>0</v>
      </c>
      <c r="N113" s="313">
        <f t="shared" si="140"/>
        <v>0</v>
      </c>
      <c r="O113" s="313">
        <f t="shared" si="140"/>
        <v>0</v>
      </c>
      <c r="P113" s="313">
        <f t="shared" si="140"/>
        <v>0</v>
      </c>
      <c r="Q113" s="313">
        <f t="shared" si="140"/>
        <v>0</v>
      </c>
      <c r="R113" s="313">
        <f t="shared" si="140"/>
        <v>0</v>
      </c>
      <c r="S113" s="313">
        <f t="shared" si="140"/>
        <v>0</v>
      </c>
      <c r="T113" s="313">
        <f t="shared" si="140"/>
        <v>0</v>
      </c>
      <c r="U113" s="313">
        <f t="shared" si="140"/>
        <v>0</v>
      </c>
      <c r="V113" s="313">
        <f t="shared" si="140"/>
        <v>0</v>
      </c>
      <c r="W113" s="313">
        <f t="shared" si="140"/>
        <v>0</v>
      </c>
      <c r="X113" s="313">
        <f t="shared" si="140"/>
        <v>0</v>
      </c>
      <c r="Y113" s="313">
        <f t="shared" si="140"/>
        <v>0</v>
      </c>
      <c r="Z113" s="313">
        <f t="shared" si="140"/>
        <v>0</v>
      </c>
      <c r="AA113" s="313">
        <f t="shared" si="140"/>
        <v>0</v>
      </c>
      <c r="AB113" s="313">
        <f t="shared" si="140"/>
        <v>0</v>
      </c>
      <c r="AC113" s="313">
        <f t="shared" si="140"/>
        <v>0</v>
      </c>
      <c r="AD113" s="313">
        <f t="shared" si="140"/>
        <v>0</v>
      </c>
      <c r="AE113" s="313">
        <f t="shared" si="140"/>
        <v>0</v>
      </c>
      <c r="AF113" s="313">
        <f t="shared" si="140"/>
        <v>0</v>
      </c>
      <c r="AG113" s="313">
        <f t="shared" si="140"/>
        <v>0</v>
      </c>
      <c r="AH113" s="313">
        <f t="shared" si="140"/>
        <v>0</v>
      </c>
      <c r="AI113" s="313">
        <f t="shared" si="140"/>
        <v>0</v>
      </c>
      <c r="AJ113" s="313">
        <f t="shared" si="140"/>
        <v>0</v>
      </c>
      <c r="AK113" s="313">
        <f t="shared" si="140"/>
        <v>0</v>
      </c>
      <c r="AL113" s="313" t="n">
        <f t="shared" ref="AL113:BQ113" si="141">AL$101+AL$106-AL$107-AL$110</f>
        <v>0</v>
      </c>
      <c r="AM113" s="313">
        <f t="shared" si="141"/>
        <v>0</v>
      </c>
      <c r="AN113" s="313">
        <f t="shared" si="141"/>
        <v>0</v>
      </c>
      <c r="AO113" s="313">
        <f t="shared" si="141"/>
        <v>0</v>
      </c>
      <c r="AP113" s="313">
        <f t="shared" si="141"/>
        <v>0</v>
      </c>
      <c r="AQ113" s="313">
        <f t="shared" si="141"/>
        <v>0</v>
      </c>
      <c r="AR113" s="313">
        <f t="shared" si="141"/>
        <v>0</v>
      </c>
      <c r="AS113" s="313">
        <f t="shared" si="141"/>
        <v>0</v>
      </c>
      <c r="AT113" s="313">
        <f t="shared" si="141"/>
        <v>0</v>
      </c>
      <c r="AU113" s="313">
        <f t="shared" si="141"/>
        <v>0</v>
      </c>
      <c r="AV113" s="313">
        <f t="shared" si="141"/>
        <v>0</v>
      </c>
      <c r="AW113" s="313">
        <f t="shared" si="141"/>
        <v>0</v>
      </c>
      <c r="AX113" s="313">
        <f t="shared" si="141"/>
        <v>0</v>
      </c>
      <c r="AY113" s="313">
        <f t="shared" si="141"/>
        <v>0</v>
      </c>
      <c r="AZ113" s="313">
        <f t="shared" si="141"/>
        <v>0</v>
      </c>
      <c r="BA113" s="313">
        <f t="shared" si="141"/>
        <v>0</v>
      </c>
      <c r="BB113" s="313">
        <f t="shared" si="141"/>
        <v>0</v>
      </c>
      <c r="BC113" s="313">
        <f t="shared" si="141"/>
        <v>0</v>
      </c>
      <c r="BD113" s="313">
        <f t="shared" si="141"/>
        <v>0</v>
      </c>
      <c r="BE113" s="313">
        <f t="shared" si="141"/>
        <v>0</v>
      </c>
      <c r="BF113" s="313">
        <f t="shared" si="141"/>
        <v>0</v>
      </c>
      <c r="BG113" s="313">
        <f t="shared" si="141"/>
        <v>0</v>
      </c>
      <c r="BH113" s="313">
        <f t="shared" si="141"/>
        <v>0</v>
      </c>
      <c r="BI113" s="313">
        <f t="shared" si="141"/>
        <v>0</v>
      </c>
      <c r="BJ113" s="313">
        <f t="shared" si="141"/>
        <v>0</v>
      </c>
      <c r="BK113" s="313">
        <f t="shared" si="141"/>
        <v>0</v>
      </c>
      <c r="BL113" s="313">
        <f t="shared" si="141"/>
        <v>0</v>
      </c>
      <c r="BM113" s="313">
        <f t="shared" si="141"/>
        <v>0</v>
      </c>
      <c r="BN113" s="313">
        <f t="shared" si="141"/>
        <v>0</v>
      </c>
      <c r="BO113" s="313">
        <f t="shared" si="141"/>
        <v>0</v>
      </c>
      <c r="BP113" s="313">
        <f t="shared" si="141"/>
        <v>0</v>
      </c>
      <c r="BQ113" s="313">
        <f t="shared" si="141"/>
        <v>0</v>
      </c>
      <c r="BR113" s="313" t="n">
        <f t="shared" ref="BR113:CW113" si="142">BR$101+BR$106-BR$107-BR$110</f>
        <v>0</v>
      </c>
      <c r="BS113" s="313">
        <f t="shared" si="142"/>
        <v>0</v>
      </c>
      <c r="BT113" s="313">
        <f t="shared" si="142"/>
        <v>0</v>
      </c>
      <c r="BU113" s="313">
        <f t="shared" si="142"/>
        <v>0</v>
      </c>
      <c r="BV113" s="313">
        <f t="shared" si="142"/>
        <v>0</v>
      </c>
      <c r="BW113" s="313">
        <f t="shared" si="142"/>
        <v>0</v>
      </c>
      <c r="BX113" s="313">
        <f t="shared" si="142"/>
        <v>0</v>
      </c>
      <c r="BY113" s="313">
        <f t="shared" si="142"/>
        <v>0</v>
      </c>
      <c r="BZ113" s="313">
        <f t="shared" si="142"/>
        <v>0</v>
      </c>
      <c r="CA113" s="313">
        <f t="shared" si="142"/>
        <v>0</v>
      </c>
      <c r="CB113" s="313">
        <f t="shared" si="142"/>
        <v>0</v>
      </c>
      <c r="CC113" s="313">
        <f t="shared" si="142"/>
        <v>0</v>
      </c>
      <c r="CD113" s="313">
        <f t="shared" si="142"/>
        <v>0</v>
      </c>
      <c r="CE113" s="313">
        <f t="shared" si="142"/>
        <v>0</v>
      </c>
      <c r="CF113" s="313">
        <f t="shared" si="142"/>
        <v>0</v>
      </c>
      <c r="CG113" s="313">
        <f t="shared" si="142"/>
        <v>0</v>
      </c>
      <c r="CH113" s="313">
        <f t="shared" si="142"/>
        <v>0</v>
      </c>
      <c r="CI113" s="313">
        <f t="shared" si="142"/>
        <v>0</v>
      </c>
      <c r="CJ113" s="313">
        <f t="shared" si="142"/>
        <v>0</v>
      </c>
      <c r="CK113" s="313">
        <f t="shared" si="142"/>
        <v>0</v>
      </c>
      <c r="CL113" s="313">
        <f t="shared" si="142"/>
        <v>0</v>
      </c>
      <c r="CM113" s="313">
        <f t="shared" si="142"/>
        <v>0</v>
      </c>
      <c r="CN113" s="313">
        <f t="shared" si="142"/>
        <v>0</v>
      </c>
      <c r="CO113" s="313">
        <f t="shared" si="142"/>
        <v>0</v>
      </c>
      <c r="CP113" s="313">
        <f t="shared" si="142"/>
        <v>0</v>
      </c>
      <c r="CQ113" s="313">
        <f t="shared" si="142"/>
        <v>0</v>
      </c>
      <c r="CR113" s="313">
        <f t="shared" si="142"/>
        <v>0</v>
      </c>
      <c r="CS113" s="313">
        <f t="shared" si="142"/>
        <v>0</v>
      </c>
      <c r="CT113" s="313">
        <f t="shared" si="142"/>
        <v>0</v>
      </c>
      <c r="CU113" s="313">
        <f t="shared" si="142"/>
        <v>0</v>
      </c>
      <c r="CV113" s="313">
        <f t="shared" si="142"/>
        <v>0</v>
      </c>
      <c r="CW113" s="313">
        <f t="shared" si="142"/>
        <v>0</v>
      </c>
      <c r="CX113" s="313" t="n">
        <f t="shared" ref="CX113:DV113" si="143">CX$101+CX$106-CX$107-CX$110</f>
        <v>0</v>
      </c>
      <c r="CY113" s="313">
        <f t="shared" si="143"/>
        <v>0</v>
      </c>
      <c r="CZ113" s="313">
        <f t="shared" si="143"/>
        <v>0</v>
      </c>
      <c r="DA113" s="313">
        <f t="shared" si="143"/>
        <v>0</v>
      </c>
      <c r="DB113" s="313">
        <f t="shared" si="143"/>
        <v>0</v>
      </c>
      <c r="DC113" s="313">
        <f t="shared" si="143"/>
        <v>0</v>
      </c>
      <c r="DD113" s="313">
        <f t="shared" si="143"/>
        <v>0</v>
      </c>
      <c r="DE113" s="313">
        <f t="shared" si="143"/>
        <v>0</v>
      </c>
      <c r="DF113" s="313">
        <f t="shared" si="143"/>
        <v>0</v>
      </c>
      <c r="DG113" s="313">
        <f t="shared" si="143"/>
        <v>0</v>
      </c>
      <c r="DH113" s="313">
        <f t="shared" si="143"/>
        <v>0</v>
      </c>
      <c r="DI113" s="313">
        <f t="shared" si="143"/>
        <v>0</v>
      </c>
      <c r="DJ113" s="313">
        <f t="shared" si="143"/>
        <v>0</v>
      </c>
      <c r="DK113" s="313">
        <f t="shared" si="143"/>
        <v>0</v>
      </c>
      <c r="DL113" s="313">
        <f t="shared" si="143"/>
        <v>0</v>
      </c>
      <c r="DM113" s="313">
        <f t="shared" si="143"/>
        <v>0</v>
      </c>
      <c r="DN113" s="313">
        <f t="shared" si="143"/>
        <v>0</v>
      </c>
      <c r="DO113" s="313">
        <f t="shared" si="143"/>
        <v>0</v>
      </c>
      <c r="DP113" s="313">
        <f t="shared" si="143"/>
        <v>0</v>
      </c>
      <c r="DQ113" s="313">
        <f t="shared" si="143"/>
        <v>0</v>
      </c>
      <c r="DR113" s="313">
        <f t="shared" si="143"/>
        <v>0</v>
      </c>
      <c r="DS113" s="313">
        <f t="shared" si="143"/>
        <v>0</v>
      </c>
      <c r="DT113" s="313">
        <f t="shared" si="143"/>
        <v>0</v>
      </c>
      <c r="DU113" s="313">
        <f t="shared" si="143"/>
        <v>0</v>
      </c>
      <c r="DV113" s="313">
        <f t="shared" si="143"/>
        <v>0</v>
      </c>
    </row>
    <row r="115" ht="21" customHeight="1">
      <c r="A115" s="704" t="s">
        <v>1521</v>
      </c>
      <c r="B115" s="699"/>
      <c r="C115" s="699"/>
      <c r="D115" s="699"/>
      <c r="E115" s="699"/>
      <c r="F115" s="699"/>
      <c r="G115" s="699"/>
      <c r="H115" s="699"/>
      <c r="I115" s="699"/>
      <c r="J115" s="699"/>
      <c r="K115" s="699"/>
      <c r="L115" s="699"/>
      <c r="M115" s="699"/>
      <c r="N115" s="699"/>
      <c r="O115" s="699"/>
      <c r="P115" s="699"/>
      <c r="Q115" s="699"/>
      <c r="R115" s="699"/>
      <c r="S115" s="699"/>
      <c r="T115" s="699"/>
      <c r="U115" s="699"/>
      <c r="V115" s="699"/>
      <c r="W115" s="699"/>
      <c r="X115" s="699"/>
      <c r="Y115" s="699"/>
      <c r="Z115" s="699"/>
      <c r="AA115" s="699"/>
      <c r="AB115" s="699"/>
      <c r="AC115" s="699"/>
      <c r="AD115" s="699"/>
      <c r="AE115" s="699"/>
      <c r="AF115" s="699"/>
      <c r="AG115" s="699"/>
      <c r="AH115" s="699"/>
      <c r="AI115" s="699"/>
      <c r="AJ115" s="699"/>
      <c r="AK115" s="699"/>
      <c r="AL115" s="699"/>
      <c r="AM115" s="699"/>
      <c r="AN115" s="699"/>
      <c r="AO115" s="699"/>
      <c r="AP115" s="699"/>
      <c r="AQ115" s="699"/>
      <c r="AR115" s="699"/>
      <c r="AS115" s="699"/>
      <c r="AT115" s="699"/>
      <c r="AU115" s="699"/>
      <c r="AV115" s="699"/>
      <c r="AW115" s="699"/>
      <c r="AX115" s="699"/>
      <c r="AY115" s="699"/>
      <c r="AZ115" s="699"/>
      <c r="BA115" s="699"/>
      <c r="BB115" s="699"/>
      <c r="BC115" s="699"/>
      <c r="BD115" s="699"/>
      <c r="BE115" s="699"/>
      <c r="BF115" s="699"/>
      <c r="BG115" s="699"/>
      <c r="BH115" s="699"/>
      <c r="BI115" s="699"/>
      <c r="BJ115" s="699"/>
      <c r="BK115" s="699"/>
      <c r="BL115" s="699"/>
      <c r="BM115" s="699"/>
      <c r="BN115" s="699"/>
      <c r="BO115" s="699"/>
      <c r="BP115" s="699"/>
      <c r="BQ115" s="699"/>
      <c r="BR115" s="699"/>
      <c r="BS115" s="699"/>
      <c r="BT115" s="699"/>
      <c r="BU115" s="699"/>
      <c r="BV115" s="699"/>
      <c r="BW115" s="699"/>
      <c r="BX115" s="699"/>
      <c r="BY115" s="699"/>
      <c r="BZ115" s="699"/>
      <c r="CA115" s="699"/>
      <c r="CB115" s="699"/>
      <c r="CC115" s="699"/>
      <c r="CD115" s="699"/>
      <c r="CE115" s="699"/>
      <c r="CF115" s="699"/>
      <c r="CG115" s="699"/>
      <c r="CH115" s="699"/>
      <c r="CI115" s="699"/>
      <c r="CJ115" s="699"/>
      <c r="CK115" s="699"/>
      <c r="CL115" s="699"/>
      <c r="CM115" s="699"/>
      <c r="CN115" s="699"/>
      <c r="CO115" s="699"/>
      <c r="CP115" s="699"/>
      <c r="CQ115" s="699"/>
      <c r="CR115" s="699"/>
      <c r="CS115" s="699"/>
      <c r="CT115" s="699"/>
      <c r="CU115" s="699"/>
      <c r="CV115" s="699"/>
      <c r="CW115" s="699"/>
      <c r="CX115" s="699"/>
      <c r="CY115" s="699"/>
      <c r="CZ115" s="699"/>
      <c r="DA115" s="699"/>
      <c r="DB115" s="699"/>
      <c r="DC115" s="699"/>
      <c r="DD115" s="699"/>
      <c r="DE115" s="699"/>
      <c r="DF115" s="699"/>
      <c r="DG115" s="699"/>
      <c r="DH115" s="699"/>
      <c r="DI115" s="699"/>
      <c r="DJ115" s="699"/>
      <c r="DK115" s="699"/>
      <c r="DL115" s="699"/>
      <c r="DM115" s="699"/>
      <c r="DN115" s="699"/>
      <c r="DO115" s="699"/>
      <c r="DP115" s="699"/>
      <c r="DQ115" s="699"/>
      <c r="DR115" s="699"/>
      <c r="DS115" s="699"/>
      <c r="DT115" s="699"/>
      <c r="DU115" s="699"/>
      <c r="DV115" s="699"/>
    </row>
    <row r="116" ht="15" customHeight="1">
      <c r="A116" s="311" t="s">
        <v>1522</v>
      </c>
      <c r="B116" s="312" t="s">
        <v>1321</v>
      </c>
      <c r="C116" s="702" t="s">
        <v>1454</v>
      </c>
      <c r="D116" s="703"/>
      <c r="E116" s="313">
        <v>0</v>
      </c>
      <c r="F116" s="313" t="n">
        <f t="shared" ref="F116:AK116" si="144">E$128</f>
        <v>0</v>
      </c>
      <c r="G116" s="313">
        <f t="shared" si="144"/>
        <v>0</v>
      </c>
      <c r="H116" s="313">
        <f t="shared" si="144"/>
        <v>0</v>
      </c>
      <c r="I116" s="313">
        <f t="shared" si="144"/>
        <v>0</v>
      </c>
      <c r="J116" s="313">
        <f t="shared" si="144"/>
        <v>0</v>
      </c>
      <c r="K116" s="313">
        <f t="shared" si="144"/>
        <v>0</v>
      </c>
      <c r="L116" s="313">
        <f t="shared" si="144"/>
        <v>0</v>
      </c>
      <c r="M116" s="313">
        <f t="shared" si="144"/>
        <v>0</v>
      </c>
      <c r="N116" s="313">
        <f t="shared" si="144"/>
        <v>0</v>
      </c>
      <c r="O116" s="313">
        <f t="shared" si="144"/>
        <v>0</v>
      </c>
      <c r="P116" s="313">
        <f t="shared" si="144"/>
        <v>0</v>
      </c>
      <c r="Q116" s="313">
        <f t="shared" si="144"/>
        <v>0</v>
      </c>
      <c r="R116" s="313">
        <f t="shared" si="144"/>
        <v>0</v>
      </c>
      <c r="S116" s="313">
        <f t="shared" si="144"/>
        <v>0</v>
      </c>
      <c r="T116" s="313">
        <f t="shared" si="144"/>
        <v>0</v>
      </c>
      <c r="U116" s="313">
        <f t="shared" si="144"/>
        <v>0</v>
      </c>
      <c r="V116" s="313">
        <f t="shared" si="144"/>
        <v>0</v>
      </c>
      <c r="W116" s="313">
        <f t="shared" si="144"/>
        <v>0</v>
      </c>
      <c r="X116" s="313">
        <f t="shared" si="144"/>
        <v>0</v>
      </c>
      <c r="Y116" s="313">
        <f t="shared" si="144"/>
        <v>0</v>
      </c>
      <c r="Z116" s="313">
        <f t="shared" si="144"/>
        <v>0</v>
      </c>
      <c r="AA116" s="313">
        <f t="shared" si="144"/>
        <v>0</v>
      </c>
      <c r="AB116" s="313">
        <f t="shared" si="144"/>
        <v>0</v>
      </c>
      <c r="AC116" s="313">
        <f t="shared" si="144"/>
        <v>0</v>
      </c>
      <c r="AD116" s="313">
        <f t="shared" si="144"/>
        <v>0</v>
      </c>
      <c r="AE116" s="313">
        <f t="shared" si="144"/>
        <v>0</v>
      </c>
      <c r="AF116" s="313">
        <f t="shared" si="144"/>
        <v>0</v>
      </c>
      <c r="AG116" s="313">
        <f t="shared" si="144"/>
        <v>0</v>
      </c>
      <c r="AH116" s="313">
        <f t="shared" si="144"/>
        <v>0</v>
      </c>
      <c r="AI116" s="313">
        <f t="shared" si="144"/>
        <v>0</v>
      </c>
      <c r="AJ116" s="313">
        <f t="shared" si="144"/>
        <v>0</v>
      </c>
      <c r="AK116" s="313">
        <f t="shared" si="144"/>
        <v>0</v>
      </c>
      <c r="AL116" s="313" t="n">
        <f t="shared" ref="AL116:BQ116" si="145">AK$128</f>
        <v>0</v>
      </c>
      <c r="AM116" s="313">
        <f t="shared" si="145"/>
        <v>0</v>
      </c>
      <c r="AN116" s="313">
        <f t="shared" si="145"/>
        <v>0</v>
      </c>
      <c r="AO116" s="313">
        <f t="shared" si="145"/>
        <v>0</v>
      </c>
      <c r="AP116" s="313">
        <f t="shared" si="145"/>
        <v>0</v>
      </c>
      <c r="AQ116" s="313">
        <f t="shared" si="145"/>
        <v>0</v>
      </c>
      <c r="AR116" s="313">
        <f t="shared" si="145"/>
        <v>0</v>
      </c>
      <c r="AS116" s="313">
        <f t="shared" si="145"/>
        <v>0</v>
      </c>
      <c r="AT116" s="313">
        <f t="shared" si="145"/>
        <v>0</v>
      </c>
      <c r="AU116" s="313">
        <f t="shared" si="145"/>
        <v>0</v>
      </c>
      <c r="AV116" s="313">
        <f t="shared" si="145"/>
        <v>0</v>
      </c>
      <c r="AW116" s="313">
        <f t="shared" si="145"/>
        <v>0</v>
      </c>
      <c r="AX116" s="313">
        <f t="shared" si="145"/>
        <v>0</v>
      </c>
      <c r="AY116" s="313">
        <f t="shared" si="145"/>
        <v>0</v>
      </c>
      <c r="AZ116" s="313">
        <f t="shared" si="145"/>
        <v>0</v>
      </c>
      <c r="BA116" s="313">
        <f t="shared" si="145"/>
        <v>0</v>
      </c>
      <c r="BB116" s="313">
        <f t="shared" si="145"/>
        <v>0</v>
      </c>
      <c r="BC116" s="313">
        <f t="shared" si="145"/>
        <v>0</v>
      </c>
      <c r="BD116" s="313">
        <f t="shared" si="145"/>
        <v>211459306.73879617</v>
      </c>
      <c r="BE116" s="313">
        <f t="shared" si="145"/>
        <v>209789236.87815478</v>
      </c>
      <c r="BF116" s="313">
        <f t="shared" si="145"/>
        <v>208102864.21776491</v>
      </c>
      <c r="BG116" s="313">
        <f t="shared" si="145"/>
        <v>206424857.95334658</v>
      </c>
      <c r="BH116" s="313">
        <f t="shared" si="145"/>
        <v>204729986.14961612</v>
      </c>
      <c r="BI116" s="313">
        <f t="shared" si="145"/>
        <v>203044705.7354168</v>
      </c>
      <c r="BJ116" s="313">
        <f t="shared" si="145"/>
        <v>201322662.44924322</v>
      </c>
      <c r="BK116" s="313">
        <f t="shared" si="145"/>
        <v>199541163.01260683</v>
      </c>
      <c r="BL116" s="313">
        <f t="shared" si="145"/>
        <v>197793865.95743474</v>
      </c>
      <c r="BM116" s="313">
        <f t="shared" si="145"/>
        <v>196023927.66525683</v>
      </c>
      <c r="BN116" s="313">
        <f t="shared" si="145"/>
        <v>194259278.52091786</v>
      </c>
      <c r="BO116" s="313">
        <f t="shared" si="145"/>
        <v>192479111.79467371</v>
      </c>
      <c r="BP116" s="313">
        <f t="shared" si="145"/>
        <v>0</v>
      </c>
      <c r="BQ116" s="313">
        <f t="shared" si="145"/>
        <v>0</v>
      </c>
      <c r="BR116" s="313" t="n">
        <f t="shared" ref="BR116:CW116" si="146">BQ$128</f>
        <v>0</v>
      </c>
      <c r="BS116" s="313">
        <f t="shared" si="146"/>
        <v>0</v>
      </c>
      <c r="BT116" s="313">
        <f t="shared" si="146"/>
        <v>0</v>
      </c>
      <c r="BU116" s="313">
        <f t="shared" si="146"/>
        <v>0</v>
      </c>
      <c r="BV116" s="313">
        <f t="shared" si="146"/>
        <v>0</v>
      </c>
      <c r="BW116" s="313">
        <f t="shared" si="146"/>
        <v>0</v>
      </c>
      <c r="BX116" s="313">
        <f t="shared" si="146"/>
        <v>0</v>
      </c>
      <c r="BY116" s="313">
        <f t="shared" si="146"/>
        <v>0</v>
      </c>
      <c r="BZ116" s="313">
        <f t="shared" si="146"/>
        <v>0</v>
      </c>
      <c r="CA116" s="313">
        <f t="shared" si="146"/>
        <v>0</v>
      </c>
      <c r="CB116" s="313">
        <f t="shared" si="146"/>
        <v>0</v>
      </c>
      <c r="CC116" s="313">
        <f t="shared" si="146"/>
        <v>0</v>
      </c>
      <c r="CD116" s="313">
        <f t="shared" si="146"/>
        <v>0</v>
      </c>
      <c r="CE116" s="313">
        <f t="shared" si="146"/>
        <v>0</v>
      </c>
      <c r="CF116" s="313">
        <f t="shared" si="146"/>
        <v>0</v>
      </c>
      <c r="CG116" s="313">
        <f t="shared" si="146"/>
        <v>0</v>
      </c>
      <c r="CH116" s="313">
        <f t="shared" si="146"/>
        <v>0</v>
      </c>
      <c r="CI116" s="313">
        <f t="shared" si="146"/>
        <v>0</v>
      </c>
      <c r="CJ116" s="313">
        <f t="shared" si="146"/>
        <v>0</v>
      </c>
      <c r="CK116" s="313">
        <f t="shared" si="146"/>
        <v>0</v>
      </c>
      <c r="CL116" s="313">
        <f t="shared" si="146"/>
        <v>0</v>
      </c>
      <c r="CM116" s="313">
        <f t="shared" si="146"/>
        <v>0</v>
      </c>
      <c r="CN116" s="313">
        <f t="shared" si="146"/>
        <v>0</v>
      </c>
      <c r="CO116" s="313">
        <f t="shared" si="146"/>
        <v>0</v>
      </c>
      <c r="CP116" s="313">
        <f t="shared" si="146"/>
        <v>0</v>
      </c>
      <c r="CQ116" s="313">
        <f t="shared" si="146"/>
        <v>0</v>
      </c>
      <c r="CR116" s="313">
        <f t="shared" si="146"/>
        <v>0</v>
      </c>
      <c r="CS116" s="313">
        <f t="shared" si="146"/>
        <v>0</v>
      </c>
      <c r="CT116" s="313">
        <f t="shared" si="146"/>
        <v>0</v>
      </c>
      <c r="CU116" s="313">
        <f t="shared" si="146"/>
        <v>0</v>
      </c>
      <c r="CV116" s="313">
        <f t="shared" si="146"/>
        <v>0</v>
      </c>
      <c r="CW116" s="313">
        <f t="shared" si="146"/>
        <v>0</v>
      </c>
      <c r="CX116" s="313" t="n">
        <f t="shared" ref="CX116:DV116" si="147">CW$128</f>
        <v>0</v>
      </c>
      <c r="CY116" s="313">
        <f t="shared" si="147"/>
        <v>0</v>
      </c>
      <c r="CZ116" s="313">
        <f t="shared" si="147"/>
        <v>0</v>
      </c>
      <c r="DA116" s="313">
        <f t="shared" si="147"/>
        <v>0</v>
      </c>
      <c r="DB116" s="313">
        <f t="shared" si="147"/>
        <v>0</v>
      </c>
      <c r="DC116" s="313">
        <f t="shared" si="147"/>
        <v>0</v>
      </c>
      <c r="DD116" s="313">
        <f t="shared" si="147"/>
        <v>0</v>
      </c>
      <c r="DE116" s="313">
        <f t="shared" si="147"/>
        <v>0</v>
      </c>
      <c r="DF116" s="313">
        <f t="shared" si="147"/>
        <v>0</v>
      </c>
      <c r="DG116" s="313">
        <f t="shared" si="147"/>
        <v>0</v>
      </c>
      <c r="DH116" s="313">
        <f t="shared" si="147"/>
        <v>0</v>
      </c>
      <c r="DI116" s="313">
        <f t="shared" si="147"/>
        <v>0</v>
      </c>
      <c r="DJ116" s="313">
        <f t="shared" si="147"/>
        <v>0</v>
      </c>
      <c r="DK116" s="313">
        <f t="shared" si="147"/>
        <v>0</v>
      </c>
      <c r="DL116" s="313">
        <f t="shared" si="147"/>
        <v>0</v>
      </c>
      <c r="DM116" s="313">
        <f t="shared" si="147"/>
        <v>0</v>
      </c>
      <c r="DN116" s="313">
        <f t="shared" si="147"/>
        <v>0</v>
      </c>
      <c r="DO116" s="313">
        <f t="shared" si="147"/>
        <v>0</v>
      </c>
      <c r="DP116" s="313">
        <f t="shared" si="147"/>
        <v>0</v>
      </c>
      <c r="DQ116" s="313">
        <f t="shared" si="147"/>
        <v>0</v>
      </c>
      <c r="DR116" s="313">
        <f t="shared" si="147"/>
        <v>0</v>
      </c>
      <c r="DS116" s="313">
        <f t="shared" si="147"/>
        <v>0</v>
      </c>
      <c r="DT116" s="313">
        <f t="shared" si="147"/>
        <v>0</v>
      </c>
      <c r="DU116" s="313">
        <f t="shared" si="147"/>
        <v>0</v>
      </c>
      <c r="DV116" s="313">
        <f t="shared" si="147"/>
        <v>0</v>
      </c>
    </row>
    <row r="117" ht="15" customHeight="1">
      <c r="A117" s="311" t="s">
        <v>1523</v>
      </c>
      <c r="B117" s="312" t="s">
        <v>1321</v>
      </c>
      <c r="C117" s="702" t="s">
        <v>1524</v>
      </c>
      <c r="D117" s="703"/>
      <c r="F117" s="313" t="n">
        <f t="shared" ref="F117:AK117" si="148">IF(F$69=1,MAX(0,MIN(F$74+F$81+F$82,F$120-F$119)),0)</f>
        <v>0</v>
      </c>
      <c r="G117" s="313">
        <f t="shared" si="148"/>
        <v>0</v>
      </c>
      <c r="H117" s="313">
        <f t="shared" si="148"/>
        <v>0</v>
      </c>
      <c r="I117" s="313">
        <f t="shared" si="148"/>
        <v>0</v>
      </c>
      <c r="J117" s="313">
        <f t="shared" si="148"/>
        <v>0</v>
      </c>
      <c r="K117" s="313">
        <f t="shared" si="148"/>
        <v>0</v>
      </c>
      <c r="L117" s="313">
        <f t="shared" si="148"/>
        <v>0</v>
      </c>
      <c r="M117" s="313">
        <f t="shared" si="148"/>
        <v>0</v>
      </c>
      <c r="N117" s="313">
        <f t="shared" si="148"/>
        <v>0</v>
      </c>
      <c r="O117" s="313">
        <f t="shared" si="148"/>
        <v>0</v>
      </c>
      <c r="P117" s="313">
        <f t="shared" si="148"/>
        <v>0</v>
      </c>
      <c r="Q117" s="313">
        <f t="shared" si="148"/>
        <v>0</v>
      </c>
      <c r="R117" s="313">
        <f t="shared" si="148"/>
        <v>0</v>
      </c>
      <c r="S117" s="313">
        <f t="shared" si="148"/>
        <v>0</v>
      </c>
      <c r="T117" s="313">
        <f t="shared" si="148"/>
        <v>0</v>
      </c>
      <c r="U117" s="313">
        <f t="shared" si="148"/>
        <v>0</v>
      </c>
      <c r="V117" s="313">
        <f t="shared" si="148"/>
        <v>0</v>
      </c>
      <c r="W117" s="313">
        <f t="shared" si="148"/>
        <v>0</v>
      </c>
      <c r="X117" s="313">
        <f t="shared" si="148"/>
        <v>0</v>
      </c>
      <c r="Y117" s="313">
        <f t="shared" si="148"/>
        <v>0</v>
      </c>
      <c r="Z117" s="313">
        <f t="shared" si="148"/>
        <v>0</v>
      </c>
      <c r="AA117" s="313">
        <f t="shared" si="148"/>
        <v>0</v>
      </c>
      <c r="AB117" s="313">
        <f t="shared" si="148"/>
        <v>0</v>
      </c>
      <c r="AC117" s="313">
        <f t="shared" si="148"/>
        <v>0</v>
      </c>
      <c r="AD117" s="313">
        <f t="shared" si="148"/>
        <v>0</v>
      </c>
      <c r="AE117" s="313">
        <f t="shared" si="148"/>
        <v>0</v>
      </c>
      <c r="AF117" s="313">
        <f t="shared" si="148"/>
        <v>0</v>
      </c>
      <c r="AG117" s="313">
        <f t="shared" si="148"/>
        <v>0</v>
      </c>
      <c r="AH117" s="313">
        <f t="shared" si="148"/>
        <v>0</v>
      </c>
      <c r="AI117" s="313">
        <f t="shared" si="148"/>
        <v>0</v>
      </c>
      <c r="AJ117" s="313">
        <f t="shared" si="148"/>
        <v>0</v>
      </c>
      <c r="AK117" s="313">
        <f t="shared" si="148"/>
        <v>0</v>
      </c>
      <c r="AL117" s="313" t="n">
        <f t="shared" ref="AL117:BQ117" si="149">IF(AL$69=1,MAX(0,MIN(AL$74+AL$81+AL$82,AL$120-AL$119)),0)</f>
        <v>0</v>
      </c>
      <c r="AM117" s="313">
        <f t="shared" si="149"/>
        <v>0</v>
      </c>
      <c r="AN117" s="313">
        <f t="shared" si="149"/>
        <v>0</v>
      </c>
      <c r="AO117" s="313">
        <f t="shared" si="149"/>
        <v>0</v>
      </c>
      <c r="AP117" s="313">
        <f t="shared" si="149"/>
        <v>0</v>
      </c>
      <c r="AQ117" s="313">
        <f t="shared" si="149"/>
        <v>0</v>
      </c>
      <c r="AR117" s="313">
        <f t="shared" si="149"/>
        <v>0</v>
      </c>
      <c r="AS117" s="313">
        <f t="shared" si="149"/>
        <v>0</v>
      </c>
      <c r="AT117" s="313">
        <f t="shared" si="149"/>
        <v>0</v>
      </c>
      <c r="AU117" s="313">
        <f t="shared" si="149"/>
        <v>0</v>
      </c>
      <c r="AV117" s="313">
        <f t="shared" si="149"/>
        <v>0</v>
      </c>
      <c r="AW117" s="313">
        <f t="shared" si="149"/>
        <v>0</v>
      </c>
      <c r="AX117" s="313">
        <f t="shared" si="149"/>
        <v>0</v>
      </c>
      <c r="AY117" s="313">
        <f t="shared" si="149"/>
        <v>0</v>
      </c>
      <c r="AZ117" s="313">
        <f t="shared" si="149"/>
        <v>0</v>
      </c>
      <c r="BA117" s="313">
        <f t="shared" si="149"/>
        <v>0</v>
      </c>
      <c r="BB117" s="313">
        <f t="shared" si="149"/>
        <v>0</v>
      </c>
      <c r="BC117" s="313">
        <f t="shared" si="149"/>
        <v>209365650.23643187</v>
      </c>
      <c r="BD117" s="313">
        <f t="shared" si="149"/>
        <v>0</v>
      </c>
      <c r="BE117" s="313">
        <f t="shared" si="149"/>
        <v>0</v>
      </c>
      <c r="BF117" s="313">
        <f t="shared" si="149"/>
        <v>0</v>
      </c>
      <c r="BG117" s="313">
        <f t="shared" si="149"/>
        <v>0</v>
      </c>
      <c r="BH117" s="313">
        <f t="shared" si="149"/>
        <v>0</v>
      </c>
      <c r="BI117" s="313">
        <f t="shared" si="149"/>
        <v>0</v>
      </c>
      <c r="BJ117" s="313">
        <f t="shared" si="149"/>
        <v>0</v>
      </c>
      <c r="BK117" s="313">
        <f t="shared" si="149"/>
        <v>0</v>
      </c>
      <c r="BL117" s="313">
        <f t="shared" si="149"/>
        <v>0</v>
      </c>
      <c r="BM117" s="313">
        <f t="shared" si="149"/>
        <v>0</v>
      </c>
      <c r="BN117" s="313">
        <f t="shared" si="149"/>
        <v>0</v>
      </c>
      <c r="BO117" s="313">
        <f t="shared" si="149"/>
        <v>0</v>
      </c>
      <c r="BP117" s="313">
        <f t="shared" si="149"/>
        <v>0</v>
      </c>
      <c r="BQ117" s="313">
        <f t="shared" si="149"/>
        <v>0</v>
      </c>
      <c r="BR117" s="313" t="n">
        <f t="shared" ref="BR117:CW117" si="150">IF(BR$69=1,MAX(0,MIN(BR$74+BR$81+BR$82,BR$120-BR$119)),0)</f>
        <v>0</v>
      </c>
      <c r="BS117" s="313">
        <f t="shared" si="150"/>
        <v>0</v>
      </c>
      <c r="BT117" s="313">
        <f t="shared" si="150"/>
        <v>0</v>
      </c>
      <c r="BU117" s="313">
        <f t="shared" si="150"/>
        <v>0</v>
      </c>
      <c r="BV117" s="313">
        <f t="shared" si="150"/>
        <v>0</v>
      </c>
      <c r="BW117" s="313">
        <f t="shared" si="150"/>
        <v>0</v>
      </c>
      <c r="BX117" s="313">
        <f t="shared" si="150"/>
        <v>0</v>
      </c>
      <c r="BY117" s="313">
        <f t="shared" si="150"/>
        <v>0</v>
      </c>
      <c r="BZ117" s="313">
        <f t="shared" si="150"/>
        <v>0</v>
      </c>
      <c r="CA117" s="313">
        <f t="shared" si="150"/>
        <v>0</v>
      </c>
      <c r="CB117" s="313">
        <f t="shared" si="150"/>
        <v>0</v>
      </c>
      <c r="CC117" s="313">
        <f t="shared" si="150"/>
        <v>0</v>
      </c>
      <c r="CD117" s="313">
        <f t="shared" si="150"/>
        <v>0</v>
      </c>
      <c r="CE117" s="313">
        <f t="shared" si="150"/>
        <v>0</v>
      </c>
      <c r="CF117" s="313">
        <f t="shared" si="150"/>
        <v>0</v>
      </c>
      <c r="CG117" s="313">
        <f t="shared" si="150"/>
        <v>0</v>
      </c>
      <c r="CH117" s="313">
        <f t="shared" si="150"/>
        <v>0</v>
      </c>
      <c r="CI117" s="313">
        <f t="shared" si="150"/>
        <v>0</v>
      </c>
      <c r="CJ117" s="313">
        <f t="shared" si="150"/>
        <v>0</v>
      </c>
      <c r="CK117" s="313">
        <f t="shared" si="150"/>
        <v>0</v>
      </c>
      <c r="CL117" s="313">
        <f t="shared" si="150"/>
        <v>0</v>
      </c>
      <c r="CM117" s="313">
        <f t="shared" si="150"/>
        <v>0</v>
      </c>
      <c r="CN117" s="313">
        <f t="shared" si="150"/>
        <v>0</v>
      </c>
      <c r="CO117" s="313">
        <f t="shared" si="150"/>
        <v>0</v>
      </c>
      <c r="CP117" s="313">
        <f t="shared" si="150"/>
        <v>0</v>
      </c>
      <c r="CQ117" s="313">
        <f t="shared" si="150"/>
        <v>0</v>
      </c>
      <c r="CR117" s="313">
        <f t="shared" si="150"/>
        <v>0</v>
      </c>
      <c r="CS117" s="313">
        <f t="shared" si="150"/>
        <v>0</v>
      </c>
      <c r="CT117" s="313">
        <f t="shared" si="150"/>
        <v>0</v>
      </c>
      <c r="CU117" s="313">
        <f t="shared" si="150"/>
        <v>0</v>
      </c>
      <c r="CV117" s="313">
        <f t="shared" si="150"/>
        <v>0</v>
      </c>
      <c r="CW117" s="313">
        <f t="shared" si="150"/>
        <v>0</v>
      </c>
      <c r="CX117" s="313" t="n">
        <f t="shared" ref="CX117:DV117" si="151">IF(CX$69=1,MAX(0,MIN(CX$74+CX$81+CX$82,CX$120-CX$119)),0)</f>
        <v>0</v>
      </c>
      <c r="CY117" s="313">
        <f t="shared" si="151"/>
        <v>0</v>
      </c>
      <c r="CZ117" s="313">
        <f t="shared" si="151"/>
        <v>0</v>
      </c>
      <c r="DA117" s="313">
        <f t="shared" si="151"/>
        <v>0</v>
      </c>
      <c r="DB117" s="313">
        <f t="shared" si="151"/>
        <v>0</v>
      </c>
      <c r="DC117" s="313">
        <f t="shared" si="151"/>
        <v>0</v>
      </c>
      <c r="DD117" s="313">
        <f t="shared" si="151"/>
        <v>0</v>
      </c>
      <c r="DE117" s="313">
        <f t="shared" si="151"/>
        <v>0</v>
      </c>
      <c r="DF117" s="313">
        <f t="shared" si="151"/>
        <v>0</v>
      </c>
      <c r="DG117" s="313">
        <f t="shared" si="151"/>
        <v>0</v>
      </c>
      <c r="DH117" s="313">
        <f t="shared" si="151"/>
        <v>0</v>
      </c>
      <c r="DI117" s="313">
        <f t="shared" si="151"/>
        <v>0</v>
      </c>
      <c r="DJ117" s="313">
        <f t="shared" si="151"/>
        <v>0</v>
      </c>
      <c r="DK117" s="313">
        <f t="shared" si="151"/>
        <v>0</v>
      </c>
      <c r="DL117" s="313">
        <f t="shared" si="151"/>
        <v>0</v>
      </c>
      <c r="DM117" s="313">
        <f t="shared" si="151"/>
        <v>0</v>
      </c>
      <c r="DN117" s="313">
        <f t="shared" si="151"/>
        <v>0</v>
      </c>
      <c r="DO117" s="313">
        <f t="shared" si="151"/>
        <v>0</v>
      </c>
      <c r="DP117" s="313">
        <f t="shared" si="151"/>
        <v>0</v>
      </c>
      <c r="DQ117" s="313">
        <f t="shared" si="151"/>
        <v>0</v>
      </c>
      <c r="DR117" s="313">
        <f t="shared" si="151"/>
        <v>0</v>
      </c>
      <c r="DS117" s="313">
        <f t="shared" si="151"/>
        <v>0</v>
      </c>
      <c r="DT117" s="313">
        <f t="shared" si="151"/>
        <v>0</v>
      </c>
      <c r="DU117" s="313">
        <f t="shared" si="151"/>
        <v>0</v>
      </c>
      <c r="DV117" s="313">
        <f t="shared" si="151"/>
        <v>0</v>
      </c>
    </row>
    <row r="118" ht="15" customHeight="1">
      <c r="A118" s="311" t="s">
        <v>1525</v>
      </c>
      <c r="B118" s="312" t="s">
        <v>1321</v>
      </c>
      <c r="C118" s="702" t="s">
        <v>1526</v>
      </c>
      <c r="D118" s="703"/>
      <c r="F118" s="313" t="n">
        <f t="shared" ref="F118:AK118" si="152">IF(AND(F$69=1,$B$36="Yes"),MAX(0,MIN(F$101,F$120-F$119-F$117)),0)</f>
        <v>0</v>
      </c>
      <c r="G118" s="313">
        <f t="shared" si="152"/>
        <v>0</v>
      </c>
      <c r="H118" s="313">
        <f t="shared" si="152"/>
        <v>0</v>
      </c>
      <c r="I118" s="313">
        <f t="shared" si="152"/>
        <v>0</v>
      </c>
      <c r="J118" s="313">
        <f t="shared" si="152"/>
        <v>0</v>
      </c>
      <c r="K118" s="313">
        <f t="shared" si="152"/>
        <v>0</v>
      </c>
      <c r="L118" s="313">
        <f t="shared" si="152"/>
        <v>0</v>
      </c>
      <c r="M118" s="313">
        <f t="shared" si="152"/>
        <v>0</v>
      </c>
      <c r="N118" s="313">
        <f t="shared" si="152"/>
        <v>0</v>
      </c>
      <c r="O118" s="313">
        <f t="shared" si="152"/>
        <v>0</v>
      </c>
      <c r="P118" s="313">
        <f t="shared" si="152"/>
        <v>0</v>
      </c>
      <c r="Q118" s="313">
        <f t="shared" si="152"/>
        <v>0</v>
      </c>
      <c r="R118" s="313">
        <f t="shared" si="152"/>
        <v>0</v>
      </c>
      <c r="S118" s="313">
        <f t="shared" si="152"/>
        <v>0</v>
      </c>
      <c r="T118" s="313">
        <f t="shared" si="152"/>
        <v>0</v>
      </c>
      <c r="U118" s="313">
        <f t="shared" si="152"/>
        <v>0</v>
      </c>
      <c r="V118" s="313">
        <f t="shared" si="152"/>
        <v>0</v>
      </c>
      <c r="W118" s="313">
        <f t="shared" si="152"/>
        <v>0</v>
      </c>
      <c r="X118" s="313">
        <f t="shared" si="152"/>
        <v>0</v>
      </c>
      <c r="Y118" s="313">
        <f t="shared" si="152"/>
        <v>0</v>
      </c>
      <c r="Z118" s="313">
        <f t="shared" si="152"/>
        <v>0</v>
      </c>
      <c r="AA118" s="313">
        <f t="shared" si="152"/>
        <v>0</v>
      </c>
      <c r="AB118" s="313">
        <f t="shared" si="152"/>
        <v>0</v>
      </c>
      <c r="AC118" s="313">
        <f t="shared" si="152"/>
        <v>0</v>
      </c>
      <c r="AD118" s="313">
        <f t="shared" si="152"/>
        <v>0</v>
      </c>
      <c r="AE118" s="313">
        <f t="shared" si="152"/>
        <v>0</v>
      </c>
      <c r="AF118" s="313">
        <f t="shared" si="152"/>
        <v>0</v>
      </c>
      <c r="AG118" s="313">
        <f t="shared" si="152"/>
        <v>0</v>
      </c>
      <c r="AH118" s="313">
        <f t="shared" si="152"/>
        <v>0</v>
      </c>
      <c r="AI118" s="313">
        <f t="shared" si="152"/>
        <v>0</v>
      </c>
      <c r="AJ118" s="313">
        <f t="shared" si="152"/>
        <v>0</v>
      </c>
      <c r="AK118" s="313">
        <f t="shared" si="152"/>
        <v>0</v>
      </c>
      <c r="AL118" s="313" t="n">
        <f t="shared" ref="AL118:BQ118" si="153">IF(AND(AL$69=1,$B$36="Yes"),MAX(0,MIN(AL$101,AL$120-AL$119-AL$117)),0)</f>
        <v>0</v>
      </c>
      <c r="AM118" s="313">
        <f t="shared" si="153"/>
        <v>0</v>
      </c>
      <c r="AN118" s="313">
        <f t="shared" si="153"/>
        <v>0</v>
      </c>
      <c r="AO118" s="313">
        <f t="shared" si="153"/>
        <v>0</v>
      </c>
      <c r="AP118" s="313">
        <f t="shared" si="153"/>
        <v>0</v>
      </c>
      <c r="AQ118" s="313">
        <f t="shared" si="153"/>
        <v>0</v>
      </c>
      <c r="AR118" s="313">
        <f t="shared" si="153"/>
        <v>0</v>
      </c>
      <c r="AS118" s="313">
        <f t="shared" si="153"/>
        <v>0</v>
      </c>
      <c r="AT118" s="313">
        <f t="shared" si="153"/>
        <v>0</v>
      </c>
      <c r="AU118" s="313">
        <f t="shared" si="153"/>
        <v>0</v>
      </c>
      <c r="AV118" s="313">
        <f t="shared" si="153"/>
        <v>0</v>
      </c>
      <c r="AW118" s="313">
        <f t="shared" si="153"/>
        <v>0</v>
      </c>
      <c r="AX118" s="313">
        <f t="shared" si="153"/>
        <v>0</v>
      </c>
      <c r="AY118" s="313">
        <f t="shared" si="153"/>
        <v>0</v>
      </c>
      <c r="AZ118" s="313">
        <f t="shared" si="153"/>
        <v>0</v>
      </c>
      <c r="BA118" s="313">
        <f t="shared" si="153"/>
        <v>0</v>
      </c>
      <c r="BB118" s="313">
        <f t="shared" si="153"/>
        <v>0</v>
      </c>
      <c r="BC118" s="313">
        <f t="shared" si="153"/>
        <v>0</v>
      </c>
      <c r="BD118" s="313">
        <f t="shared" si="153"/>
        <v>0</v>
      </c>
      <c r="BE118" s="313">
        <f t="shared" si="153"/>
        <v>0</v>
      </c>
      <c r="BF118" s="313">
        <f t="shared" si="153"/>
        <v>0</v>
      </c>
      <c r="BG118" s="313">
        <f t="shared" si="153"/>
        <v>0</v>
      </c>
      <c r="BH118" s="313">
        <f t="shared" si="153"/>
        <v>0</v>
      </c>
      <c r="BI118" s="313">
        <f t="shared" si="153"/>
        <v>0</v>
      </c>
      <c r="BJ118" s="313">
        <f t="shared" si="153"/>
        <v>0</v>
      </c>
      <c r="BK118" s="313">
        <f t="shared" si="153"/>
        <v>0</v>
      </c>
      <c r="BL118" s="313">
        <f t="shared" si="153"/>
        <v>0</v>
      </c>
      <c r="BM118" s="313">
        <f t="shared" si="153"/>
        <v>0</v>
      </c>
      <c r="BN118" s="313">
        <f t="shared" si="153"/>
        <v>0</v>
      </c>
      <c r="BO118" s="313">
        <f t="shared" si="153"/>
        <v>0</v>
      </c>
      <c r="BP118" s="313">
        <f t="shared" si="153"/>
        <v>0</v>
      </c>
      <c r="BQ118" s="313">
        <f t="shared" si="153"/>
        <v>0</v>
      </c>
      <c r="BR118" s="313" t="n">
        <f t="shared" ref="BR118:CW118" si="154">IF(AND(BR$69=1,$B$36="Yes"),MAX(0,MIN(BR$101,BR$120-BR$119-BR$117)),0)</f>
        <v>0</v>
      </c>
      <c r="BS118" s="313">
        <f t="shared" si="154"/>
        <v>0</v>
      </c>
      <c r="BT118" s="313">
        <f t="shared" si="154"/>
        <v>0</v>
      </c>
      <c r="BU118" s="313">
        <f t="shared" si="154"/>
        <v>0</v>
      </c>
      <c r="BV118" s="313">
        <f t="shared" si="154"/>
        <v>0</v>
      </c>
      <c r="BW118" s="313">
        <f t="shared" si="154"/>
        <v>0</v>
      </c>
      <c r="BX118" s="313">
        <f t="shared" si="154"/>
        <v>0</v>
      </c>
      <c r="BY118" s="313">
        <f t="shared" si="154"/>
        <v>0</v>
      </c>
      <c r="BZ118" s="313">
        <f t="shared" si="154"/>
        <v>0</v>
      </c>
      <c r="CA118" s="313">
        <f t="shared" si="154"/>
        <v>0</v>
      </c>
      <c r="CB118" s="313">
        <f t="shared" si="154"/>
        <v>0</v>
      </c>
      <c r="CC118" s="313">
        <f t="shared" si="154"/>
        <v>0</v>
      </c>
      <c r="CD118" s="313">
        <f t="shared" si="154"/>
        <v>0</v>
      </c>
      <c r="CE118" s="313">
        <f t="shared" si="154"/>
        <v>0</v>
      </c>
      <c r="CF118" s="313">
        <f t="shared" si="154"/>
        <v>0</v>
      </c>
      <c r="CG118" s="313">
        <f t="shared" si="154"/>
        <v>0</v>
      </c>
      <c r="CH118" s="313">
        <f t="shared" si="154"/>
        <v>0</v>
      </c>
      <c r="CI118" s="313">
        <f t="shared" si="154"/>
        <v>0</v>
      </c>
      <c r="CJ118" s="313">
        <f t="shared" si="154"/>
        <v>0</v>
      </c>
      <c r="CK118" s="313">
        <f t="shared" si="154"/>
        <v>0</v>
      </c>
      <c r="CL118" s="313">
        <f t="shared" si="154"/>
        <v>0</v>
      </c>
      <c r="CM118" s="313">
        <f t="shared" si="154"/>
        <v>0</v>
      </c>
      <c r="CN118" s="313">
        <f t="shared" si="154"/>
        <v>0</v>
      </c>
      <c r="CO118" s="313">
        <f t="shared" si="154"/>
        <v>0</v>
      </c>
      <c r="CP118" s="313">
        <f t="shared" si="154"/>
        <v>0</v>
      </c>
      <c r="CQ118" s="313">
        <f t="shared" si="154"/>
        <v>0</v>
      </c>
      <c r="CR118" s="313">
        <f t="shared" si="154"/>
        <v>0</v>
      </c>
      <c r="CS118" s="313">
        <f t="shared" si="154"/>
        <v>0</v>
      </c>
      <c r="CT118" s="313">
        <f t="shared" si="154"/>
        <v>0</v>
      </c>
      <c r="CU118" s="313">
        <f t="shared" si="154"/>
        <v>0</v>
      </c>
      <c r="CV118" s="313">
        <f t="shared" si="154"/>
        <v>0</v>
      </c>
      <c r="CW118" s="313">
        <f t="shared" si="154"/>
        <v>0</v>
      </c>
      <c r="CX118" s="313" t="n">
        <f t="shared" ref="CX118:DV118" si="155">IF(AND(CX$69=1,$B$36="Yes"),MAX(0,MIN(CX$101,CX$120-CX$119-CX$117)),0)</f>
        <v>0</v>
      </c>
      <c r="CY118" s="313">
        <f t="shared" si="155"/>
        <v>0</v>
      </c>
      <c r="CZ118" s="313">
        <f t="shared" si="155"/>
        <v>0</v>
      </c>
      <c r="DA118" s="313">
        <f t="shared" si="155"/>
        <v>0</v>
      </c>
      <c r="DB118" s="313">
        <f t="shared" si="155"/>
        <v>0</v>
      </c>
      <c r="DC118" s="313">
        <f t="shared" si="155"/>
        <v>0</v>
      </c>
      <c r="DD118" s="313">
        <f t="shared" si="155"/>
        <v>0</v>
      </c>
      <c r="DE118" s="313">
        <f t="shared" si="155"/>
        <v>0</v>
      </c>
      <c r="DF118" s="313">
        <f t="shared" si="155"/>
        <v>0</v>
      </c>
      <c r="DG118" s="313">
        <f t="shared" si="155"/>
        <v>0</v>
      </c>
      <c r="DH118" s="313">
        <f t="shared" si="155"/>
        <v>0</v>
      </c>
      <c r="DI118" s="313">
        <f t="shared" si="155"/>
        <v>0</v>
      </c>
      <c r="DJ118" s="313">
        <f t="shared" si="155"/>
        <v>0</v>
      </c>
      <c r="DK118" s="313">
        <f t="shared" si="155"/>
        <v>0</v>
      </c>
      <c r="DL118" s="313">
        <f t="shared" si="155"/>
        <v>0</v>
      </c>
      <c r="DM118" s="313">
        <f t="shared" si="155"/>
        <v>0</v>
      </c>
      <c r="DN118" s="313">
        <f t="shared" si="155"/>
        <v>0</v>
      </c>
      <c r="DO118" s="313">
        <f t="shared" si="155"/>
        <v>0</v>
      </c>
      <c r="DP118" s="313">
        <f t="shared" si="155"/>
        <v>0</v>
      </c>
      <c r="DQ118" s="313">
        <f t="shared" si="155"/>
        <v>0</v>
      </c>
      <c r="DR118" s="313">
        <f t="shared" si="155"/>
        <v>0</v>
      </c>
      <c r="DS118" s="313">
        <f t="shared" si="155"/>
        <v>0</v>
      </c>
      <c r="DT118" s="313">
        <f t="shared" si="155"/>
        <v>0</v>
      </c>
      <c r="DU118" s="313">
        <f t="shared" si="155"/>
        <v>0</v>
      </c>
      <c r="DV118" s="313">
        <f t="shared" si="155"/>
        <v>0</v>
      </c>
    </row>
    <row r="119" ht="15" customHeight="1">
      <c r="A119" s="311" t="s">
        <v>1527</v>
      </c>
      <c r="B119" s="312" t="s">
        <v>1321</v>
      </c>
      <c r="C119" s="702" t="s">
        <v>1528</v>
      </c>
      <c r="D119" s="703"/>
      <c r="F119" s="313" t="n">
        <f t="shared" ref="F119:AK119" si="156">IF(F$69=1,(F$74+F$81+F$82+IF($B$36="Yes",F$101,0))*$B$47,0)</f>
        <v>0</v>
      </c>
      <c r="G119" s="313">
        <f t="shared" si="156"/>
        <v>0</v>
      </c>
      <c r="H119" s="313">
        <f t="shared" si="156"/>
        <v>0</v>
      </c>
      <c r="I119" s="313">
        <f t="shared" si="156"/>
        <v>0</v>
      </c>
      <c r="J119" s="313">
        <f t="shared" si="156"/>
        <v>0</v>
      </c>
      <c r="K119" s="313">
        <f t="shared" si="156"/>
        <v>0</v>
      </c>
      <c r="L119" s="313">
        <f t="shared" si="156"/>
        <v>0</v>
      </c>
      <c r="M119" s="313">
        <f t="shared" si="156"/>
        <v>0</v>
      </c>
      <c r="N119" s="313">
        <f t="shared" si="156"/>
        <v>0</v>
      </c>
      <c r="O119" s="313">
        <f t="shared" si="156"/>
        <v>0</v>
      </c>
      <c r="P119" s="313">
        <f t="shared" si="156"/>
        <v>0</v>
      </c>
      <c r="Q119" s="313">
        <f t="shared" si="156"/>
        <v>0</v>
      </c>
      <c r="R119" s="313">
        <f t="shared" si="156"/>
        <v>0</v>
      </c>
      <c r="S119" s="313">
        <f t="shared" si="156"/>
        <v>0</v>
      </c>
      <c r="T119" s="313">
        <f t="shared" si="156"/>
        <v>0</v>
      </c>
      <c r="U119" s="313">
        <f t="shared" si="156"/>
        <v>0</v>
      </c>
      <c r="V119" s="313">
        <f t="shared" si="156"/>
        <v>0</v>
      </c>
      <c r="W119" s="313">
        <f t="shared" si="156"/>
        <v>0</v>
      </c>
      <c r="X119" s="313">
        <f t="shared" si="156"/>
        <v>0</v>
      </c>
      <c r="Y119" s="313">
        <f t="shared" si="156"/>
        <v>0</v>
      </c>
      <c r="Z119" s="313">
        <f t="shared" si="156"/>
        <v>0</v>
      </c>
      <c r="AA119" s="313">
        <f t="shared" si="156"/>
        <v>0</v>
      </c>
      <c r="AB119" s="313">
        <f t="shared" si="156"/>
        <v>0</v>
      </c>
      <c r="AC119" s="313">
        <f t="shared" si="156"/>
        <v>0</v>
      </c>
      <c r="AD119" s="313">
        <f t="shared" si="156"/>
        <v>0</v>
      </c>
      <c r="AE119" s="313">
        <f t="shared" si="156"/>
        <v>0</v>
      </c>
      <c r="AF119" s="313">
        <f t="shared" si="156"/>
        <v>0</v>
      </c>
      <c r="AG119" s="313">
        <f t="shared" si="156"/>
        <v>0</v>
      </c>
      <c r="AH119" s="313">
        <f t="shared" si="156"/>
        <v>0</v>
      </c>
      <c r="AI119" s="313">
        <f t="shared" si="156"/>
        <v>0</v>
      </c>
      <c r="AJ119" s="313">
        <f t="shared" si="156"/>
        <v>0</v>
      </c>
      <c r="AK119" s="313">
        <f t="shared" si="156"/>
        <v>0</v>
      </c>
      <c r="AL119" s="313" t="n">
        <f t="shared" ref="AL119:BQ119" si="157">IF(AL$69=1,(AL$74+AL$81+AL$82+IF($B$36="Yes",AL$101,0))*$B$47,0)</f>
        <v>0</v>
      </c>
      <c r="AM119" s="313">
        <f t="shared" si="157"/>
        <v>0</v>
      </c>
      <c r="AN119" s="313">
        <f t="shared" si="157"/>
        <v>0</v>
      </c>
      <c r="AO119" s="313">
        <f t="shared" si="157"/>
        <v>0</v>
      </c>
      <c r="AP119" s="313">
        <f t="shared" si="157"/>
        <v>0</v>
      </c>
      <c r="AQ119" s="313">
        <f t="shared" si="157"/>
        <v>0</v>
      </c>
      <c r="AR119" s="313">
        <f t="shared" si="157"/>
        <v>0</v>
      </c>
      <c r="AS119" s="313">
        <f t="shared" si="157"/>
        <v>0</v>
      </c>
      <c r="AT119" s="313">
        <f t="shared" si="157"/>
        <v>0</v>
      </c>
      <c r="AU119" s="313">
        <f t="shared" si="157"/>
        <v>0</v>
      </c>
      <c r="AV119" s="313">
        <f t="shared" si="157"/>
        <v>0</v>
      </c>
      <c r="AW119" s="313">
        <f t="shared" si="157"/>
        <v>0</v>
      </c>
      <c r="AX119" s="313">
        <f t="shared" si="157"/>
        <v>0</v>
      </c>
      <c r="AY119" s="313">
        <f t="shared" si="157"/>
        <v>0</v>
      </c>
      <c r="AZ119" s="313">
        <f t="shared" si="157"/>
        <v>0</v>
      </c>
      <c r="BA119" s="313">
        <f t="shared" si="157"/>
        <v>0</v>
      </c>
      <c r="BB119" s="313">
        <f t="shared" si="157"/>
        <v>0</v>
      </c>
      <c r="BC119" s="313">
        <f t="shared" si="157"/>
        <v>2093656.5023643188</v>
      </c>
      <c r="BD119" s="313">
        <f t="shared" si="157"/>
        <v>0</v>
      </c>
      <c r="BE119" s="313">
        <f t="shared" si="157"/>
        <v>0</v>
      </c>
      <c r="BF119" s="313">
        <f t="shared" si="157"/>
        <v>0</v>
      </c>
      <c r="BG119" s="313">
        <f t="shared" si="157"/>
        <v>0</v>
      </c>
      <c r="BH119" s="313">
        <f t="shared" si="157"/>
        <v>0</v>
      </c>
      <c r="BI119" s="313">
        <f t="shared" si="157"/>
        <v>0</v>
      </c>
      <c r="BJ119" s="313">
        <f t="shared" si="157"/>
        <v>0</v>
      </c>
      <c r="BK119" s="313">
        <f t="shared" si="157"/>
        <v>0</v>
      </c>
      <c r="BL119" s="313">
        <f t="shared" si="157"/>
        <v>0</v>
      </c>
      <c r="BM119" s="313">
        <f t="shared" si="157"/>
        <v>0</v>
      </c>
      <c r="BN119" s="313">
        <f t="shared" si="157"/>
        <v>0</v>
      </c>
      <c r="BO119" s="313">
        <f t="shared" si="157"/>
        <v>0</v>
      </c>
      <c r="BP119" s="313">
        <f t="shared" si="157"/>
        <v>0</v>
      </c>
      <c r="BQ119" s="313">
        <f t="shared" si="157"/>
        <v>0</v>
      </c>
      <c r="BR119" s="313" t="n">
        <f t="shared" ref="BR119:CW119" si="158">IF(BR$69=1,(BR$74+BR$81+BR$82+IF($B$36="Yes",BR$101,0))*$B$47,0)</f>
        <v>0</v>
      </c>
      <c r="BS119" s="313">
        <f t="shared" si="158"/>
        <v>0</v>
      </c>
      <c r="BT119" s="313">
        <f t="shared" si="158"/>
        <v>0</v>
      </c>
      <c r="BU119" s="313">
        <f t="shared" si="158"/>
        <v>0</v>
      </c>
      <c r="BV119" s="313">
        <f t="shared" si="158"/>
        <v>0</v>
      </c>
      <c r="BW119" s="313">
        <f t="shared" si="158"/>
        <v>0</v>
      </c>
      <c r="BX119" s="313">
        <f t="shared" si="158"/>
        <v>0</v>
      </c>
      <c r="BY119" s="313">
        <f t="shared" si="158"/>
        <v>0</v>
      </c>
      <c r="BZ119" s="313">
        <f t="shared" si="158"/>
        <v>0</v>
      </c>
      <c r="CA119" s="313">
        <f t="shared" si="158"/>
        <v>0</v>
      </c>
      <c r="CB119" s="313">
        <f t="shared" si="158"/>
        <v>0</v>
      </c>
      <c r="CC119" s="313">
        <f t="shared" si="158"/>
        <v>0</v>
      </c>
      <c r="CD119" s="313">
        <f t="shared" si="158"/>
        <v>0</v>
      </c>
      <c r="CE119" s="313">
        <f t="shared" si="158"/>
        <v>0</v>
      </c>
      <c r="CF119" s="313">
        <f t="shared" si="158"/>
        <v>0</v>
      </c>
      <c r="CG119" s="313">
        <f t="shared" si="158"/>
        <v>0</v>
      </c>
      <c r="CH119" s="313">
        <f t="shared" si="158"/>
        <v>0</v>
      </c>
      <c r="CI119" s="313">
        <f t="shared" si="158"/>
        <v>0</v>
      </c>
      <c r="CJ119" s="313">
        <f t="shared" si="158"/>
        <v>0</v>
      </c>
      <c r="CK119" s="313">
        <f t="shared" si="158"/>
        <v>0</v>
      </c>
      <c r="CL119" s="313">
        <f t="shared" si="158"/>
        <v>0</v>
      </c>
      <c r="CM119" s="313">
        <f t="shared" si="158"/>
        <v>0</v>
      </c>
      <c r="CN119" s="313">
        <f t="shared" si="158"/>
        <v>0</v>
      </c>
      <c r="CO119" s="313">
        <f t="shared" si="158"/>
        <v>0</v>
      </c>
      <c r="CP119" s="313">
        <f t="shared" si="158"/>
        <v>0</v>
      </c>
      <c r="CQ119" s="313">
        <f t="shared" si="158"/>
        <v>0</v>
      </c>
      <c r="CR119" s="313">
        <f t="shared" si="158"/>
        <v>0</v>
      </c>
      <c r="CS119" s="313">
        <f t="shared" si="158"/>
        <v>0</v>
      </c>
      <c r="CT119" s="313">
        <f t="shared" si="158"/>
        <v>0</v>
      </c>
      <c r="CU119" s="313">
        <f t="shared" si="158"/>
        <v>0</v>
      </c>
      <c r="CV119" s="313">
        <f t="shared" si="158"/>
        <v>0</v>
      </c>
      <c r="CW119" s="313">
        <f t="shared" si="158"/>
        <v>0</v>
      </c>
      <c r="CX119" s="313" t="n">
        <f t="shared" ref="CX119:DV119" si="159">IF(CX$69=1,(CX$74+CX$81+CX$82+IF($B$36="Yes",CX$101,0))*$B$47,0)</f>
        <v>0</v>
      </c>
      <c r="CY119" s="313">
        <f t="shared" si="159"/>
        <v>0</v>
      </c>
      <c r="CZ119" s="313">
        <f t="shared" si="159"/>
        <v>0</v>
      </c>
      <c r="DA119" s="313">
        <f t="shared" si="159"/>
        <v>0</v>
      </c>
      <c r="DB119" s="313">
        <f t="shared" si="159"/>
        <v>0</v>
      </c>
      <c r="DC119" s="313">
        <f t="shared" si="159"/>
        <v>0</v>
      </c>
      <c r="DD119" s="313">
        <f t="shared" si="159"/>
        <v>0</v>
      </c>
      <c r="DE119" s="313">
        <f t="shared" si="159"/>
        <v>0</v>
      </c>
      <c r="DF119" s="313">
        <f t="shared" si="159"/>
        <v>0</v>
      </c>
      <c r="DG119" s="313">
        <f t="shared" si="159"/>
        <v>0</v>
      </c>
      <c r="DH119" s="313">
        <f t="shared" si="159"/>
        <v>0</v>
      </c>
      <c r="DI119" s="313">
        <f t="shared" si="159"/>
        <v>0</v>
      </c>
      <c r="DJ119" s="313">
        <f t="shared" si="159"/>
        <v>0</v>
      </c>
      <c r="DK119" s="313">
        <f t="shared" si="159"/>
        <v>0</v>
      </c>
      <c r="DL119" s="313">
        <f t="shared" si="159"/>
        <v>0</v>
      </c>
      <c r="DM119" s="313">
        <f t="shared" si="159"/>
        <v>0</v>
      </c>
      <c r="DN119" s="313">
        <f t="shared" si="159"/>
        <v>0</v>
      </c>
      <c r="DO119" s="313">
        <f t="shared" si="159"/>
        <v>0</v>
      </c>
      <c r="DP119" s="313">
        <f t="shared" si="159"/>
        <v>0</v>
      </c>
      <c r="DQ119" s="313">
        <f t="shared" si="159"/>
        <v>0</v>
      </c>
      <c r="DR119" s="313">
        <f t="shared" si="159"/>
        <v>0</v>
      </c>
      <c r="DS119" s="313">
        <f t="shared" si="159"/>
        <v>0</v>
      </c>
      <c r="DT119" s="313">
        <f t="shared" si="159"/>
        <v>0</v>
      </c>
      <c r="DU119" s="313">
        <f t="shared" si="159"/>
        <v>0</v>
      </c>
      <c r="DV119" s="313">
        <f t="shared" si="159"/>
        <v>0</v>
      </c>
    </row>
    <row r="120" ht="15" customHeight="1">
      <c r="A120" s="311" t="s">
        <v>1529</v>
      </c>
      <c r="B120" s="312" t="s">
        <v>1321</v>
      </c>
      <c r="C120" s="702" t="s">
        <v>1530</v>
      </c>
      <c r="D120" s="703"/>
      <c r="F120" s="313" t="n">
        <f>IF(F$69=1,MAX(0,MIN($B$37*INDEX($Q$31:$Q$33,MATCH($B$6,$J$31:$J$33,0)),'VALUATION &amp; RETURNS'!$DA$8*1000000*INDEX($O$31:$O$33,MATCH($B$6,$J$31:$J$33,0))*MAX(0,$B$38+INDEX($R$31:$R$33,MATCH($B$6,$J$31:$J$33,0))),F$74+F$81+F$82+IF($B$36="Yes",F$101,0)+F$119)),0)</f>
        <v>0</v>
      </c>
      <c r="G120" s="313" t="n">
        <f>IF(G$69=1,MAX(0,MIN($B$37*INDEX($Q$31:$Q$33,MATCH($B$6,$J$31:$J$33,0)),'VALUATION &amp; RETURNS'!$DA$8*1000000*INDEX($O$31:$O$33,MATCH($B$6,$J$31:$J$33,0))*MAX(0,$B$38+INDEX($R$31:$R$33,MATCH($B$6,$J$31:$J$33,0))),G$74+G$81+G$82+IF($B$36="Yes",G$101,0)+G$119)),0)</f>
        <v>0</v>
      </c>
      <c r="H120" s="313" t="n">
        <f>IF(H$69=1,MAX(0,MIN($B$37*INDEX($Q$31:$Q$33,MATCH($B$6,$J$31:$J$33,0)),'VALUATION &amp; RETURNS'!$DA$8*1000000*INDEX($O$31:$O$33,MATCH($B$6,$J$31:$J$33,0))*MAX(0,$B$38+INDEX($R$31:$R$33,MATCH($B$6,$J$31:$J$33,0))),H$74+H$81+H$82+IF($B$36="Yes",H$101,0)+H$119)),0)</f>
        <v>0</v>
      </c>
      <c r="I120" s="313" t="n">
        <f>IF(I$69=1,MAX(0,MIN($B$37*INDEX($Q$31:$Q$33,MATCH($B$6,$J$31:$J$33,0)),'VALUATION &amp; RETURNS'!$DA$8*1000000*INDEX($O$31:$O$33,MATCH($B$6,$J$31:$J$33,0))*MAX(0,$B$38+INDEX($R$31:$R$33,MATCH($B$6,$J$31:$J$33,0))),I$74+I$81+I$82+IF($B$36="Yes",I$101,0)+I$119)),0)</f>
        <v>0</v>
      </c>
      <c r="J120" s="313" t="n">
        <f>IF(J$69=1,MAX(0,MIN($B$37*INDEX($Q$31:$Q$33,MATCH($B$6,$J$31:$J$33,0)),'VALUATION &amp; RETURNS'!$DA$8*1000000*INDEX($O$31:$O$33,MATCH($B$6,$J$31:$J$33,0))*MAX(0,$B$38+INDEX($R$31:$R$33,MATCH($B$6,$J$31:$J$33,0))),J$74+J$81+J$82+IF($B$36="Yes",J$101,0)+J$119)),0)</f>
        <v>0</v>
      </c>
      <c r="K120" s="313" t="n">
        <f>IF(K$69=1,MAX(0,MIN($B$37*INDEX($Q$31:$Q$33,MATCH($B$6,$J$31:$J$33,0)),'VALUATION &amp; RETURNS'!$DA$8*1000000*INDEX($O$31:$O$33,MATCH($B$6,$J$31:$J$33,0))*MAX(0,$B$38+INDEX($R$31:$R$33,MATCH($B$6,$J$31:$J$33,0))),K$74+K$81+K$82+IF($B$36="Yes",K$101,0)+K$119)),0)</f>
        <v>0</v>
      </c>
      <c r="L120" s="313" t="n">
        <f>IF(L$69=1,MAX(0,MIN($B$37*INDEX($Q$31:$Q$33,MATCH($B$6,$J$31:$J$33,0)),'VALUATION &amp; RETURNS'!$DA$8*1000000*INDEX($O$31:$O$33,MATCH($B$6,$J$31:$J$33,0))*MAX(0,$B$38+INDEX($R$31:$R$33,MATCH($B$6,$J$31:$J$33,0))),L$74+L$81+L$82+IF($B$36="Yes",L$101,0)+L$119)),0)</f>
        <v>0</v>
      </c>
      <c r="M120" s="313" t="n">
        <f>IF(M$69=1,MAX(0,MIN($B$37*INDEX($Q$31:$Q$33,MATCH($B$6,$J$31:$J$33,0)),'VALUATION &amp; RETURNS'!$DA$8*1000000*INDEX($O$31:$O$33,MATCH($B$6,$J$31:$J$33,0))*MAX(0,$B$38+INDEX($R$31:$R$33,MATCH($B$6,$J$31:$J$33,0))),M$74+M$81+M$82+IF($B$36="Yes",M$101,0)+M$119)),0)</f>
        <v>0</v>
      </c>
      <c r="N120" s="313" t="n">
        <f>IF(N$69=1,MAX(0,MIN($B$37*INDEX($Q$31:$Q$33,MATCH($B$6,$J$31:$J$33,0)),'VALUATION &amp; RETURNS'!$DA$8*1000000*INDEX($O$31:$O$33,MATCH($B$6,$J$31:$J$33,0))*MAX(0,$B$38+INDEX($R$31:$R$33,MATCH($B$6,$J$31:$J$33,0))),N$74+N$81+N$82+IF($B$36="Yes",N$101,0)+N$119)),0)</f>
        <v>0</v>
      </c>
      <c r="O120" s="313" t="n">
        <f>IF(O$69=1,MAX(0,MIN($B$37*INDEX($Q$31:$Q$33,MATCH($B$6,$J$31:$J$33,0)),'VALUATION &amp; RETURNS'!$DA$8*1000000*INDEX($O$31:$O$33,MATCH($B$6,$J$31:$J$33,0))*MAX(0,$B$38+INDEX($R$31:$R$33,MATCH($B$6,$J$31:$J$33,0))),O$74+O$81+O$82+IF($B$36="Yes",O$101,0)+O$119)),0)</f>
        <v>0</v>
      </c>
      <c r="P120" s="313" t="n">
        <f>IF(P$69=1,MAX(0,MIN($B$37*INDEX($Q$31:$Q$33,MATCH($B$6,$J$31:$J$33,0)),'VALUATION &amp; RETURNS'!$DA$8*1000000*INDEX($O$31:$O$33,MATCH($B$6,$J$31:$J$33,0))*MAX(0,$B$38+INDEX($R$31:$R$33,MATCH($B$6,$J$31:$J$33,0))),P$74+P$81+P$82+IF($B$36="Yes",P$101,0)+P$119)),0)</f>
        <v>0</v>
      </c>
      <c r="Q120" s="313" t="n">
        <f>IF(Q$69=1,MAX(0,MIN($B$37*INDEX($Q$31:$Q$33,MATCH($B$6,$J$31:$J$33,0)),'VALUATION &amp; RETURNS'!$DA$8*1000000*INDEX($O$31:$O$33,MATCH($B$6,$J$31:$J$33,0))*MAX(0,$B$38+INDEX($R$31:$R$33,MATCH($B$6,$J$31:$J$33,0))),Q$74+Q$81+Q$82+IF($B$36="Yes",Q$101,0)+Q$119)),0)</f>
        <v>0</v>
      </c>
      <c r="R120" s="313" t="n">
        <f>IF(R$69=1,MAX(0,MIN($B$37*INDEX($Q$31:$Q$33,MATCH($B$6,$J$31:$J$33,0)),'VALUATION &amp; RETURNS'!$DA$8*1000000*INDEX($O$31:$O$33,MATCH($B$6,$J$31:$J$33,0))*MAX(0,$B$38+INDEX($R$31:$R$33,MATCH($B$6,$J$31:$J$33,0))),R$74+R$81+R$82+IF($B$36="Yes",R$101,0)+R$119)),0)</f>
        <v>0</v>
      </c>
      <c r="S120" s="313" t="n">
        <f>IF(S$69=1,MAX(0,MIN($B$37*INDEX($Q$31:$Q$33,MATCH($B$6,$J$31:$J$33,0)),'VALUATION &amp; RETURNS'!$DA$8*1000000*INDEX($O$31:$O$33,MATCH($B$6,$J$31:$J$33,0))*MAX(0,$B$38+INDEX($R$31:$R$33,MATCH($B$6,$J$31:$J$33,0))),S$74+S$81+S$82+IF($B$36="Yes",S$101,0)+S$119)),0)</f>
        <v>0</v>
      </c>
      <c r="T120" s="313" t="n">
        <f>IF(T$69=1,MAX(0,MIN($B$37*INDEX($Q$31:$Q$33,MATCH($B$6,$J$31:$J$33,0)),'VALUATION &amp; RETURNS'!$DA$8*1000000*INDEX($O$31:$O$33,MATCH($B$6,$J$31:$J$33,0))*MAX(0,$B$38+INDEX($R$31:$R$33,MATCH($B$6,$J$31:$J$33,0))),T$74+T$81+T$82+IF($B$36="Yes",T$101,0)+T$119)),0)</f>
        <v>0</v>
      </c>
      <c r="U120" s="313" t="n">
        <f>IF(U$69=1,MAX(0,MIN($B$37*INDEX($Q$31:$Q$33,MATCH($B$6,$J$31:$J$33,0)),'VALUATION &amp; RETURNS'!$DA$8*1000000*INDEX($O$31:$O$33,MATCH($B$6,$J$31:$J$33,0))*MAX(0,$B$38+INDEX($R$31:$R$33,MATCH($B$6,$J$31:$J$33,0))),U$74+U$81+U$82+IF($B$36="Yes",U$101,0)+U$119)),0)</f>
        <v>0</v>
      </c>
      <c r="V120" s="313" t="n">
        <f>IF(V$69=1,MAX(0,MIN($B$37*INDEX($Q$31:$Q$33,MATCH($B$6,$J$31:$J$33,0)),'VALUATION &amp; RETURNS'!$DA$8*1000000*INDEX($O$31:$O$33,MATCH($B$6,$J$31:$J$33,0))*MAX(0,$B$38+INDEX($R$31:$R$33,MATCH($B$6,$J$31:$J$33,0))),V$74+V$81+V$82+IF($B$36="Yes",V$101,0)+V$119)),0)</f>
        <v>0</v>
      </c>
      <c r="W120" s="313" t="n">
        <f>IF(W$69=1,MAX(0,MIN($B$37*INDEX($Q$31:$Q$33,MATCH($B$6,$J$31:$J$33,0)),'VALUATION &amp; RETURNS'!$DA$8*1000000*INDEX($O$31:$O$33,MATCH($B$6,$J$31:$J$33,0))*MAX(0,$B$38+INDEX($R$31:$R$33,MATCH($B$6,$J$31:$J$33,0))),W$74+W$81+W$82+IF($B$36="Yes",W$101,0)+W$119)),0)</f>
        <v>0</v>
      </c>
      <c r="X120" s="313" t="n">
        <f>IF(X$69=1,MAX(0,MIN($B$37*INDEX($Q$31:$Q$33,MATCH($B$6,$J$31:$J$33,0)),'VALUATION &amp; RETURNS'!$DA$8*1000000*INDEX($O$31:$O$33,MATCH($B$6,$J$31:$J$33,0))*MAX(0,$B$38+INDEX($R$31:$R$33,MATCH($B$6,$J$31:$J$33,0))),X$74+X$81+X$82+IF($B$36="Yes",X$101,0)+X$119)),0)</f>
        <v>0</v>
      </c>
      <c r="Y120" s="313" t="n">
        <f>IF(Y$69=1,MAX(0,MIN($B$37*INDEX($Q$31:$Q$33,MATCH($B$6,$J$31:$J$33,0)),'VALUATION &amp; RETURNS'!$DA$8*1000000*INDEX($O$31:$O$33,MATCH($B$6,$J$31:$J$33,0))*MAX(0,$B$38+INDEX($R$31:$R$33,MATCH($B$6,$J$31:$J$33,0))),Y$74+Y$81+Y$82+IF($B$36="Yes",Y$101,0)+Y$119)),0)</f>
        <v>0</v>
      </c>
      <c r="Z120" s="313" t="n">
        <f>IF(Z$69=1,MAX(0,MIN($B$37*INDEX($Q$31:$Q$33,MATCH($B$6,$J$31:$J$33,0)),'VALUATION &amp; RETURNS'!$DA$8*1000000*INDEX($O$31:$O$33,MATCH($B$6,$J$31:$J$33,0))*MAX(0,$B$38+INDEX($R$31:$R$33,MATCH($B$6,$J$31:$J$33,0))),Z$74+Z$81+Z$82+IF($B$36="Yes",Z$101,0)+Z$119)),0)</f>
        <v>0</v>
      </c>
      <c r="AA120" s="313" t="n">
        <f>IF(AA$69=1,MAX(0,MIN($B$37*INDEX($Q$31:$Q$33,MATCH($B$6,$J$31:$J$33,0)),'VALUATION &amp; RETURNS'!$DA$8*1000000*INDEX($O$31:$O$33,MATCH($B$6,$J$31:$J$33,0))*MAX(0,$B$38+INDEX($R$31:$R$33,MATCH($B$6,$J$31:$J$33,0))),AA$74+AA$81+AA$82+IF($B$36="Yes",AA$101,0)+AA$119)),0)</f>
        <v>0</v>
      </c>
      <c r="AB120" s="313" t="n">
        <f>IF(AB$69=1,MAX(0,MIN($B$37*INDEX($Q$31:$Q$33,MATCH($B$6,$J$31:$J$33,0)),'VALUATION &amp; RETURNS'!$DA$8*1000000*INDEX($O$31:$O$33,MATCH($B$6,$J$31:$J$33,0))*MAX(0,$B$38+INDEX($R$31:$R$33,MATCH($B$6,$J$31:$J$33,0))),AB$74+AB$81+AB$82+IF($B$36="Yes",AB$101,0)+AB$119)),0)</f>
        <v>0</v>
      </c>
      <c r="AC120" s="313" t="n">
        <f>IF(AC$69=1,MAX(0,MIN($B$37*INDEX($Q$31:$Q$33,MATCH($B$6,$J$31:$J$33,0)),'VALUATION &amp; RETURNS'!$DA$8*1000000*INDEX($O$31:$O$33,MATCH($B$6,$J$31:$J$33,0))*MAX(0,$B$38+INDEX($R$31:$R$33,MATCH($B$6,$J$31:$J$33,0))),AC$74+AC$81+AC$82+IF($B$36="Yes",AC$101,0)+AC$119)),0)</f>
        <v>0</v>
      </c>
      <c r="AD120" s="313" t="n">
        <f>IF(AD$69=1,MAX(0,MIN($B$37*INDEX($Q$31:$Q$33,MATCH($B$6,$J$31:$J$33,0)),'VALUATION &amp; RETURNS'!$DA$8*1000000*INDEX($O$31:$O$33,MATCH($B$6,$J$31:$J$33,0))*MAX(0,$B$38+INDEX($R$31:$R$33,MATCH($B$6,$J$31:$J$33,0))),AD$74+AD$81+AD$82+IF($B$36="Yes",AD$101,0)+AD$119)),0)</f>
        <v>0</v>
      </c>
      <c r="AE120" s="313" t="n">
        <f>IF(AE$69=1,MAX(0,MIN($B$37*INDEX($Q$31:$Q$33,MATCH($B$6,$J$31:$J$33,0)),'VALUATION &amp; RETURNS'!$DA$8*1000000*INDEX($O$31:$O$33,MATCH($B$6,$J$31:$J$33,0))*MAX(0,$B$38+INDEX($R$31:$R$33,MATCH($B$6,$J$31:$J$33,0))),AE$74+AE$81+AE$82+IF($B$36="Yes",AE$101,0)+AE$119)),0)</f>
        <v>0</v>
      </c>
      <c r="AF120" s="313" t="n">
        <f>IF(AF$69=1,MAX(0,MIN($B$37*INDEX($Q$31:$Q$33,MATCH($B$6,$J$31:$J$33,0)),'VALUATION &amp; RETURNS'!$DA$8*1000000*INDEX($O$31:$O$33,MATCH($B$6,$J$31:$J$33,0))*MAX(0,$B$38+INDEX($R$31:$R$33,MATCH($B$6,$J$31:$J$33,0))),AF$74+AF$81+AF$82+IF($B$36="Yes",AF$101,0)+AF$119)),0)</f>
        <v>0</v>
      </c>
      <c r="AG120" s="313" t="n">
        <f>IF(AG$69=1,MAX(0,MIN($B$37*INDEX($Q$31:$Q$33,MATCH($B$6,$J$31:$J$33,0)),'VALUATION &amp; RETURNS'!$DA$8*1000000*INDEX($O$31:$O$33,MATCH($B$6,$J$31:$J$33,0))*MAX(0,$B$38+INDEX($R$31:$R$33,MATCH($B$6,$J$31:$J$33,0))),AG$74+AG$81+AG$82+IF($B$36="Yes",AG$101,0)+AG$119)),0)</f>
        <v>0</v>
      </c>
      <c r="AH120" s="313" t="n">
        <f>IF(AH$69=1,MAX(0,MIN($B$37*INDEX($Q$31:$Q$33,MATCH($B$6,$J$31:$J$33,0)),'VALUATION &amp; RETURNS'!$DA$8*1000000*INDEX($O$31:$O$33,MATCH($B$6,$J$31:$J$33,0))*MAX(0,$B$38+INDEX($R$31:$R$33,MATCH($B$6,$J$31:$J$33,0))),AH$74+AH$81+AH$82+IF($B$36="Yes",AH$101,0)+AH$119)),0)</f>
        <v>0</v>
      </c>
      <c r="AI120" s="313" t="n">
        <f>IF(AI$69=1,MAX(0,MIN($B$37*INDEX($Q$31:$Q$33,MATCH($B$6,$J$31:$J$33,0)),'VALUATION &amp; RETURNS'!$DA$8*1000000*INDEX($O$31:$O$33,MATCH($B$6,$J$31:$J$33,0))*MAX(0,$B$38+INDEX($R$31:$R$33,MATCH($B$6,$J$31:$J$33,0))),AI$74+AI$81+AI$82+IF($B$36="Yes",AI$101,0)+AI$119)),0)</f>
        <v>0</v>
      </c>
      <c r="AJ120" s="313" t="n">
        <f>IF(AJ$69=1,MAX(0,MIN($B$37*INDEX($Q$31:$Q$33,MATCH($B$6,$J$31:$J$33,0)),'VALUATION &amp; RETURNS'!$DA$8*1000000*INDEX($O$31:$O$33,MATCH($B$6,$J$31:$J$33,0))*MAX(0,$B$38+INDEX($R$31:$R$33,MATCH($B$6,$J$31:$J$33,0))),AJ$74+AJ$81+AJ$82+IF($B$36="Yes",AJ$101,0)+AJ$119)),0)</f>
        <v>0</v>
      </c>
      <c r="AK120" s="313" t="n">
        <f>IF(AK$69=1,MAX(0,MIN($B$37*INDEX($Q$31:$Q$33,MATCH($B$6,$J$31:$J$33,0)),'VALUATION &amp; RETURNS'!$DA$8*1000000*INDEX($O$31:$O$33,MATCH($B$6,$J$31:$J$33,0))*MAX(0,$B$38+INDEX($R$31:$R$33,MATCH($B$6,$J$31:$J$33,0))),AK$74+AK$81+AK$82+IF($B$36="Yes",AK$101,0)+AK$119)),0)</f>
        <v>0</v>
      </c>
      <c r="AL120" s="313" t="n">
        <f>IF(AL$69=1,MAX(0,MIN($B$37*INDEX($Q$31:$Q$33,MATCH($B$6,$J$31:$J$33,0)),'VALUATION &amp; RETURNS'!$DA$8*1000000*INDEX($O$31:$O$33,MATCH($B$6,$J$31:$J$33,0))*MAX(0,$B$38+INDEX($R$31:$R$33,MATCH($B$6,$J$31:$J$33,0))),AL$74+AL$81+AL$82+IF($B$36="Yes",AL$101,0)+AL$119)),0)</f>
        <v>0</v>
      </c>
      <c r="AM120" s="313" t="n">
        <f>IF(AM$69=1,MAX(0,MIN($B$37*INDEX($Q$31:$Q$33,MATCH($B$6,$J$31:$J$33,0)),'VALUATION &amp; RETURNS'!$DA$8*1000000*INDEX($O$31:$O$33,MATCH($B$6,$J$31:$J$33,0))*MAX(0,$B$38+INDEX($R$31:$R$33,MATCH($B$6,$J$31:$J$33,0))),AM$74+AM$81+AM$82+IF($B$36="Yes",AM$101,0)+AM$119)),0)</f>
        <v>0</v>
      </c>
      <c r="AN120" s="313" t="n">
        <f>IF(AN$69=1,MAX(0,MIN($B$37*INDEX($Q$31:$Q$33,MATCH($B$6,$J$31:$J$33,0)),'VALUATION &amp; RETURNS'!$DA$8*1000000*INDEX($O$31:$O$33,MATCH($B$6,$J$31:$J$33,0))*MAX(0,$B$38+INDEX($R$31:$R$33,MATCH($B$6,$J$31:$J$33,0))),AN$74+AN$81+AN$82+IF($B$36="Yes",AN$101,0)+AN$119)),0)</f>
        <v>0</v>
      </c>
      <c r="AO120" s="313" t="n">
        <f>IF(AO$69=1,MAX(0,MIN($B$37*INDEX($Q$31:$Q$33,MATCH($B$6,$J$31:$J$33,0)),'VALUATION &amp; RETURNS'!$DA$8*1000000*INDEX($O$31:$O$33,MATCH($B$6,$J$31:$J$33,0))*MAX(0,$B$38+INDEX($R$31:$R$33,MATCH($B$6,$J$31:$J$33,0))),AO$74+AO$81+AO$82+IF($B$36="Yes",AO$101,0)+AO$119)),0)</f>
        <v>0</v>
      </c>
      <c r="AP120" s="313" t="n">
        <f>IF(AP$69=1,MAX(0,MIN($B$37*INDEX($Q$31:$Q$33,MATCH($B$6,$J$31:$J$33,0)),'VALUATION &amp; RETURNS'!$DA$8*1000000*INDEX($O$31:$O$33,MATCH($B$6,$J$31:$J$33,0))*MAX(0,$B$38+INDEX($R$31:$R$33,MATCH($B$6,$J$31:$J$33,0))),AP$74+AP$81+AP$82+IF($B$36="Yes",AP$101,0)+AP$119)),0)</f>
        <v>0</v>
      </c>
      <c r="AQ120" s="313" t="n">
        <f>IF(AQ$69=1,MAX(0,MIN($B$37*INDEX($Q$31:$Q$33,MATCH($B$6,$J$31:$J$33,0)),'VALUATION &amp; RETURNS'!$DA$8*1000000*INDEX($O$31:$O$33,MATCH($B$6,$J$31:$J$33,0))*MAX(0,$B$38+INDEX($R$31:$R$33,MATCH($B$6,$J$31:$J$33,0))),AQ$74+AQ$81+AQ$82+IF($B$36="Yes",AQ$101,0)+AQ$119)),0)</f>
        <v>0</v>
      </c>
      <c r="AR120" s="313" t="n">
        <f>IF(AR$69=1,MAX(0,MIN($B$37*INDEX($Q$31:$Q$33,MATCH($B$6,$J$31:$J$33,0)),'VALUATION &amp; RETURNS'!$DA$8*1000000*INDEX($O$31:$O$33,MATCH($B$6,$J$31:$J$33,0))*MAX(0,$B$38+INDEX($R$31:$R$33,MATCH($B$6,$J$31:$J$33,0))),AR$74+AR$81+AR$82+IF($B$36="Yes",AR$101,0)+AR$119)),0)</f>
        <v>0</v>
      </c>
      <c r="AS120" s="313" t="n">
        <f>IF(AS$69=1,MAX(0,MIN($B$37*INDEX($Q$31:$Q$33,MATCH($B$6,$J$31:$J$33,0)),'VALUATION &amp; RETURNS'!$DA$8*1000000*INDEX($O$31:$O$33,MATCH($B$6,$J$31:$J$33,0))*MAX(0,$B$38+INDEX($R$31:$R$33,MATCH($B$6,$J$31:$J$33,0))),AS$74+AS$81+AS$82+IF($B$36="Yes",AS$101,0)+AS$119)),0)</f>
        <v>0</v>
      </c>
      <c r="AT120" s="313" t="n">
        <f>IF(AT$69=1,MAX(0,MIN($B$37*INDEX($Q$31:$Q$33,MATCH($B$6,$J$31:$J$33,0)),'VALUATION &amp; RETURNS'!$DA$8*1000000*INDEX($O$31:$O$33,MATCH($B$6,$J$31:$J$33,0))*MAX(0,$B$38+INDEX($R$31:$R$33,MATCH($B$6,$J$31:$J$33,0))),AT$74+AT$81+AT$82+IF($B$36="Yes",AT$101,0)+AT$119)),0)</f>
        <v>0</v>
      </c>
      <c r="AU120" s="313" t="n">
        <f>IF(AU$69=1,MAX(0,MIN($B$37*INDEX($Q$31:$Q$33,MATCH($B$6,$J$31:$J$33,0)),'VALUATION &amp; RETURNS'!$DA$8*1000000*INDEX($O$31:$O$33,MATCH($B$6,$J$31:$J$33,0))*MAX(0,$B$38+INDEX($R$31:$R$33,MATCH($B$6,$J$31:$J$33,0))),AU$74+AU$81+AU$82+IF($B$36="Yes",AU$101,0)+AU$119)),0)</f>
        <v>0</v>
      </c>
      <c r="AV120" s="313" t="n">
        <f>IF(AV$69=1,MAX(0,MIN($B$37*INDEX($Q$31:$Q$33,MATCH($B$6,$J$31:$J$33,0)),'VALUATION &amp; RETURNS'!$DA$8*1000000*INDEX($O$31:$O$33,MATCH($B$6,$J$31:$J$33,0))*MAX(0,$B$38+INDEX($R$31:$R$33,MATCH($B$6,$J$31:$J$33,0))),AV$74+AV$81+AV$82+IF($B$36="Yes",AV$101,0)+AV$119)),0)</f>
        <v>0</v>
      </c>
      <c r="AW120" s="313" t="n">
        <f>IF(AW$69=1,MAX(0,MIN($B$37*INDEX($Q$31:$Q$33,MATCH($B$6,$J$31:$J$33,0)),'VALUATION &amp; RETURNS'!$DA$8*1000000*INDEX($O$31:$O$33,MATCH($B$6,$J$31:$J$33,0))*MAX(0,$B$38+INDEX($R$31:$R$33,MATCH($B$6,$J$31:$J$33,0))),AW$74+AW$81+AW$82+IF($B$36="Yes",AW$101,0)+AW$119)),0)</f>
        <v>0</v>
      </c>
      <c r="AX120" s="313" t="n">
        <f>IF(AX$69=1,MAX(0,MIN($B$37*INDEX($Q$31:$Q$33,MATCH($B$6,$J$31:$J$33,0)),'VALUATION &amp; RETURNS'!$DA$8*1000000*INDEX($O$31:$O$33,MATCH($B$6,$J$31:$J$33,0))*MAX(0,$B$38+INDEX($R$31:$R$33,MATCH($B$6,$J$31:$J$33,0))),AX$74+AX$81+AX$82+IF($B$36="Yes",AX$101,0)+AX$119)),0)</f>
        <v>0</v>
      </c>
      <c r="AY120" s="313" t="n">
        <f>IF(AY$69=1,MAX(0,MIN($B$37*INDEX($Q$31:$Q$33,MATCH($B$6,$J$31:$J$33,0)),'VALUATION &amp; RETURNS'!$DA$8*1000000*INDEX($O$31:$O$33,MATCH($B$6,$J$31:$J$33,0))*MAX(0,$B$38+INDEX($R$31:$R$33,MATCH($B$6,$J$31:$J$33,0))),AY$74+AY$81+AY$82+IF($B$36="Yes",AY$101,0)+AY$119)),0)</f>
        <v>0</v>
      </c>
      <c r="AZ120" s="313" t="n">
        <f>IF(AZ$69=1,MAX(0,MIN($B$37*INDEX($Q$31:$Q$33,MATCH($B$6,$J$31:$J$33,0)),'VALUATION &amp; RETURNS'!$DA$8*1000000*INDEX($O$31:$O$33,MATCH($B$6,$J$31:$J$33,0))*MAX(0,$B$38+INDEX($R$31:$R$33,MATCH($B$6,$J$31:$J$33,0))),AZ$74+AZ$81+AZ$82+IF($B$36="Yes",AZ$101,0)+AZ$119)),0)</f>
        <v>0</v>
      </c>
      <c r="BA120" s="313" t="n">
        <f>IF(BA$69=1,MAX(0,MIN($B$37*INDEX($Q$31:$Q$33,MATCH($B$6,$J$31:$J$33,0)),'VALUATION &amp; RETURNS'!$DA$8*1000000*INDEX($O$31:$O$33,MATCH($B$6,$J$31:$J$33,0))*MAX(0,$B$38+INDEX($R$31:$R$33,MATCH($B$6,$J$31:$J$33,0))),BA$74+BA$81+BA$82+IF($B$36="Yes",BA$101,0)+BA$119)),0)</f>
        <v>0</v>
      </c>
      <c r="BB120" s="313" t="n">
        <f>IF(BB$69=1,MAX(0,MIN($B$37*INDEX($Q$31:$Q$33,MATCH($B$6,$J$31:$J$33,0)),'VALUATION &amp; RETURNS'!$DA$8*1000000*INDEX($O$31:$O$33,MATCH($B$6,$J$31:$J$33,0))*MAX(0,$B$38+INDEX($R$31:$R$33,MATCH($B$6,$J$31:$J$33,0))),BB$74+BB$81+BB$82+IF($B$36="Yes",BB$101,0)+BB$119)),0)</f>
        <v>0</v>
      </c>
      <c r="BC120" s="313" t="n">
        <f>IF(BC$69=1,MAX(0,MIN($B$37*INDEX($Q$31:$Q$33,MATCH($B$6,$J$31:$J$33,0)),'VALUATION &amp; RETURNS'!$DA$8*1000000*INDEX($O$31:$O$33,MATCH($B$6,$J$31:$J$33,0))*MAX(0,$B$38+INDEX($R$31:$R$33,MATCH($B$6,$J$31:$J$33,0))),BC$74+BC$81+BC$82+IF($B$36="Yes",BC$101,0)+BC$119)),0)</f>
        <v>211459306.73879617</v>
      </c>
      <c r="BD120" s="313" t="n">
        <f>IF(BD$69=1,MAX(0,MIN($B$37*INDEX($Q$31:$Q$33,MATCH($B$6,$J$31:$J$33,0)),'VALUATION &amp; RETURNS'!$DA$8*1000000*INDEX($O$31:$O$33,MATCH($B$6,$J$31:$J$33,0))*MAX(0,$B$38+INDEX($R$31:$R$33,MATCH($B$6,$J$31:$J$33,0))),BD$74+BD$81+BD$82+IF($B$36="Yes",BD$101,0)+BD$119)),0)</f>
        <v>0</v>
      </c>
      <c r="BE120" s="313" t="n">
        <f>IF(BE$69=1,MAX(0,MIN($B$37*INDEX($Q$31:$Q$33,MATCH($B$6,$J$31:$J$33,0)),'VALUATION &amp; RETURNS'!$DA$8*1000000*INDEX($O$31:$O$33,MATCH($B$6,$J$31:$J$33,0))*MAX(0,$B$38+INDEX($R$31:$R$33,MATCH($B$6,$J$31:$J$33,0))),BE$74+BE$81+BE$82+IF($B$36="Yes",BE$101,0)+BE$119)),0)</f>
        <v>0</v>
      </c>
      <c r="BF120" s="313" t="n">
        <f>IF(BF$69=1,MAX(0,MIN($B$37*INDEX($Q$31:$Q$33,MATCH($B$6,$J$31:$J$33,0)),'VALUATION &amp; RETURNS'!$DA$8*1000000*INDEX($O$31:$O$33,MATCH($B$6,$J$31:$J$33,0))*MAX(0,$B$38+INDEX($R$31:$R$33,MATCH($B$6,$J$31:$J$33,0))),BF$74+BF$81+BF$82+IF($B$36="Yes",BF$101,0)+BF$119)),0)</f>
        <v>0</v>
      </c>
      <c r="BG120" s="313" t="n">
        <f>IF(BG$69=1,MAX(0,MIN($B$37*INDEX($Q$31:$Q$33,MATCH($B$6,$J$31:$J$33,0)),'VALUATION &amp; RETURNS'!$DA$8*1000000*INDEX($O$31:$O$33,MATCH($B$6,$J$31:$J$33,0))*MAX(0,$B$38+INDEX($R$31:$R$33,MATCH($B$6,$J$31:$J$33,0))),BG$74+BG$81+BG$82+IF($B$36="Yes",BG$101,0)+BG$119)),0)</f>
        <v>0</v>
      </c>
      <c r="BH120" s="313" t="n">
        <f>IF(BH$69=1,MAX(0,MIN($B$37*INDEX($Q$31:$Q$33,MATCH($B$6,$J$31:$J$33,0)),'VALUATION &amp; RETURNS'!$DA$8*1000000*INDEX($O$31:$O$33,MATCH($B$6,$J$31:$J$33,0))*MAX(0,$B$38+INDEX($R$31:$R$33,MATCH($B$6,$J$31:$J$33,0))),BH$74+BH$81+BH$82+IF($B$36="Yes",BH$101,0)+BH$119)),0)</f>
        <v>0</v>
      </c>
      <c r="BI120" s="313" t="n">
        <f>IF(BI$69=1,MAX(0,MIN($B$37*INDEX($Q$31:$Q$33,MATCH($B$6,$J$31:$J$33,0)),'VALUATION &amp; RETURNS'!$DA$8*1000000*INDEX($O$31:$O$33,MATCH($B$6,$J$31:$J$33,0))*MAX(0,$B$38+INDEX($R$31:$R$33,MATCH($B$6,$J$31:$J$33,0))),BI$74+BI$81+BI$82+IF($B$36="Yes",BI$101,0)+BI$119)),0)</f>
        <v>0</v>
      </c>
      <c r="BJ120" s="313" t="n">
        <f>IF(BJ$69=1,MAX(0,MIN($B$37*INDEX($Q$31:$Q$33,MATCH($B$6,$J$31:$J$33,0)),'VALUATION &amp; RETURNS'!$DA$8*1000000*INDEX($O$31:$O$33,MATCH($B$6,$J$31:$J$33,0))*MAX(0,$B$38+INDEX($R$31:$R$33,MATCH($B$6,$J$31:$J$33,0))),BJ$74+BJ$81+BJ$82+IF($B$36="Yes",BJ$101,0)+BJ$119)),0)</f>
        <v>0</v>
      </c>
      <c r="BK120" s="313" t="n">
        <f>IF(BK$69=1,MAX(0,MIN($B$37*INDEX($Q$31:$Q$33,MATCH($B$6,$J$31:$J$33,0)),'VALUATION &amp; RETURNS'!$DA$8*1000000*INDEX($O$31:$O$33,MATCH($B$6,$J$31:$J$33,0))*MAX(0,$B$38+INDEX($R$31:$R$33,MATCH($B$6,$J$31:$J$33,0))),BK$74+BK$81+BK$82+IF($B$36="Yes",BK$101,0)+BK$119)),0)</f>
        <v>0</v>
      </c>
      <c r="BL120" s="313" t="n">
        <f>IF(BL$69=1,MAX(0,MIN($B$37*INDEX($Q$31:$Q$33,MATCH($B$6,$J$31:$J$33,0)),'VALUATION &amp; RETURNS'!$DA$8*1000000*INDEX($O$31:$O$33,MATCH($B$6,$J$31:$J$33,0))*MAX(0,$B$38+INDEX($R$31:$R$33,MATCH($B$6,$J$31:$J$33,0))),BL$74+BL$81+BL$82+IF($B$36="Yes",BL$101,0)+BL$119)),0)</f>
        <v>0</v>
      </c>
      <c r="BM120" s="313" t="n">
        <f>IF(BM$69=1,MAX(0,MIN($B$37*INDEX($Q$31:$Q$33,MATCH($B$6,$J$31:$J$33,0)),'VALUATION &amp; RETURNS'!$DA$8*1000000*INDEX($O$31:$O$33,MATCH($B$6,$J$31:$J$33,0))*MAX(0,$B$38+INDEX($R$31:$R$33,MATCH($B$6,$J$31:$J$33,0))),BM$74+BM$81+BM$82+IF($B$36="Yes",BM$101,0)+BM$119)),0)</f>
        <v>0</v>
      </c>
      <c r="BN120" s="313" t="n">
        <f>IF(BN$69=1,MAX(0,MIN($B$37*INDEX($Q$31:$Q$33,MATCH($B$6,$J$31:$J$33,0)),'VALUATION &amp; RETURNS'!$DA$8*1000000*INDEX($O$31:$O$33,MATCH($B$6,$J$31:$J$33,0))*MAX(0,$B$38+INDEX($R$31:$R$33,MATCH($B$6,$J$31:$J$33,0))),BN$74+BN$81+BN$82+IF($B$36="Yes",BN$101,0)+BN$119)),0)</f>
        <v>0</v>
      </c>
      <c r="BO120" s="313" t="n">
        <f>IF(BO$69=1,MAX(0,MIN($B$37*INDEX($Q$31:$Q$33,MATCH($B$6,$J$31:$J$33,0)),'VALUATION &amp; RETURNS'!$DA$8*1000000*INDEX($O$31:$O$33,MATCH($B$6,$J$31:$J$33,0))*MAX(0,$B$38+INDEX($R$31:$R$33,MATCH($B$6,$J$31:$J$33,0))),BO$74+BO$81+BO$82+IF($B$36="Yes",BO$101,0)+BO$119)),0)</f>
        <v>0</v>
      </c>
      <c r="BP120" s="313" t="n">
        <f>IF(BP$69=1,MAX(0,MIN($B$37*INDEX($Q$31:$Q$33,MATCH($B$6,$J$31:$J$33,0)),'VALUATION &amp; RETURNS'!$DA$8*1000000*INDEX($O$31:$O$33,MATCH($B$6,$J$31:$J$33,0))*MAX(0,$B$38+INDEX($R$31:$R$33,MATCH($B$6,$J$31:$J$33,0))),BP$74+BP$81+BP$82+IF($B$36="Yes",BP$101,0)+BP$119)),0)</f>
        <v>0</v>
      </c>
      <c r="BQ120" s="313" t="n">
        <f>IF(BQ$69=1,MAX(0,MIN($B$37*INDEX($Q$31:$Q$33,MATCH($B$6,$J$31:$J$33,0)),'VALUATION &amp; RETURNS'!$DA$8*1000000*INDEX($O$31:$O$33,MATCH($B$6,$J$31:$J$33,0))*MAX(0,$B$38+INDEX($R$31:$R$33,MATCH($B$6,$J$31:$J$33,0))),BQ$74+BQ$81+BQ$82+IF($B$36="Yes",BQ$101,0)+BQ$119)),0)</f>
        <v>0</v>
      </c>
      <c r="BR120" s="313" t="n">
        <f>IF(BR$69=1,MAX(0,MIN($B$37*INDEX($Q$31:$Q$33,MATCH($B$6,$J$31:$J$33,0)),'VALUATION &amp; RETURNS'!$DA$8*1000000*INDEX($O$31:$O$33,MATCH($B$6,$J$31:$J$33,0))*MAX(0,$B$38+INDEX($R$31:$R$33,MATCH($B$6,$J$31:$J$33,0))),BR$74+BR$81+BR$82+IF($B$36="Yes",BR$101,0)+BR$119)),0)</f>
        <v>0</v>
      </c>
      <c r="BS120" s="313" t="n">
        <f>IF(BS$69=1,MAX(0,MIN($B$37*INDEX($Q$31:$Q$33,MATCH($B$6,$J$31:$J$33,0)),'VALUATION &amp; RETURNS'!$DA$8*1000000*INDEX($O$31:$O$33,MATCH($B$6,$J$31:$J$33,0))*MAX(0,$B$38+INDEX($R$31:$R$33,MATCH($B$6,$J$31:$J$33,0))),BS$74+BS$81+BS$82+IF($B$36="Yes",BS$101,0)+BS$119)),0)</f>
        <v>0</v>
      </c>
      <c r="BT120" s="313" t="n">
        <f>IF(BT$69=1,MAX(0,MIN($B$37*INDEX($Q$31:$Q$33,MATCH($B$6,$J$31:$J$33,0)),'VALUATION &amp; RETURNS'!$DA$8*1000000*INDEX($O$31:$O$33,MATCH($B$6,$J$31:$J$33,0))*MAX(0,$B$38+INDEX($R$31:$R$33,MATCH($B$6,$J$31:$J$33,0))),BT$74+BT$81+BT$82+IF($B$36="Yes",BT$101,0)+BT$119)),0)</f>
        <v>0</v>
      </c>
      <c r="BU120" s="313" t="n">
        <f>IF(BU$69=1,MAX(0,MIN($B$37*INDEX($Q$31:$Q$33,MATCH($B$6,$J$31:$J$33,0)),'VALUATION &amp; RETURNS'!$DA$8*1000000*INDEX($O$31:$O$33,MATCH($B$6,$J$31:$J$33,0))*MAX(0,$B$38+INDEX($R$31:$R$33,MATCH($B$6,$J$31:$J$33,0))),BU$74+BU$81+BU$82+IF($B$36="Yes",BU$101,0)+BU$119)),0)</f>
        <v>0</v>
      </c>
      <c r="BV120" s="313" t="n">
        <f>IF(BV$69=1,MAX(0,MIN($B$37*INDEX($Q$31:$Q$33,MATCH($B$6,$J$31:$J$33,0)),'VALUATION &amp; RETURNS'!$DA$8*1000000*INDEX($O$31:$O$33,MATCH($B$6,$J$31:$J$33,0))*MAX(0,$B$38+INDEX($R$31:$R$33,MATCH($B$6,$J$31:$J$33,0))),BV$74+BV$81+BV$82+IF($B$36="Yes",BV$101,0)+BV$119)),0)</f>
        <v>0</v>
      </c>
      <c r="BW120" s="313" t="n">
        <f>IF(BW$69=1,MAX(0,MIN($B$37*INDEX($Q$31:$Q$33,MATCH($B$6,$J$31:$J$33,0)),'VALUATION &amp; RETURNS'!$DA$8*1000000*INDEX($O$31:$O$33,MATCH($B$6,$J$31:$J$33,0))*MAX(0,$B$38+INDEX($R$31:$R$33,MATCH($B$6,$J$31:$J$33,0))),BW$74+BW$81+BW$82+IF($B$36="Yes",BW$101,0)+BW$119)),0)</f>
        <v>0</v>
      </c>
      <c r="BX120" s="313" t="n">
        <f>IF(BX$69=1,MAX(0,MIN($B$37*INDEX($Q$31:$Q$33,MATCH($B$6,$J$31:$J$33,0)),'VALUATION &amp; RETURNS'!$DA$8*1000000*INDEX($O$31:$O$33,MATCH($B$6,$J$31:$J$33,0))*MAX(0,$B$38+INDEX($R$31:$R$33,MATCH($B$6,$J$31:$J$33,0))),BX$74+BX$81+BX$82+IF($B$36="Yes",BX$101,0)+BX$119)),0)</f>
        <v>0</v>
      </c>
      <c r="BY120" s="313" t="n">
        <f>IF(BY$69=1,MAX(0,MIN($B$37*INDEX($Q$31:$Q$33,MATCH($B$6,$J$31:$J$33,0)),'VALUATION &amp; RETURNS'!$DA$8*1000000*INDEX($O$31:$O$33,MATCH($B$6,$J$31:$J$33,0))*MAX(0,$B$38+INDEX($R$31:$R$33,MATCH($B$6,$J$31:$J$33,0))),BY$74+BY$81+BY$82+IF($B$36="Yes",BY$101,0)+BY$119)),0)</f>
        <v>0</v>
      </c>
      <c r="BZ120" s="313" t="n">
        <f>IF(BZ$69=1,MAX(0,MIN($B$37*INDEX($Q$31:$Q$33,MATCH($B$6,$J$31:$J$33,0)),'VALUATION &amp; RETURNS'!$DA$8*1000000*INDEX($O$31:$O$33,MATCH($B$6,$J$31:$J$33,0))*MAX(0,$B$38+INDEX($R$31:$R$33,MATCH($B$6,$J$31:$J$33,0))),BZ$74+BZ$81+BZ$82+IF($B$36="Yes",BZ$101,0)+BZ$119)),0)</f>
        <v>0</v>
      </c>
      <c r="CA120" s="313" t="n">
        <f>IF(CA$69=1,MAX(0,MIN($B$37*INDEX($Q$31:$Q$33,MATCH($B$6,$J$31:$J$33,0)),'VALUATION &amp; RETURNS'!$DA$8*1000000*INDEX($O$31:$O$33,MATCH($B$6,$J$31:$J$33,0))*MAX(0,$B$38+INDEX($R$31:$R$33,MATCH($B$6,$J$31:$J$33,0))),CA$74+CA$81+CA$82+IF($B$36="Yes",CA$101,0)+CA$119)),0)</f>
        <v>0</v>
      </c>
      <c r="CB120" s="313" t="n">
        <f>IF(CB$69=1,MAX(0,MIN($B$37*INDEX($Q$31:$Q$33,MATCH($B$6,$J$31:$J$33,0)),'VALUATION &amp; RETURNS'!$DA$8*1000000*INDEX($O$31:$O$33,MATCH($B$6,$J$31:$J$33,0))*MAX(0,$B$38+INDEX($R$31:$R$33,MATCH($B$6,$J$31:$J$33,0))),CB$74+CB$81+CB$82+IF($B$36="Yes",CB$101,0)+CB$119)),0)</f>
        <v>0</v>
      </c>
      <c r="CC120" s="313" t="n">
        <f>IF(CC$69=1,MAX(0,MIN($B$37*INDEX($Q$31:$Q$33,MATCH($B$6,$J$31:$J$33,0)),'VALUATION &amp; RETURNS'!$DA$8*1000000*INDEX($O$31:$O$33,MATCH($B$6,$J$31:$J$33,0))*MAX(0,$B$38+INDEX($R$31:$R$33,MATCH($B$6,$J$31:$J$33,0))),CC$74+CC$81+CC$82+IF($B$36="Yes",CC$101,0)+CC$119)),0)</f>
        <v>0</v>
      </c>
      <c r="CD120" s="313" t="n">
        <f>IF(CD$69=1,MAX(0,MIN($B$37*INDEX($Q$31:$Q$33,MATCH($B$6,$J$31:$J$33,0)),'VALUATION &amp; RETURNS'!$DA$8*1000000*INDEX($O$31:$O$33,MATCH($B$6,$J$31:$J$33,0))*MAX(0,$B$38+INDEX($R$31:$R$33,MATCH($B$6,$J$31:$J$33,0))),CD$74+CD$81+CD$82+IF($B$36="Yes",CD$101,0)+CD$119)),0)</f>
        <v>0</v>
      </c>
      <c r="CE120" s="313" t="n">
        <f>IF(CE$69=1,MAX(0,MIN($B$37*INDEX($Q$31:$Q$33,MATCH($B$6,$J$31:$J$33,0)),'VALUATION &amp; RETURNS'!$DA$8*1000000*INDEX($O$31:$O$33,MATCH($B$6,$J$31:$J$33,0))*MAX(0,$B$38+INDEX($R$31:$R$33,MATCH($B$6,$J$31:$J$33,0))),CE$74+CE$81+CE$82+IF($B$36="Yes",CE$101,0)+CE$119)),0)</f>
        <v>0</v>
      </c>
      <c r="CF120" s="313" t="n">
        <f>IF(CF$69=1,MAX(0,MIN($B$37*INDEX($Q$31:$Q$33,MATCH($B$6,$J$31:$J$33,0)),'VALUATION &amp; RETURNS'!$DA$8*1000000*INDEX($O$31:$O$33,MATCH($B$6,$J$31:$J$33,0))*MAX(0,$B$38+INDEX($R$31:$R$33,MATCH($B$6,$J$31:$J$33,0))),CF$74+CF$81+CF$82+IF($B$36="Yes",CF$101,0)+CF$119)),0)</f>
        <v>0</v>
      </c>
      <c r="CG120" s="313" t="n">
        <f>IF(CG$69=1,MAX(0,MIN($B$37*INDEX($Q$31:$Q$33,MATCH($B$6,$J$31:$J$33,0)),'VALUATION &amp; RETURNS'!$DA$8*1000000*INDEX($O$31:$O$33,MATCH($B$6,$J$31:$J$33,0))*MAX(0,$B$38+INDEX($R$31:$R$33,MATCH($B$6,$J$31:$J$33,0))),CG$74+CG$81+CG$82+IF($B$36="Yes",CG$101,0)+CG$119)),0)</f>
        <v>0</v>
      </c>
      <c r="CH120" s="313" t="n">
        <f>IF(CH$69=1,MAX(0,MIN($B$37*INDEX($Q$31:$Q$33,MATCH($B$6,$J$31:$J$33,0)),'VALUATION &amp; RETURNS'!$DA$8*1000000*INDEX($O$31:$O$33,MATCH($B$6,$J$31:$J$33,0))*MAX(0,$B$38+INDEX($R$31:$R$33,MATCH($B$6,$J$31:$J$33,0))),CH$74+CH$81+CH$82+IF($B$36="Yes",CH$101,0)+CH$119)),0)</f>
        <v>0</v>
      </c>
      <c r="CI120" s="313" t="n">
        <f>IF(CI$69=1,MAX(0,MIN($B$37*INDEX($Q$31:$Q$33,MATCH($B$6,$J$31:$J$33,0)),'VALUATION &amp; RETURNS'!$DA$8*1000000*INDEX($O$31:$O$33,MATCH($B$6,$J$31:$J$33,0))*MAX(0,$B$38+INDEX($R$31:$R$33,MATCH($B$6,$J$31:$J$33,0))),CI$74+CI$81+CI$82+IF($B$36="Yes",CI$101,0)+CI$119)),0)</f>
        <v>0</v>
      </c>
      <c r="CJ120" s="313" t="n">
        <f>IF(CJ$69=1,MAX(0,MIN($B$37*INDEX($Q$31:$Q$33,MATCH($B$6,$J$31:$J$33,0)),'VALUATION &amp; RETURNS'!$DA$8*1000000*INDEX($O$31:$O$33,MATCH($B$6,$J$31:$J$33,0))*MAX(0,$B$38+INDEX($R$31:$R$33,MATCH($B$6,$J$31:$J$33,0))),CJ$74+CJ$81+CJ$82+IF($B$36="Yes",CJ$101,0)+CJ$119)),0)</f>
        <v>0</v>
      </c>
      <c r="CK120" s="313" t="n">
        <f>IF(CK$69=1,MAX(0,MIN($B$37*INDEX($Q$31:$Q$33,MATCH($B$6,$J$31:$J$33,0)),'VALUATION &amp; RETURNS'!$DA$8*1000000*INDEX($O$31:$O$33,MATCH($B$6,$J$31:$J$33,0))*MAX(0,$B$38+INDEX($R$31:$R$33,MATCH($B$6,$J$31:$J$33,0))),CK$74+CK$81+CK$82+IF($B$36="Yes",CK$101,0)+CK$119)),0)</f>
        <v>0</v>
      </c>
      <c r="CL120" s="313" t="n">
        <f>IF(CL$69=1,MAX(0,MIN($B$37*INDEX($Q$31:$Q$33,MATCH($B$6,$J$31:$J$33,0)),'VALUATION &amp; RETURNS'!$DA$8*1000000*INDEX($O$31:$O$33,MATCH($B$6,$J$31:$J$33,0))*MAX(0,$B$38+INDEX($R$31:$R$33,MATCH($B$6,$J$31:$J$33,0))),CL$74+CL$81+CL$82+IF($B$36="Yes",CL$101,0)+CL$119)),0)</f>
        <v>0</v>
      </c>
      <c r="CM120" s="313" t="n">
        <f>IF(CM$69=1,MAX(0,MIN($B$37*INDEX($Q$31:$Q$33,MATCH($B$6,$J$31:$J$33,0)),'VALUATION &amp; RETURNS'!$DA$8*1000000*INDEX($O$31:$O$33,MATCH($B$6,$J$31:$J$33,0))*MAX(0,$B$38+INDEX($R$31:$R$33,MATCH($B$6,$J$31:$J$33,0))),CM$74+CM$81+CM$82+IF($B$36="Yes",CM$101,0)+CM$119)),0)</f>
        <v>0</v>
      </c>
      <c r="CN120" s="313" t="n">
        <f>IF(CN$69=1,MAX(0,MIN($B$37*INDEX($Q$31:$Q$33,MATCH($B$6,$J$31:$J$33,0)),'VALUATION &amp; RETURNS'!$DA$8*1000000*INDEX($O$31:$O$33,MATCH($B$6,$J$31:$J$33,0))*MAX(0,$B$38+INDEX($R$31:$R$33,MATCH($B$6,$J$31:$J$33,0))),CN$74+CN$81+CN$82+IF($B$36="Yes",CN$101,0)+CN$119)),0)</f>
        <v>0</v>
      </c>
      <c r="CO120" s="313" t="n">
        <f>IF(CO$69=1,MAX(0,MIN($B$37*INDEX($Q$31:$Q$33,MATCH($B$6,$J$31:$J$33,0)),'VALUATION &amp; RETURNS'!$DA$8*1000000*INDEX($O$31:$O$33,MATCH($B$6,$J$31:$J$33,0))*MAX(0,$B$38+INDEX($R$31:$R$33,MATCH($B$6,$J$31:$J$33,0))),CO$74+CO$81+CO$82+IF($B$36="Yes",CO$101,0)+CO$119)),0)</f>
        <v>0</v>
      </c>
      <c r="CP120" s="313" t="n">
        <f>IF(CP$69=1,MAX(0,MIN($B$37*INDEX($Q$31:$Q$33,MATCH($B$6,$J$31:$J$33,0)),'VALUATION &amp; RETURNS'!$DA$8*1000000*INDEX($O$31:$O$33,MATCH($B$6,$J$31:$J$33,0))*MAX(0,$B$38+INDEX($R$31:$R$33,MATCH($B$6,$J$31:$J$33,0))),CP$74+CP$81+CP$82+IF($B$36="Yes",CP$101,0)+CP$119)),0)</f>
        <v>0</v>
      </c>
      <c r="CQ120" s="313" t="n">
        <f>IF(CQ$69=1,MAX(0,MIN($B$37*INDEX($Q$31:$Q$33,MATCH($B$6,$J$31:$J$33,0)),'VALUATION &amp; RETURNS'!$DA$8*1000000*INDEX($O$31:$O$33,MATCH($B$6,$J$31:$J$33,0))*MAX(0,$B$38+INDEX($R$31:$R$33,MATCH($B$6,$J$31:$J$33,0))),CQ$74+CQ$81+CQ$82+IF($B$36="Yes",CQ$101,0)+CQ$119)),0)</f>
        <v>0</v>
      </c>
      <c r="CR120" s="313" t="n">
        <f>IF(CR$69=1,MAX(0,MIN($B$37*INDEX($Q$31:$Q$33,MATCH($B$6,$J$31:$J$33,0)),'VALUATION &amp; RETURNS'!$DA$8*1000000*INDEX($O$31:$O$33,MATCH($B$6,$J$31:$J$33,0))*MAX(0,$B$38+INDEX($R$31:$R$33,MATCH($B$6,$J$31:$J$33,0))),CR$74+CR$81+CR$82+IF($B$36="Yes",CR$101,0)+CR$119)),0)</f>
        <v>0</v>
      </c>
      <c r="CS120" s="313" t="n">
        <f>IF(CS$69=1,MAX(0,MIN($B$37*INDEX($Q$31:$Q$33,MATCH($B$6,$J$31:$J$33,0)),'VALUATION &amp; RETURNS'!$DA$8*1000000*INDEX($O$31:$O$33,MATCH($B$6,$J$31:$J$33,0))*MAX(0,$B$38+INDEX($R$31:$R$33,MATCH($B$6,$J$31:$J$33,0))),CS$74+CS$81+CS$82+IF($B$36="Yes",CS$101,0)+CS$119)),0)</f>
        <v>0</v>
      </c>
      <c r="CT120" s="313" t="n">
        <f>IF(CT$69=1,MAX(0,MIN($B$37*INDEX($Q$31:$Q$33,MATCH($B$6,$J$31:$J$33,0)),'VALUATION &amp; RETURNS'!$DA$8*1000000*INDEX($O$31:$O$33,MATCH($B$6,$J$31:$J$33,0))*MAX(0,$B$38+INDEX($R$31:$R$33,MATCH($B$6,$J$31:$J$33,0))),CT$74+CT$81+CT$82+IF($B$36="Yes",CT$101,0)+CT$119)),0)</f>
        <v>0</v>
      </c>
      <c r="CU120" s="313" t="n">
        <f>IF(CU$69=1,MAX(0,MIN($B$37*INDEX($Q$31:$Q$33,MATCH($B$6,$J$31:$J$33,0)),'VALUATION &amp; RETURNS'!$DA$8*1000000*INDEX($O$31:$O$33,MATCH($B$6,$J$31:$J$33,0))*MAX(0,$B$38+INDEX($R$31:$R$33,MATCH($B$6,$J$31:$J$33,0))),CU$74+CU$81+CU$82+IF($B$36="Yes",CU$101,0)+CU$119)),0)</f>
        <v>0</v>
      </c>
      <c r="CV120" s="313" t="n">
        <f>IF(CV$69=1,MAX(0,MIN($B$37*INDEX($Q$31:$Q$33,MATCH($B$6,$J$31:$J$33,0)),'VALUATION &amp; RETURNS'!$DA$8*1000000*INDEX($O$31:$O$33,MATCH($B$6,$J$31:$J$33,0))*MAX(0,$B$38+INDEX($R$31:$R$33,MATCH($B$6,$J$31:$J$33,0))),CV$74+CV$81+CV$82+IF($B$36="Yes",CV$101,0)+CV$119)),0)</f>
        <v>0</v>
      </c>
      <c r="CW120" s="313" t="n">
        <f>IF(CW$69=1,MAX(0,MIN($B$37*INDEX($Q$31:$Q$33,MATCH($B$6,$J$31:$J$33,0)),'VALUATION &amp; RETURNS'!$DA$8*1000000*INDEX($O$31:$O$33,MATCH($B$6,$J$31:$J$33,0))*MAX(0,$B$38+INDEX($R$31:$R$33,MATCH($B$6,$J$31:$J$33,0))),CW$74+CW$81+CW$82+IF($B$36="Yes",CW$101,0)+CW$119)),0)</f>
        <v>0</v>
      </c>
      <c r="CX120" s="313" t="n">
        <f>IF(CX$69=1,MAX(0,MIN($B$37*INDEX($Q$31:$Q$33,MATCH($B$6,$J$31:$J$33,0)),'VALUATION &amp; RETURNS'!$DA$8*1000000*INDEX($O$31:$O$33,MATCH($B$6,$J$31:$J$33,0))*MAX(0,$B$38+INDEX($R$31:$R$33,MATCH($B$6,$J$31:$J$33,0))),CX$74+CX$81+CX$82+IF($B$36="Yes",CX$101,0)+CX$119)),0)</f>
        <v>0</v>
      </c>
      <c r="CY120" s="313" t="n">
        <f>IF(CY$69=1,MAX(0,MIN($B$37*INDEX($Q$31:$Q$33,MATCH($B$6,$J$31:$J$33,0)),'VALUATION &amp; RETURNS'!$DA$8*1000000*INDEX($O$31:$O$33,MATCH($B$6,$J$31:$J$33,0))*MAX(0,$B$38+INDEX($R$31:$R$33,MATCH($B$6,$J$31:$J$33,0))),CY$74+CY$81+CY$82+IF($B$36="Yes",CY$101,0)+CY$119)),0)</f>
        <v>0</v>
      </c>
      <c r="CZ120" s="313" t="n">
        <f>IF(CZ$69=1,MAX(0,MIN($B$37*INDEX($Q$31:$Q$33,MATCH($B$6,$J$31:$J$33,0)),'VALUATION &amp; RETURNS'!$DA$8*1000000*INDEX($O$31:$O$33,MATCH($B$6,$J$31:$J$33,0))*MAX(0,$B$38+INDEX($R$31:$R$33,MATCH($B$6,$J$31:$J$33,0))),CZ$74+CZ$81+CZ$82+IF($B$36="Yes",CZ$101,0)+CZ$119)),0)</f>
        <v>0</v>
      </c>
      <c r="DA120" s="313" t="n">
        <f>IF(DA$69=1,MAX(0,MIN($B$37*INDEX($Q$31:$Q$33,MATCH($B$6,$J$31:$J$33,0)),'VALUATION &amp; RETURNS'!$DA$8*1000000*INDEX($O$31:$O$33,MATCH($B$6,$J$31:$J$33,0))*MAX(0,$B$38+INDEX($R$31:$R$33,MATCH($B$6,$J$31:$J$33,0))),DA$74+DA$81+DA$82+IF($B$36="Yes",DA$101,0)+DA$119)),0)</f>
        <v>0</v>
      </c>
      <c r="DB120" s="313" t="n">
        <f>IF(DB$69=1,MAX(0,MIN($B$37*INDEX($Q$31:$Q$33,MATCH($B$6,$J$31:$J$33,0)),'VALUATION &amp; RETURNS'!$DA$8*1000000*INDEX($O$31:$O$33,MATCH($B$6,$J$31:$J$33,0))*MAX(0,$B$38+INDEX($R$31:$R$33,MATCH($B$6,$J$31:$J$33,0))),DB$74+DB$81+DB$82+IF($B$36="Yes",DB$101,0)+DB$119)),0)</f>
        <v>0</v>
      </c>
      <c r="DC120" s="313" t="n">
        <f>IF(DC$69=1,MAX(0,MIN($B$37*INDEX($Q$31:$Q$33,MATCH($B$6,$J$31:$J$33,0)),'VALUATION &amp; RETURNS'!$DA$8*1000000*INDEX($O$31:$O$33,MATCH($B$6,$J$31:$J$33,0))*MAX(0,$B$38+INDEX($R$31:$R$33,MATCH($B$6,$J$31:$J$33,0))),DC$74+DC$81+DC$82+IF($B$36="Yes",DC$101,0)+DC$119)),0)</f>
        <v>0</v>
      </c>
      <c r="DD120" s="313" t="n">
        <f>IF(DD$69=1,MAX(0,MIN($B$37*INDEX($Q$31:$Q$33,MATCH($B$6,$J$31:$J$33,0)),'VALUATION &amp; RETURNS'!$DA$8*1000000*INDEX($O$31:$O$33,MATCH($B$6,$J$31:$J$33,0))*MAX(0,$B$38+INDEX($R$31:$R$33,MATCH($B$6,$J$31:$J$33,0))),DD$74+DD$81+DD$82+IF($B$36="Yes",DD$101,0)+DD$119)),0)</f>
        <v>0</v>
      </c>
      <c r="DE120" s="313" t="n">
        <f>IF(DE$69=1,MAX(0,MIN($B$37*INDEX($Q$31:$Q$33,MATCH($B$6,$J$31:$J$33,0)),'VALUATION &amp; RETURNS'!$DA$8*1000000*INDEX($O$31:$O$33,MATCH($B$6,$J$31:$J$33,0))*MAX(0,$B$38+INDEX($R$31:$R$33,MATCH($B$6,$J$31:$J$33,0))),DE$74+DE$81+DE$82+IF($B$36="Yes",DE$101,0)+DE$119)),0)</f>
        <v>0</v>
      </c>
      <c r="DF120" s="313" t="n">
        <f>IF(DF$69=1,MAX(0,MIN($B$37*INDEX($Q$31:$Q$33,MATCH($B$6,$J$31:$J$33,0)),'VALUATION &amp; RETURNS'!$DA$8*1000000*INDEX($O$31:$O$33,MATCH($B$6,$J$31:$J$33,0))*MAX(0,$B$38+INDEX($R$31:$R$33,MATCH($B$6,$J$31:$J$33,0))),DF$74+DF$81+DF$82+IF($B$36="Yes",DF$101,0)+DF$119)),0)</f>
        <v>0</v>
      </c>
      <c r="DG120" s="313" t="n">
        <f>IF(DG$69=1,MAX(0,MIN($B$37*INDEX($Q$31:$Q$33,MATCH($B$6,$J$31:$J$33,0)),'VALUATION &amp; RETURNS'!$DA$8*1000000*INDEX($O$31:$O$33,MATCH($B$6,$J$31:$J$33,0))*MAX(0,$B$38+INDEX($R$31:$R$33,MATCH($B$6,$J$31:$J$33,0))),DG$74+DG$81+DG$82+IF($B$36="Yes",DG$101,0)+DG$119)),0)</f>
        <v>0</v>
      </c>
      <c r="DH120" s="313" t="n">
        <f>IF(DH$69=1,MAX(0,MIN($B$37*INDEX($Q$31:$Q$33,MATCH($B$6,$J$31:$J$33,0)),'VALUATION &amp; RETURNS'!$DA$8*1000000*INDEX($O$31:$O$33,MATCH($B$6,$J$31:$J$33,0))*MAX(0,$B$38+INDEX($R$31:$R$33,MATCH($B$6,$J$31:$J$33,0))),DH$74+DH$81+DH$82+IF($B$36="Yes",DH$101,0)+DH$119)),0)</f>
        <v>0</v>
      </c>
      <c r="DI120" s="313" t="n">
        <f>IF(DI$69=1,MAX(0,MIN($B$37*INDEX($Q$31:$Q$33,MATCH($B$6,$J$31:$J$33,0)),'VALUATION &amp; RETURNS'!$DA$8*1000000*INDEX($O$31:$O$33,MATCH($B$6,$J$31:$J$33,0))*MAX(0,$B$38+INDEX($R$31:$R$33,MATCH($B$6,$J$31:$J$33,0))),DI$74+DI$81+DI$82+IF($B$36="Yes",DI$101,0)+DI$119)),0)</f>
        <v>0</v>
      </c>
      <c r="DJ120" s="313" t="n">
        <f>IF(DJ$69=1,MAX(0,MIN($B$37*INDEX($Q$31:$Q$33,MATCH($B$6,$J$31:$J$33,0)),'VALUATION &amp; RETURNS'!$DA$8*1000000*INDEX($O$31:$O$33,MATCH($B$6,$J$31:$J$33,0))*MAX(0,$B$38+INDEX($R$31:$R$33,MATCH($B$6,$J$31:$J$33,0))),DJ$74+DJ$81+DJ$82+IF($B$36="Yes",DJ$101,0)+DJ$119)),0)</f>
        <v>0</v>
      </c>
      <c r="DK120" s="313" t="n">
        <f>IF(DK$69=1,MAX(0,MIN($B$37*INDEX($Q$31:$Q$33,MATCH($B$6,$J$31:$J$33,0)),'VALUATION &amp; RETURNS'!$DA$8*1000000*INDEX($O$31:$O$33,MATCH($B$6,$J$31:$J$33,0))*MAX(0,$B$38+INDEX($R$31:$R$33,MATCH($B$6,$J$31:$J$33,0))),DK$74+DK$81+DK$82+IF($B$36="Yes",DK$101,0)+DK$119)),0)</f>
        <v>0</v>
      </c>
      <c r="DL120" s="313" t="n">
        <f>IF(DL$69=1,MAX(0,MIN($B$37*INDEX($Q$31:$Q$33,MATCH($B$6,$J$31:$J$33,0)),'VALUATION &amp; RETURNS'!$DA$8*1000000*INDEX($O$31:$O$33,MATCH($B$6,$J$31:$J$33,0))*MAX(0,$B$38+INDEX($R$31:$R$33,MATCH($B$6,$J$31:$J$33,0))),DL$74+DL$81+DL$82+IF($B$36="Yes",DL$101,0)+DL$119)),0)</f>
        <v>0</v>
      </c>
      <c r="DM120" s="313" t="n">
        <f>IF(DM$69=1,MAX(0,MIN($B$37*INDEX($Q$31:$Q$33,MATCH($B$6,$J$31:$J$33,0)),'VALUATION &amp; RETURNS'!$DA$8*1000000*INDEX($O$31:$O$33,MATCH($B$6,$J$31:$J$33,0))*MAX(0,$B$38+INDEX($R$31:$R$33,MATCH($B$6,$J$31:$J$33,0))),DM$74+DM$81+DM$82+IF($B$36="Yes",DM$101,0)+DM$119)),0)</f>
        <v>0</v>
      </c>
      <c r="DN120" s="313" t="n">
        <f>IF(DN$69=1,MAX(0,MIN($B$37*INDEX($Q$31:$Q$33,MATCH($B$6,$J$31:$J$33,0)),'VALUATION &amp; RETURNS'!$DA$8*1000000*INDEX($O$31:$O$33,MATCH($B$6,$J$31:$J$33,0))*MAX(0,$B$38+INDEX($R$31:$R$33,MATCH($B$6,$J$31:$J$33,0))),DN$74+DN$81+DN$82+IF($B$36="Yes",DN$101,0)+DN$119)),0)</f>
        <v>0</v>
      </c>
      <c r="DO120" s="313" t="n">
        <f>IF(DO$69=1,MAX(0,MIN($B$37*INDEX($Q$31:$Q$33,MATCH($B$6,$J$31:$J$33,0)),'VALUATION &amp; RETURNS'!$DA$8*1000000*INDEX($O$31:$O$33,MATCH($B$6,$J$31:$J$33,0))*MAX(0,$B$38+INDEX($R$31:$R$33,MATCH($B$6,$J$31:$J$33,0))),DO$74+DO$81+DO$82+IF($B$36="Yes",DO$101,0)+DO$119)),0)</f>
        <v>0</v>
      </c>
      <c r="DP120" s="313" t="n">
        <f>IF(DP$69=1,MAX(0,MIN($B$37*INDEX($Q$31:$Q$33,MATCH($B$6,$J$31:$J$33,0)),'VALUATION &amp; RETURNS'!$DA$8*1000000*INDEX($O$31:$O$33,MATCH($B$6,$J$31:$J$33,0))*MAX(0,$B$38+INDEX($R$31:$R$33,MATCH($B$6,$J$31:$J$33,0))),DP$74+DP$81+DP$82+IF($B$36="Yes",DP$101,0)+DP$119)),0)</f>
        <v>0</v>
      </c>
      <c r="DQ120" s="313" t="n">
        <f>IF(DQ$69=1,MAX(0,MIN($B$37*INDEX($Q$31:$Q$33,MATCH($B$6,$J$31:$J$33,0)),'VALUATION &amp; RETURNS'!$DA$8*1000000*INDEX($O$31:$O$33,MATCH($B$6,$J$31:$J$33,0))*MAX(0,$B$38+INDEX($R$31:$R$33,MATCH($B$6,$J$31:$J$33,0))),DQ$74+DQ$81+DQ$82+IF($B$36="Yes",DQ$101,0)+DQ$119)),0)</f>
        <v>0</v>
      </c>
      <c r="DR120" s="313" t="n">
        <f>IF(DR$69=1,MAX(0,MIN($B$37*INDEX($Q$31:$Q$33,MATCH($B$6,$J$31:$J$33,0)),'VALUATION &amp; RETURNS'!$DA$8*1000000*INDEX($O$31:$O$33,MATCH($B$6,$J$31:$J$33,0))*MAX(0,$B$38+INDEX($R$31:$R$33,MATCH($B$6,$J$31:$J$33,0))),DR$74+DR$81+DR$82+IF($B$36="Yes",DR$101,0)+DR$119)),0)</f>
        <v>0</v>
      </c>
      <c r="DS120" s="313" t="n">
        <f>IF(DS$69=1,MAX(0,MIN($B$37*INDEX($Q$31:$Q$33,MATCH($B$6,$J$31:$J$33,0)),'VALUATION &amp; RETURNS'!$DA$8*1000000*INDEX($O$31:$O$33,MATCH($B$6,$J$31:$J$33,0))*MAX(0,$B$38+INDEX($R$31:$R$33,MATCH($B$6,$J$31:$J$33,0))),DS$74+DS$81+DS$82+IF($B$36="Yes",DS$101,0)+DS$119)),0)</f>
        <v>0</v>
      </c>
      <c r="DT120" s="313" t="n">
        <f>IF(DT$69=1,MAX(0,MIN($B$37*INDEX($Q$31:$Q$33,MATCH($B$6,$J$31:$J$33,0)),'VALUATION &amp; RETURNS'!$DA$8*1000000*INDEX($O$31:$O$33,MATCH($B$6,$J$31:$J$33,0))*MAX(0,$B$38+INDEX($R$31:$R$33,MATCH($B$6,$J$31:$J$33,0))),DT$74+DT$81+DT$82+IF($B$36="Yes",DT$101,0)+DT$119)),0)</f>
        <v>0</v>
      </c>
      <c r="DU120" s="313" t="n">
        <f>IF(DU$69=1,MAX(0,MIN($B$37*INDEX($Q$31:$Q$33,MATCH($B$6,$J$31:$J$33,0)),'VALUATION &amp; RETURNS'!$DA$8*1000000*INDEX($O$31:$O$33,MATCH($B$6,$J$31:$J$33,0))*MAX(0,$B$38+INDEX($R$31:$R$33,MATCH($B$6,$J$31:$J$33,0))),DU$74+DU$81+DU$82+IF($B$36="Yes",DU$101,0)+DU$119)),0)</f>
        <v>0</v>
      </c>
      <c r="DV120" s="313" t="n">
        <f>IF(DV$69=1,MAX(0,MIN($B$37*INDEX($Q$31:$Q$33,MATCH($B$6,$J$31:$J$33,0)),'VALUATION &amp; RETURNS'!$DA$8*1000000*INDEX($O$31:$O$33,MATCH($B$6,$J$31:$J$33,0))*MAX(0,$B$38+INDEX($R$31:$R$33,MATCH($B$6,$J$31:$J$33,0))),DV$74+DV$81+DV$82+IF($B$36="Yes",DV$101,0)+DV$119)),0)</f>
        <v>0</v>
      </c>
    </row>
    <row r="121" ht="15" customHeight="1">
      <c r="A121" s="311" t="s">
        <v>1531</v>
      </c>
      <c r="B121" s="312" t="s">
        <v>1321</v>
      </c>
      <c r="C121" s="702" t="s">
        <v>1532</v>
      </c>
      <c r="D121" s="703"/>
      <c r="F121" s="313" t="n">
        <f t="shared" ref="F121:AK121" si="160">IF(F$69=1,MAX(0,F$74+F$81+F$82+IF($B$36="Yes",F$101,0)+F$119-F$120),0)</f>
        <v>0</v>
      </c>
      <c r="G121" s="313">
        <f t="shared" si="160"/>
        <v>0</v>
      </c>
      <c r="H121" s="313">
        <f t="shared" si="160"/>
        <v>0</v>
      </c>
      <c r="I121" s="313">
        <f t="shared" si="160"/>
        <v>0</v>
      </c>
      <c r="J121" s="313">
        <f t="shared" si="160"/>
        <v>0</v>
      </c>
      <c r="K121" s="313">
        <f t="shared" si="160"/>
        <v>0</v>
      </c>
      <c r="L121" s="313">
        <f t="shared" si="160"/>
        <v>0</v>
      </c>
      <c r="M121" s="313">
        <f t="shared" si="160"/>
        <v>0</v>
      </c>
      <c r="N121" s="313">
        <f t="shared" si="160"/>
        <v>0</v>
      </c>
      <c r="O121" s="313">
        <f t="shared" si="160"/>
        <v>0</v>
      </c>
      <c r="P121" s="313">
        <f t="shared" si="160"/>
        <v>0</v>
      </c>
      <c r="Q121" s="313">
        <f t="shared" si="160"/>
        <v>0</v>
      </c>
      <c r="R121" s="313">
        <f t="shared" si="160"/>
        <v>0</v>
      </c>
      <c r="S121" s="313">
        <f t="shared" si="160"/>
        <v>0</v>
      </c>
      <c r="T121" s="313">
        <f t="shared" si="160"/>
        <v>0</v>
      </c>
      <c r="U121" s="313">
        <f t="shared" si="160"/>
        <v>0</v>
      </c>
      <c r="V121" s="313">
        <f t="shared" si="160"/>
        <v>0</v>
      </c>
      <c r="W121" s="313">
        <f t="shared" si="160"/>
        <v>0</v>
      </c>
      <c r="X121" s="313">
        <f t="shared" si="160"/>
        <v>0</v>
      </c>
      <c r="Y121" s="313">
        <f t="shared" si="160"/>
        <v>0</v>
      </c>
      <c r="Z121" s="313">
        <f t="shared" si="160"/>
        <v>0</v>
      </c>
      <c r="AA121" s="313">
        <f t="shared" si="160"/>
        <v>0</v>
      </c>
      <c r="AB121" s="313">
        <f t="shared" si="160"/>
        <v>0</v>
      </c>
      <c r="AC121" s="313">
        <f t="shared" si="160"/>
        <v>0</v>
      </c>
      <c r="AD121" s="313">
        <f t="shared" si="160"/>
        <v>0</v>
      </c>
      <c r="AE121" s="313">
        <f t="shared" si="160"/>
        <v>0</v>
      </c>
      <c r="AF121" s="313">
        <f t="shared" si="160"/>
        <v>0</v>
      </c>
      <c r="AG121" s="313">
        <f t="shared" si="160"/>
        <v>0</v>
      </c>
      <c r="AH121" s="313">
        <f t="shared" si="160"/>
        <v>0</v>
      </c>
      <c r="AI121" s="313">
        <f t="shared" si="160"/>
        <v>0</v>
      </c>
      <c r="AJ121" s="313">
        <f t="shared" si="160"/>
        <v>0</v>
      </c>
      <c r="AK121" s="313">
        <f t="shared" si="160"/>
        <v>0</v>
      </c>
      <c r="AL121" s="313" t="n">
        <f t="shared" ref="AL121:BQ121" si="161">IF(AL$69=1,MAX(0,AL$74+AL$81+AL$82+IF($B$36="Yes",AL$101,0)+AL$119-AL$120),0)</f>
        <v>0</v>
      </c>
      <c r="AM121" s="313">
        <f t="shared" si="161"/>
        <v>0</v>
      </c>
      <c r="AN121" s="313">
        <f t="shared" si="161"/>
        <v>0</v>
      </c>
      <c r="AO121" s="313">
        <f t="shared" si="161"/>
        <v>0</v>
      </c>
      <c r="AP121" s="313">
        <f t="shared" si="161"/>
        <v>0</v>
      </c>
      <c r="AQ121" s="313">
        <f t="shared" si="161"/>
        <v>0</v>
      </c>
      <c r="AR121" s="313">
        <f t="shared" si="161"/>
        <v>0</v>
      </c>
      <c r="AS121" s="313">
        <f t="shared" si="161"/>
        <v>0</v>
      </c>
      <c r="AT121" s="313">
        <f t="shared" si="161"/>
        <v>0</v>
      </c>
      <c r="AU121" s="313">
        <f t="shared" si="161"/>
        <v>0</v>
      </c>
      <c r="AV121" s="313">
        <f t="shared" si="161"/>
        <v>0</v>
      </c>
      <c r="AW121" s="313">
        <f t="shared" si="161"/>
        <v>0</v>
      </c>
      <c r="AX121" s="313">
        <f t="shared" si="161"/>
        <v>0</v>
      </c>
      <c r="AY121" s="313">
        <f t="shared" si="161"/>
        <v>0</v>
      </c>
      <c r="AZ121" s="313">
        <f t="shared" si="161"/>
        <v>0</v>
      </c>
      <c r="BA121" s="313">
        <f t="shared" si="161"/>
        <v>0</v>
      </c>
      <c r="BB121" s="313">
        <f t="shared" si="161"/>
        <v>0</v>
      </c>
      <c r="BC121" s="313">
        <f t="shared" si="161"/>
        <v>0</v>
      </c>
      <c r="BD121" s="313">
        <f t="shared" si="161"/>
        <v>0</v>
      </c>
      <c r="BE121" s="313">
        <f t="shared" si="161"/>
        <v>0</v>
      </c>
      <c r="BF121" s="313">
        <f t="shared" si="161"/>
        <v>0</v>
      </c>
      <c r="BG121" s="313">
        <f t="shared" si="161"/>
        <v>0</v>
      </c>
      <c r="BH121" s="313">
        <f t="shared" si="161"/>
        <v>0</v>
      </c>
      <c r="BI121" s="313">
        <f t="shared" si="161"/>
        <v>0</v>
      </c>
      <c r="BJ121" s="313">
        <f t="shared" si="161"/>
        <v>0</v>
      </c>
      <c r="BK121" s="313">
        <f t="shared" si="161"/>
        <v>0</v>
      </c>
      <c r="BL121" s="313">
        <f t="shared" si="161"/>
        <v>0</v>
      </c>
      <c r="BM121" s="313">
        <f t="shared" si="161"/>
        <v>0</v>
      </c>
      <c r="BN121" s="313">
        <f t="shared" si="161"/>
        <v>0</v>
      </c>
      <c r="BO121" s="313">
        <f t="shared" si="161"/>
        <v>0</v>
      </c>
      <c r="BP121" s="313">
        <f t="shared" si="161"/>
        <v>0</v>
      </c>
      <c r="BQ121" s="313">
        <f t="shared" si="161"/>
        <v>0</v>
      </c>
      <c r="BR121" s="313" t="n">
        <f t="shared" ref="BR121:CW121" si="162">IF(BR$69=1,MAX(0,BR$74+BR$81+BR$82+IF($B$36="Yes",BR$101,0)+BR$119-BR$120),0)</f>
        <v>0</v>
      </c>
      <c r="BS121" s="313">
        <f t="shared" si="162"/>
        <v>0</v>
      </c>
      <c r="BT121" s="313">
        <f t="shared" si="162"/>
        <v>0</v>
      </c>
      <c r="BU121" s="313">
        <f t="shared" si="162"/>
        <v>0</v>
      </c>
      <c r="BV121" s="313">
        <f t="shared" si="162"/>
        <v>0</v>
      </c>
      <c r="BW121" s="313">
        <f t="shared" si="162"/>
        <v>0</v>
      </c>
      <c r="BX121" s="313">
        <f t="shared" si="162"/>
        <v>0</v>
      </c>
      <c r="BY121" s="313">
        <f t="shared" si="162"/>
        <v>0</v>
      </c>
      <c r="BZ121" s="313">
        <f t="shared" si="162"/>
        <v>0</v>
      </c>
      <c r="CA121" s="313">
        <f t="shared" si="162"/>
        <v>0</v>
      </c>
      <c r="CB121" s="313">
        <f t="shared" si="162"/>
        <v>0</v>
      </c>
      <c r="CC121" s="313">
        <f t="shared" si="162"/>
        <v>0</v>
      </c>
      <c r="CD121" s="313">
        <f t="shared" si="162"/>
        <v>0</v>
      </c>
      <c r="CE121" s="313">
        <f t="shared" si="162"/>
        <v>0</v>
      </c>
      <c r="CF121" s="313">
        <f t="shared" si="162"/>
        <v>0</v>
      </c>
      <c r="CG121" s="313">
        <f t="shared" si="162"/>
        <v>0</v>
      </c>
      <c r="CH121" s="313">
        <f t="shared" si="162"/>
        <v>0</v>
      </c>
      <c r="CI121" s="313">
        <f t="shared" si="162"/>
        <v>0</v>
      </c>
      <c r="CJ121" s="313">
        <f t="shared" si="162"/>
        <v>0</v>
      </c>
      <c r="CK121" s="313">
        <f t="shared" si="162"/>
        <v>0</v>
      </c>
      <c r="CL121" s="313">
        <f t="shared" si="162"/>
        <v>0</v>
      </c>
      <c r="CM121" s="313">
        <f t="shared" si="162"/>
        <v>0</v>
      </c>
      <c r="CN121" s="313">
        <f t="shared" si="162"/>
        <v>0</v>
      </c>
      <c r="CO121" s="313">
        <f t="shared" si="162"/>
        <v>0</v>
      </c>
      <c r="CP121" s="313">
        <f t="shared" si="162"/>
        <v>0</v>
      </c>
      <c r="CQ121" s="313">
        <f t="shared" si="162"/>
        <v>0</v>
      </c>
      <c r="CR121" s="313">
        <f t="shared" si="162"/>
        <v>0</v>
      </c>
      <c r="CS121" s="313">
        <f t="shared" si="162"/>
        <v>0</v>
      </c>
      <c r="CT121" s="313">
        <f t="shared" si="162"/>
        <v>0</v>
      </c>
      <c r="CU121" s="313">
        <f t="shared" si="162"/>
        <v>0</v>
      </c>
      <c r="CV121" s="313">
        <f t="shared" si="162"/>
        <v>0</v>
      </c>
      <c r="CW121" s="313">
        <f t="shared" si="162"/>
        <v>0</v>
      </c>
      <c r="CX121" s="313" t="n">
        <f t="shared" ref="CX121:DV121" si="163">IF(CX$69=1,MAX(0,CX$74+CX$81+CX$82+IF($B$36="Yes",CX$101,0)+CX$119-CX$120),0)</f>
        <v>0</v>
      </c>
      <c r="CY121" s="313">
        <f t="shared" si="163"/>
        <v>0</v>
      </c>
      <c r="CZ121" s="313">
        <f t="shared" si="163"/>
        <v>0</v>
      </c>
      <c r="DA121" s="313">
        <f t="shared" si="163"/>
        <v>0</v>
      </c>
      <c r="DB121" s="313">
        <f t="shared" si="163"/>
        <v>0</v>
      </c>
      <c r="DC121" s="313">
        <f t="shared" si="163"/>
        <v>0</v>
      </c>
      <c r="DD121" s="313">
        <f t="shared" si="163"/>
        <v>0</v>
      </c>
      <c r="DE121" s="313">
        <f t="shared" si="163"/>
        <v>0</v>
      </c>
      <c r="DF121" s="313">
        <f t="shared" si="163"/>
        <v>0</v>
      </c>
      <c r="DG121" s="313">
        <f t="shared" si="163"/>
        <v>0</v>
      </c>
      <c r="DH121" s="313">
        <f t="shared" si="163"/>
        <v>0</v>
      </c>
      <c r="DI121" s="313">
        <f t="shared" si="163"/>
        <v>0</v>
      </c>
      <c r="DJ121" s="313">
        <f t="shared" si="163"/>
        <v>0</v>
      </c>
      <c r="DK121" s="313">
        <f t="shared" si="163"/>
        <v>0</v>
      </c>
      <c r="DL121" s="313">
        <f t="shared" si="163"/>
        <v>0</v>
      </c>
      <c r="DM121" s="313">
        <f t="shared" si="163"/>
        <v>0</v>
      </c>
      <c r="DN121" s="313">
        <f t="shared" si="163"/>
        <v>0</v>
      </c>
      <c r="DO121" s="313">
        <f t="shared" si="163"/>
        <v>0</v>
      </c>
      <c r="DP121" s="313">
        <f t="shared" si="163"/>
        <v>0</v>
      </c>
      <c r="DQ121" s="313">
        <f t="shared" si="163"/>
        <v>0</v>
      </c>
      <c r="DR121" s="313">
        <f t="shared" si="163"/>
        <v>0</v>
      </c>
      <c r="DS121" s="313">
        <f t="shared" si="163"/>
        <v>0</v>
      </c>
      <c r="DT121" s="313">
        <f t="shared" si="163"/>
        <v>0</v>
      </c>
      <c r="DU121" s="313">
        <f t="shared" si="163"/>
        <v>0</v>
      </c>
      <c r="DV121" s="313">
        <f t="shared" si="163"/>
        <v>0</v>
      </c>
    </row>
    <row r="122" ht="15" customHeight="1">
      <c r="A122" s="311" t="s">
        <v>1533</v>
      </c>
      <c r="B122" s="312" t="s">
        <v>78</v>
      </c>
      <c r="C122" s="702" t="s">
        <v>1534</v>
      </c>
      <c r="D122" s="703"/>
      <c r="F122" s="316" t="n">
        <f t="shared" ref="F122:AK122" si="164">MAX(0,$B$39+$B$40+INDEX($M$31:$M$33,MATCH($B$6,$J$31:$J$33,0)))</f>
        <v>0.065</v>
      </c>
      <c r="G122" s="316">
        <f t="shared" si="164"/>
        <v>6.5000000000000002E-2</v>
      </c>
      <c r="H122" s="316">
        <f t="shared" si="164"/>
        <v>6.5000000000000002E-2</v>
      </c>
      <c r="I122" s="316">
        <f t="shared" si="164"/>
        <v>6.5000000000000002E-2</v>
      </c>
      <c r="J122" s="316">
        <f t="shared" si="164"/>
        <v>6.5000000000000002E-2</v>
      </c>
      <c r="K122" s="316">
        <f t="shared" si="164"/>
        <v>6.5000000000000002E-2</v>
      </c>
      <c r="L122" s="316">
        <f t="shared" si="164"/>
        <v>6.5000000000000002E-2</v>
      </c>
      <c r="M122" s="316">
        <f t="shared" si="164"/>
        <v>6.5000000000000002E-2</v>
      </c>
      <c r="N122" s="316">
        <f t="shared" si="164"/>
        <v>6.5000000000000002E-2</v>
      </c>
      <c r="O122" s="316">
        <f t="shared" si="164"/>
        <v>6.5000000000000002E-2</v>
      </c>
      <c r="P122" s="316">
        <f t="shared" si="164"/>
        <v>6.5000000000000002E-2</v>
      </c>
      <c r="Q122" s="316">
        <f t="shared" si="164"/>
        <v>6.5000000000000002E-2</v>
      </c>
      <c r="R122" s="316">
        <f t="shared" si="164"/>
        <v>6.5000000000000002E-2</v>
      </c>
      <c r="S122" s="316">
        <f t="shared" si="164"/>
        <v>6.5000000000000002E-2</v>
      </c>
      <c r="T122" s="316">
        <f t="shared" si="164"/>
        <v>6.5000000000000002E-2</v>
      </c>
      <c r="U122" s="316">
        <f t="shared" si="164"/>
        <v>6.5000000000000002E-2</v>
      </c>
      <c r="V122" s="316">
        <f t="shared" si="164"/>
        <v>6.5000000000000002E-2</v>
      </c>
      <c r="W122" s="316">
        <f t="shared" si="164"/>
        <v>6.5000000000000002E-2</v>
      </c>
      <c r="X122" s="316">
        <f t="shared" si="164"/>
        <v>6.5000000000000002E-2</v>
      </c>
      <c r="Y122" s="316">
        <f t="shared" si="164"/>
        <v>6.5000000000000002E-2</v>
      </c>
      <c r="Z122" s="316">
        <f t="shared" si="164"/>
        <v>6.5000000000000002E-2</v>
      </c>
      <c r="AA122" s="316">
        <f t="shared" si="164"/>
        <v>6.5000000000000002E-2</v>
      </c>
      <c r="AB122" s="316">
        <f t="shared" si="164"/>
        <v>6.5000000000000002E-2</v>
      </c>
      <c r="AC122" s="316">
        <f t="shared" si="164"/>
        <v>6.5000000000000002E-2</v>
      </c>
      <c r="AD122" s="316">
        <f t="shared" si="164"/>
        <v>6.5000000000000002E-2</v>
      </c>
      <c r="AE122" s="316">
        <f t="shared" si="164"/>
        <v>6.5000000000000002E-2</v>
      </c>
      <c r="AF122" s="316">
        <f t="shared" si="164"/>
        <v>6.5000000000000002E-2</v>
      </c>
      <c r="AG122" s="316">
        <f t="shared" si="164"/>
        <v>6.5000000000000002E-2</v>
      </c>
      <c r="AH122" s="316">
        <f t="shared" si="164"/>
        <v>6.5000000000000002E-2</v>
      </c>
      <c r="AI122" s="316">
        <f t="shared" si="164"/>
        <v>6.5000000000000002E-2</v>
      </c>
      <c r="AJ122" s="316">
        <f t="shared" si="164"/>
        <v>6.5000000000000002E-2</v>
      </c>
      <c r="AK122" s="316">
        <f t="shared" si="164"/>
        <v>6.5000000000000002E-2</v>
      </c>
      <c r="AL122" s="316" t="n">
        <f t="shared" ref="AL122:BQ122" si="165">MAX(0,$B$39+$B$40+INDEX($M$31:$M$33,MATCH($B$6,$J$31:$J$33,0)))</f>
        <v>0.065</v>
      </c>
      <c r="AM122" s="316">
        <f t="shared" si="165"/>
        <v>6.5000000000000002E-2</v>
      </c>
      <c r="AN122" s="316">
        <f t="shared" si="165"/>
        <v>6.5000000000000002E-2</v>
      </c>
      <c r="AO122" s="316">
        <f t="shared" si="165"/>
        <v>6.5000000000000002E-2</v>
      </c>
      <c r="AP122" s="316">
        <f t="shared" si="165"/>
        <v>6.5000000000000002E-2</v>
      </c>
      <c r="AQ122" s="316">
        <f t="shared" si="165"/>
        <v>6.5000000000000002E-2</v>
      </c>
      <c r="AR122" s="316">
        <f t="shared" si="165"/>
        <v>6.5000000000000002E-2</v>
      </c>
      <c r="AS122" s="316">
        <f t="shared" si="165"/>
        <v>6.5000000000000002E-2</v>
      </c>
      <c r="AT122" s="316">
        <f t="shared" si="165"/>
        <v>6.5000000000000002E-2</v>
      </c>
      <c r="AU122" s="316">
        <f t="shared" si="165"/>
        <v>6.5000000000000002E-2</v>
      </c>
      <c r="AV122" s="316">
        <f t="shared" si="165"/>
        <v>6.5000000000000002E-2</v>
      </c>
      <c r="AW122" s="316">
        <f t="shared" si="165"/>
        <v>6.5000000000000002E-2</v>
      </c>
      <c r="AX122" s="316">
        <f t="shared" si="165"/>
        <v>6.5000000000000002E-2</v>
      </c>
      <c r="AY122" s="316">
        <f t="shared" si="165"/>
        <v>6.5000000000000002E-2</v>
      </c>
      <c r="AZ122" s="316">
        <f t="shared" si="165"/>
        <v>6.5000000000000002E-2</v>
      </c>
      <c r="BA122" s="316">
        <f t="shared" si="165"/>
        <v>6.5000000000000002E-2</v>
      </c>
      <c r="BB122" s="316">
        <f t="shared" si="165"/>
        <v>6.5000000000000002E-2</v>
      </c>
      <c r="BC122" s="316">
        <f t="shared" si="165"/>
        <v>6.5000000000000002E-2</v>
      </c>
      <c r="BD122" s="316">
        <f t="shared" si="165"/>
        <v>6.5000000000000002E-2</v>
      </c>
      <c r="BE122" s="316">
        <f t="shared" si="165"/>
        <v>6.5000000000000002E-2</v>
      </c>
      <c r="BF122" s="316">
        <f t="shared" si="165"/>
        <v>6.5000000000000002E-2</v>
      </c>
      <c r="BG122" s="316">
        <f t="shared" si="165"/>
        <v>6.5000000000000002E-2</v>
      </c>
      <c r="BH122" s="316">
        <f t="shared" si="165"/>
        <v>6.5000000000000002E-2</v>
      </c>
      <c r="BI122" s="316">
        <f t="shared" si="165"/>
        <v>6.5000000000000002E-2</v>
      </c>
      <c r="BJ122" s="316">
        <f t="shared" si="165"/>
        <v>6.5000000000000002E-2</v>
      </c>
      <c r="BK122" s="316">
        <f t="shared" si="165"/>
        <v>6.5000000000000002E-2</v>
      </c>
      <c r="BL122" s="316">
        <f t="shared" si="165"/>
        <v>6.5000000000000002E-2</v>
      </c>
      <c r="BM122" s="316">
        <f t="shared" si="165"/>
        <v>6.5000000000000002E-2</v>
      </c>
      <c r="BN122" s="316">
        <f t="shared" si="165"/>
        <v>6.5000000000000002E-2</v>
      </c>
      <c r="BO122" s="316">
        <f t="shared" si="165"/>
        <v>6.5000000000000002E-2</v>
      </c>
      <c r="BP122" s="316">
        <f t="shared" si="165"/>
        <v>6.5000000000000002E-2</v>
      </c>
      <c r="BQ122" s="316">
        <f t="shared" si="165"/>
        <v>6.5000000000000002E-2</v>
      </c>
      <c r="BR122" s="316" t="n">
        <f t="shared" ref="BR122:CW122" si="166">MAX(0,$B$39+$B$40+INDEX($M$31:$M$33,MATCH($B$6,$J$31:$J$33,0)))</f>
        <v>0.065</v>
      </c>
      <c r="BS122" s="316">
        <f t="shared" si="166"/>
        <v>6.5000000000000002E-2</v>
      </c>
      <c r="BT122" s="316">
        <f t="shared" si="166"/>
        <v>6.5000000000000002E-2</v>
      </c>
      <c r="BU122" s="316">
        <f t="shared" si="166"/>
        <v>6.5000000000000002E-2</v>
      </c>
      <c r="BV122" s="316">
        <f t="shared" si="166"/>
        <v>6.5000000000000002E-2</v>
      </c>
      <c r="BW122" s="316">
        <f t="shared" si="166"/>
        <v>6.5000000000000002E-2</v>
      </c>
      <c r="BX122" s="316">
        <f t="shared" si="166"/>
        <v>6.5000000000000002E-2</v>
      </c>
      <c r="BY122" s="316">
        <f t="shared" si="166"/>
        <v>6.5000000000000002E-2</v>
      </c>
      <c r="BZ122" s="316">
        <f t="shared" si="166"/>
        <v>6.5000000000000002E-2</v>
      </c>
      <c r="CA122" s="316">
        <f t="shared" si="166"/>
        <v>6.5000000000000002E-2</v>
      </c>
      <c r="CB122" s="316">
        <f t="shared" si="166"/>
        <v>6.5000000000000002E-2</v>
      </c>
      <c r="CC122" s="316">
        <f t="shared" si="166"/>
        <v>6.5000000000000002E-2</v>
      </c>
      <c r="CD122" s="316">
        <f t="shared" si="166"/>
        <v>6.5000000000000002E-2</v>
      </c>
      <c r="CE122" s="316">
        <f t="shared" si="166"/>
        <v>6.5000000000000002E-2</v>
      </c>
      <c r="CF122" s="316">
        <f t="shared" si="166"/>
        <v>6.5000000000000002E-2</v>
      </c>
      <c r="CG122" s="316">
        <f t="shared" si="166"/>
        <v>6.5000000000000002E-2</v>
      </c>
      <c r="CH122" s="316">
        <f t="shared" si="166"/>
        <v>6.5000000000000002E-2</v>
      </c>
      <c r="CI122" s="316">
        <f t="shared" si="166"/>
        <v>6.5000000000000002E-2</v>
      </c>
      <c r="CJ122" s="316">
        <f t="shared" si="166"/>
        <v>6.5000000000000002E-2</v>
      </c>
      <c r="CK122" s="316">
        <f t="shared" si="166"/>
        <v>6.5000000000000002E-2</v>
      </c>
      <c r="CL122" s="316">
        <f t="shared" si="166"/>
        <v>6.5000000000000002E-2</v>
      </c>
      <c r="CM122" s="316">
        <f t="shared" si="166"/>
        <v>6.5000000000000002E-2</v>
      </c>
      <c r="CN122" s="316">
        <f t="shared" si="166"/>
        <v>6.5000000000000002E-2</v>
      </c>
      <c r="CO122" s="316">
        <f t="shared" si="166"/>
        <v>6.5000000000000002E-2</v>
      </c>
      <c r="CP122" s="316">
        <f t="shared" si="166"/>
        <v>6.5000000000000002E-2</v>
      </c>
      <c r="CQ122" s="316">
        <f t="shared" si="166"/>
        <v>6.5000000000000002E-2</v>
      </c>
      <c r="CR122" s="316">
        <f t="shared" si="166"/>
        <v>6.5000000000000002E-2</v>
      </c>
      <c r="CS122" s="316">
        <f t="shared" si="166"/>
        <v>6.5000000000000002E-2</v>
      </c>
      <c r="CT122" s="316">
        <f t="shared" si="166"/>
        <v>6.5000000000000002E-2</v>
      </c>
      <c r="CU122" s="316">
        <f t="shared" si="166"/>
        <v>6.5000000000000002E-2</v>
      </c>
      <c r="CV122" s="316">
        <f t="shared" si="166"/>
        <v>6.5000000000000002E-2</v>
      </c>
      <c r="CW122" s="316">
        <f t="shared" si="166"/>
        <v>6.5000000000000002E-2</v>
      </c>
      <c r="CX122" s="316" t="n">
        <f t="shared" ref="CX122:DV122" si="167">MAX(0,$B$39+$B$40+INDEX($M$31:$M$33,MATCH($B$6,$J$31:$J$33,0)))</f>
        <v>0.065</v>
      </c>
      <c r="CY122" s="316">
        <f t="shared" si="167"/>
        <v>6.5000000000000002E-2</v>
      </c>
      <c r="CZ122" s="316">
        <f t="shared" si="167"/>
        <v>6.5000000000000002E-2</v>
      </c>
      <c r="DA122" s="316">
        <f t="shared" si="167"/>
        <v>6.5000000000000002E-2</v>
      </c>
      <c r="DB122" s="316">
        <f t="shared" si="167"/>
        <v>6.5000000000000002E-2</v>
      </c>
      <c r="DC122" s="316">
        <f t="shared" si="167"/>
        <v>6.5000000000000002E-2</v>
      </c>
      <c r="DD122" s="316">
        <f t="shared" si="167"/>
        <v>6.5000000000000002E-2</v>
      </c>
      <c r="DE122" s="316">
        <f t="shared" si="167"/>
        <v>6.5000000000000002E-2</v>
      </c>
      <c r="DF122" s="316">
        <f t="shared" si="167"/>
        <v>6.5000000000000002E-2</v>
      </c>
      <c r="DG122" s="316">
        <f t="shared" si="167"/>
        <v>6.5000000000000002E-2</v>
      </c>
      <c r="DH122" s="316">
        <f t="shared" si="167"/>
        <v>6.5000000000000002E-2</v>
      </c>
      <c r="DI122" s="316">
        <f t="shared" si="167"/>
        <v>6.5000000000000002E-2</v>
      </c>
      <c r="DJ122" s="316">
        <f t="shared" si="167"/>
        <v>6.5000000000000002E-2</v>
      </c>
      <c r="DK122" s="316">
        <f t="shared" si="167"/>
        <v>6.5000000000000002E-2</v>
      </c>
      <c r="DL122" s="316">
        <f t="shared" si="167"/>
        <v>6.5000000000000002E-2</v>
      </c>
      <c r="DM122" s="316">
        <f t="shared" si="167"/>
        <v>6.5000000000000002E-2</v>
      </c>
      <c r="DN122" s="316">
        <f t="shared" si="167"/>
        <v>6.5000000000000002E-2</v>
      </c>
      <c r="DO122" s="316">
        <f t="shared" si="167"/>
        <v>6.5000000000000002E-2</v>
      </c>
      <c r="DP122" s="316">
        <f t="shared" si="167"/>
        <v>6.5000000000000002E-2</v>
      </c>
      <c r="DQ122" s="316">
        <f t="shared" si="167"/>
        <v>6.5000000000000002E-2</v>
      </c>
      <c r="DR122" s="316">
        <f t="shared" si="167"/>
        <v>6.5000000000000002E-2</v>
      </c>
      <c r="DS122" s="316">
        <f t="shared" si="167"/>
        <v>6.5000000000000002E-2</v>
      </c>
      <c r="DT122" s="316">
        <f t="shared" si="167"/>
        <v>6.5000000000000002E-2</v>
      </c>
      <c r="DU122" s="316">
        <f t="shared" si="167"/>
        <v>6.5000000000000002E-2</v>
      </c>
      <c r="DV122" s="316">
        <f t="shared" si="167"/>
        <v>6.5000000000000002E-2</v>
      </c>
    </row>
    <row r="123" ht="15" customHeight="1">
      <c r="A123" s="311" t="s">
        <v>1535</v>
      </c>
      <c r="B123" s="312" t="s">
        <v>1321</v>
      </c>
      <c r="C123" s="702" t="s">
        <v>1469</v>
      </c>
      <c r="D123" s="703"/>
      <c r="F123" s="313" t="n">
        <f t="shared" ref="F123:AK123" si="168">(F$116+0.5*F$120)*F$122*F$65/$B$17</f>
        <v>0</v>
      </c>
      <c r="G123" s="313">
        <f t="shared" si="168"/>
        <v>0</v>
      </c>
      <c r="H123" s="313">
        <f t="shared" si="168"/>
        <v>0</v>
      </c>
      <c r="I123" s="313">
        <f t="shared" si="168"/>
        <v>0</v>
      </c>
      <c r="J123" s="313">
        <f t="shared" si="168"/>
        <v>0</v>
      </c>
      <c r="K123" s="313">
        <f t="shared" si="168"/>
        <v>0</v>
      </c>
      <c r="L123" s="313">
        <f t="shared" si="168"/>
        <v>0</v>
      </c>
      <c r="M123" s="313">
        <f t="shared" si="168"/>
        <v>0</v>
      </c>
      <c r="N123" s="313">
        <f t="shared" si="168"/>
        <v>0</v>
      </c>
      <c r="O123" s="313">
        <f t="shared" si="168"/>
        <v>0</v>
      </c>
      <c r="P123" s="313">
        <f t="shared" si="168"/>
        <v>0</v>
      </c>
      <c r="Q123" s="313">
        <f t="shared" si="168"/>
        <v>0</v>
      </c>
      <c r="R123" s="313">
        <f t="shared" si="168"/>
        <v>0</v>
      </c>
      <c r="S123" s="313">
        <f t="shared" si="168"/>
        <v>0</v>
      </c>
      <c r="T123" s="313">
        <f t="shared" si="168"/>
        <v>0</v>
      </c>
      <c r="U123" s="313">
        <f t="shared" si="168"/>
        <v>0</v>
      </c>
      <c r="V123" s="313">
        <f t="shared" si="168"/>
        <v>0</v>
      </c>
      <c r="W123" s="313">
        <f t="shared" si="168"/>
        <v>0</v>
      </c>
      <c r="X123" s="313">
        <f t="shared" si="168"/>
        <v>0</v>
      </c>
      <c r="Y123" s="313">
        <f t="shared" si="168"/>
        <v>0</v>
      </c>
      <c r="Z123" s="313">
        <f t="shared" si="168"/>
        <v>0</v>
      </c>
      <c r="AA123" s="313">
        <f t="shared" si="168"/>
        <v>0</v>
      </c>
      <c r="AB123" s="313">
        <f t="shared" si="168"/>
        <v>0</v>
      </c>
      <c r="AC123" s="313">
        <f t="shared" si="168"/>
        <v>0</v>
      </c>
      <c r="AD123" s="313">
        <f t="shared" si="168"/>
        <v>0</v>
      </c>
      <c r="AE123" s="313">
        <f t="shared" si="168"/>
        <v>0</v>
      </c>
      <c r="AF123" s="313">
        <f t="shared" si="168"/>
        <v>0</v>
      </c>
      <c r="AG123" s="313">
        <f t="shared" si="168"/>
        <v>0</v>
      </c>
      <c r="AH123" s="313">
        <f t="shared" si="168"/>
        <v>0</v>
      </c>
      <c r="AI123" s="313">
        <f t="shared" si="168"/>
        <v>0</v>
      </c>
      <c r="AJ123" s="313">
        <f t="shared" si="168"/>
        <v>0</v>
      </c>
      <c r="AK123" s="313">
        <f t="shared" si="168"/>
        <v>0</v>
      </c>
      <c r="AL123" s="313" t="n">
        <f t="shared" ref="AL123:BQ123" si="169">(AL$116+0.5*AL$120)*AL$122*AL$65/$B$17</f>
        <v>0</v>
      </c>
      <c r="AM123" s="313">
        <f t="shared" si="169"/>
        <v>0</v>
      </c>
      <c r="AN123" s="313">
        <f t="shared" si="169"/>
        <v>0</v>
      </c>
      <c r="AO123" s="313">
        <f t="shared" si="169"/>
        <v>0</v>
      </c>
      <c r="AP123" s="313">
        <f t="shared" si="169"/>
        <v>0</v>
      </c>
      <c r="AQ123" s="313">
        <f t="shared" si="169"/>
        <v>0</v>
      </c>
      <c r="AR123" s="313">
        <f t="shared" si="169"/>
        <v>0</v>
      </c>
      <c r="AS123" s="313">
        <f t="shared" si="169"/>
        <v>0</v>
      </c>
      <c r="AT123" s="313">
        <f t="shared" si="169"/>
        <v>0</v>
      </c>
      <c r="AU123" s="313">
        <f t="shared" si="169"/>
        <v>0</v>
      </c>
      <c r="AV123" s="313">
        <f t="shared" si="169"/>
        <v>0</v>
      </c>
      <c r="AW123" s="313">
        <f t="shared" si="169"/>
        <v>0</v>
      </c>
      <c r="AX123" s="313">
        <f t="shared" si="169"/>
        <v>0</v>
      </c>
      <c r="AY123" s="313">
        <f t="shared" si="169"/>
        <v>0</v>
      </c>
      <c r="AZ123" s="313">
        <f t="shared" si="169"/>
        <v>0</v>
      </c>
      <c r="BA123" s="313">
        <f t="shared" si="169"/>
        <v>0</v>
      </c>
      <c r="BB123" s="313">
        <f t="shared" si="169"/>
        <v>0</v>
      </c>
      <c r="BC123" s="313">
        <f t="shared" si="169"/>
        <v>583685.62065571814</v>
      </c>
      <c r="BD123" s="313">
        <f t="shared" si="169"/>
        <v>1167371.2413114363</v>
      </c>
      <c r="BE123" s="313">
        <f t="shared" si="169"/>
        <v>1120791.8134586352</v>
      </c>
      <c r="BF123" s="313">
        <f t="shared" si="169"/>
        <v>1148841.839448757</v>
      </c>
      <c r="BG123" s="313">
        <f t="shared" si="169"/>
        <v>1102817.7342713035</v>
      </c>
      <c r="BH123" s="313">
        <f t="shared" si="169"/>
        <v>1130221.7043602096</v>
      </c>
      <c r="BI123" s="313">
        <f t="shared" si="169"/>
        <v>1120918.0330325065</v>
      </c>
      <c r="BJ123" s="313">
        <f t="shared" si="169"/>
        <v>1003855.4675551307</v>
      </c>
      <c r="BK123" s="313">
        <f t="shared" si="169"/>
        <v>1101576.5574531581</v>
      </c>
      <c r="BL123" s="313">
        <f t="shared" si="169"/>
        <v>1056706.9551150624</v>
      </c>
      <c r="BM123" s="313">
        <f t="shared" si="169"/>
        <v>1082159.4910835412</v>
      </c>
      <c r="BN123" s="313">
        <f t="shared" si="169"/>
        <v>1037823.5427829858</v>
      </c>
      <c r="BO123" s="313">
        <f t="shared" si="169"/>
        <v>1062590.1651130617</v>
      </c>
      <c r="BP123" s="313">
        <f t="shared" si="169"/>
        <v>0</v>
      </c>
      <c r="BQ123" s="313">
        <f t="shared" si="169"/>
        <v>0</v>
      </c>
      <c r="BR123" s="313" t="n">
        <f t="shared" ref="BR123:CW123" si="170">(BR$116+0.5*BR$120)*BR$122*BR$65/$B$17</f>
        <v>0</v>
      </c>
      <c r="BS123" s="313">
        <f t="shared" si="170"/>
        <v>0</v>
      </c>
      <c r="BT123" s="313">
        <f t="shared" si="170"/>
        <v>0</v>
      </c>
      <c r="BU123" s="313">
        <f t="shared" si="170"/>
        <v>0</v>
      </c>
      <c r="BV123" s="313">
        <f t="shared" si="170"/>
        <v>0</v>
      </c>
      <c r="BW123" s="313">
        <f t="shared" si="170"/>
        <v>0</v>
      </c>
      <c r="BX123" s="313">
        <f t="shared" si="170"/>
        <v>0</v>
      </c>
      <c r="BY123" s="313">
        <f t="shared" si="170"/>
        <v>0</v>
      </c>
      <c r="BZ123" s="313">
        <f t="shared" si="170"/>
        <v>0</v>
      </c>
      <c r="CA123" s="313">
        <f t="shared" si="170"/>
        <v>0</v>
      </c>
      <c r="CB123" s="313">
        <f t="shared" si="170"/>
        <v>0</v>
      </c>
      <c r="CC123" s="313">
        <f t="shared" si="170"/>
        <v>0</v>
      </c>
      <c r="CD123" s="313">
        <f t="shared" si="170"/>
        <v>0</v>
      </c>
      <c r="CE123" s="313">
        <f t="shared" si="170"/>
        <v>0</v>
      </c>
      <c r="CF123" s="313">
        <f t="shared" si="170"/>
        <v>0</v>
      </c>
      <c r="CG123" s="313">
        <f t="shared" si="170"/>
        <v>0</v>
      </c>
      <c r="CH123" s="313">
        <f t="shared" si="170"/>
        <v>0</v>
      </c>
      <c r="CI123" s="313">
        <f t="shared" si="170"/>
        <v>0</v>
      </c>
      <c r="CJ123" s="313">
        <f t="shared" si="170"/>
        <v>0</v>
      </c>
      <c r="CK123" s="313">
        <f t="shared" si="170"/>
        <v>0</v>
      </c>
      <c r="CL123" s="313">
        <f t="shared" si="170"/>
        <v>0</v>
      </c>
      <c r="CM123" s="313">
        <f t="shared" si="170"/>
        <v>0</v>
      </c>
      <c r="CN123" s="313">
        <f t="shared" si="170"/>
        <v>0</v>
      </c>
      <c r="CO123" s="313">
        <f t="shared" si="170"/>
        <v>0</v>
      </c>
      <c r="CP123" s="313">
        <f t="shared" si="170"/>
        <v>0</v>
      </c>
      <c r="CQ123" s="313">
        <f t="shared" si="170"/>
        <v>0</v>
      </c>
      <c r="CR123" s="313">
        <f t="shared" si="170"/>
        <v>0</v>
      </c>
      <c r="CS123" s="313">
        <f t="shared" si="170"/>
        <v>0</v>
      </c>
      <c r="CT123" s="313">
        <f t="shared" si="170"/>
        <v>0</v>
      </c>
      <c r="CU123" s="313">
        <f t="shared" si="170"/>
        <v>0</v>
      </c>
      <c r="CV123" s="313">
        <f t="shared" si="170"/>
        <v>0</v>
      </c>
      <c r="CW123" s="313">
        <f t="shared" si="170"/>
        <v>0</v>
      </c>
      <c r="CX123" s="313" t="n">
        <f t="shared" ref="CX123:DV123" si="171">(CX$116+0.5*CX$120)*CX$122*CX$65/$B$17</f>
        <v>0</v>
      </c>
      <c r="CY123" s="313">
        <f t="shared" si="171"/>
        <v>0</v>
      </c>
      <c r="CZ123" s="313">
        <f t="shared" si="171"/>
        <v>0</v>
      </c>
      <c r="DA123" s="313">
        <f t="shared" si="171"/>
        <v>0</v>
      </c>
      <c r="DB123" s="313">
        <f t="shared" si="171"/>
        <v>0</v>
      </c>
      <c r="DC123" s="313">
        <f t="shared" si="171"/>
        <v>0</v>
      </c>
      <c r="DD123" s="313">
        <f t="shared" si="171"/>
        <v>0</v>
      </c>
      <c r="DE123" s="313">
        <f t="shared" si="171"/>
        <v>0</v>
      </c>
      <c r="DF123" s="313">
        <f t="shared" si="171"/>
        <v>0</v>
      </c>
      <c r="DG123" s="313">
        <f t="shared" si="171"/>
        <v>0</v>
      </c>
      <c r="DH123" s="313">
        <f t="shared" si="171"/>
        <v>0</v>
      </c>
      <c r="DI123" s="313">
        <f t="shared" si="171"/>
        <v>0</v>
      </c>
      <c r="DJ123" s="313">
        <f t="shared" si="171"/>
        <v>0</v>
      </c>
      <c r="DK123" s="313">
        <f t="shared" si="171"/>
        <v>0</v>
      </c>
      <c r="DL123" s="313">
        <f t="shared" si="171"/>
        <v>0</v>
      </c>
      <c r="DM123" s="313">
        <f t="shared" si="171"/>
        <v>0</v>
      </c>
      <c r="DN123" s="313">
        <f t="shared" si="171"/>
        <v>0</v>
      </c>
      <c r="DO123" s="313">
        <f t="shared" si="171"/>
        <v>0</v>
      </c>
      <c r="DP123" s="313">
        <f t="shared" si="171"/>
        <v>0</v>
      </c>
      <c r="DQ123" s="313">
        <f t="shared" si="171"/>
        <v>0</v>
      </c>
      <c r="DR123" s="313">
        <f t="shared" si="171"/>
        <v>0</v>
      </c>
      <c r="DS123" s="313">
        <f t="shared" si="171"/>
        <v>0</v>
      </c>
      <c r="DT123" s="313">
        <f t="shared" si="171"/>
        <v>0</v>
      </c>
      <c r="DU123" s="313">
        <f t="shared" si="171"/>
        <v>0</v>
      </c>
      <c r="DV123" s="313">
        <f t="shared" si="171"/>
        <v>0</v>
      </c>
    </row>
    <row r="124" ht="15" customHeight="1">
      <c r="A124" s="311" t="s">
        <v>1536</v>
      </c>
      <c r="B124" s="312" t="s">
        <v>1321</v>
      </c>
      <c r="C124" s="702" t="s">
        <v>1537</v>
      </c>
      <c r="D124" s="703"/>
      <c r="F124" s="313" t="n">
        <f t="shared" ref="F124:AK124" si="172">IF(OR(F$64&lt;=$B$35,(F$116+F$120)&lt;=0,F$64&gt;$B$52),0,IF($B$44="Full amortisation",MIN((F$116+F$120),(F$116+F$120)/MAX(1,$B$42*12)),IF($B$44="Partial amortisation with bullet",MIN((F$116+F$120),(F$116+F$120)*(1-$B$45)/MAX(1,$B$42*12)),IF($B$44="Interest-only followed by amortisation",IF(MAX(0,(YEAR(F$64)-YEAR($B$35))*12+MONTH(F$64)-MONTH($B$35))&lt;$B$43,0,MIN((F$116+F$120),(F$116+F$120)/MAX(1,$B$42*12-$B$43))),IF($B$44="Sculpted to CFADS",MIN((F$116+F$120),MAX(0,F$144/$B$48-F$123)),0)))))</f>
        <v>0</v>
      </c>
      <c r="G124" s="313">
        <f t="shared" si="172"/>
        <v>0</v>
      </c>
      <c r="H124" s="313">
        <f t="shared" si="172"/>
        <v>0</v>
      </c>
      <c r="I124" s="313">
        <f t="shared" si="172"/>
        <v>0</v>
      </c>
      <c r="J124" s="313">
        <f t="shared" si="172"/>
        <v>0</v>
      </c>
      <c r="K124" s="313">
        <f t="shared" si="172"/>
        <v>0</v>
      </c>
      <c r="L124" s="313">
        <f t="shared" si="172"/>
        <v>0</v>
      </c>
      <c r="M124" s="313">
        <f t="shared" si="172"/>
        <v>0</v>
      </c>
      <c r="N124" s="313">
        <f t="shared" si="172"/>
        <v>0</v>
      </c>
      <c r="O124" s="313">
        <f t="shared" si="172"/>
        <v>0</v>
      </c>
      <c r="P124" s="313">
        <f t="shared" si="172"/>
        <v>0</v>
      </c>
      <c r="Q124" s="313">
        <f t="shared" si="172"/>
        <v>0</v>
      </c>
      <c r="R124" s="313">
        <f t="shared" si="172"/>
        <v>0</v>
      </c>
      <c r="S124" s="313">
        <f t="shared" si="172"/>
        <v>0</v>
      </c>
      <c r="T124" s="313">
        <f t="shared" si="172"/>
        <v>0</v>
      </c>
      <c r="U124" s="313">
        <f t="shared" si="172"/>
        <v>0</v>
      </c>
      <c r="V124" s="313">
        <f t="shared" si="172"/>
        <v>0</v>
      </c>
      <c r="W124" s="313">
        <f t="shared" si="172"/>
        <v>0</v>
      </c>
      <c r="X124" s="313">
        <f t="shared" si="172"/>
        <v>0</v>
      </c>
      <c r="Y124" s="313">
        <f t="shared" si="172"/>
        <v>0</v>
      </c>
      <c r="Z124" s="313">
        <f t="shared" si="172"/>
        <v>0</v>
      </c>
      <c r="AA124" s="313">
        <f t="shared" si="172"/>
        <v>0</v>
      </c>
      <c r="AB124" s="313">
        <f t="shared" si="172"/>
        <v>0</v>
      </c>
      <c r="AC124" s="313">
        <f t="shared" si="172"/>
        <v>0</v>
      </c>
      <c r="AD124" s="313">
        <f t="shared" si="172"/>
        <v>0</v>
      </c>
      <c r="AE124" s="313">
        <f t="shared" si="172"/>
        <v>0</v>
      </c>
      <c r="AF124" s="313">
        <f t="shared" si="172"/>
        <v>0</v>
      </c>
      <c r="AG124" s="313">
        <f t="shared" si="172"/>
        <v>0</v>
      </c>
      <c r="AH124" s="313">
        <f t="shared" si="172"/>
        <v>0</v>
      </c>
      <c r="AI124" s="313">
        <f t="shared" si="172"/>
        <v>0</v>
      </c>
      <c r="AJ124" s="313">
        <f t="shared" si="172"/>
        <v>0</v>
      </c>
      <c r="AK124" s="313">
        <f t="shared" si="172"/>
        <v>0</v>
      </c>
      <c r="AL124" s="313" t="n">
        <f t="shared" ref="AL124:BQ124" si="173">IF(OR(AL$64&lt;=$B$35,(AL$116+AL$120)&lt;=0,AL$64&gt;$B$52),0,IF($B$44="Full amortisation",MIN((AL$116+AL$120),(AL$116+AL$120)/MAX(1,$B$42*12)),IF($B$44="Partial amortisation with bullet",MIN((AL$116+AL$120),(AL$116+AL$120)*(1-$B$45)/MAX(1,$B$42*12)),IF($B$44="Interest-only followed by amortisation",IF(MAX(0,(YEAR(AL$64)-YEAR($B$35))*12+MONTH(AL$64)-MONTH($B$35))&lt;$B$43,0,MIN((AL$116+AL$120),(AL$116+AL$120)/MAX(1,$B$42*12-$B$43))),IF($B$44="Sculpted to CFADS",MIN((AL$116+AL$120),MAX(0,AL$144/$B$48-AL$123)),0)))))</f>
        <v>0</v>
      </c>
      <c r="AM124" s="313">
        <f t="shared" si="173"/>
        <v>0</v>
      </c>
      <c r="AN124" s="313">
        <f t="shared" si="173"/>
        <v>0</v>
      </c>
      <c r="AO124" s="313">
        <f t="shared" si="173"/>
        <v>0</v>
      </c>
      <c r="AP124" s="313">
        <f t="shared" si="173"/>
        <v>0</v>
      </c>
      <c r="AQ124" s="313">
        <f t="shared" si="173"/>
        <v>0</v>
      </c>
      <c r="AR124" s="313">
        <f t="shared" si="173"/>
        <v>0</v>
      </c>
      <c r="AS124" s="313">
        <f t="shared" si="173"/>
        <v>0</v>
      </c>
      <c r="AT124" s="313">
        <f t="shared" si="173"/>
        <v>0</v>
      </c>
      <c r="AU124" s="313">
        <f t="shared" si="173"/>
        <v>0</v>
      </c>
      <c r="AV124" s="313">
        <f t="shared" si="173"/>
        <v>0</v>
      </c>
      <c r="AW124" s="313">
        <f t="shared" si="173"/>
        <v>0</v>
      </c>
      <c r="AX124" s="313">
        <f t="shared" si="173"/>
        <v>0</v>
      </c>
      <c r="AY124" s="313">
        <f t="shared" si="173"/>
        <v>0</v>
      </c>
      <c r="AZ124" s="313">
        <f t="shared" si="173"/>
        <v>0</v>
      </c>
      <c r="BA124" s="313">
        <f t="shared" si="173"/>
        <v>0</v>
      </c>
      <c r="BB124" s="313">
        <f t="shared" si="173"/>
        <v>0</v>
      </c>
      <c r="BC124" s="313">
        <f t="shared" si="173"/>
        <v>0</v>
      </c>
      <c r="BD124" s="313">
        <f t="shared" si="173"/>
        <v>0</v>
      </c>
      <c r="BE124" s="313">
        <f t="shared" si="173"/>
        <v>0</v>
      </c>
      <c r="BF124" s="313">
        <f t="shared" si="173"/>
        <v>0</v>
      </c>
      <c r="BG124" s="313">
        <f t="shared" si="173"/>
        <v>0</v>
      </c>
      <c r="BH124" s="313">
        <f t="shared" si="173"/>
        <v>0</v>
      </c>
      <c r="BI124" s="313">
        <f t="shared" si="173"/>
        <v>0</v>
      </c>
      <c r="BJ124" s="313">
        <f t="shared" si="173"/>
        <v>0</v>
      </c>
      <c r="BK124" s="313">
        <f t="shared" si="173"/>
        <v>0</v>
      </c>
      <c r="BL124" s="313">
        <f t="shared" si="173"/>
        <v>0</v>
      </c>
      <c r="BM124" s="313">
        <f t="shared" si="173"/>
        <v>0</v>
      </c>
      <c r="BN124" s="313">
        <f t="shared" si="173"/>
        <v>0</v>
      </c>
      <c r="BO124" s="313">
        <f t="shared" si="173"/>
        <v>553100.89596170606</v>
      </c>
      <c r="BP124" s="313">
        <f t="shared" si="173"/>
        <v>0</v>
      </c>
      <c r="BQ124" s="313">
        <f t="shared" si="173"/>
        <v>0</v>
      </c>
      <c r="BR124" s="313" t="n">
        <f t="shared" ref="BR124:CW124" si="174">IF(OR(BR$64&lt;=$B$35,(BR$116+BR$120)&lt;=0,BR$64&gt;$B$52),0,IF($B$44="Full amortisation",MIN((BR$116+BR$120),(BR$116+BR$120)/MAX(1,$B$42*12)),IF($B$44="Partial amortisation with bullet",MIN((BR$116+BR$120),(BR$116+BR$120)*(1-$B$45)/MAX(1,$B$42*12)),IF($B$44="Interest-only followed by amortisation",IF(MAX(0,(YEAR(BR$64)-YEAR($B$35))*12+MONTH(BR$64)-MONTH($B$35))&lt;$B$43,0,MIN((BR$116+BR$120),(BR$116+BR$120)/MAX(1,$B$42*12-$B$43))),IF($B$44="Sculpted to CFADS",MIN((BR$116+BR$120),MAX(0,BR$144/$B$48-BR$123)),0)))))</f>
        <v>0</v>
      </c>
      <c r="BS124" s="313">
        <f t="shared" si="174"/>
        <v>0</v>
      </c>
      <c r="BT124" s="313">
        <f t="shared" si="174"/>
        <v>0</v>
      </c>
      <c r="BU124" s="313">
        <f t="shared" si="174"/>
        <v>0</v>
      </c>
      <c r="BV124" s="313">
        <f t="shared" si="174"/>
        <v>0</v>
      </c>
      <c r="BW124" s="313">
        <f t="shared" si="174"/>
        <v>0</v>
      </c>
      <c r="BX124" s="313">
        <f t="shared" si="174"/>
        <v>0</v>
      </c>
      <c r="BY124" s="313">
        <f t="shared" si="174"/>
        <v>0</v>
      </c>
      <c r="BZ124" s="313">
        <f t="shared" si="174"/>
        <v>0</v>
      </c>
      <c r="CA124" s="313">
        <f t="shared" si="174"/>
        <v>0</v>
      </c>
      <c r="CB124" s="313">
        <f t="shared" si="174"/>
        <v>0</v>
      </c>
      <c r="CC124" s="313">
        <f t="shared" si="174"/>
        <v>0</v>
      </c>
      <c r="CD124" s="313">
        <f t="shared" si="174"/>
        <v>0</v>
      </c>
      <c r="CE124" s="313">
        <f t="shared" si="174"/>
        <v>0</v>
      </c>
      <c r="CF124" s="313">
        <f t="shared" si="174"/>
        <v>0</v>
      </c>
      <c r="CG124" s="313">
        <f t="shared" si="174"/>
        <v>0</v>
      </c>
      <c r="CH124" s="313">
        <f t="shared" si="174"/>
        <v>0</v>
      </c>
      <c r="CI124" s="313">
        <f t="shared" si="174"/>
        <v>0</v>
      </c>
      <c r="CJ124" s="313">
        <f t="shared" si="174"/>
        <v>0</v>
      </c>
      <c r="CK124" s="313">
        <f t="shared" si="174"/>
        <v>0</v>
      </c>
      <c r="CL124" s="313">
        <f t="shared" si="174"/>
        <v>0</v>
      </c>
      <c r="CM124" s="313">
        <f t="shared" si="174"/>
        <v>0</v>
      </c>
      <c r="CN124" s="313">
        <f t="shared" si="174"/>
        <v>0</v>
      </c>
      <c r="CO124" s="313">
        <f t="shared" si="174"/>
        <v>0</v>
      </c>
      <c r="CP124" s="313">
        <f t="shared" si="174"/>
        <v>0</v>
      </c>
      <c r="CQ124" s="313">
        <f t="shared" si="174"/>
        <v>0</v>
      </c>
      <c r="CR124" s="313">
        <f t="shared" si="174"/>
        <v>0</v>
      </c>
      <c r="CS124" s="313">
        <f t="shared" si="174"/>
        <v>0</v>
      </c>
      <c r="CT124" s="313">
        <f t="shared" si="174"/>
        <v>0</v>
      </c>
      <c r="CU124" s="313">
        <f t="shared" si="174"/>
        <v>0</v>
      </c>
      <c r="CV124" s="313">
        <f t="shared" si="174"/>
        <v>0</v>
      </c>
      <c r="CW124" s="313">
        <f t="shared" si="174"/>
        <v>0</v>
      </c>
      <c r="CX124" s="313" t="n">
        <f t="shared" ref="CX124:DV124" si="175">IF(OR(CX$64&lt;=$B$35,(CX$116+CX$120)&lt;=0,CX$64&gt;$B$52),0,IF($B$44="Full amortisation",MIN((CX$116+CX$120),(CX$116+CX$120)/MAX(1,$B$42*12)),IF($B$44="Partial amortisation with bullet",MIN((CX$116+CX$120),(CX$116+CX$120)*(1-$B$45)/MAX(1,$B$42*12)),IF($B$44="Interest-only followed by amortisation",IF(MAX(0,(YEAR(CX$64)-YEAR($B$35))*12+MONTH(CX$64)-MONTH($B$35))&lt;$B$43,0,MIN((CX$116+CX$120),(CX$116+CX$120)/MAX(1,$B$42*12-$B$43))),IF($B$44="Sculpted to CFADS",MIN((CX$116+CX$120),MAX(0,CX$144/$B$48-CX$123)),0)))))</f>
        <v>0</v>
      </c>
      <c r="CY124" s="313">
        <f t="shared" si="175"/>
        <v>0</v>
      </c>
      <c r="CZ124" s="313">
        <f t="shared" si="175"/>
        <v>0</v>
      </c>
      <c r="DA124" s="313">
        <f t="shared" si="175"/>
        <v>0</v>
      </c>
      <c r="DB124" s="313">
        <f t="shared" si="175"/>
        <v>0</v>
      </c>
      <c r="DC124" s="313">
        <f t="shared" si="175"/>
        <v>0</v>
      </c>
      <c r="DD124" s="313">
        <f t="shared" si="175"/>
        <v>0</v>
      </c>
      <c r="DE124" s="313">
        <f t="shared" si="175"/>
        <v>0</v>
      </c>
      <c r="DF124" s="313">
        <f t="shared" si="175"/>
        <v>0</v>
      </c>
      <c r="DG124" s="313">
        <f t="shared" si="175"/>
        <v>0</v>
      </c>
      <c r="DH124" s="313">
        <f t="shared" si="175"/>
        <v>0</v>
      </c>
      <c r="DI124" s="313">
        <f t="shared" si="175"/>
        <v>0</v>
      </c>
      <c r="DJ124" s="313">
        <f t="shared" si="175"/>
        <v>0</v>
      </c>
      <c r="DK124" s="313">
        <f t="shared" si="175"/>
        <v>0</v>
      </c>
      <c r="DL124" s="313">
        <f t="shared" si="175"/>
        <v>0</v>
      </c>
      <c r="DM124" s="313">
        <f t="shared" si="175"/>
        <v>0</v>
      </c>
      <c r="DN124" s="313">
        <f t="shared" si="175"/>
        <v>0</v>
      </c>
      <c r="DO124" s="313">
        <f t="shared" si="175"/>
        <v>0</v>
      </c>
      <c r="DP124" s="313">
        <f t="shared" si="175"/>
        <v>0</v>
      </c>
      <c r="DQ124" s="313">
        <f t="shared" si="175"/>
        <v>0</v>
      </c>
      <c r="DR124" s="313">
        <f t="shared" si="175"/>
        <v>0</v>
      </c>
      <c r="DS124" s="313">
        <f t="shared" si="175"/>
        <v>0</v>
      </c>
      <c r="DT124" s="313">
        <f t="shared" si="175"/>
        <v>0</v>
      </c>
      <c r="DU124" s="313">
        <f t="shared" si="175"/>
        <v>0</v>
      </c>
      <c r="DV124" s="313">
        <f t="shared" si="175"/>
        <v>0</v>
      </c>
    </row>
    <row r="125" ht="15" customHeight="1">
      <c r="A125" s="311" t="s">
        <v>1538</v>
      </c>
      <c r="B125" s="312" t="s">
        <v>1321</v>
      </c>
      <c r="C125" s="702" t="s">
        <v>1539</v>
      </c>
      <c r="D125" s="703"/>
      <c r="F125" s="313" t="n">
        <f t="shared" ref="F125:AK125" si="176">IF(F$70=1,MAX(0,F$116+F$120-F$124-F$126),0)</f>
        <v>0</v>
      </c>
      <c r="G125" s="313">
        <f t="shared" si="176"/>
        <v>0</v>
      </c>
      <c r="H125" s="313">
        <f t="shared" si="176"/>
        <v>0</v>
      </c>
      <c r="I125" s="313">
        <f t="shared" si="176"/>
        <v>0</v>
      </c>
      <c r="J125" s="313">
        <f t="shared" si="176"/>
        <v>0</v>
      </c>
      <c r="K125" s="313">
        <f t="shared" si="176"/>
        <v>0</v>
      </c>
      <c r="L125" s="313">
        <f t="shared" si="176"/>
        <v>0</v>
      </c>
      <c r="M125" s="313">
        <f t="shared" si="176"/>
        <v>0</v>
      </c>
      <c r="N125" s="313">
        <f t="shared" si="176"/>
        <v>0</v>
      </c>
      <c r="O125" s="313">
        <f t="shared" si="176"/>
        <v>0</v>
      </c>
      <c r="P125" s="313">
        <f t="shared" si="176"/>
        <v>0</v>
      </c>
      <c r="Q125" s="313">
        <f t="shared" si="176"/>
        <v>0</v>
      </c>
      <c r="R125" s="313">
        <f t="shared" si="176"/>
        <v>0</v>
      </c>
      <c r="S125" s="313">
        <f t="shared" si="176"/>
        <v>0</v>
      </c>
      <c r="T125" s="313">
        <f t="shared" si="176"/>
        <v>0</v>
      </c>
      <c r="U125" s="313">
        <f t="shared" si="176"/>
        <v>0</v>
      </c>
      <c r="V125" s="313">
        <f t="shared" si="176"/>
        <v>0</v>
      </c>
      <c r="W125" s="313">
        <f t="shared" si="176"/>
        <v>0</v>
      </c>
      <c r="X125" s="313">
        <f t="shared" si="176"/>
        <v>0</v>
      </c>
      <c r="Y125" s="313">
        <f t="shared" si="176"/>
        <v>0</v>
      </c>
      <c r="Z125" s="313">
        <f t="shared" si="176"/>
        <v>0</v>
      </c>
      <c r="AA125" s="313">
        <f t="shared" si="176"/>
        <v>0</v>
      </c>
      <c r="AB125" s="313">
        <f t="shared" si="176"/>
        <v>0</v>
      </c>
      <c r="AC125" s="313">
        <f t="shared" si="176"/>
        <v>0</v>
      </c>
      <c r="AD125" s="313">
        <f t="shared" si="176"/>
        <v>0</v>
      </c>
      <c r="AE125" s="313">
        <f t="shared" si="176"/>
        <v>0</v>
      </c>
      <c r="AF125" s="313">
        <f t="shared" si="176"/>
        <v>0</v>
      </c>
      <c r="AG125" s="313">
        <f t="shared" si="176"/>
        <v>0</v>
      </c>
      <c r="AH125" s="313">
        <f t="shared" si="176"/>
        <v>0</v>
      </c>
      <c r="AI125" s="313">
        <f t="shared" si="176"/>
        <v>0</v>
      </c>
      <c r="AJ125" s="313">
        <f t="shared" si="176"/>
        <v>0</v>
      </c>
      <c r="AK125" s="313">
        <f t="shared" si="176"/>
        <v>0</v>
      </c>
      <c r="AL125" s="313" t="n">
        <f t="shared" ref="AL125:BQ125" si="177">IF(AL$70=1,MAX(0,AL$116+AL$120-AL$124-AL$126),0)</f>
        <v>0</v>
      </c>
      <c r="AM125" s="313">
        <f t="shared" si="177"/>
        <v>0</v>
      </c>
      <c r="AN125" s="313">
        <f t="shared" si="177"/>
        <v>0</v>
      </c>
      <c r="AO125" s="313">
        <f t="shared" si="177"/>
        <v>0</v>
      </c>
      <c r="AP125" s="313">
        <f t="shared" si="177"/>
        <v>0</v>
      </c>
      <c r="AQ125" s="313">
        <f t="shared" si="177"/>
        <v>0</v>
      </c>
      <c r="AR125" s="313">
        <f t="shared" si="177"/>
        <v>0</v>
      </c>
      <c r="AS125" s="313">
        <f t="shared" si="177"/>
        <v>0</v>
      </c>
      <c r="AT125" s="313">
        <f t="shared" si="177"/>
        <v>0</v>
      </c>
      <c r="AU125" s="313">
        <f t="shared" si="177"/>
        <v>0</v>
      </c>
      <c r="AV125" s="313">
        <f t="shared" si="177"/>
        <v>0</v>
      </c>
      <c r="AW125" s="313">
        <f t="shared" si="177"/>
        <v>0</v>
      </c>
      <c r="AX125" s="313">
        <f t="shared" si="177"/>
        <v>0</v>
      </c>
      <c r="AY125" s="313">
        <f t="shared" si="177"/>
        <v>0</v>
      </c>
      <c r="AZ125" s="313">
        <f t="shared" si="177"/>
        <v>0</v>
      </c>
      <c r="BA125" s="313">
        <f t="shared" si="177"/>
        <v>0</v>
      </c>
      <c r="BB125" s="313">
        <f t="shared" si="177"/>
        <v>0</v>
      </c>
      <c r="BC125" s="313">
        <f t="shared" si="177"/>
        <v>0</v>
      </c>
      <c r="BD125" s="313">
        <f t="shared" si="177"/>
        <v>0</v>
      </c>
      <c r="BE125" s="313">
        <f t="shared" si="177"/>
        <v>0</v>
      </c>
      <c r="BF125" s="313">
        <f t="shared" si="177"/>
        <v>0</v>
      </c>
      <c r="BG125" s="313">
        <f t="shared" si="177"/>
        <v>0</v>
      </c>
      <c r="BH125" s="313">
        <f t="shared" si="177"/>
        <v>0</v>
      </c>
      <c r="BI125" s="313">
        <f t="shared" si="177"/>
        <v>0</v>
      </c>
      <c r="BJ125" s="313">
        <f t="shared" si="177"/>
        <v>0</v>
      </c>
      <c r="BK125" s="313">
        <f t="shared" si="177"/>
        <v>0</v>
      </c>
      <c r="BL125" s="313">
        <f t="shared" si="177"/>
        <v>0</v>
      </c>
      <c r="BM125" s="313">
        <f t="shared" si="177"/>
        <v>0</v>
      </c>
      <c r="BN125" s="313">
        <f t="shared" si="177"/>
        <v>0</v>
      </c>
      <c r="BO125" s="313">
        <f t="shared" si="177"/>
        <v>191926010.89871201</v>
      </c>
      <c r="BP125" s="313">
        <f t="shared" si="177"/>
        <v>0</v>
      </c>
      <c r="BQ125" s="313">
        <f t="shared" si="177"/>
        <v>0</v>
      </c>
      <c r="BR125" s="313" t="n">
        <f t="shared" ref="BR125:CW125" si="178">IF(BR$70=1,MAX(0,BR$116+BR$120-BR$124-BR$126),0)</f>
        <v>0</v>
      </c>
      <c r="BS125" s="313">
        <f t="shared" si="178"/>
        <v>0</v>
      </c>
      <c r="BT125" s="313">
        <f t="shared" si="178"/>
        <v>0</v>
      </c>
      <c r="BU125" s="313">
        <f t="shared" si="178"/>
        <v>0</v>
      </c>
      <c r="BV125" s="313">
        <f t="shared" si="178"/>
        <v>0</v>
      </c>
      <c r="BW125" s="313">
        <f t="shared" si="178"/>
        <v>0</v>
      </c>
      <c r="BX125" s="313">
        <f t="shared" si="178"/>
        <v>0</v>
      </c>
      <c r="BY125" s="313">
        <f t="shared" si="178"/>
        <v>0</v>
      </c>
      <c r="BZ125" s="313">
        <f t="shared" si="178"/>
        <v>0</v>
      </c>
      <c r="CA125" s="313">
        <f t="shared" si="178"/>
        <v>0</v>
      </c>
      <c r="CB125" s="313">
        <f t="shared" si="178"/>
        <v>0</v>
      </c>
      <c r="CC125" s="313">
        <f t="shared" si="178"/>
        <v>0</v>
      </c>
      <c r="CD125" s="313">
        <f t="shared" si="178"/>
        <v>0</v>
      </c>
      <c r="CE125" s="313">
        <f t="shared" si="178"/>
        <v>0</v>
      </c>
      <c r="CF125" s="313">
        <f t="shared" si="178"/>
        <v>0</v>
      </c>
      <c r="CG125" s="313">
        <f t="shared" si="178"/>
        <v>0</v>
      </c>
      <c r="CH125" s="313">
        <f t="shared" si="178"/>
        <v>0</v>
      </c>
      <c r="CI125" s="313">
        <f t="shared" si="178"/>
        <v>0</v>
      </c>
      <c r="CJ125" s="313">
        <f t="shared" si="178"/>
        <v>0</v>
      </c>
      <c r="CK125" s="313">
        <f t="shared" si="178"/>
        <v>0</v>
      </c>
      <c r="CL125" s="313">
        <f t="shared" si="178"/>
        <v>0</v>
      </c>
      <c r="CM125" s="313">
        <f t="shared" si="178"/>
        <v>0</v>
      </c>
      <c r="CN125" s="313">
        <f t="shared" si="178"/>
        <v>0</v>
      </c>
      <c r="CO125" s="313">
        <f t="shared" si="178"/>
        <v>0</v>
      </c>
      <c r="CP125" s="313">
        <f t="shared" si="178"/>
        <v>0</v>
      </c>
      <c r="CQ125" s="313">
        <f t="shared" si="178"/>
        <v>0</v>
      </c>
      <c r="CR125" s="313">
        <f t="shared" si="178"/>
        <v>0</v>
      </c>
      <c r="CS125" s="313">
        <f t="shared" si="178"/>
        <v>0</v>
      </c>
      <c r="CT125" s="313">
        <f t="shared" si="178"/>
        <v>0</v>
      </c>
      <c r="CU125" s="313">
        <f t="shared" si="178"/>
        <v>0</v>
      </c>
      <c r="CV125" s="313">
        <f t="shared" si="178"/>
        <v>0</v>
      </c>
      <c r="CW125" s="313">
        <f t="shared" si="178"/>
        <v>0</v>
      </c>
      <c r="CX125" s="313" t="n">
        <f t="shared" ref="CX125:DV125" si="179">IF(CX$70=1,MAX(0,CX$116+CX$120-CX$124-CX$126),0)</f>
        <v>0</v>
      </c>
      <c r="CY125" s="313">
        <f t="shared" si="179"/>
        <v>0</v>
      </c>
      <c r="CZ125" s="313">
        <f t="shared" si="179"/>
        <v>0</v>
      </c>
      <c r="DA125" s="313">
        <f t="shared" si="179"/>
        <v>0</v>
      </c>
      <c r="DB125" s="313">
        <f t="shared" si="179"/>
        <v>0</v>
      </c>
      <c r="DC125" s="313">
        <f t="shared" si="179"/>
        <v>0</v>
      </c>
      <c r="DD125" s="313">
        <f t="shared" si="179"/>
        <v>0</v>
      </c>
      <c r="DE125" s="313">
        <f t="shared" si="179"/>
        <v>0</v>
      </c>
      <c r="DF125" s="313">
        <f t="shared" si="179"/>
        <v>0</v>
      </c>
      <c r="DG125" s="313">
        <f t="shared" si="179"/>
        <v>0</v>
      </c>
      <c r="DH125" s="313">
        <f t="shared" si="179"/>
        <v>0</v>
      </c>
      <c r="DI125" s="313">
        <f t="shared" si="179"/>
        <v>0</v>
      </c>
      <c r="DJ125" s="313">
        <f t="shared" si="179"/>
        <v>0</v>
      </c>
      <c r="DK125" s="313">
        <f t="shared" si="179"/>
        <v>0</v>
      </c>
      <c r="DL125" s="313">
        <f t="shared" si="179"/>
        <v>0</v>
      </c>
      <c r="DM125" s="313">
        <f t="shared" si="179"/>
        <v>0</v>
      </c>
      <c r="DN125" s="313">
        <f t="shared" si="179"/>
        <v>0</v>
      </c>
      <c r="DO125" s="313">
        <f t="shared" si="179"/>
        <v>0</v>
      </c>
      <c r="DP125" s="313">
        <f t="shared" si="179"/>
        <v>0</v>
      </c>
      <c r="DQ125" s="313">
        <f t="shared" si="179"/>
        <v>0</v>
      </c>
      <c r="DR125" s="313">
        <f t="shared" si="179"/>
        <v>0</v>
      </c>
      <c r="DS125" s="313">
        <f t="shared" si="179"/>
        <v>0</v>
      </c>
      <c r="DT125" s="313">
        <f t="shared" si="179"/>
        <v>0</v>
      </c>
      <c r="DU125" s="313">
        <f t="shared" si="179"/>
        <v>0</v>
      </c>
      <c r="DV125" s="313">
        <f t="shared" si="179"/>
        <v>0</v>
      </c>
    </row>
    <row r="126" ht="15" customHeight="1">
      <c r="A126" s="311" t="s">
        <v>1540</v>
      </c>
      <c r="B126" s="312" t="s">
        <v>1321</v>
      </c>
      <c r="C126" s="702" t="s">
        <v>1541</v>
      </c>
      <c r="D126" s="703"/>
      <c r="F126" s="313" t="n">
        <f t="shared" ref="F126:AK126" si="180">IF(OR(F$64&lt;=$B$35,F$70=1,F$64&gt;=$B$52),0,MIN(MAX(0,F$116+F$120-F$124),MAX(0,F$144-F$108-F$84-F$123-F$124)*$B$46))</f>
        <v>0</v>
      </c>
      <c r="G126" s="313">
        <f t="shared" si="180"/>
        <v>0</v>
      </c>
      <c r="H126" s="313">
        <f t="shared" si="180"/>
        <v>0</v>
      </c>
      <c r="I126" s="313">
        <f t="shared" si="180"/>
        <v>0</v>
      </c>
      <c r="J126" s="313">
        <f t="shared" si="180"/>
        <v>0</v>
      </c>
      <c r="K126" s="313">
        <f t="shared" si="180"/>
        <v>0</v>
      </c>
      <c r="L126" s="313">
        <f t="shared" si="180"/>
        <v>0</v>
      </c>
      <c r="M126" s="313">
        <f t="shared" si="180"/>
        <v>0</v>
      </c>
      <c r="N126" s="313">
        <f t="shared" si="180"/>
        <v>0</v>
      </c>
      <c r="O126" s="313">
        <f t="shared" si="180"/>
        <v>0</v>
      </c>
      <c r="P126" s="313">
        <f t="shared" si="180"/>
        <v>0</v>
      </c>
      <c r="Q126" s="313">
        <f t="shared" si="180"/>
        <v>0</v>
      </c>
      <c r="R126" s="313">
        <f t="shared" si="180"/>
        <v>0</v>
      </c>
      <c r="S126" s="313">
        <f t="shared" si="180"/>
        <v>0</v>
      </c>
      <c r="T126" s="313">
        <f t="shared" si="180"/>
        <v>0</v>
      </c>
      <c r="U126" s="313">
        <f t="shared" si="180"/>
        <v>0</v>
      </c>
      <c r="V126" s="313">
        <f t="shared" si="180"/>
        <v>0</v>
      </c>
      <c r="W126" s="313">
        <f t="shared" si="180"/>
        <v>0</v>
      </c>
      <c r="X126" s="313">
        <f t="shared" si="180"/>
        <v>0</v>
      </c>
      <c r="Y126" s="313">
        <f t="shared" si="180"/>
        <v>0</v>
      </c>
      <c r="Z126" s="313">
        <f t="shared" si="180"/>
        <v>0</v>
      </c>
      <c r="AA126" s="313">
        <f t="shared" si="180"/>
        <v>0</v>
      </c>
      <c r="AB126" s="313">
        <f t="shared" si="180"/>
        <v>0</v>
      </c>
      <c r="AC126" s="313">
        <f t="shared" si="180"/>
        <v>0</v>
      </c>
      <c r="AD126" s="313">
        <f t="shared" si="180"/>
        <v>0</v>
      </c>
      <c r="AE126" s="313">
        <f t="shared" si="180"/>
        <v>0</v>
      </c>
      <c r="AF126" s="313">
        <f t="shared" si="180"/>
        <v>0</v>
      </c>
      <c r="AG126" s="313">
        <f t="shared" si="180"/>
        <v>0</v>
      </c>
      <c r="AH126" s="313">
        <f t="shared" si="180"/>
        <v>0</v>
      </c>
      <c r="AI126" s="313">
        <f t="shared" si="180"/>
        <v>0</v>
      </c>
      <c r="AJ126" s="313">
        <f t="shared" si="180"/>
        <v>0</v>
      </c>
      <c r="AK126" s="313">
        <f t="shared" si="180"/>
        <v>0</v>
      </c>
      <c r="AL126" s="313" t="n">
        <f t="shared" ref="AL126:BQ126" si="181">IF(OR(AL$64&lt;=$B$35,AL$70=1,AL$64&gt;=$B$52),0,MIN(MAX(0,AL$116+AL$120-AL$124),MAX(0,AL$144-AL$108-AL$84-AL$123-AL$124)*$B$46))</f>
        <v>0</v>
      </c>
      <c r="AM126" s="313">
        <f t="shared" si="181"/>
        <v>0</v>
      </c>
      <c r="AN126" s="313">
        <f t="shared" si="181"/>
        <v>0</v>
      </c>
      <c r="AO126" s="313">
        <f t="shared" si="181"/>
        <v>0</v>
      </c>
      <c r="AP126" s="313">
        <f t="shared" si="181"/>
        <v>0</v>
      </c>
      <c r="AQ126" s="313">
        <f t="shared" si="181"/>
        <v>0</v>
      </c>
      <c r="AR126" s="313">
        <f t="shared" si="181"/>
        <v>0</v>
      </c>
      <c r="AS126" s="313">
        <f t="shared" si="181"/>
        <v>0</v>
      </c>
      <c r="AT126" s="313">
        <f t="shared" si="181"/>
        <v>0</v>
      </c>
      <c r="AU126" s="313">
        <f t="shared" si="181"/>
        <v>0</v>
      </c>
      <c r="AV126" s="313">
        <f t="shared" si="181"/>
        <v>0</v>
      </c>
      <c r="AW126" s="313">
        <f t="shared" si="181"/>
        <v>0</v>
      </c>
      <c r="AX126" s="313">
        <f t="shared" si="181"/>
        <v>0</v>
      </c>
      <c r="AY126" s="313">
        <f t="shared" si="181"/>
        <v>0</v>
      </c>
      <c r="AZ126" s="313">
        <f t="shared" si="181"/>
        <v>0</v>
      </c>
      <c r="BA126" s="313">
        <f t="shared" si="181"/>
        <v>0</v>
      </c>
      <c r="BB126" s="313">
        <f t="shared" si="181"/>
        <v>0</v>
      </c>
      <c r="BC126" s="313">
        <f t="shared" si="181"/>
        <v>0</v>
      </c>
      <c r="BD126" s="313">
        <f t="shared" si="181"/>
        <v>1670069.8606413989</v>
      </c>
      <c r="BE126" s="313">
        <f t="shared" si="181"/>
        <v>1686372.6603898797</v>
      </c>
      <c r="BF126" s="313">
        <f t="shared" si="181"/>
        <v>1678006.2644183368</v>
      </c>
      <c r="BG126" s="313">
        <f t="shared" si="181"/>
        <v>1694871.8037304454</v>
      </c>
      <c r="BH126" s="313">
        <f t="shared" si="181"/>
        <v>1685280.4141993285</v>
      </c>
      <c r="BI126" s="313">
        <f t="shared" si="181"/>
        <v>1722043.2861735746</v>
      </c>
      <c r="BJ126" s="313">
        <f t="shared" si="181"/>
        <v>1781499.4366363976</v>
      </c>
      <c r="BK126" s="313">
        <f t="shared" si="181"/>
        <v>1747297.0551720881</v>
      </c>
      <c r="BL126" s="313">
        <f t="shared" si="181"/>
        <v>1769938.2921779216</v>
      </c>
      <c r="BM126" s="313">
        <f t="shared" si="181"/>
        <v>1764649.1443389542</v>
      </c>
      <c r="BN126" s="313">
        <f t="shared" si="181"/>
        <v>1780166.7262441483</v>
      </c>
      <c r="BO126" s="313">
        <f t="shared" si="181"/>
        <v>0</v>
      </c>
      <c r="BP126" s="313">
        <f t="shared" si="181"/>
        <v>0</v>
      </c>
      <c r="BQ126" s="313">
        <f t="shared" si="181"/>
        <v>0</v>
      </c>
      <c r="BR126" s="313" t="n">
        <f t="shared" ref="BR126:CW126" si="182">IF(OR(BR$64&lt;=$B$35,BR$70=1,BR$64&gt;=$B$52),0,MIN(MAX(0,BR$116+BR$120-BR$124),MAX(0,BR$144-BR$108-BR$84-BR$123-BR$124)*$B$46))</f>
        <v>0</v>
      </c>
      <c r="BS126" s="313">
        <f t="shared" si="182"/>
        <v>0</v>
      </c>
      <c r="BT126" s="313">
        <f t="shared" si="182"/>
        <v>0</v>
      </c>
      <c r="BU126" s="313">
        <f t="shared" si="182"/>
        <v>0</v>
      </c>
      <c r="BV126" s="313">
        <f t="shared" si="182"/>
        <v>0</v>
      </c>
      <c r="BW126" s="313">
        <f t="shared" si="182"/>
        <v>0</v>
      </c>
      <c r="BX126" s="313">
        <f t="shared" si="182"/>
        <v>0</v>
      </c>
      <c r="BY126" s="313">
        <f t="shared" si="182"/>
        <v>0</v>
      </c>
      <c r="BZ126" s="313">
        <f t="shared" si="182"/>
        <v>0</v>
      </c>
      <c r="CA126" s="313">
        <f t="shared" si="182"/>
        <v>0</v>
      </c>
      <c r="CB126" s="313">
        <f t="shared" si="182"/>
        <v>0</v>
      </c>
      <c r="CC126" s="313">
        <f t="shared" si="182"/>
        <v>0</v>
      </c>
      <c r="CD126" s="313">
        <f t="shared" si="182"/>
        <v>0</v>
      </c>
      <c r="CE126" s="313">
        <f t="shared" si="182"/>
        <v>0</v>
      </c>
      <c r="CF126" s="313">
        <f t="shared" si="182"/>
        <v>0</v>
      </c>
      <c r="CG126" s="313">
        <f t="shared" si="182"/>
        <v>0</v>
      </c>
      <c r="CH126" s="313">
        <f t="shared" si="182"/>
        <v>0</v>
      </c>
      <c r="CI126" s="313">
        <f t="shared" si="182"/>
        <v>0</v>
      </c>
      <c r="CJ126" s="313">
        <f t="shared" si="182"/>
        <v>0</v>
      </c>
      <c r="CK126" s="313">
        <f t="shared" si="182"/>
        <v>0</v>
      </c>
      <c r="CL126" s="313">
        <f t="shared" si="182"/>
        <v>0</v>
      </c>
      <c r="CM126" s="313">
        <f t="shared" si="182"/>
        <v>0</v>
      </c>
      <c r="CN126" s="313">
        <f t="shared" si="182"/>
        <v>0</v>
      </c>
      <c r="CO126" s="313">
        <f t="shared" si="182"/>
        <v>0</v>
      </c>
      <c r="CP126" s="313">
        <f t="shared" si="182"/>
        <v>0</v>
      </c>
      <c r="CQ126" s="313">
        <f t="shared" si="182"/>
        <v>0</v>
      </c>
      <c r="CR126" s="313">
        <f t="shared" si="182"/>
        <v>0</v>
      </c>
      <c r="CS126" s="313">
        <f t="shared" si="182"/>
        <v>0</v>
      </c>
      <c r="CT126" s="313">
        <f t="shared" si="182"/>
        <v>0</v>
      </c>
      <c r="CU126" s="313">
        <f t="shared" si="182"/>
        <v>0</v>
      </c>
      <c r="CV126" s="313">
        <f t="shared" si="182"/>
        <v>0</v>
      </c>
      <c r="CW126" s="313">
        <f t="shared" si="182"/>
        <v>0</v>
      </c>
      <c r="CX126" s="313" t="n">
        <f t="shared" ref="CX126:DV126" si="183">IF(OR(CX$64&lt;=$B$35,CX$70=1,CX$64&gt;=$B$52),0,MIN(MAX(0,CX$116+CX$120-CX$124),MAX(0,CX$144-CX$108-CX$84-CX$123-CX$124)*$B$46))</f>
        <v>0</v>
      </c>
      <c r="CY126" s="313">
        <f t="shared" si="183"/>
        <v>0</v>
      </c>
      <c r="CZ126" s="313">
        <f t="shared" si="183"/>
        <v>0</v>
      </c>
      <c r="DA126" s="313">
        <f t="shared" si="183"/>
        <v>0</v>
      </c>
      <c r="DB126" s="313">
        <f t="shared" si="183"/>
        <v>0</v>
      </c>
      <c r="DC126" s="313">
        <f t="shared" si="183"/>
        <v>0</v>
      </c>
      <c r="DD126" s="313">
        <f t="shared" si="183"/>
        <v>0</v>
      </c>
      <c r="DE126" s="313">
        <f t="shared" si="183"/>
        <v>0</v>
      </c>
      <c r="DF126" s="313">
        <f t="shared" si="183"/>
        <v>0</v>
      </c>
      <c r="DG126" s="313">
        <f t="shared" si="183"/>
        <v>0</v>
      </c>
      <c r="DH126" s="313">
        <f t="shared" si="183"/>
        <v>0</v>
      </c>
      <c r="DI126" s="313">
        <f t="shared" si="183"/>
        <v>0</v>
      </c>
      <c r="DJ126" s="313">
        <f t="shared" si="183"/>
        <v>0</v>
      </c>
      <c r="DK126" s="313">
        <f t="shared" si="183"/>
        <v>0</v>
      </c>
      <c r="DL126" s="313">
        <f t="shared" si="183"/>
        <v>0</v>
      </c>
      <c r="DM126" s="313">
        <f t="shared" si="183"/>
        <v>0</v>
      </c>
      <c r="DN126" s="313">
        <f t="shared" si="183"/>
        <v>0</v>
      </c>
      <c r="DO126" s="313">
        <f t="shared" si="183"/>
        <v>0</v>
      </c>
      <c r="DP126" s="313">
        <f t="shared" si="183"/>
        <v>0</v>
      </c>
      <c r="DQ126" s="313">
        <f t="shared" si="183"/>
        <v>0</v>
      </c>
      <c r="DR126" s="313">
        <f t="shared" si="183"/>
        <v>0</v>
      </c>
      <c r="DS126" s="313">
        <f t="shared" si="183"/>
        <v>0</v>
      </c>
      <c r="DT126" s="313">
        <f t="shared" si="183"/>
        <v>0</v>
      </c>
      <c r="DU126" s="313">
        <f t="shared" si="183"/>
        <v>0</v>
      </c>
      <c r="DV126" s="313">
        <f t="shared" si="183"/>
        <v>0</v>
      </c>
    </row>
    <row r="127" ht="15" customHeight="1">
      <c r="A127" s="311" t="s">
        <v>1542</v>
      </c>
      <c r="B127" s="312" t="s">
        <v>1321</v>
      </c>
      <c r="C127" s="702" t="s">
        <v>1543</v>
      </c>
      <c r="D127" s="703"/>
      <c r="F127" s="313" t="n">
        <f t="shared" ref="F127:AK127" si="184">F$129</f>
        <v>0</v>
      </c>
      <c r="G127" s="313">
        <f t="shared" si="184"/>
        <v>0</v>
      </c>
      <c r="H127" s="313">
        <f t="shared" si="184"/>
        <v>0</v>
      </c>
      <c r="I127" s="313">
        <f t="shared" si="184"/>
        <v>0</v>
      </c>
      <c r="J127" s="313">
        <f t="shared" si="184"/>
        <v>0</v>
      </c>
      <c r="K127" s="313">
        <f t="shared" si="184"/>
        <v>0</v>
      </c>
      <c r="L127" s="313">
        <f t="shared" si="184"/>
        <v>0</v>
      </c>
      <c r="M127" s="313">
        <f t="shared" si="184"/>
        <v>0</v>
      </c>
      <c r="N127" s="313">
        <f t="shared" si="184"/>
        <v>0</v>
      </c>
      <c r="O127" s="313">
        <f t="shared" si="184"/>
        <v>0</v>
      </c>
      <c r="P127" s="313">
        <f t="shared" si="184"/>
        <v>0</v>
      </c>
      <c r="Q127" s="313">
        <f t="shared" si="184"/>
        <v>0</v>
      </c>
      <c r="R127" s="313">
        <f t="shared" si="184"/>
        <v>0</v>
      </c>
      <c r="S127" s="313">
        <f t="shared" si="184"/>
        <v>0</v>
      </c>
      <c r="T127" s="313">
        <f t="shared" si="184"/>
        <v>0</v>
      </c>
      <c r="U127" s="313">
        <f t="shared" si="184"/>
        <v>0</v>
      </c>
      <c r="V127" s="313">
        <f t="shared" si="184"/>
        <v>0</v>
      </c>
      <c r="W127" s="313">
        <f t="shared" si="184"/>
        <v>0</v>
      </c>
      <c r="X127" s="313">
        <f t="shared" si="184"/>
        <v>0</v>
      </c>
      <c r="Y127" s="313">
        <f t="shared" si="184"/>
        <v>0</v>
      </c>
      <c r="Z127" s="313">
        <f t="shared" si="184"/>
        <v>0</v>
      </c>
      <c r="AA127" s="313">
        <f t="shared" si="184"/>
        <v>0</v>
      </c>
      <c r="AB127" s="313">
        <f t="shared" si="184"/>
        <v>0</v>
      </c>
      <c r="AC127" s="313">
        <f t="shared" si="184"/>
        <v>0</v>
      </c>
      <c r="AD127" s="313">
        <f t="shared" si="184"/>
        <v>0</v>
      </c>
      <c r="AE127" s="313">
        <f t="shared" si="184"/>
        <v>0</v>
      </c>
      <c r="AF127" s="313">
        <f t="shared" si="184"/>
        <v>0</v>
      </c>
      <c r="AG127" s="313">
        <f t="shared" si="184"/>
        <v>0</v>
      </c>
      <c r="AH127" s="313">
        <f t="shared" si="184"/>
        <v>0</v>
      </c>
      <c r="AI127" s="313">
        <f t="shared" si="184"/>
        <v>0</v>
      </c>
      <c r="AJ127" s="313">
        <f t="shared" si="184"/>
        <v>0</v>
      </c>
      <c r="AK127" s="313">
        <f t="shared" si="184"/>
        <v>0</v>
      </c>
      <c r="AL127" s="313" t="n">
        <f t="shared" ref="AL127:BQ127" si="185">AL$129</f>
        <v>0</v>
      </c>
      <c r="AM127" s="313">
        <f t="shared" si="185"/>
        <v>0</v>
      </c>
      <c r="AN127" s="313">
        <f t="shared" si="185"/>
        <v>0</v>
      </c>
      <c r="AO127" s="313">
        <f t="shared" si="185"/>
        <v>0</v>
      </c>
      <c r="AP127" s="313">
        <f t="shared" si="185"/>
        <v>0</v>
      </c>
      <c r="AQ127" s="313">
        <f t="shared" si="185"/>
        <v>0</v>
      </c>
      <c r="AR127" s="313">
        <f t="shared" si="185"/>
        <v>0</v>
      </c>
      <c r="AS127" s="313">
        <f t="shared" si="185"/>
        <v>0</v>
      </c>
      <c r="AT127" s="313">
        <f t="shared" si="185"/>
        <v>0</v>
      </c>
      <c r="AU127" s="313">
        <f t="shared" si="185"/>
        <v>0</v>
      </c>
      <c r="AV127" s="313">
        <f t="shared" si="185"/>
        <v>0</v>
      </c>
      <c r="AW127" s="313">
        <f t="shared" si="185"/>
        <v>0</v>
      </c>
      <c r="AX127" s="313">
        <f t="shared" si="185"/>
        <v>0</v>
      </c>
      <c r="AY127" s="313">
        <f t="shared" si="185"/>
        <v>0</v>
      </c>
      <c r="AZ127" s="313">
        <f t="shared" si="185"/>
        <v>0</v>
      </c>
      <c r="BA127" s="313">
        <f t="shared" si="185"/>
        <v>0</v>
      </c>
      <c r="BB127" s="313">
        <f t="shared" si="185"/>
        <v>0</v>
      </c>
      <c r="BC127" s="313">
        <f t="shared" si="185"/>
        <v>0</v>
      </c>
      <c r="BD127" s="313">
        <f t="shared" si="185"/>
        <v>0</v>
      </c>
      <c r="BE127" s="313">
        <f t="shared" si="185"/>
        <v>0</v>
      </c>
      <c r="BF127" s="313">
        <f t="shared" si="185"/>
        <v>0</v>
      </c>
      <c r="BG127" s="313">
        <f t="shared" si="185"/>
        <v>0</v>
      </c>
      <c r="BH127" s="313">
        <f t="shared" si="185"/>
        <v>0</v>
      </c>
      <c r="BI127" s="313">
        <f t="shared" si="185"/>
        <v>0</v>
      </c>
      <c r="BJ127" s="313">
        <f t="shared" si="185"/>
        <v>0</v>
      </c>
      <c r="BK127" s="313">
        <f t="shared" si="185"/>
        <v>0</v>
      </c>
      <c r="BL127" s="313">
        <f t="shared" si="185"/>
        <v>0</v>
      </c>
      <c r="BM127" s="313">
        <f t="shared" si="185"/>
        <v>0</v>
      </c>
      <c r="BN127" s="313">
        <f t="shared" si="185"/>
        <v>0</v>
      </c>
      <c r="BO127" s="313">
        <f t="shared" si="185"/>
        <v>0</v>
      </c>
      <c r="BP127" s="313">
        <f t="shared" si="185"/>
        <v>0</v>
      </c>
      <c r="BQ127" s="313">
        <f t="shared" si="185"/>
        <v>0</v>
      </c>
      <c r="BR127" s="313" t="n">
        <f t="shared" ref="BR127:CW127" si="186">BR$129</f>
        <v>0</v>
      </c>
      <c r="BS127" s="313">
        <f t="shared" si="186"/>
        <v>0</v>
      </c>
      <c r="BT127" s="313">
        <f t="shared" si="186"/>
        <v>0</v>
      </c>
      <c r="BU127" s="313">
        <f t="shared" si="186"/>
        <v>0</v>
      </c>
      <c r="BV127" s="313">
        <f t="shared" si="186"/>
        <v>0</v>
      </c>
      <c r="BW127" s="313">
        <f t="shared" si="186"/>
        <v>0</v>
      </c>
      <c r="BX127" s="313">
        <f t="shared" si="186"/>
        <v>0</v>
      </c>
      <c r="BY127" s="313">
        <f t="shared" si="186"/>
        <v>0</v>
      </c>
      <c r="BZ127" s="313">
        <f t="shared" si="186"/>
        <v>0</v>
      </c>
      <c r="CA127" s="313">
        <f t="shared" si="186"/>
        <v>0</v>
      </c>
      <c r="CB127" s="313">
        <f t="shared" si="186"/>
        <v>0</v>
      </c>
      <c r="CC127" s="313">
        <f t="shared" si="186"/>
        <v>0</v>
      </c>
      <c r="CD127" s="313">
        <f t="shared" si="186"/>
        <v>0</v>
      </c>
      <c r="CE127" s="313">
        <f t="shared" si="186"/>
        <v>0</v>
      </c>
      <c r="CF127" s="313">
        <f t="shared" si="186"/>
        <v>0</v>
      </c>
      <c r="CG127" s="313">
        <f t="shared" si="186"/>
        <v>0</v>
      </c>
      <c r="CH127" s="313">
        <f t="shared" si="186"/>
        <v>0</v>
      </c>
      <c r="CI127" s="313">
        <f t="shared" si="186"/>
        <v>0</v>
      </c>
      <c r="CJ127" s="313">
        <f t="shared" si="186"/>
        <v>0</v>
      </c>
      <c r="CK127" s="313">
        <f t="shared" si="186"/>
        <v>0</v>
      </c>
      <c r="CL127" s="313">
        <f t="shared" si="186"/>
        <v>0</v>
      </c>
      <c r="CM127" s="313">
        <f t="shared" si="186"/>
        <v>0</v>
      </c>
      <c r="CN127" s="313">
        <f t="shared" si="186"/>
        <v>0</v>
      </c>
      <c r="CO127" s="313">
        <f t="shared" si="186"/>
        <v>0</v>
      </c>
      <c r="CP127" s="313">
        <f t="shared" si="186"/>
        <v>0</v>
      </c>
      <c r="CQ127" s="313">
        <f t="shared" si="186"/>
        <v>0</v>
      </c>
      <c r="CR127" s="313">
        <f t="shared" si="186"/>
        <v>0</v>
      </c>
      <c r="CS127" s="313">
        <f t="shared" si="186"/>
        <v>0</v>
      </c>
      <c r="CT127" s="313">
        <f t="shared" si="186"/>
        <v>0</v>
      </c>
      <c r="CU127" s="313">
        <f t="shared" si="186"/>
        <v>0</v>
      </c>
      <c r="CV127" s="313">
        <f t="shared" si="186"/>
        <v>0</v>
      </c>
      <c r="CW127" s="313">
        <f t="shared" si="186"/>
        <v>0</v>
      </c>
      <c r="CX127" s="313" t="n">
        <f t="shared" ref="CX127:DV127" si="187">CX$129</f>
        <v>0</v>
      </c>
      <c r="CY127" s="313">
        <f t="shared" si="187"/>
        <v>0</v>
      </c>
      <c r="CZ127" s="313">
        <f t="shared" si="187"/>
        <v>0</v>
      </c>
      <c r="DA127" s="313">
        <f t="shared" si="187"/>
        <v>0</v>
      </c>
      <c r="DB127" s="313">
        <f t="shared" si="187"/>
        <v>0</v>
      </c>
      <c r="DC127" s="313">
        <f t="shared" si="187"/>
        <v>0</v>
      </c>
      <c r="DD127" s="313">
        <f t="shared" si="187"/>
        <v>0</v>
      </c>
      <c r="DE127" s="313">
        <f t="shared" si="187"/>
        <v>0</v>
      </c>
      <c r="DF127" s="313">
        <f t="shared" si="187"/>
        <v>0</v>
      </c>
      <c r="DG127" s="313">
        <f t="shared" si="187"/>
        <v>0</v>
      </c>
      <c r="DH127" s="313">
        <f t="shared" si="187"/>
        <v>0</v>
      </c>
      <c r="DI127" s="313">
        <f t="shared" si="187"/>
        <v>0</v>
      </c>
      <c r="DJ127" s="313">
        <f t="shared" si="187"/>
        <v>0</v>
      </c>
      <c r="DK127" s="313">
        <f t="shared" si="187"/>
        <v>0</v>
      </c>
      <c r="DL127" s="313">
        <f t="shared" si="187"/>
        <v>0</v>
      </c>
      <c r="DM127" s="313">
        <f t="shared" si="187"/>
        <v>0</v>
      </c>
      <c r="DN127" s="313">
        <f t="shared" si="187"/>
        <v>0</v>
      </c>
      <c r="DO127" s="313">
        <f t="shared" si="187"/>
        <v>0</v>
      </c>
      <c r="DP127" s="313">
        <f t="shared" si="187"/>
        <v>0</v>
      </c>
      <c r="DQ127" s="313">
        <f t="shared" si="187"/>
        <v>0</v>
      </c>
      <c r="DR127" s="313">
        <f t="shared" si="187"/>
        <v>0</v>
      </c>
      <c r="DS127" s="313">
        <f t="shared" si="187"/>
        <v>0</v>
      </c>
      <c r="DT127" s="313">
        <f t="shared" si="187"/>
        <v>0</v>
      </c>
      <c r="DU127" s="313">
        <f t="shared" si="187"/>
        <v>0</v>
      </c>
      <c r="DV127" s="313">
        <f t="shared" si="187"/>
        <v>0</v>
      </c>
    </row>
    <row r="128" ht="15" customHeight="1">
      <c r="A128" s="311" t="s">
        <v>1544</v>
      </c>
      <c r="B128" s="312" t="s">
        <v>1321</v>
      </c>
      <c r="C128" s="702" t="s">
        <v>1485</v>
      </c>
      <c r="D128" s="703"/>
      <c r="E128" s="313">
        <v>0</v>
      </c>
      <c r="F128" s="313" t="n">
        <f t="shared" ref="F128:AK128" si="188">MAX(0,F$116+F$120-F$124-F$125-F$126-F$127)</f>
        <v>0</v>
      </c>
      <c r="G128" s="313">
        <f t="shared" si="188"/>
        <v>0</v>
      </c>
      <c r="H128" s="313">
        <f t="shared" si="188"/>
        <v>0</v>
      </c>
      <c r="I128" s="313">
        <f t="shared" si="188"/>
        <v>0</v>
      </c>
      <c r="J128" s="313">
        <f t="shared" si="188"/>
        <v>0</v>
      </c>
      <c r="K128" s="313">
        <f t="shared" si="188"/>
        <v>0</v>
      </c>
      <c r="L128" s="313">
        <f t="shared" si="188"/>
        <v>0</v>
      </c>
      <c r="M128" s="313">
        <f t="shared" si="188"/>
        <v>0</v>
      </c>
      <c r="N128" s="313">
        <f t="shared" si="188"/>
        <v>0</v>
      </c>
      <c r="O128" s="313">
        <f t="shared" si="188"/>
        <v>0</v>
      </c>
      <c r="P128" s="313">
        <f t="shared" si="188"/>
        <v>0</v>
      </c>
      <c r="Q128" s="313">
        <f t="shared" si="188"/>
        <v>0</v>
      </c>
      <c r="R128" s="313">
        <f t="shared" si="188"/>
        <v>0</v>
      </c>
      <c r="S128" s="313">
        <f t="shared" si="188"/>
        <v>0</v>
      </c>
      <c r="T128" s="313">
        <f t="shared" si="188"/>
        <v>0</v>
      </c>
      <c r="U128" s="313">
        <f t="shared" si="188"/>
        <v>0</v>
      </c>
      <c r="V128" s="313">
        <f t="shared" si="188"/>
        <v>0</v>
      </c>
      <c r="W128" s="313">
        <f t="shared" si="188"/>
        <v>0</v>
      </c>
      <c r="X128" s="313">
        <f t="shared" si="188"/>
        <v>0</v>
      </c>
      <c r="Y128" s="313">
        <f t="shared" si="188"/>
        <v>0</v>
      </c>
      <c r="Z128" s="313">
        <f t="shared" si="188"/>
        <v>0</v>
      </c>
      <c r="AA128" s="313">
        <f t="shared" si="188"/>
        <v>0</v>
      </c>
      <c r="AB128" s="313">
        <f t="shared" si="188"/>
        <v>0</v>
      </c>
      <c r="AC128" s="313">
        <f t="shared" si="188"/>
        <v>0</v>
      </c>
      <c r="AD128" s="313">
        <f t="shared" si="188"/>
        <v>0</v>
      </c>
      <c r="AE128" s="313">
        <f t="shared" si="188"/>
        <v>0</v>
      </c>
      <c r="AF128" s="313">
        <f t="shared" si="188"/>
        <v>0</v>
      </c>
      <c r="AG128" s="313">
        <f t="shared" si="188"/>
        <v>0</v>
      </c>
      <c r="AH128" s="313">
        <f t="shared" si="188"/>
        <v>0</v>
      </c>
      <c r="AI128" s="313">
        <f t="shared" si="188"/>
        <v>0</v>
      </c>
      <c r="AJ128" s="313">
        <f t="shared" si="188"/>
        <v>0</v>
      </c>
      <c r="AK128" s="313">
        <f t="shared" si="188"/>
        <v>0</v>
      </c>
      <c r="AL128" s="313" t="n">
        <f t="shared" ref="AL128:BQ128" si="189">MAX(0,AL$116+AL$120-AL$124-AL$125-AL$126-AL$127)</f>
        <v>0</v>
      </c>
      <c r="AM128" s="313">
        <f t="shared" si="189"/>
        <v>0</v>
      </c>
      <c r="AN128" s="313">
        <f t="shared" si="189"/>
        <v>0</v>
      </c>
      <c r="AO128" s="313">
        <f t="shared" si="189"/>
        <v>0</v>
      </c>
      <c r="AP128" s="313">
        <f t="shared" si="189"/>
        <v>0</v>
      </c>
      <c r="AQ128" s="313">
        <f t="shared" si="189"/>
        <v>0</v>
      </c>
      <c r="AR128" s="313">
        <f t="shared" si="189"/>
        <v>0</v>
      </c>
      <c r="AS128" s="313">
        <f t="shared" si="189"/>
        <v>0</v>
      </c>
      <c r="AT128" s="313">
        <f t="shared" si="189"/>
        <v>0</v>
      </c>
      <c r="AU128" s="313">
        <f t="shared" si="189"/>
        <v>0</v>
      </c>
      <c r="AV128" s="313">
        <f t="shared" si="189"/>
        <v>0</v>
      </c>
      <c r="AW128" s="313">
        <f t="shared" si="189"/>
        <v>0</v>
      </c>
      <c r="AX128" s="313">
        <f t="shared" si="189"/>
        <v>0</v>
      </c>
      <c r="AY128" s="313">
        <f t="shared" si="189"/>
        <v>0</v>
      </c>
      <c r="AZ128" s="313">
        <f t="shared" si="189"/>
        <v>0</v>
      </c>
      <c r="BA128" s="313">
        <f t="shared" si="189"/>
        <v>0</v>
      </c>
      <c r="BB128" s="313">
        <f t="shared" si="189"/>
        <v>0</v>
      </c>
      <c r="BC128" s="313">
        <f t="shared" si="189"/>
        <v>211459306.73879617</v>
      </c>
      <c r="BD128" s="313">
        <f t="shared" si="189"/>
        <v>209789236.87815478</v>
      </c>
      <c r="BE128" s="313">
        <f t="shared" si="189"/>
        <v>208102864.21776491</v>
      </c>
      <c r="BF128" s="313">
        <f t="shared" si="189"/>
        <v>206424857.95334658</v>
      </c>
      <c r="BG128" s="313">
        <f t="shared" si="189"/>
        <v>204729986.14961612</v>
      </c>
      <c r="BH128" s="313">
        <f t="shared" si="189"/>
        <v>203044705.7354168</v>
      </c>
      <c r="BI128" s="313">
        <f t="shared" si="189"/>
        <v>201322662.44924322</v>
      </c>
      <c r="BJ128" s="313">
        <f t="shared" si="189"/>
        <v>199541163.01260683</v>
      </c>
      <c r="BK128" s="313">
        <f t="shared" si="189"/>
        <v>197793865.95743474</v>
      </c>
      <c r="BL128" s="313">
        <f t="shared" si="189"/>
        <v>196023927.66525683</v>
      </c>
      <c r="BM128" s="313">
        <f t="shared" si="189"/>
        <v>194259278.52091786</v>
      </c>
      <c r="BN128" s="313">
        <f t="shared" si="189"/>
        <v>192479111.79467371</v>
      </c>
      <c r="BO128" s="313">
        <f t="shared" si="189"/>
        <v>0</v>
      </c>
      <c r="BP128" s="313">
        <f t="shared" si="189"/>
        <v>0</v>
      </c>
      <c r="BQ128" s="313">
        <f t="shared" si="189"/>
        <v>0</v>
      </c>
      <c r="BR128" s="313" t="n">
        <f t="shared" ref="BR128:CW128" si="190">MAX(0,BR$116+BR$120-BR$124-BR$125-BR$126-BR$127)</f>
        <v>0</v>
      </c>
      <c r="BS128" s="313">
        <f t="shared" si="190"/>
        <v>0</v>
      </c>
      <c r="BT128" s="313">
        <f t="shared" si="190"/>
        <v>0</v>
      </c>
      <c r="BU128" s="313">
        <f t="shared" si="190"/>
        <v>0</v>
      </c>
      <c r="BV128" s="313">
        <f t="shared" si="190"/>
        <v>0</v>
      </c>
      <c r="BW128" s="313">
        <f t="shared" si="190"/>
        <v>0</v>
      </c>
      <c r="BX128" s="313">
        <f t="shared" si="190"/>
        <v>0</v>
      </c>
      <c r="BY128" s="313">
        <f t="shared" si="190"/>
        <v>0</v>
      </c>
      <c r="BZ128" s="313">
        <f t="shared" si="190"/>
        <v>0</v>
      </c>
      <c r="CA128" s="313">
        <f t="shared" si="190"/>
        <v>0</v>
      </c>
      <c r="CB128" s="313">
        <f t="shared" si="190"/>
        <v>0</v>
      </c>
      <c r="CC128" s="313">
        <f t="shared" si="190"/>
        <v>0</v>
      </c>
      <c r="CD128" s="313">
        <f t="shared" si="190"/>
        <v>0</v>
      </c>
      <c r="CE128" s="313">
        <f t="shared" si="190"/>
        <v>0</v>
      </c>
      <c r="CF128" s="313">
        <f t="shared" si="190"/>
        <v>0</v>
      </c>
      <c r="CG128" s="313">
        <f t="shared" si="190"/>
        <v>0</v>
      </c>
      <c r="CH128" s="313">
        <f t="shared" si="190"/>
        <v>0</v>
      </c>
      <c r="CI128" s="313">
        <f t="shared" si="190"/>
        <v>0</v>
      </c>
      <c r="CJ128" s="313">
        <f t="shared" si="190"/>
        <v>0</v>
      </c>
      <c r="CK128" s="313">
        <f t="shared" si="190"/>
        <v>0</v>
      </c>
      <c r="CL128" s="313">
        <f t="shared" si="190"/>
        <v>0</v>
      </c>
      <c r="CM128" s="313">
        <f t="shared" si="190"/>
        <v>0</v>
      </c>
      <c r="CN128" s="313">
        <f t="shared" si="190"/>
        <v>0</v>
      </c>
      <c r="CO128" s="313">
        <f t="shared" si="190"/>
        <v>0</v>
      </c>
      <c r="CP128" s="313">
        <f t="shared" si="190"/>
        <v>0</v>
      </c>
      <c r="CQ128" s="313">
        <f t="shared" si="190"/>
        <v>0</v>
      </c>
      <c r="CR128" s="313">
        <f t="shared" si="190"/>
        <v>0</v>
      </c>
      <c r="CS128" s="313">
        <f t="shared" si="190"/>
        <v>0</v>
      </c>
      <c r="CT128" s="313">
        <f t="shared" si="190"/>
        <v>0</v>
      </c>
      <c r="CU128" s="313">
        <f t="shared" si="190"/>
        <v>0</v>
      </c>
      <c r="CV128" s="313">
        <f t="shared" si="190"/>
        <v>0</v>
      </c>
      <c r="CW128" s="313">
        <f t="shared" si="190"/>
        <v>0</v>
      </c>
      <c r="CX128" s="313" t="n">
        <f t="shared" ref="CX128:DV128" si="191">MAX(0,CX$116+CX$120-CX$124-CX$125-CX$126-CX$127)</f>
        <v>0</v>
      </c>
      <c r="CY128" s="313">
        <f t="shared" si="191"/>
        <v>0</v>
      </c>
      <c r="CZ128" s="313">
        <f t="shared" si="191"/>
        <v>0</v>
      </c>
      <c r="DA128" s="313">
        <f t="shared" si="191"/>
        <v>0</v>
      </c>
      <c r="DB128" s="313">
        <f t="shared" si="191"/>
        <v>0</v>
      </c>
      <c r="DC128" s="313">
        <f t="shared" si="191"/>
        <v>0</v>
      </c>
      <c r="DD128" s="313">
        <f t="shared" si="191"/>
        <v>0</v>
      </c>
      <c r="DE128" s="313">
        <f t="shared" si="191"/>
        <v>0</v>
      </c>
      <c r="DF128" s="313">
        <f t="shared" si="191"/>
        <v>0</v>
      </c>
      <c r="DG128" s="313">
        <f t="shared" si="191"/>
        <v>0</v>
      </c>
      <c r="DH128" s="313">
        <f t="shared" si="191"/>
        <v>0</v>
      </c>
      <c r="DI128" s="313">
        <f t="shared" si="191"/>
        <v>0</v>
      </c>
      <c r="DJ128" s="313">
        <f t="shared" si="191"/>
        <v>0</v>
      </c>
      <c r="DK128" s="313">
        <f t="shared" si="191"/>
        <v>0</v>
      </c>
      <c r="DL128" s="313">
        <f t="shared" si="191"/>
        <v>0</v>
      </c>
      <c r="DM128" s="313">
        <f t="shared" si="191"/>
        <v>0</v>
      </c>
      <c r="DN128" s="313">
        <f t="shared" si="191"/>
        <v>0</v>
      </c>
      <c r="DO128" s="313">
        <f t="shared" si="191"/>
        <v>0</v>
      </c>
      <c r="DP128" s="313">
        <f t="shared" si="191"/>
        <v>0</v>
      </c>
      <c r="DQ128" s="313">
        <f t="shared" si="191"/>
        <v>0</v>
      </c>
      <c r="DR128" s="313">
        <f t="shared" si="191"/>
        <v>0</v>
      </c>
      <c r="DS128" s="313">
        <f t="shared" si="191"/>
        <v>0</v>
      </c>
      <c r="DT128" s="313">
        <f t="shared" si="191"/>
        <v>0</v>
      </c>
      <c r="DU128" s="313">
        <f t="shared" si="191"/>
        <v>0</v>
      </c>
      <c r="DV128" s="313">
        <f t="shared" si="191"/>
        <v>0</v>
      </c>
    </row>
    <row r="129" ht="15" customHeight="1">
      <c r="A129" s="311" t="s">
        <v>1545</v>
      </c>
      <c r="B129" s="312" t="s">
        <v>1321</v>
      </c>
      <c r="C129" s="702" t="s">
        <v>1546</v>
      </c>
      <c r="D129" s="703"/>
      <c r="F129" s="313" t="n">
        <f t="shared" ref="F129:AK129" si="192">IF(AND(F$64&gt;=$B$52,E$64&lt;$B$52),MAX(0,F$116+F$120-F$124-F$125-F$126),0)</f>
        <v>0</v>
      </c>
      <c r="G129" s="313">
        <f t="shared" si="192"/>
        <v>0</v>
      </c>
      <c r="H129" s="313">
        <f t="shared" si="192"/>
        <v>0</v>
      </c>
      <c r="I129" s="313">
        <f t="shared" si="192"/>
        <v>0</v>
      </c>
      <c r="J129" s="313">
        <f t="shared" si="192"/>
        <v>0</v>
      </c>
      <c r="K129" s="313">
        <f t="shared" si="192"/>
        <v>0</v>
      </c>
      <c r="L129" s="313">
        <f t="shared" si="192"/>
        <v>0</v>
      </c>
      <c r="M129" s="313">
        <f t="shared" si="192"/>
        <v>0</v>
      </c>
      <c r="N129" s="313">
        <f t="shared" si="192"/>
        <v>0</v>
      </c>
      <c r="O129" s="313">
        <f t="shared" si="192"/>
        <v>0</v>
      </c>
      <c r="P129" s="313">
        <f t="shared" si="192"/>
        <v>0</v>
      </c>
      <c r="Q129" s="313">
        <f t="shared" si="192"/>
        <v>0</v>
      </c>
      <c r="R129" s="313">
        <f t="shared" si="192"/>
        <v>0</v>
      </c>
      <c r="S129" s="313">
        <f t="shared" si="192"/>
        <v>0</v>
      </c>
      <c r="T129" s="313">
        <f t="shared" si="192"/>
        <v>0</v>
      </c>
      <c r="U129" s="313">
        <f t="shared" si="192"/>
        <v>0</v>
      </c>
      <c r="V129" s="313">
        <f t="shared" si="192"/>
        <v>0</v>
      </c>
      <c r="W129" s="313">
        <f t="shared" si="192"/>
        <v>0</v>
      </c>
      <c r="X129" s="313">
        <f t="shared" si="192"/>
        <v>0</v>
      </c>
      <c r="Y129" s="313">
        <f t="shared" si="192"/>
        <v>0</v>
      </c>
      <c r="Z129" s="313">
        <f t="shared" si="192"/>
        <v>0</v>
      </c>
      <c r="AA129" s="313">
        <f t="shared" si="192"/>
        <v>0</v>
      </c>
      <c r="AB129" s="313">
        <f t="shared" si="192"/>
        <v>0</v>
      </c>
      <c r="AC129" s="313">
        <f t="shared" si="192"/>
        <v>0</v>
      </c>
      <c r="AD129" s="313">
        <f t="shared" si="192"/>
        <v>0</v>
      </c>
      <c r="AE129" s="313">
        <f t="shared" si="192"/>
        <v>0</v>
      </c>
      <c r="AF129" s="313">
        <f t="shared" si="192"/>
        <v>0</v>
      </c>
      <c r="AG129" s="313">
        <f t="shared" si="192"/>
        <v>0</v>
      </c>
      <c r="AH129" s="313">
        <f t="shared" si="192"/>
        <v>0</v>
      </c>
      <c r="AI129" s="313">
        <f t="shared" si="192"/>
        <v>0</v>
      </c>
      <c r="AJ129" s="313">
        <f t="shared" si="192"/>
        <v>0</v>
      </c>
      <c r="AK129" s="313">
        <f t="shared" si="192"/>
        <v>0</v>
      </c>
      <c r="AL129" s="313" t="n">
        <f t="shared" ref="AL129:BQ129" si="193">IF(AND(AL$64&gt;=$B$52,AK$64&lt;$B$52),MAX(0,AL$116+AL$120-AL$124-AL$125-AL$126),0)</f>
        <v>0</v>
      </c>
      <c r="AM129" s="313">
        <f t="shared" si="193"/>
        <v>0</v>
      </c>
      <c r="AN129" s="313">
        <f t="shared" si="193"/>
        <v>0</v>
      </c>
      <c r="AO129" s="313">
        <f t="shared" si="193"/>
        <v>0</v>
      </c>
      <c r="AP129" s="313">
        <f t="shared" si="193"/>
        <v>0</v>
      </c>
      <c r="AQ129" s="313">
        <f t="shared" si="193"/>
        <v>0</v>
      </c>
      <c r="AR129" s="313">
        <f t="shared" si="193"/>
        <v>0</v>
      </c>
      <c r="AS129" s="313">
        <f t="shared" si="193"/>
        <v>0</v>
      </c>
      <c r="AT129" s="313">
        <f t="shared" si="193"/>
        <v>0</v>
      </c>
      <c r="AU129" s="313">
        <f t="shared" si="193"/>
        <v>0</v>
      </c>
      <c r="AV129" s="313">
        <f t="shared" si="193"/>
        <v>0</v>
      </c>
      <c r="AW129" s="313">
        <f t="shared" si="193"/>
        <v>0</v>
      </c>
      <c r="AX129" s="313">
        <f t="shared" si="193"/>
        <v>0</v>
      </c>
      <c r="AY129" s="313">
        <f t="shared" si="193"/>
        <v>0</v>
      </c>
      <c r="AZ129" s="313">
        <f t="shared" si="193"/>
        <v>0</v>
      </c>
      <c r="BA129" s="313">
        <f t="shared" si="193"/>
        <v>0</v>
      </c>
      <c r="BB129" s="313">
        <f t="shared" si="193"/>
        <v>0</v>
      </c>
      <c r="BC129" s="313">
        <f t="shared" si="193"/>
        <v>0</v>
      </c>
      <c r="BD129" s="313">
        <f t="shared" si="193"/>
        <v>0</v>
      </c>
      <c r="BE129" s="313">
        <f t="shared" si="193"/>
        <v>0</v>
      </c>
      <c r="BF129" s="313">
        <f t="shared" si="193"/>
        <v>0</v>
      </c>
      <c r="BG129" s="313">
        <f t="shared" si="193"/>
        <v>0</v>
      </c>
      <c r="BH129" s="313">
        <f t="shared" si="193"/>
        <v>0</v>
      </c>
      <c r="BI129" s="313">
        <f t="shared" si="193"/>
        <v>0</v>
      </c>
      <c r="BJ129" s="313">
        <f t="shared" si="193"/>
        <v>0</v>
      </c>
      <c r="BK129" s="313">
        <f t="shared" si="193"/>
        <v>0</v>
      </c>
      <c r="BL129" s="313">
        <f t="shared" si="193"/>
        <v>0</v>
      </c>
      <c r="BM129" s="313">
        <f t="shared" si="193"/>
        <v>0</v>
      </c>
      <c r="BN129" s="313">
        <f t="shared" si="193"/>
        <v>0</v>
      </c>
      <c r="BO129" s="313">
        <f t="shared" si="193"/>
        <v>0</v>
      </c>
      <c r="BP129" s="313">
        <f t="shared" si="193"/>
        <v>0</v>
      </c>
      <c r="BQ129" s="313">
        <f t="shared" si="193"/>
        <v>0</v>
      </c>
      <c r="BR129" s="313" t="n">
        <f t="shared" ref="BR129:CW129" si="194">IF(AND(BR$64&gt;=$B$52,BQ$64&lt;$B$52),MAX(0,BR$116+BR$120-BR$124-BR$125-BR$126),0)</f>
        <v>0</v>
      </c>
      <c r="BS129" s="313">
        <f t="shared" si="194"/>
        <v>0</v>
      </c>
      <c r="BT129" s="313">
        <f t="shared" si="194"/>
        <v>0</v>
      </c>
      <c r="BU129" s="313">
        <f t="shared" si="194"/>
        <v>0</v>
      </c>
      <c r="BV129" s="313">
        <f t="shared" si="194"/>
        <v>0</v>
      </c>
      <c r="BW129" s="313">
        <f t="shared" si="194"/>
        <v>0</v>
      </c>
      <c r="BX129" s="313">
        <f t="shared" si="194"/>
        <v>0</v>
      </c>
      <c r="BY129" s="313">
        <f t="shared" si="194"/>
        <v>0</v>
      </c>
      <c r="BZ129" s="313">
        <f t="shared" si="194"/>
        <v>0</v>
      </c>
      <c r="CA129" s="313">
        <f t="shared" si="194"/>
        <v>0</v>
      </c>
      <c r="CB129" s="313">
        <f t="shared" si="194"/>
        <v>0</v>
      </c>
      <c r="CC129" s="313">
        <f t="shared" si="194"/>
        <v>0</v>
      </c>
      <c r="CD129" s="313">
        <f t="shared" si="194"/>
        <v>0</v>
      </c>
      <c r="CE129" s="313">
        <f t="shared" si="194"/>
        <v>0</v>
      </c>
      <c r="CF129" s="313">
        <f t="shared" si="194"/>
        <v>0</v>
      </c>
      <c r="CG129" s="313">
        <f t="shared" si="194"/>
        <v>0</v>
      </c>
      <c r="CH129" s="313">
        <f t="shared" si="194"/>
        <v>0</v>
      </c>
      <c r="CI129" s="313">
        <f t="shared" si="194"/>
        <v>0</v>
      </c>
      <c r="CJ129" s="313">
        <f t="shared" si="194"/>
        <v>0</v>
      </c>
      <c r="CK129" s="313">
        <f t="shared" si="194"/>
        <v>0</v>
      </c>
      <c r="CL129" s="313">
        <f t="shared" si="194"/>
        <v>0</v>
      </c>
      <c r="CM129" s="313">
        <f t="shared" si="194"/>
        <v>0</v>
      </c>
      <c r="CN129" s="313">
        <f t="shared" si="194"/>
        <v>0</v>
      </c>
      <c r="CO129" s="313">
        <f t="shared" si="194"/>
        <v>0</v>
      </c>
      <c r="CP129" s="313">
        <f t="shared" si="194"/>
        <v>0</v>
      </c>
      <c r="CQ129" s="313">
        <f t="shared" si="194"/>
        <v>0</v>
      </c>
      <c r="CR129" s="313">
        <f t="shared" si="194"/>
        <v>0</v>
      </c>
      <c r="CS129" s="313">
        <f t="shared" si="194"/>
        <v>0</v>
      </c>
      <c r="CT129" s="313">
        <f t="shared" si="194"/>
        <v>0</v>
      </c>
      <c r="CU129" s="313">
        <f t="shared" si="194"/>
        <v>0</v>
      </c>
      <c r="CV129" s="313">
        <f t="shared" si="194"/>
        <v>0</v>
      </c>
      <c r="CW129" s="313">
        <f t="shared" si="194"/>
        <v>0</v>
      </c>
      <c r="CX129" s="313" t="n">
        <f t="shared" ref="CX129:DV129" si="195">IF(AND(CX$64&gt;=$B$52,CW$64&lt;$B$52),MAX(0,CX$116+CX$120-CX$124-CX$125-CX$126),0)</f>
        <v>0</v>
      </c>
      <c r="CY129" s="313">
        <f t="shared" si="195"/>
        <v>0</v>
      </c>
      <c r="CZ129" s="313">
        <f t="shared" si="195"/>
        <v>0</v>
      </c>
      <c r="DA129" s="313">
        <f t="shared" si="195"/>
        <v>0</v>
      </c>
      <c r="DB129" s="313">
        <f t="shared" si="195"/>
        <v>0</v>
      </c>
      <c r="DC129" s="313">
        <f t="shared" si="195"/>
        <v>0</v>
      </c>
      <c r="DD129" s="313">
        <f t="shared" si="195"/>
        <v>0</v>
      </c>
      <c r="DE129" s="313">
        <f t="shared" si="195"/>
        <v>0</v>
      </c>
      <c r="DF129" s="313">
        <f t="shared" si="195"/>
        <v>0</v>
      </c>
      <c r="DG129" s="313">
        <f t="shared" si="195"/>
        <v>0</v>
      </c>
      <c r="DH129" s="313">
        <f t="shared" si="195"/>
        <v>0</v>
      </c>
      <c r="DI129" s="313">
        <f t="shared" si="195"/>
        <v>0</v>
      </c>
      <c r="DJ129" s="313">
        <f t="shared" si="195"/>
        <v>0</v>
      </c>
      <c r="DK129" s="313">
        <f t="shared" si="195"/>
        <v>0</v>
      </c>
      <c r="DL129" s="313">
        <f t="shared" si="195"/>
        <v>0</v>
      </c>
      <c r="DM129" s="313">
        <f t="shared" si="195"/>
        <v>0</v>
      </c>
      <c r="DN129" s="313">
        <f t="shared" si="195"/>
        <v>0</v>
      </c>
      <c r="DO129" s="313">
        <f t="shared" si="195"/>
        <v>0</v>
      </c>
      <c r="DP129" s="313">
        <f t="shared" si="195"/>
        <v>0</v>
      </c>
      <c r="DQ129" s="313">
        <f t="shared" si="195"/>
        <v>0</v>
      </c>
      <c r="DR129" s="313">
        <f t="shared" si="195"/>
        <v>0</v>
      </c>
      <c r="DS129" s="313">
        <f t="shared" si="195"/>
        <v>0</v>
      </c>
      <c r="DT129" s="313">
        <f t="shared" si="195"/>
        <v>0</v>
      </c>
      <c r="DU129" s="313">
        <f t="shared" si="195"/>
        <v>0</v>
      </c>
      <c r="DV129" s="313">
        <f t="shared" si="195"/>
        <v>0</v>
      </c>
    </row>
    <row r="130" ht="15" customHeight="1">
      <c r="A130" s="311" t="s">
        <v>1356</v>
      </c>
      <c r="B130" s="312" t="s">
        <v>1321</v>
      </c>
      <c r="C130" s="702" t="s">
        <v>1547</v>
      </c>
      <c r="D130" s="703"/>
      <c r="F130" s="313" t="n">
        <f t="shared" ref="F130:AK130" si="196">MAX(0,F$123+F$124)*$B$51</f>
        <v>0</v>
      </c>
      <c r="G130" s="313">
        <f t="shared" si="196"/>
        <v>0</v>
      </c>
      <c r="H130" s="313">
        <f t="shared" si="196"/>
        <v>0</v>
      </c>
      <c r="I130" s="313">
        <f t="shared" si="196"/>
        <v>0</v>
      </c>
      <c r="J130" s="313">
        <f t="shared" si="196"/>
        <v>0</v>
      </c>
      <c r="K130" s="313">
        <f t="shared" si="196"/>
        <v>0</v>
      </c>
      <c r="L130" s="313">
        <f t="shared" si="196"/>
        <v>0</v>
      </c>
      <c r="M130" s="313">
        <f t="shared" si="196"/>
        <v>0</v>
      </c>
      <c r="N130" s="313">
        <f t="shared" si="196"/>
        <v>0</v>
      </c>
      <c r="O130" s="313">
        <f t="shared" si="196"/>
        <v>0</v>
      </c>
      <c r="P130" s="313">
        <f t="shared" si="196"/>
        <v>0</v>
      </c>
      <c r="Q130" s="313">
        <f t="shared" si="196"/>
        <v>0</v>
      </c>
      <c r="R130" s="313">
        <f t="shared" si="196"/>
        <v>0</v>
      </c>
      <c r="S130" s="313">
        <f t="shared" si="196"/>
        <v>0</v>
      </c>
      <c r="T130" s="313">
        <f t="shared" si="196"/>
        <v>0</v>
      </c>
      <c r="U130" s="313">
        <f t="shared" si="196"/>
        <v>0</v>
      </c>
      <c r="V130" s="313">
        <f t="shared" si="196"/>
        <v>0</v>
      </c>
      <c r="W130" s="313">
        <f t="shared" si="196"/>
        <v>0</v>
      </c>
      <c r="X130" s="313">
        <f t="shared" si="196"/>
        <v>0</v>
      </c>
      <c r="Y130" s="313">
        <f t="shared" si="196"/>
        <v>0</v>
      </c>
      <c r="Z130" s="313">
        <f t="shared" si="196"/>
        <v>0</v>
      </c>
      <c r="AA130" s="313">
        <f t="shared" si="196"/>
        <v>0</v>
      </c>
      <c r="AB130" s="313">
        <f t="shared" si="196"/>
        <v>0</v>
      </c>
      <c r="AC130" s="313">
        <f t="shared" si="196"/>
        <v>0</v>
      </c>
      <c r="AD130" s="313">
        <f t="shared" si="196"/>
        <v>0</v>
      </c>
      <c r="AE130" s="313">
        <f t="shared" si="196"/>
        <v>0</v>
      </c>
      <c r="AF130" s="313">
        <f t="shared" si="196"/>
        <v>0</v>
      </c>
      <c r="AG130" s="313">
        <f t="shared" si="196"/>
        <v>0</v>
      </c>
      <c r="AH130" s="313">
        <f t="shared" si="196"/>
        <v>0</v>
      </c>
      <c r="AI130" s="313">
        <f t="shared" si="196"/>
        <v>0</v>
      </c>
      <c r="AJ130" s="313">
        <f t="shared" si="196"/>
        <v>0</v>
      </c>
      <c r="AK130" s="313">
        <f t="shared" si="196"/>
        <v>0</v>
      </c>
      <c r="AL130" s="313" t="n">
        <f t="shared" ref="AL130:BQ130" si="197">MAX(0,AL$123+AL$124)*$B$51</f>
        <v>0</v>
      </c>
      <c r="AM130" s="313">
        <f t="shared" si="197"/>
        <v>0</v>
      </c>
      <c r="AN130" s="313">
        <f t="shared" si="197"/>
        <v>0</v>
      </c>
      <c r="AO130" s="313">
        <f t="shared" si="197"/>
        <v>0</v>
      </c>
      <c r="AP130" s="313">
        <f t="shared" si="197"/>
        <v>0</v>
      </c>
      <c r="AQ130" s="313">
        <f t="shared" si="197"/>
        <v>0</v>
      </c>
      <c r="AR130" s="313">
        <f t="shared" si="197"/>
        <v>0</v>
      </c>
      <c r="AS130" s="313">
        <f t="shared" si="197"/>
        <v>0</v>
      </c>
      <c r="AT130" s="313">
        <f t="shared" si="197"/>
        <v>0</v>
      </c>
      <c r="AU130" s="313">
        <f t="shared" si="197"/>
        <v>0</v>
      </c>
      <c r="AV130" s="313">
        <f t="shared" si="197"/>
        <v>0</v>
      </c>
      <c r="AW130" s="313">
        <f t="shared" si="197"/>
        <v>0</v>
      </c>
      <c r="AX130" s="313">
        <f t="shared" si="197"/>
        <v>0</v>
      </c>
      <c r="AY130" s="313">
        <f t="shared" si="197"/>
        <v>0</v>
      </c>
      <c r="AZ130" s="313">
        <f t="shared" si="197"/>
        <v>0</v>
      </c>
      <c r="BA130" s="313">
        <f t="shared" si="197"/>
        <v>0</v>
      </c>
      <c r="BB130" s="313">
        <f t="shared" si="197"/>
        <v>0</v>
      </c>
      <c r="BC130" s="313">
        <f t="shared" si="197"/>
        <v>0</v>
      </c>
      <c r="BD130" s="313">
        <f t="shared" si="197"/>
        <v>0</v>
      </c>
      <c r="BE130" s="313">
        <f t="shared" si="197"/>
        <v>0</v>
      </c>
      <c r="BF130" s="313">
        <f t="shared" si="197"/>
        <v>0</v>
      </c>
      <c r="BG130" s="313">
        <f t="shared" si="197"/>
        <v>0</v>
      </c>
      <c r="BH130" s="313">
        <f t="shared" si="197"/>
        <v>0</v>
      </c>
      <c r="BI130" s="313">
        <f t="shared" si="197"/>
        <v>0</v>
      </c>
      <c r="BJ130" s="313">
        <f t="shared" si="197"/>
        <v>0</v>
      </c>
      <c r="BK130" s="313">
        <f t="shared" si="197"/>
        <v>0</v>
      </c>
      <c r="BL130" s="313">
        <f t="shared" si="197"/>
        <v>0</v>
      </c>
      <c r="BM130" s="313">
        <f t="shared" si="197"/>
        <v>0</v>
      </c>
      <c r="BN130" s="313">
        <f t="shared" si="197"/>
        <v>0</v>
      </c>
      <c r="BO130" s="313">
        <f t="shared" si="197"/>
        <v>0</v>
      </c>
      <c r="BP130" s="313">
        <f t="shared" si="197"/>
        <v>0</v>
      </c>
      <c r="BQ130" s="313">
        <f t="shared" si="197"/>
        <v>0</v>
      </c>
      <c r="BR130" s="313" t="n">
        <f t="shared" ref="BR130:CW130" si="198">MAX(0,BR$123+BR$124)*$B$51</f>
        <v>0</v>
      </c>
      <c r="BS130" s="313">
        <f t="shared" si="198"/>
        <v>0</v>
      </c>
      <c r="BT130" s="313">
        <f t="shared" si="198"/>
        <v>0</v>
      </c>
      <c r="BU130" s="313">
        <f t="shared" si="198"/>
        <v>0</v>
      </c>
      <c r="BV130" s="313">
        <f t="shared" si="198"/>
        <v>0</v>
      </c>
      <c r="BW130" s="313">
        <f t="shared" si="198"/>
        <v>0</v>
      </c>
      <c r="BX130" s="313">
        <f t="shared" si="198"/>
        <v>0</v>
      </c>
      <c r="BY130" s="313">
        <f t="shared" si="198"/>
        <v>0</v>
      </c>
      <c r="BZ130" s="313">
        <f t="shared" si="198"/>
        <v>0</v>
      </c>
      <c r="CA130" s="313">
        <f t="shared" si="198"/>
        <v>0</v>
      </c>
      <c r="CB130" s="313">
        <f t="shared" si="198"/>
        <v>0</v>
      </c>
      <c r="CC130" s="313">
        <f t="shared" si="198"/>
        <v>0</v>
      </c>
      <c r="CD130" s="313">
        <f t="shared" si="198"/>
        <v>0</v>
      </c>
      <c r="CE130" s="313">
        <f t="shared" si="198"/>
        <v>0</v>
      </c>
      <c r="CF130" s="313">
        <f t="shared" si="198"/>
        <v>0</v>
      </c>
      <c r="CG130" s="313">
        <f t="shared" si="198"/>
        <v>0</v>
      </c>
      <c r="CH130" s="313">
        <f t="shared" si="198"/>
        <v>0</v>
      </c>
      <c r="CI130" s="313">
        <f t="shared" si="198"/>
        <v>0</v>
      </c>
      <c r="CJ130" s="313">
        <f t="shared" si="198"/>
        <v>0</v>
      </c>
      <c r="CK130" s="313">
        <f t="shared" si="198"/>
        <v>0</v>
      </c>
      <c r="CL130" s="313">
        <f t="shared" si="198"/>
        <v>0</v>
      </c>
      <c r="CM130" s="313">
        <f t="shared" si="198"/>
        <v>0</v>
      </c>
      <c r="CN130" s="313">
        <f t="shared" si="198"/>
        <v>0</v>
      </c>
      <c r="CO130" s="313">
        <f t="shared" si="198"/>
        <v>0</v>
      </c>
      <c r="CP130" s="313">
        <f t="shared" si="198"/>
        <v>0</v>
      </c>
      <c r="CQ130" s="313">
        <f t="shared" si="198"/>
        <v>0</v>
      </c>
      <c r="CR130" s="313">
        <f t="shared" si="198"/>
        <v>0</v>
      </c>
      <c r="CS130" s="313">
        <f t="shared" si="198"/>
        <v>0</v>
      </c>
      <c r="CT130" s="313">
        <f t="shared" si="198"/>
        <v>0</v>
      </c>
      <c r="CU130" s="313">
        <f t="shared" si="198"/>
        <v>0</v>
      </c>
      <c r="CV130" s="313">
        <f t="shared" si="198"/>
        <v>0</v>
      </c>
      <c r="CW130" s="313">
        <f t="shared" si="198"/>
        <v>0</v>
      </c>
      <c r="CX130" s="313" t="n">
        <f t="shared" ref="CX130:DV130" si="199">MAX(0,CX$123+CX$124)*$B$51</f>
        <v>0</v>
      </c>
      <c r="CY130" s="313">
        <f t="shared" si="199"/>
        <v>0</v>
      </c>
      <c r="CZ130" s="313">
        <f t="shared" si="199"/>
        <v>0</v>
      </c>
      <c r="DA130" s="313">
        <f t="shared" si="199"/>
        <v>0</v>
      </c>
      <c r="DB130" s="313">
        <f t="shared" si="199"/>
        <v>0</v>
      </c>
      <c r="DC130" s="313">
        <f t="shared" si="199"/>
        <v>0</v>
      </c>
      <c r="DD130" s="313">
        <f t="shared" si="199"/>
        <v>0</v>
      </c>
      <c r="DE130" s="313">
        <f t="shared" si="199"/>
        <v>0</v>
      </c>
      <c r="DF130" s="313">
        <f t="shared" si="199"/>
        <v>0</v>
      </c>
      <c r="DG130" s="313">
        <f t="shared" si="199"/>
        <v>0</v>
      </c>
      <c r="DH130" s="313">
        <f t="shared" si="199"/>
        <v>0</v>
      </c>
      <c r="DI130" s="313">
        <f t="shared" si="199"/>
        <v>0</v>
      </c>
      <c r="DJ130" s="313">
        <f t="shared" si="199"/>
        <v>0</v>
      </c>
      <c r="DK130" s="313">
        <f t="shared" si="199"/>
        <v>0</v>
      </c>
      <c r="DL130" s="313">
        <f t="shared" si="199"/>
        <v>0</v>
      </c>
      <c r="DM130" s="313">
        <f t="shared" si="199"/>
        <v>0</v>
      </c>
      <c r="DN130" s="313">
        <f t="shared" si="199"/>
        <v>0</v>
      </c>
      <c r="DO130" s="313">
        <f t="shared" si="199"/>
        <v>0</v>
      </c>
      <c r="DP130" s="313">
        <f t="shared" si="199"/>
        <v>0</v>
      </c>
      <c r="DQ130" s="313">
        <f t="shared" si="199"/>
        <v>0</v>
      </c>
      <c r="DR130" s="313">
        <f t="shared" si="199"/>
        <v>0</v>
      </c>
      <c r="DS130" s="313">
        <f t="shared" si="199"/>
        <v>0</v>
      </c>
      <c r="DT130" s="313">
        <f t="shared" si="199"/>
        <v>0</v>
      </c>
      <c r="DU130" s="313">
        <f t="shared" si="199"/>
        <v>0</v>
      </c>
      <c r="DV130" s="313">
        <f t="shared" si="199"/>
        <v>0</v>
      </c>
    </row>
    <row r="131" ht="15" customHeight="1">
      <c r="A131" s="311" t="s">
        <v>1281</v>
      </c>
      <c r="B131" s="312" t="s">
        <v>780</v>
      </c>
      <c r="C131" s="702" t="s">
        <v>1548</v>
      </c>
      <c r="D131" s="703"/>
      <c r="F131" s="318" t="n">
        <f t="shared" ref="F131:AK131" si="200">IF(OR(F$64&lt;$B$35,F$64&gt;$B$52,SUM(F$123:Q$123,F$124:Q$124)=0),0,SUM(F$144:Q$144)/SUM(F$123:Q$123,F$124:Q$124))</f>
        <v>0</v>
      </c>
      <c r="G131" s="318">
        <f t="shared" si="200"/>
        <v>0</v>
      </c>
      <c r="H131" s="318">
        <f t="shared" si="200"/>
        <v>0</v>
      </c>
      <c r="I131" s="318">
        <f t="shared" si="200"/>
        <v>0</v>
      </c>
      <c r="J131" s="318">
        <f t="shared" si="200"/>
        <v>0</v>
      </c>
      <c r="K131" s="318">
        <f t="shared" si="200"/>
        <v>0</v>
      </c>
      <c r="L131" s="318">
        <f t="shared" si="200"/>
        <v>0</v>
      </c>
      <c r="M131" s="318">
        <f t="shared" si="200"/>
        <v>0</v>
      </c>
      <c r="N131" s="318">
        <f t="shared" si="200"/>
        <v>0</v>
      </c>
      <c r="O131" s="318">
        <f t="shared" si="200"/>
        <v>0</v>
      </c>
      <c r="P131" s="318">
        <f t="shared" si="200"/>
        <v>0</v>
      </c>
      <c r="Q131" s="318">
        <f t="shared" si="200"/>
        <v>0</v>
      </c>
      <c r="R131" s="318">
        <f t="shared" si="200"/>
        <v>0</v>
      </c>
      <c r="S131" s="318">
        <f t="shared" si="200"/>
        <v>0</v>
      </c>
      <c r="T131" s="318">
        <f t="shared" si="200"/>
        <v>0</v>
      </c>
      <c r="U131" s="318">
        <f t="shared" si="200"/>
        <v>0</v>
      </c>
      <c r="V131" s="318">
        <f t="shared" si="200"/>
        <v>0</v>
      </c>
      <c r="W131" s="318">
        <f t="shared" si="200"/>
        <v>0</v>
      </c>
      <c r="X131" s="318">
        <f t="shared" si="200"/>
        <v>0</v>
      </c>
      <c r="Y131" s="318">
        <f t="shared" si="200"/>
        <v>0</v>
      </c>
      <c r="Z131" s="318">
        <f t="shared" si="200"/>
        <v>0</v>
      </c>
      <c r="AA131" s="318">
        <f t="shared" si="200"/>
        <v>0</v>
      </c>
      <c r="AB131" s="318">
        <f t="shared" si="200"/>
        <v>0</v>
      </c>
      <c r="AC131" s="318">
        <f t="shared" si="200"/>
        <v>0</v>
      </c>
      <c r="AD131" s="318">
        <f t="shared" si="200"/>
        <v>0</v>
      </c>
      <c r="AE131" s="318">
        <f t="shared" si="200"/>
        <v>0</v>
      </c>
      <c r="AF131" s="318">
        <f t="shared" si="200"/>
        <v>0</v>
      </c>
      <c r="AG131" s="318">
        <f t="shared" si="200"/>
        <v>0</v>
      </c>
      <c r="AH131" s="318">
        <f t="shared" si="200"/>
        <v>0</v>
      </c>
      <c r="AI131" s="318">
        <f t="shared" si="200"/>
        <v>0</v>
      </c>
      <c r="AJ131" s="318">
        <f t="shared" si="200"/>
        <v>0</v>
      </c>
      <c r="AK131" s="318">
        <f t="shared" si="200"/>
        <v>0</v>
      </c>
      <c r="AL131" s="318" t="n">
        <f t="shared" ref="AL131:BQ131" si="201">IF(OR(AL$64&lt;$B$35,AL$64&gt;$B$52,SUM(AL$123:AW$123,AL$124:AW$124)=0),0,SUM(AL$144:AW$144)/SUM(AL$123:AW$123,AL$124:AW$124))</f>
        <v>0</v>
      </c>
      <c r="AM131" s="318">
        <f t="shared" si="201"/>
        <v>0</v>
      </c>
      <c r="AN131" s="318">
        <f t="shared" si="201"/>
        <v>0</v>
      </c>
      <c r="AO131" s="318">
        <f t="shared" si="201"/>
        <v>0</v>
      </c>
      <c r="AP131" s="318">
        <f t="shared" si="201"/>
        <v>0</v>
      </c>
      <c r="AQ131" s="318">
        <f t="shared" si="201"/>
        <v>0</v>
      </c>
      <c r="AR131" s="318">
        <f t="shared" si="201"/>
        <v>0</v>
      </c>
      <c r="AS131" s="318">
        <f t="shared" si="201"/>
        <v>0</v>
      </c>
      <c r="AT131" s="318">
        <f t="shared" si="201"/>
        <v>0</v>
      </c>
      <c r="AU131" s="318">
        <f t="shared" si="201"/>
        <v>0</v>
      </c>
      <c r="AV131" s="318">
        <f t="shared" si="201"/>
        <v>0</v>
      </c>
      <c r="AW131" s="318">
        <f t="shared" si="201"/>
        <v>0</v>
      </c>
      <c r="AX131" s="318">
        <f t="shared" si="201"/>
        <v>0</v>
      </c>
      <c r="AY131" s="318">
        <f t="shared" si="201"/>
        <v>0</v>
      </c>
      <c r="AZ131" s="318">
        <f t="shared" si="201"/>
        <v>0</v>
      </c>
      <c r="BA131" s="318">
        <f t="shared" si="201"/>
        <v>0</v>
      </c>
      <c r="BB131" s="318">
        <f t="shared" si="201"/>
        <v>0</v>
      </c>
      <c r="BC131" s="318">
        <f t="shared" si="201"/>
        <v>4.2952503555208308</v>
      </c>
      <c r="BD131" s="318">
        <f t="shared" si="201"/>
        <v>3.9917034858317488</v>
      </c>
      <c r="BE131" s="318">
        <f t="shared" si="201"/>
        <v>4.3467065823501061</v>
      </c>
      <c r="BF131" s="318">
        <f t="shared" si="201"/>
        <v>4.7562851924144534</v>
      </c>
      <c r="BG131" s="318">
        <f t="shared" si="201"/>
        <v>5.2687429964181351</v>
      </c>
      <c r="BH131" s="318">
        <f t="shared" si="201"/>
        <v>5.882332764526029</v>
      </c>
      <c r="BI131" s="318">
        <f t="shared" si="201"/>
        <v>6.6858713176596511</v>
      </c>
      <c r="BJ131" s="318">
        <f t="shared" si="201"/>
        <v>7.743169091946319</v>
      </c>
      <c r="BK131" s="318">
        <f t="shared" si="201"/>
        <v>9.0338770492503482</v>
      </c>
      <c r="BL131" s="318">
        <f t="shared" si="201"/>
        <v>11.069722301612964</v>
      </c>
      <c r="BM131" s="318">
        <f t="shared" si="201"/>
        <v>14.152549589153361</v>
      </c>
      <c r="BN131" s="318">
        <f t="shared" si="201"/>
        <v>19.853260229625768</v>
      </c>
      <c r="BO131" s="318">
        <f t="shared" si="201"/>
        <v>32.49743783257135</v>
      </c>
      <c r="BP131" s="318">
        <f t="shared" si="201"/>
        <v>0</v>
      </c>
      <c r="BQ131" s="318">
        <f t="shared" si="201"/>
        <v>0</v>
      </c>
      <c r="BR131" s="318" t="n">
        <f t="shared" ref="BR131:CW131" si="202">IF(OR(BR$64&lt;$B$35,BR$64&gt;$B$52,SUM(BR$123:CC$123,BR$124:CC$124)=0),0,SUM(BR$144:CC$144)/SUM(BR$123:CC$123,BR$124:CC$124))</f>
        <v>0</v>
      </c>
      <c r="BS131" s="318">
        <f t="shared" si="202"/>
        <v>0</v>
      </c>
      <c r="BT131" s="318">
        <f t="shared" si="202"/>
        <v>0</v>
      </c>
      <c r="BU131" s="318">
        <f t="shared" si="202"/>
        <v>0</v>
      </c>
      <c r="BV131" s="318">
        <f t="shared" si="202"/>
        <v>0</v>
      </c>
      <c r="BW131" s="318">
        <f t="shared" si="202"/>
        <v>0</v>
      </c>
      <c r="BX131" s="318">
        <f t="shared" si="202"/>
        <v>0</v>
      </c>
      <c r="BY131" s="318">
        <f t="shared" si="202"/>
        <v>0</v>
      </c>
      <c r="BZ131" s="318">
        <f t="shared" si="202"/>
        <v>0</v>
      </c>
      <c r="CA131" s="318">
        <f t="shared" si="202"/>
        <v>0</v>
      </c>
      <c r="CB131" s="318">
        <f t="shared" si="202"/>
        <v>0</v>
      </c>
      <c r="CC131" s="318">
        <f t="shared" si="202"/>
        <v>0</v>
      </c>
      <c r="CD131" s="318">
        <f t="shared" si="202"/>
        <v>0</v>
      </c>
      <c r="CE131" s="318">
        <f t="shared" si="202"/>
        <v>0</v>
      </c>
      <c r="CF131" s="318">
        <f t="shared" si="202"/>
        <v>0</v>
      </c>
      <c r="CG131" s="318">
        <f t="shared" si="202"/>
        <v>0</v>
      </c>
      <c r="CH131" s="318">
        <f t="shared" si="202"/>
        <v>0</v>
      </c>
      <c r="CI131" s="318">
        <f t="shared" si="202"/>
        <v>0</v>
      </c>
      <c r="CJ131" s="318">
        <f t="shared" si="202"/>
        <v>0</v>
      </c>
      <c r="CK131" s="318">
        <f t="shared" si="202"/>
        <v>0</v>
      </c>
      <c r="CL131" s="318">
        <f t="shared" si="202"/>
        <v>0</v>
      </c>
      <c r="CM131" s="318">
        <f t="shared" si="202"/>
        <v>0</v>
      </c>
      <c r="CN131" s="318">
        <f t="shared" si="202"/>
        <v>0</v>
      </c>
      <c r="CO131" s="318">
        <f t="shared" si="202"/>
        <v>0</v>
      </c>
      <c r="CP131" s="318">
        <f t="shared" si="202"/>
        <v>0</v>
      </c>
      <c r="CQ131" s="318">
        <f t="shared" si="202"/>
        <v>0</v>
      </c>
      <c r="CR131" s="318">
        <f t="shared" si="202"/>
        <v>0</v>
      </c>
      <c r="CS131" s="318">
        <f t="shared" si="202"/>
        <v>0</v>
      </c>
      <c r="CT131" s="318">
        <f t="shared" si="202"/>
        <v>0</v>
      </c>
      <c r="CU131" s="318">
        <f t="shared" si="202"/>
        <v>0</v>
      </c>
      <c r="CV131" s="318">
        <f t="shared" si="202"/>
        <v>0</v>
      </c>
      <c r="CW131" s="318">
        <f t="shared" si="202"/>
        <v>0</v>
      </c>
      <c r="CX131" s="318" t="n">
        <f t="shared" ref="CX131:DK131" si="203">IF(OR(CX$64&lt;$B$35,CX$64&gt;$B$52,SUM(CX$123:DI$123,CX$124:DI$124)=0),0,SUM(CX$144:DI$144)/SUM(CX$123:DI$123,CX$124:DI$124))</f>
        <v>0</v>
      </c>
      <c r="CY131" s="318">
        <f t="shared" si="203"/>
        <v>0</v>
      </c>
      <c r="CZ131" s="318">
        <f t="shared" si="203"/>
        <v>0</v>
      </c>
      <c r="DA131" s="318">
        <f t="shared" si="203"/>
        <v>0</v>
      </c>
      <c r="DB131" s="318">
        <f t="shared" si="203"/>
        <v>0</v>
      </c>
      <c r="DC131" s="318">
        <f t="shared" si="203"/>
        <v>0</v>
      </c>
      <c r="DD131" s="318">
        <f t="shared" si="203"/>
        <v>0</v>
      </c>
      <c r="DE131" s="318">
        <f t="shared" si="203"/>
        <v>0</v>
      </c>
      <c r="DF131" s="318">
        <f t="shared" si="203"/>
        <v>0</v>
      </c>
      <c r="DG131" s="318">
        <f t="shared" si="203"/>
        <v>0</v>
      </c>
      <c r="DH131" s="318">
        <f t="shared" si="203"/>
        <v>0</v>
      </c>
      <c r="DI131" s="318">
        <f t="shared" si="203"/>
        <v>0</v>
      </c>
      <c r="DJ131" s="318">
        <f t="shared" si="203"/>
        <v>0</v>
      </c>
      <c r="DK131" s="318">
        <f t="shared" si="203"/>
        <v>0</v>
      </c>
      <c r="DL131" s="318" t="n">
        <f>IF(OR(DL$64&lt;$B$35,DL$64&gt;$B$52,SUM(DL$123:DV$123,DL$124:DV$124)=0),0,SUM(DL$144:DV$144)/SUM(DL$123:DV$123,DL$124:DV$124))</f>
        <v>0</v>
      </c>
      <c r="DM131" s="318" t="n">
        <f>IF(OR(DM$64&lt;$B$35,DM$64&gt;$B$52,SUM(DM$123:DV$123,DM$124:DV$124)=0),0,SUM(DM$144:DV$144)/SUM(DM$123:DV$123,DM$124:DV$124))</f>
        <v>0</v>
      </c>
      <c r="DN131" s="318" t="n">
        <f>IF(OR(DN$64&lt;$B$35,DN$64&gt;$B$52,SUM(DN$123:DV$123,DN$124:DV$124)=0),0,SUM(DN$144:DV$144)/SUM(DN$123:DV$123,DN$124:DV$124))</f>
        <v>0</v>
      </c>
      <c r="DO131" s="318" t="n">
        <f>IF(OR(DO$64&lt;$B$35,DO$64&gt;$B$52,SUM(DO$123:DV$123,DO$124:DV$124)=0),0,SUM(DO$144:DV$144)/SUM(DO$123:DV$123,DO$124:DV$124))</f>
        <v>0</v>
      </c>
      <c r="DP131" s="318" t="n">
        <f>IF(OR(DP$64&lt;$B$35,DP$64&gt;$B$52,SUM(DP$123:DV$123,DP$124:DV$124)=0),0,SUM(DP$144:DV$144)/SUM(DP$123:DV$123,DP$124:DV$124))</f>
        <v>0</v>
      </c>
      <c r="DQ131" s="318" t="n">
        <f>IF(OR(DQ$64&lt;$B$35,DQ$64&gt;$B$52,SUM(DQ$123:DV$123,DQ$124:DV$124)=0),0,SUM(DQ$144:DV$144)/SUM(DQ$123:DV$123,DQ$124:DV$124))</f>
        <v>0</v>
      </c>
      <c r="DR131" s="318" t="n">
        <f>IF(OR(DR$64&lt;$B$35,DR$64&gt;$B$52,SUM(DR$123:DV$123,DR$124:DV$124)=0),0,SUM(DR$144:DV$144)/SUM(DR$123:DV$123,DR$124:DV$124))</f>
        <v>0</v>
      </c>
      <c r="DS131" s="318" t="n">
        <f>IF(OR(DS$64&lt;$B$35,DS$64&gt;$B$52,SUM(DS$123:DV$123,DS$124:DV$124)=0),0,SUM(DS$144:DV$144)/SUM(DS$123:DV$123,DS$124:DV$124))</f>
        <v>0</v>
      </c>
      <c r="DT131" s="318" t="n">
        <f>IF(OR(DT$64&lt;$B$35,DT$64&gt;$B$52,SUM(DT$123:DV$123,DT$124:DV$124)=0),0,SUM(DT$144:DV$144)/SUM(DT$123:DV$123,DT$124:DV$124))</f>
        <v>0</v>
      </c>
      <c r="DU131" s="318" t="n">
        <f>IF(OR(DU$64&lt;$B$35,DU$64&gt;$B$52,SUM(DU$123:DV$123,DU$124:DV$124)=0),0,SUM(DU$144:DV$144)/SUM(DU$123:DV$123,DU$124:DV$124))</f>
        <v>0</v>
      </c>
      <c r="DV131" s="318" t="n">
        <f>IF(OR(DV$64&lt;$B$35,DV$64&gt;$B$52,SUM(DV$123:DV$123,DV$124:DV$124)=0),0,SUM(DV$144:DV$144)/SUM(DV$123:DV$123,DV$124:DV$124))</f>
        <v>0</v>
      </c>
    </row>
    <row r="132" ht="15" customHeight="1">
      <c r="A132" s="311" t="s">
        <v>1549</v>
      </c>
      <c r="B132" s="312" t="s">
        <v>780</v>
      </c>
      <c r="C132" s="702" t="s">
        <v>1550</v>
      </c>
      <c r="D132" s="703"/>
      <c r="F132" s="318" t="n">
        <f t="shared" ref="F132:AK132" si="204">IF(OR(F$64&lt;$B$35,F$64&gt;$B$52,SUM(F$123:Q$123)=0),0,SUM(F$144:Q$144)/SUM(F$123:Q$123))</f>
        <v>0</v>
      </c>
      <c r="G132" s="318">
        <f t="shared" si="204"/>
        <v>0</v>
      </c>
      <c r="H132" s="318">
        <f t="shared" si="204"/>
        <v>0</v>
      </c>
      <c r="I132" s="318">
        <f t="shared" si="204"/>
        <v>0</v>
      </c>
      <c r="J132" s="318">
        <f t="shared" si="204"/>
        <v>0</v>
      </c>
      <c r="K132" s="318">
        <f t="shared" si="204"/>
        <v>0</v>
      </c>
      <c r="L132" s="318">
        <f t="shared" si="204"/>
        <v>0</v>
      </c>
      <c r="M132" s="318">
        <f t="shared" si="204"/>
        <v>0</v>
      </c>
      <c r="N132" s="318">
        <f t="shared" si="204"/>
        <v>0</v>
      </c>
      <c r="O132" s="318">
        <f t="shared" si="204"/>
        <v>0</v>
      </c>
      <c r="P132" s="318">
        <f t="shared" si="204"/>
        <v>0</v>
      </c>
      <c r="Q132" s="318">
        <f t="shared" si="204"/>
        <v>0</v>
      </c>
      <c r="R132" s="318">
        <f t="shared" si="204"/>
        <v>0</v>
      </c>
      <c r="S132" s="318">
        <f t="shared" si="204"/>
        <v>0</v>
      </c>
      <c r="T132" s="318">
        <f t="shared" si="204"/>
        <v>0</v>
      </c>
      <c r="U132" s="318">
        <f t="shared" si="204"/>
        <v>0</v>
      </c>
      <c r="V132" s="318">
        <f t="shared" si="204"/>
        <v>0</v>
      </c>
      <c r="W132" s="318">
        <f t="shared" si="204"/>
        <v>0</v>
      </c>
      <c r="X132" s="318">
        <f t="shared" si="204"/>
        <v>0</v>
      </c>
      <c r="Y132" s="318">
        <f t="shared" si="204"/>
        <v>0</v>
      </c>
      <c r="Z132" s="318">
        <f t="shared" si="204"/>
        <v>0</v>
      </c>
      <c r="AA132" s="318">
        <f t="shared" si="204"/>
        <v>0</v>
      </c>
      <c r="AB132" s="318">
        <f t="shared" si="204"/>
        <v>0</v>
      </c>
      <c r="AC132" s="318">
        <f t="shared" si="204"/>
        <v>0</v>
      </c>
      <c r="AD132" s="318">
        <f t="shared" si="204"/>
        <v>0</v>
      </c>
      <c r="AE132" s="318">
        <f t="shared" si="204"/>
        <v>0</v>
      </c>
      <c r="AF132" s="318">
        <f t="shared" si="204"/>
        <v>0</v>
      </c>
      <c r="AG132" s="318">
        <f t="shared" si="204"/>
        <v>0</v>
      </c>
      <c r="AH132" s="318">
        <f t="shared" si="204"/>
        <v>0</v>
      </c>
      <c r="AI132" s="318">
        <f t="shared" si="204"/>
        <v>0</v>
      </c>
      <c r="AJ132" s="318">
        <f t="shared" si="204"/>
        <v>0</v>
      </c>
      <c r="AK132" s="318">
        <f t="shared" si="204"/>
        <v>0</v>
      </c>
      <c r="AL132" s="318" t="n">
        <f t="shared" ref="AL132:BQ132" si="205">IF(OR(AL$64&lt;$B$35,AL$64&gt;$B$52,SUM(AL$123:AW$123)=0),0,SUM(AL$144:AW$144)/SUM(AL$123:AW$123))</f>
        <v>0</v>
      </c>
      <c r="AM132" s="318">
        <f t="shared" si="205"/>
        <v>0</v>
      </c>
      <c r="AN132" s="318">
        <f t="shared" si="205"/>
        <v>0</v>
      </c>
      <c r="AO132" s="318">
        <f t="shared" si="205"/>
        <v>0</v>
      </c>
      <c r="AP132" s="318">
        <f t="shared" si="205"/>
        <v>0</v>
      </c>
      <c r="AQ132" s="318">
        <f t="shared" si="205"/>
        <v>0</v>
      </c>
      <c r="AR132" s="318">
        <f t="shared" si="205"/>
        <v>0</v>
      </c>
      <c r="AS132" s="318">
        <f t="shared" si="205"/>
        <v>0</v>
      </c>
      <c r="AT132" s="318">
        <f t="shared" si="205"/>
        <v>0</v>
      </c>
      <c r="AU132" s="318">
        <f t="shared" si="205"/>
        <v>0</v>
      </c>
      <c r="AV132" s="318">
        <f t="shared" si="205"/>
        <v>0</v>
      </c>
      <c r="AW132" s="318">
        <f t="shared" si="205"/>
        <v>0</v>
      </c>
      <c r="AX132" s="318">
        <f t="shared" si="205"/>
        <v>0</v>
      </c>
      <c r="AY132" s="318">
        <f t="shared" si="205"/>
        <v>0</v>
      </c>
      <c r="AZ132" s="318">
        <f t="shared" si="205"/>
        <v>0</v>
      </c>
      <c r="BA132" s="318">
        <f t="shared" si="205"/>
        <v>0</v>
      </c>
      <c r="BB132" s="318">
        <f t="shared" si="205"/>
        <v>0</v>
      </c>
      <c r="BC132" s="318">
        <f t="shared" si="205"/>
        <v>4.2952503555208308</v>
      </c>
      <c r="BD132" s="318">
        <f t="shared" si="205"/>
        <v>4.1597812474164995</v>
      </c>
      <c r="BE132" s="318">
        <f t="shared" si="205"/>
        <v>4.5475844548587681</v>
      </c>
      <c r="BF132" s="318">
        <f t="shared" si="205"/>
        <v>4.9988021608220636</v>
      </c>
      <c r="BG132" s="318">
        <f t="shared" si="205"/>
        <v>5.5692116768500313</v>
      </c>
      <c r="BH132" s="318">
        <f t="shared" si="205"/>
        <v>6.2608320167247147</v>
      </c>
      <c r="BI132" s="318">
        <f t="shared" si="205"/>
        <v>7.1812027647049597</v>
      </c>
      <c r="BJ132" s="318">
        <f t="shared" si="205"/>
        <v>8.4181806041224352</v>
      </c>
      <c r="BK132" s="318">
        <f t="shared" si="205"/>
        <v>9.9694283586769217</v>
      </c>
      <c r="BL132" s="318">
        <f t="shared" si="205"/>
        <v>12.513994229986373</v>
      </c>
      <c r="BM132" s="318">
        <f t="shared" si="205"/>
        <v>16.612127851300791</v>
      </c>
      <c r="BN132" s="318">
        <f t="shared" si="205"/>
        <v>25.081209361497638</v>
      </c>
      <c r="BO132" s="318">
        <f t="shared" si="205"/>
        <v>49.413048923082947</v>
      </c>
      <c r="BP132" s="318">
        <f t="shared" si="205"/>
        <v>0</v>
      </c>
      <c r="BQ132" s="318">
        <f t="shared" si="205"/>
        <v>0</v>
      </c>
      <c r="BR132" s="318" t="n">
        <f t="shared" ref="BR132:CW132" si="206">IF(OR(BR$64&lt;$B$35,BR$64&gt;$B$52,SUM(BR$123:CC$123)=0),0,SUM(BR$144:CC$144)/SUM(BR$123:CC$123))</f>
        <v>0</v>
      </c>
      <c r="BS132" s="318">
        <f t="shared" si="206"/>
        <v>0</v>
      </c>
      <c r="BT132" s="318">
        <f t="shared" si="206"/>
        <v>0</v>
      </c>
      <c r="BU132" s="318">
        <f t="shared" si="206"/>
        <v>0</v>
      </c>
      <c r="BV132" s="318">
        <f t="shared" si="206"/>
        <v>0</v>
      </c>
      <c r="BW132" s="318">
        <f t="shared" si="206"/>
        <v>0</v>
      </c>
      <c r="BX132" s="318">
        <f t="shared" si="206"/>
        <v>0</v>
      </c>
      <c r="BY132" s="318">
        <f t="shared" si="206"/>
        <v>0</v>
      </c>
      <c r="BZ132" s="318">
        <f t="shared" si="206"/>
        <v>0</v>
      </c>
      <c r="CA132" s="318">
        <f t="shared" si="206"/>
        <v>0</v>
      </c>
      <c r="CB132" s="318">
        <f t="shared" si="206"/>
        <v>0</v>
      </c>
      <c r="CC132" s="318">
        <f t="shared" si="206"/>
        <v>0</v>
      </c>
      <c r="CD132" s="318">
        <f t="shared" si="206"/>
        <v>0</v>
      </c>
      <c r="CE132" s="318">
        <f t="shared" si="206"/>
        <v>0</v>
      </c>
      <c r="CF132" s="318">
        <f t="shared" si="206"/>
        <v>0</v>
      </c>
      <c r="CG132" s="318">
        <f t="shared" si="206"/>
        <v>0</v>
      </c>
      <c r="CH132" s="318">
        <f t="shared" si="206"/>
        <v>0</v>
      </c>
      <c r="CI132" s="318">
        <f t="shared" si="206"/>
        <v>0</v>
      </c>
      <c r="CJ132" s="318">
        <f t="shared" si="206"/>
        <v>0</v>
      </c>
      <c r="CK132" s="318">
        <f t="shared" si="206"/>
        <v>0</v>
      </c>
      <c r="CL132" s="318">
        <f t="shared" si="206"/>
        <v>0</v>
      </c>
      <c r="CM132" s="318">
        <f t="shared" si="206"/>
        <v>0</v>
      </c>
      <c r="CN132" s="318">
        <f t="shared" si="206"/>
        <v>0</v>
      </c>
      <c r="CO132" s="318">
        <f t="shared" si="206"/>
        <v>0</v>
      </c>
      <c r="CP132" s="318">
        <f t="shared" si="206"/>
        <v>0</v>
      </c>
      <c r="CQ132" s="318">
        <f t="shared" si="206"/>
        <v>0</v>
      </c>
      <c r="CR132" s="318">
        <f t="shared" si="206"/>
        <v>0</v>
      </c>
      <c r="CS132" s="318">
        <f t="shared" si="206"/>
        <v>0</v>
      </c>
      <c r="CT132" s="318">
        <f t="shared" si="206"/>
        <v>0</v>
      </c>
      <c r="CU132" s="318">
        <f t="shared" si="206"/>
        <v>0</v>
      </c>
      <c r="CV132" s="318">
        <f t="shared" si="206"/>
        <v>0</v>
      </c>
      <c r="CW132" s="318">
        <f t="shared" si="206"/>
        <v>0</v>
      </c>
      <c r="CX132" s="318" t="n">
        <f t="shared" ref="CX132:DV132" si="207">IF(OR(CX$64&lt;$B$35,CX$64&gt;$B$52,SUM(CX$123:DI$123)=0),0,SUM(CX$144:DI$144)/SUM(CX$123:DI$123))</f>
        <v>0</v>
      </c>
      <c r="CY132" s="318">
        <f t="shared" si="207"/>
        <v>0</v>
      </c>
      <c r="CZ132" s="318">
        <f t="shared" si="207"/>
        <v>0</v>
      </c>
      <c r="DA132" s="318">
        <f t="shared" si="207"/>
        <v>0</v>
      </c>
      <c r="DB132" s="318">
        <f t="shared" si="207"/>
        <v>0</v>
      </c>
      <c r="DC132" s="318">
        <f t="shared" si="207"/>
        <v>0</v>
      </c>
      <c r="DD132" s="318">
        <f t="shared" si="207"/>
        <v>0</v>
      </c>
      <c r="DE132" s="318">
        <f t="shared" si="207"/>
        <v>0</v>
      </c>
      <c r="DF132" s="318">
        <f t="shared" si="207"/>
        <v>0</v>
      </c>
      <c r="DG132" s="318">
        <f t="shared" si="207"/>
        <v>0</v>
      </c>
      <c r="DH132" s="318">
        <f t="shared" si="207"/>
        <v>0</v>
      </c>
      <c r="DI132" s="318">
        <f t="shared" si="207"/>
        <v>0</v>
      </c>
      <c r="DJ132" s="318">
        <f t="shared" si="207"/>
        <v>0</v>
      </c>
      <c r="DK132" s="318">
        <f t="shared" si="207"/>
        <v>0</v>
      </c>
      <c r="DL132" s="318">
        <f t="shared" si="207"/>
        <v>0</v>
      </c>
      <c r="DM132" s="318">
        <f t="shared" si="207"/>
        <v>0</v>
      </c>
      <c r="DN132" s="318">
        <f t="shared" si="207"/>
        <v>0</v>
      </c>
      <c r="DO132" s="318">
        <f t="shared" si="207"/>
        <v>0</v>
      </c>
      <c r="DP132" s="318">
        <f t="shared" si="207"/>
        <v>0</v>
      </c>
      <c r="DQ132" s="318">
        <f t="shared" si="207"/>
        <v>0</v>
      </c>
      <c r="DR132" s="318">
        <f t="shared" si="207"/>
        <v>0</v>
      </c>
      <c r="DS132" s="318">
        <f t="shared" si="207"/>
        <v>0</v>
      </c>
      <c r="DT132" s="318">
        <f t="shared" si="207"/>
        <v>0</v>
      </c>
      <c r="DU132" s="318">
        <f t="shared" si="207"/>
        <v>0</v>
      </c>
      <c r="DV132" s="318">
        <f t="shared" si="207"/>
        <v>0</v>
      </c>
    </row>
    <row r="133" ht="15" customHeight="1">
      <c r="A133" s="311" t="s">
        <v>1346</v>
      </c>
      <c r="B133" s="312" t="s">
        <v>78</v>
      </c>
      <c r="C133" s="702" t="s">
        <v>1551</v>
      </c>
      <c r="D133" s="703"/>
      <c r="F133" s="316" t="n">
        <f>IF(OR(F$64&lt;$B$35,(F$92+F$110+F$128)=0),0,(SUM($F$139:F$139)-SUM($F$140:F$140))*INDEX($P$31:$P$33,MATCH($B$6,$J$31:$J$33,0))/(F$92+F$110+F$128))</f>
        <v>0</v>
      </c>
      <c r="G133" s="316" t="n">
        <f>IF(OR(G$64&lt;$B$35,(G$92+G$110+G$128)=0),0,(SUM($F$139:G$139)-SUM($F$140:G$140))*INDEX($P$31:$P$33,MATCH($B$6,$J$31:$J$33,0))/(G$92+G$110+G$128))</f>
        <v>0</v>
      </c>
      <c r="H133" s="316" t="n">
        <f>IF(OR(H$64&lt;$B$35,(H$92+H$110+H$128)=0),0,(SUM($F$139:H$139)-SUM($F$140:H$140))*INDEX($P$31:$P$33,MATCH($B$6,$J$31:$J$33,0))/(H$92+H$110+H$128))</f>
        <v>0</v>
      </c>
      <c r="I133" s="316" t="n">
        <f>IF(OR(I$64&lt;$B$35,(I$92+I$110+I$128)=0),0,(SUM($F$139:I$139)-SUM($F$140:I$140))*INDEX($P$31:$P$33,MATCH($B$6,$J$31:$J$33,0))/(I$92+I$110+I$128))</f>
        <v>0</v>
      </c>
      <c r="J133" s="316" t="n">
        <f>IF(OR(J$64&lt;$B$35,(J$92+J$110+J$128)=0),0,(SUM($F$139:J$139)-SUM($F$140:J$140))*INDEX($P$31:$P$33,MATCH($B$6,$J$31:$J$33,0))/(J$92+J$110+J$128))</f>
        <v>0</v>
      </c>
      <c r="K133" s="316" t="n">
        <f>IF(OR(K$64&lt;$B$35,(K$92+K$110+K$128)=0),0,(SUM($F$139:K$139)-SUM($F$140:K$140))*INDEX($P$31:$P$33,MATCH($B$6,$J$31:$J$33,0))/(K$92+K$110+K$128))</f>
        <v>0</v>
      </c>
      <c r="L133" s="316" t="n">
        <f>IF(OR(L$64&lt;$B$35,(L$92+L$110+L$128)=0),0,(SUM($F$139:L$139)-SUM($F$140:L$140))*INDEX($P$31:$P$33,MATCH($B$6,$J$31:$J$33,0))/(L$92+L$110+L$128))</f>
        <v>0</v>
      </c>
      <c r="M133" s="316" t="n">
        <f>IF(OR(M$64&lt;$B$35,(M$92+M$110+M$128)=0),0,(SUM($F$139:M$139)-SUM($F$140:M$140))*INDEX($P$31:$P$33,MATCH($B$6,$J$31:$J$33,0))/(M$92+M$110+M$128))</f>
        <v>0</v>
      </c>
      <c r="N133" s="316" t="n">
        <f>IF(OR(N$64&lt;$B$35,(N$92+N$110+N$128)=0),0,(SUM($F$139:N$139)-SUM($F$140:N$140))*INDEX($P$31:$P$33,MATCH($B$6,$J$31:$J$33,0))/(N$92+N$110+N$128))</f>
        <v>0</v>
      </c>
      <c r="O133" s="316" t="n">
        <f>IF(OR(O$64&lt;$B$35,(O$92+O$110+O$128)=0),0,(SUM($F$139:O$139)-SUM($F$140:O$140))*INDEX($P$31:$P$33,MATCH($B$6,$J$31:$J$33,0))/(O$92+O$110+O$128))</f>
        <v>0</v>
      </c>
      <c r="P133" s="316" t="n">
        <f>IF(OR(P$64&lt;$B$35,(P$92+P$110+P$128)=0),0,(SUM($F$139:P$139)-SUM($F$140:P$140))*INDEX($P$31:$P$33,MATCH($B$6,$J$31:$J$33,0))/(P$92+P$110+P$128))</f>
        <v>0</v>
      </c>
      <c r="Q133" s="316" t="n">
        <f t="shared" ref="Q133:AV133" si="208">IF(OR(Q$64&lt;$B$35,(Q$92+Q$110+Q$128)=0),0,(SUM($F$139:Q$139)-SUM($F$140:Q$140))*INDEX($P$31:$P$33,MATCH($B$6,$J$31:$J$33,0))/(Q$92+Q$110+Q$128))</f>
        <v>0</v>
      </c>
      <c r="R133" s="316">
        <f t="shared" si="208"/>
        <v>0</v>
      </c>
      <c r="S133" s="316">
        <f t="shared" si="208"/>
        <v>0</v>
      </c>
      <c r="T133" s="316">
        <f t="shared" si="208"/>
        <v>0</v>
      </c>
      <c r="U133" s="316">
        <f t="shared" si="208"/>
        <v>0</v>
      </c>
      <c r="V133" s="316">
        <f t="shared" si="208"/>
        <v>0</v>
      </c>
      <c r="W133" s="316">
        <f t="shared" si="208"/>
        <v>0</v>
      </c>
      <c r="X133" s="316">
        <f t="shared" si="208"/>
        <v>0</v>
      </c>
      <c r="Y133" s="316">
        <f t="shared" si="208"/>
        <v>0</v>
      </c>
      <c r="Z133" s="316">
        <f t="shared" si="208"/>
        <v>0</v>
      </c>
      <c r="AA133" s="316">
        <f t="shared" si="208"/>
        <v>0</v>
      </c>
      <c r="AB133" s="316">
        <f t="shared" si="208"/>
        <v>0</v>
      </c>
      <c r="AC133" s="316">
        <f t="shared" si="208"/>
        <v>0</v>
      </c>
      <c r="AD133" s="316">
        <f t="shared" si="208"/>
        <v>0</v>
      </c>
      <c r="AE133" s="316">
        <f t="shared" si="208"/>
        <v>0</v>
      </c>
      <c r="AF133" s="316">
        <f t="shared" si="208"/>
        <v>0</v>
      </c>
      <c r="AG133" s="316">
        <f t="shared" si="208"/>
        <v>0</v>
      </c>
      <c r="AH133" s="316">
        <f t="shared" si="208"/>
        <v>0</v>
      </c>
      <c r="AI133" s="316">
        <f t="shared" si="208"/>
        <v>0</v>
      </c>
      <c r="AJ133" s="316">
        <f t="shared" si="208"/>
        <v>0</v>
      </c>
      <c r="AK133" s="316">
        <f t="shared" si="208"/>
        <v>0</v>
      </c>
      <c r="AL133" s="316">
        <f t="shared" si="208"/>
        <v>0</v>
      </c>
      <c r="AM133" s="316">
        <f t="shared" si="208"/>
        <v>0</v>
      </c>
      <c r="AN133" s="316">
        <f t="shared" si="208"/>
        <v>0</v>
      </c>
      <c r="AO133" s="316">
        <f t="shared" si="208"/>
        <v>0</v>
      </c>
      <c r="AP133" s="316">
        <f t="shared" si="208"/>
        <v>0</v>
      </c>
      <c r="AQ133" s="316">
        <f t="shared" si="208"/>
        <v>0</v>
      </c>
      <c r="AR133" s="316">
        <f t="shared" si="208"/>
        <v>0</v>
      </c>
      <c r="AS133" s="316">
        <f t="shared" si="208"/>
        <v>0</v>
      </c>
      <c r="AT133" s="316">
        <f t="shared" si="208"/>
        <v>0</v>
      </c>
      <c r="AU133" s="316">
        <f t="shared" si="208"/>
        <v>0</v>
      </c>
      <c r="AV133" s="316">
        <f t="shared" si="208"/>
        <v>0</v>
      </c>
      <c r="AW133" s="316" t="n">
        <f t="shared" ref="AW133:CB133" si="209">IF(OR(AW$64&lt;$B$35,(AW$92+AW$110+AW$128)=0),0,(SUM($F$139:AW$139)-SUM($F$140:AW$140))*INDEX($P$31:$P$33,MATCH($B$6,$J$31:$J$33,0))/(AW$92+AW$110+AW$128))</f>
        <v>0</v>
      </c>
      <c r="AX133" s="316">
        <f t="shared" si="209"/>
        <v>0</v>
      </c>
      <c r="AY133" s="316">
        <f t="shared" si="209"/>
        <v>0</v>
      </c>
      <c r="AZ133" s="316">
        <f t="shared" si="209"/>
        <v>0</v>
      </c>
      <c r="BA133" s="316">
        <f t="shared" si="209"/>
        <v>0</v>
      </c>
      <c r="BB133" s="316">
        <f t="shared" si="209"/>
        <v>0</v>
      </c>
      <c r="BC133" s="316">
        <f t="shared" si="209"/>
        <v>0.76990193461454981</v>
      </c>
      <c r="BD133" s="316">
        <f t="shared" si="209"/>
        <v>0.80303683642602686</v>
      </c>
      <c r="BE133" s="316">
        <f t="shared" si="209"/>
        <v>0.83676907332259465</v>
      </c>
      <c r="BF133" s="316">
        <f t="shared" si="209"/>
        <v>0.87104773894928567</v>
      </c>
      <c r="BG133" s="316">
        <f t="shared" si="209"/>
        <v>0.90596289389457807</v>
      </c>
      <c r="BH133" s="316">
        <f t="shared" si="209"/>
        <v>0.94141649723238385</v>
      </c>
      <c r="BI133" s="316">
        <f t="shared" si="209"/>
        <v>0.97837989747657439</v>
      </c>
      <c r="BJ133" s="316">
        <f t="shared" si="209"/>
        <v>1.0162838232318754</v>
      </c>
      <c r="BK133" s="316">
        <f t="shared" si="209"/>
        <v>1.0546882494084291</v>
      </c>
      <c r="BL133" s="316">
        <f t="shared" si="209"/>
        <v>1.0940574413937665</v>
      </c>
      <c r="BM133" s="316">
        <f t="shared" si="209"/>
        <v>1.1341131757200458</v>
      </c>
      <c r="BN133" s="316">
        <f t="shared" si="209"/>
        <v>1.1749980332449601</v>
      </c>
      <c r="BO133" s="316">
        <f t="shared" si="209"/>
        <v>237.57968432324583</v>
      </c>
      <c r="BP133" s="316">
        <f t="shared" si="209"/>
        <v>0</v>
      </c>
      <c r="BQ133" s="316">
        <f t="shared" si="209"/>
        <v>0</v>
      </c>
      <c r="BR133" s="316">
        <f t="shared" si="209"/>
        <v>0</v>
      </c>
      <c r="BS133" s="316">
        <f t="shared" si="209"/>
        <v>0</v>
      </c>
      <c r="BT133" s="316">
        <f t="shared" si="209"/>
        <v>0</v>
      </c>
      <c r="BU133" s="316">
        <f t="shared" si="209"/>
        <v>0</v>
      </c>
      <c r="BV133" s="316">
        <f t="shared" si="209"/>
        <v>0</v>
      </c>
      <c r="BW133" s="316">
        <f t="shared" si="209"/>
        <v>0</v>
      </c>
      <c r="BX133" s="316">
        <f t="shared" si="209"/>
        <v>0</v>
      </c>
      <c r="BY133" s="316">
        <f t="shared" si="209"/>
        <v>0</v>
      </c>
      <c r="BZ133" s="316">
        <f t="shared" si="209"/>
        <v>0</v>
      </c>
      <c r="CA133" s="316">
        <f t="shared" si="209"/>
        <v>0</v>
      </c>
      <c r="CB133" s="316">
        <f t="shared" si="209"/>
        <v>0</v>
      </c>
      <c r="CC133" s="316" t="n">
        <f t="shared" ref="CC133:DH133" si="210">IF(OR(CC$64&lt;$B$35,(CC$92+CC$110+CC$128)=0),0,(SUM($F$139:CC$139)-SUM($F$140:CC$140))*INDEX($P$31:$P$33,MATCH($B$6,$J$31:$J$33,0))/(CC$92+CC$110+CC$128))</f>
        <v>0</v>
      </c>
      <c r="CD133" s="316">
        <f t="shared" si="210"/>
        <v>0</v>
      </c>
      <c r="CE133" s="316">
        <f t="shared" si="210"/>
        <v>0</v>
      </c>
      <c r="CF133" s="316">
        <f t="shared" si="210"/>
        <v>0</v>
      </c>
      <c r="CG133" s="316">
        <f t="shared" si="210"/>
        <v>0</v>
      </c>
      <c r="CH133" s="316">
        <f t="shared" si="210"/>
        <v>0</v>
      </c>
      <c r="CI133" s="316">
        <f t="shared" si="210"/>
        <v>0</v>
      </c>
      <c r="CJ133" s="316">
        <f t="shared" si="210"/>
        <v>0</v>
      </c>
      <c r="CK133" s="316">
        <f t="shared" si="210"/>
        <v>0</v>
      </c>
      <c r="CL133" s="316">
        <f t="shared" si="210"/>
        <v>0</v>
      </c>
      <c r="CM133" s="316">
        <f t="shared" si="210"/>
        <v>0</v>
      </c>
      <c r="CN133" s="316">
        <f t="shared" si="210"/>
        <v>0</v>
      </c>
      <c r="CO133" s="316">
        <f t="shared" si="210"/>
        <v>0</v>
      </c>
      <c r="CP133" s="316">
        <f t="shared" si="210"/>
        <v>0</v>
      </c>
      <c r="CQ133" s="316">
        <f t="shared" si="210"/>
        <v>0</v>
      </c>
      <c r="CR133" s="316">
        <f t="shared" si="210"/>
        <v>0</v>
      </c>
      <c r="CS133" s="316">
        <f t="shared" si="210"/>
        <v>0</v>
      </c>
      <c r="CT133" s="316">
        <f t="shared" si="210"/>
        <v>0</v>
      </c>
      <c r="CU133" s="316">
        <f t="shared" si="210"/>
        <v>0</v>
      </c>
      <c r="CV133" s="316">
        <f t="shared" si="210"/>
        <v>0</v>
      </c>
      <c r="CW133" s="316">
        <f t="shared" si="210"/>
        <v>0</v>
      </c>
      <c r="CX133" s="316">
        <f t="shared" si="210"/>
        <v>0</v>
      </c>
      <c r="CY133" s="316">
        <f t="shared" si="210"/>
        <v>0</v>
      </c>
      <c r="CZ133" s="316">
        <f t="shared" si="210"/>
        <v>0</v>
      </c>
      <c r="DA133" s="316">
        <f t="shared" si="210"/>
        <v>0</v>
      </c>
      <c r="DB133" s="316">
        <f t="shared" si="210"/>
        <v>0</v>
      </c>
      <c r="DC133" s="316">
        <f t="shared" si="210"/>
        <v>0</v>
      </c>
      <c r="DD133" s="316">
        <f t="shared" si="210"/>
        <v>0</v>
      </c>
      <c r="DE133" s="316">
        <f t="shared" si="210"/>
        <v>0</v>
      </c>
      <c r="DF133" s="316">
        <f t="shared" si="210"/>
        <v>0</v>
      </c>
      <c r="DG133" s="316">
        <f t="shared" si="210"/>
        <v>0</v>
      </c>
      <c r="DH133" s="316">
        <f t="shared" si="210"/>
        <v>0</v>
      </c>
      <c r="DI133" s="316" t="n">
        <f t="shared" ref="DI133:DV133" si="211">IF(OR(DI$64&lt;$B$35,(DI$92+DI$110+DI$128)=0),0,(SUM($F$139:DI$139)-SUM($F$140:DI$140))*INDEX($P$31:$P$33,MATCH($B$6,$J$31:$J$33,0))/(DI$92+DI$110+DI$128))</f>
        <v>0</v>
      </c>
      <c r="DJ133" s="316">
        <f t="shared" si="211"/>
        <v>0</v>
      </c>
      <c r="DK133" s="316">
        <f t="shared" si="211"/>
        <v>0</v>
      </c>
      <c r="DL133" s="316">
        <f t="shared" si="211"/>
        <v>0</v>
      </c>
      <c r="DM133" s="316">
        <f t="shared" si="211"/>
        <v>0</v>
      </c>
      <c r="DN133" s="316">
        <f t="shared" si="211"/>
        <v>0</v>
      </c>
      <c r="DO133" s="316">
        <f t="shared" si="211"/>
        <v>0</v>
      </c>
      <c r="DP133" s="316">
        <f t="shared" si="211"/>
        <v>0</v>
      </c>
      <c r="DQ133" s="316">
        <f t="shared" si="211"/>
        <v>0</v>
      </c>
      <c r="DR133" s="316">
        <f t="shared" si="211"/>
        <v>0</v>
      </c>
      <c r="DS133" s="316">
        <f t="shared" si="211"/>
        <v>0</v>
      </c>
      <c r="DT133" s="316">
        <f t="shared" si="211"/>
        <v>0</v>
      </c>
      <c r="DU133" s="316">
        <f t="shared" si="211"/>
        <v>0</v>
      </c>
      <c r="DV133" s="316">
        <f t="shared" si="211"/>
        <v>0</v>
      </c>
    </row>
    <row r="134" ht="15" customHeight="1">
      <c r="A134" s="311" t="s">
        <v>1552</v>
      </c>
      <c r="B134" s="312" t="s">
        <v>78</v>
      </c>
      <c r="C134" s="702" t="s">
        <v>1553</v>
      </c>
      <c r="D134" s="703"/>
      <c r="F134" s="316" t="n">
        <f>IF('VALUATION &amp; RETURNS'!$DA$8*1000000*INDEX($O$31:$O$33,MATCH($B$6,$J$31:$J$33,0))=0,0,(F$92+F$110+F$128)/('VALUATION &amp; RETURNS'!$DA$8*1000000*INDEX($O$31:$O$33,MATCH($B$6,$J$31:$J$33,0))))</f>
        <v>0.00014575280027434473</v>
      </c>
      <c r="G134" s="316" t="n">
        <f>IF('VALUATION &amp; RETURNS'!$DA$8*1000000*INDEX($O$31:$O$33,MATCH($B$6,$J$31:$J$33,0))=0,0,(G$92+G$110+G$128)/('VALUATION &amp; RETURNS'!$DA$8*1000000*INDEX($O$31:$O$33,MATCH($B$6,$J$31:$J$33,0))))</f>
        <v>0.0006064510960414282</v>
      </c>
      <c r="H134" s="316" t="n">
        <f>IF('VALUATION &amp; RETURNS'!$DA$8*1000000*INDEX($O$31:$O$33,MATCH($B$6,$J$31:$J$33,0))=0,0,(H$92+H$110+H$128)/('VALUATION &amp; RETURNS'!$DA$8*1000000*INDEX($O$31:$O$33,MATCH($B$6,$J$31:$J$33,0))))</f>
        <v>0.000146641280275351</v>
      </c>
      <c r="I134" s="316" t="n">
        <f>IF('VALUATION &amp; RETURNS'!$DA$8*1000000*INDEX($O$31:$O$33,MATCH($B$6,$J$31:$J$33,0))=0,0,(I$92+I$110+I$128)/('VALUATION &amp; RETURNS'!$DA$8*1000000*INDEX($O$31:$O$33,MATCH($B$6,$J$31:$J$33,0))))</f>
        <v>0.0006080396177087112</v>
      </c>
      <c r="J134" s="316" t="n">
        <f>IF('VALUATION &amp; RETURNS'!$DA$8*1000000*INDEX($O$31:$O$33,MATCH($B$6,$J$31:$J$33,0))=0,0,(J$92+J$110+J$128)/('VALUATION &amp; RETURNS'!$DA$8*1000000*INDEX($O$31:$O$33,MATCH($B$6,$J$31:$J$33,0))))</f>
        <v>0.0010694683942835618</v>
      </c>
      <c r="K134" s="316" t="n">
        <f>IF('VALUATION &amp; RETURNS'!$DA$8*1000000*INDEX($O$31:$O$33,MATCH($B$6,$J$31:$J$33,0))=0,0,(K$92+K$110+K$128)/('VALUATION &amp; RETURNS'!$DA$8*1000000*INDEX($O$31:$O$33,MATCH($B$6,$J$31:$J$33,0))))</f>
        <v>0.0015308752651903353</v>
      </c>
      <c r="L134" s="316" t="n">
        <f>IF('VALUATION &amp; RETURNS'!$DA$8*1000000*INDEX($O$31:$O$33,MATCH($B$6,$J$31:$J$33,0))=0,0,(L$92+L$110+L$128)/('VALUATION &amp; RETURNS'!$DA$8*1000000*INDEX($O$31:$O$33,MATCH($B$6,$J$31:$J$33,0))))</f>
        <v>0.0021605456584169853</v>
      </c>
      <c r="M134" s="316" t="n">
        <f>IF('VALUATION &amp; RETURNS'!$DA$8*1000000*INDEX($O$31:$O$33,MATCH($B$6,$J$31:$J$33,0))=0,0,(M$92+M$110+M$128)/('VALUATION &amp; RETURNS'!$DA$8*1000000*INDEX($O$31:$O$33,MATCH($B$6,$J$31:$J$33,0))))</f>
        <v>0.002303074557077254</v>
      </c>
      <c r="N134" s="316" t="n">
        <f>IF('VALUATION &amp; RETURNS'!$DA$8*1000000*INDEX($O$31:$O$33,MATCH($B$6,$J$31:$J$33,0))=0,0,(N$92+N$110+N$128)/('VALUATION &amp; RETURNS'!$DA$8*1000000*INDEX($O$31:$O$33,MATCH($B$6,$J$31:$J$33,0))))</f>
        <v>0.002763689468492705</v>
      </c>
      <c r="O134" s="316" t="n">
        <f>IF('VALUATION &amp; RETURNS'!$DA$8*1000000*INDEX($O$31:$O$33,MATCH($B$6,$J$31:$J$33,0))=0,0,(O$92+O$110+O$128)/('VALUATION &amp; RETURNS'!$DA$8*1000000*INDEX($O$31:$O$33,MATCH($B$6,$J$31:$J$33,0))))</f>
        <v>0.003224304379908156</v>
      </c>
      <c r="P134" s="316" t="n">
        <f>IF('VALUATION &amp; RETURNS'!$DA$8*1000000*INDEX($O$31:$O$33,MATCH($B$6,$J$31:$J$33,0))=0,0,(P$92+P$110+P$128)/('VALUATION &amp; RETURNS'!$DA$8*1000000*INDEX($O$31:$O$33,MATCH($B$6,$J$31:$J$33,0))))</f>
        <v>0.0036849192913236068</v>
      </c>
      <c r="Q134" s="316" t="n">
        <f>IF('VALUATION &amp; RETURNS'!$DA$8*1000000*INDEX($O$31:$O$33,MATCH($B$6,$J$31:$J$33,0))=0,0,(Q$92+Q$110+Q$128)/('VALUATION &amp; RETURNS'!$DA$8*1000000*INDEX($O$31:$O$33,MATCH($B$6,$J$31:$J$33,0))))</f>
        <v>0.0041455342027390575</v>
      </c>
      <c r="R134" s="316" t="n">
        <f>IF('VALUATION &amp; RETURNS'!$DA$8*1000000*INDEX($O$31:$O$33,MATCH($B$6,$J$31:$J$33,0))=0,0,(R$92+R$110+R$128)/('VALUATION &amp; RETURNS'!$DA$8*1000000*INDEX($O$31:$O$33,MATCH($B$6,$J$31:$J$33,0))))</f>
        <v>0.004606149114154508</v>
      </c>
      <c r="S134" s="316" t="n">
        <f>IF('VALUATION &amp; RETURNS'!$DA$8*1000000*INDEX($O$31:$O$33,MATCH($B$6,$J$31:$J$33,0))=0,0,(S$92+S$110+S$128)/('VALUATION &amp; RETURNS'!$DA$8*1000000*INDEX($O$31:$O$33,MATCH($B$6,$J$31:$J$33,0))))</f>
        <v>0.005066764025569959</v>
      </c>
      <c r="T134" s="316" t="n">
        <f>IF('VALUATION &amp; RETURNS'!$DA$8*1000000*INDEX($O$31:$O$33,MATCH($B$6,$J$31:$J$33,0))=0,0,(T$92+T$110+T$128)/('VALUATION &amp; RETURNS'!$DA$8*1000000*INDEX($O$31:$O$33,MATCH($B$6,$J$31:$J$33,0))))</f>
        <v>0.00552737893698541</v>
      </c>
      <c r="U134" s="316" t="n">
        <f>IF('VALUATION &amp; RETURNS'!$DA$8*1000000*INDEX($O$31:$O$33,MATCH($B$6,$J$31:$J$33,0))=0,0,(U$92+U$110+U$128)/('VALUATION &amp; RETURNS'!$DA$8*1000000*INDEX($O$31:$O$33,MATCH($B$6,$J$31:$J$33,0))))</f>
        <v>0.0059879938484008605</v>
      </c>
      <c r="V134" s="316" t="n">
        <f>IF('VALUATION &amp; RETURNS'!$DA$8*1000000*INDEX($O$31:$O$33,MATCH($B$6,$J$31:$J$33,0))=0,0,(V$92+V$110+V$128)/('VALUATION &amp; RETURNS'!$DA$8*1000000*INDEX($O$31:$O$33,MATCH($B$6,$J$31:$J$33,0))))</f>
        <v>0.030210454187190455</v>
      </c>
      <c r="W134" s="316" t="n">
        <f>IF('VALUATION &amp; RETURNS'!$DA$8*1000000*INDEX($O$31:$O$33,MATCH($B$6,$J$31:$J$33,0))=0,0,(W$92+W$110+W$128)/('VALUATION &amp; RETURNS'!$DA$8*1000000*INDEX($O$31:$O$33,MATCH($B$6,$J$31:$J$33,0))))</f>
        <v>0.06226398269653216</v>
      </c>
      <c r="X134" s="316" t="n">
        <f>IF('VALUATION &amp; RETURNS'!$DA$8*1000000*INDEX($O$31:$O$33,MATCH($B$6,$J$31:$J$33,0))=0,0,(X$92+X$110+X$128)/('VALUATION &amp; RETURNS'!$DA$8*1000000*INDEX($O$31:$O$33,MATCH($B$6,$J$31:$J$33,0))))</f>
        <v>0.09461971452648496</v>
      </c>
      <c r="Y134" s="316" t="n">
        <f>IF('VALUATION &amp; RETURNS'!$DA$8*1000000*INDEX($O$31:$O$33,MATCH($B$6,$J$31:$J$33,0))=0,0,(Y$92+Y$110+Y$128)/('VALUATION &amp; RETURNS'!$DA$8*1000000*INDEX($O$31:$O$33,MATCH($B$6,$J$31:$J$33,0))))</f>
        <v>0.1264164132321713</v>
      </c>
      <c r="Z134" s="316" t="n">
        <f>IF('VALUATION &amp; RETURNS'!$DA$8*1000000*INDEX($O$31:$O$33,MATCH($B$6,$J$31:$J$33,0))=0,0,(Z$92+Z$110+Z$128)/('VALUATION &amp; RETURNS'!$DA$8*1000000*INDEX($O$31:$O$33,MATCH($B$6,$J$31:$J$33,0))))</f>
        <v>0.15683604818601019</v>
      </c>
      <c r="AA134" s="316" t="n">
        <f>IF('VALUATION &amp; RETURNS'!$DA$8*1000000*INDEX($O$31:$O$33,MATCH($B$6,$J$31:$J$33,0))=0,0,(AA$92+AA$110+AA$128)/('VALUATION &amp; RETURNS'!$DA$8*1000000*INDEX($O$31:$O$33,MATCH($B$6,$J$31:$J$33,0))))</f>
        <v>0.18516554454234846</v>
      </c>
      <c r="AB134" s="316" t="n">
        <f>IF('VALUATION &amp; RETURNS'!$DA$8*1000000*INDEX($O$31:$O$33,MATCH($B$6,$J$31:$J$33,0))=0,0,(AB$92+AB$110+AB$128)/('VALUATION &amp; RETURNS'!$DA$8*1000000*INDEX($O$31:$O$33,MATCH($B$6,$J$31:$J$33,0))))</f>
        <v>0.2108453156499292</v>
      </c>
      <c r="AC134" s="316" t="n">
        <f>IF('VALUATION &amp; RETURNS'!$DA$8*1000000*INDEX($O$31:$O$33,MATCH($B$6,$J$31:$J$33,0))=0,0,(AC$92+AC$110+AC$128)/('VALUATION &amp; RETURNS'!$DA$8*1000000*INDEX($O$31:$O$33,MATCH($B$6,$J$31:$J$33,0))))</f>
        <v>0.23349918842850087</v>
      </c>
      <c r="AD134" s="316" t="n">
        <f>IF('VALUATION &amp; RETURNS'!$DA$8*1000000*INDEX($O$31:$O$33,MATCH($B$6,$J$31:$J$33,0))=0,0,(AD$92+AD$110+AD$128)/('VALUATION &amp; RETURNS'!$DA$8*1000000*INDEX($O$31:$O$33,MATCH($B$6,$J$31:$J$33,0))))</f>
        <v>0.25294346012144336</v>
      </c>
      <c r="AE134" s="316" t="n">
        <f>IF('VALUATION &amp; RETURNS'!$DA$8*1000000*INDEX($O$31:$O$33,MATCH($B$6,$J$31:$J$33,0))=0,0,(AE$92+AE$110+AE$128)/('VALUATION &amp; RETURNS'!$DA$8*1000000*INDEX($O$31:$O$33,MATCH($B$6,$J$31:$J$33,0))))</f>
        <v>0.2691761006471541</v>
      </c>
      <c r="AF134" s="316" t="n">
        <f>IF('VALUATION &amp; RETURNS'!$DA$8*1000000*INDEX($O$31:$O$33,MATCH($B$6,$J$31:$J$33,0))=0,0,(AF$92+AF$110+AF$128)/('VALUATION &amp; RETURNS'!$DA$8*1000000*INDEX($O$31:$O$33,MATCH($B$6,$J$31:$J$33,0))))</f>
        <v>0.28234988765306257</v>
      </c>
      <c r="AG134" s="316" t="n">
        <f>IF('VALUATION &amp; RETURNS'!$DA$8*1000000*INDEX($O$31:$O$33,MATCH($B$6,$J$31:$J$33,0))=0,0,(AG$92+AG$110+AG$128)/('VALUATION &amp; RETURNS'!$DA$8*1000000*INDEX($O$31:$O$33,MATCH($B$6,$J$31:$J$33,0))))</f>
        <v>0.29273505460142546</v>
      </c>
      <c r="AH134" s="316" t="n">
        <f>IF('VALUATION &amp; RETURNS'!$DA$8*1000000*INDEX($O$31:$O$33,MATCH($B$6,$J$31:$J$33,0))=0,0,(AH$92+AH$110+AH$128)/('VALUATION &amp; RETURNS'!$DA$8*1000000*INDEX($O$31:$O$33,MATCH($B$6,$J$31:$J$33,0))))</f>
        <v>0.2997533783719739</v>
      </c>
      <c r="AI134" s="316" t="n">
        <f>IF('VALUATION &amp; RETURNS'!$DA$8*1000000*INDEX($O$31:$O$33,MATCH($B$6,$J$31:$J$33,0))=0,0,(AI$92+AI$110+AI$128)/('VALUATION &amp; RETURNS'!$DA$8*1000000*INDEX($O$31:$O$33,MATCH($B$6,$J$31:$J$33,0))))</f>
        <v>0.30270419652788516</v>
      </c>
      <c r="AJ134" s="316" t="n">
        <f>IF('VALUATION &amp; RETURNS'!$DA$8*1000000*INDEX($O$31:$O$33,MATCH($B$6,$J$31:$J$33,0))=0,0,(AJ$92+AJ$110+AJ$128)/('VALUATION &amp; RETURNS'!$DA$8*1000000*INDEX($O$31:$O$33,MATCH($B$6,$J$31:$J$33,0))))</f>
        <v>0.30478966462078</v>
      </c>
      <c r="AK134" s="316" t="n">
        <f>IF('VALUATION &amp; RETURNS'!$DA$8*1000000*INDEX($O$31:$O$33,MATCH($B$6,$J$31:$J$33,0))=0,0,(AK$92+AK$110+AK$128)/('VALUATION &amp; RETURNS'!$DA$8*1000000*INDEX($O$31:$O$33,MATCH($B$6,$J$31:$J$33,0))))</f>
        <v>0.3061839593688503</v>
      </c>
      <c r="AL134" s="316" t="n">
        <f>IF('VALUATION &amp; RETURNS'!$DA$8*1000000*INDEX($O$31:$O$33,MATCH($B$6,$J$31:$J$33,0))=0,0,(AL$92+AL$110+AL$128)/('VALUATION &amp; RETURNS'!$DA$8*1000000*INDEX($O$31:$O$33,MATCH($B$6,$J$31:$J$33,0))))</f>
        <v>0.3064493093715754</v>
      </c>
      <c r="AM134" s="316" t="n">
        <f>IF('VALUATION &amp; RETURNS'!$DA$8*1000000*INDEX($O$31:$O$33,MATCH($B$6,$J$31:$J$33,0))=0,0,(AM$92+AM$110+AM$128)/('VALUATION &amp; RETURNS'!$DA$8*1000000*INDEX($O$31:$O$33,MATCH($B$6,$J$31:$J$33,0))))</f>
        <v>0.30750073489851304</v>
      </c>
      <c r="AN134" s="316" t="n">
        <f>IF('VALUATION &amp; RETURNS'!$DA$8*1000000*INDEX($O$31:$O$33,MATCH($B$6,$J$31:$J$33,0))=0,0,(AN$92+AN$110+AN$128)/('VALUATION &amp; RETURNS'!$DA$8*1000000*INDEX($O$31:$O$33,MATCH($B$6,$J$31:$J$33,0))))</f>
        <v>0.30785259101330087</v>
      </c>
      <c r="AO134" s="316" t="n">
        <f>IF('VALUATION &amp; RETURNS'!$DA$8*1000000*INDEX($O$31:$O$33,MATCH($B$6,$J$31:$J$33,0))=0,0,(AO$92+AO$110+AO$128)/('VALUATION &amp; RETURNS'!$DA$8*1000000*INDEX($O$31:$O$33,MATCH($B$6,$J$31:$J$33,0))))</f>
        <v>0.3080049716880522</v>
      </c>
      <c r="AP134" s="316" t="n">
        <f>IF('VALUATION &amp; RETURNS'!$DA$8*1000000*INDEX($O$31:$O$33,MATCH($B$6,$J$31:$J$33,0))=0,0,(AP$92+AP$110+AP$128)/('VALUATION &amp; RETURNS'!$DA$8*1000000*INDEX($O$31:$O$33,MATCH($B$6,$J$31:$J$33,0))))</f>
        <v>0.30805056395167024</v>
      </c>
      <c r="AQ134" s="316" t="n">
        <f>IF('VALUATION &amp; RETURNS'!$DA$8*1000000*INDEX($O$31:$O$33,MATCH($B$6,$J$31:$J$33,0))=0,0,(AQ$92+AQ$110+AQ$128)/('VALUATION &amp; RETURNS'!$DA$8*1000000*INDEX($O$31:$O$33,MATCH($B$6,$J$31:$J$33,0))))</f>
        <v>0.30805056395167024</v>
      </c>
      <c r="AR134" s="316" t="n">
        <f>IF('VALUATION &amp; RETURNS'!$DA$8*1000000*INDEX($O$31:$O$33,MATCH($B$6,$J$31:$J$33,0))=0,0,(AR$92+AR$110+AR$128)/('VALUATION &amp; RETURNS'!$DA$8*1000000*INDEX($O$31:$O$33,MATCH($B$6,$J$31:$J$33,0))))</f>
        <v>0.30805056395167024</v>
      </c>
      <c r="AS134" s="316" t="n">
        <f>IF('VALUATION &amp; RETURNS'!$DA$8*1000000*INDEX($O$31:$O$33,MATCH($B$6,$J$31:$J$33,0))=0,0,(AS$92+AS$110+AS$128)/('VALUATION &amp; RETURNS'!$DA$8*1000000*INDEX($O$31:$O$33,MATCH($B$6,$J$31:$J$33,0))))</f>
        <v>0.30805056395167024</v>
      </c>
      <c r="AT134" s="316" t="n">
        <f>IF('VALUATION &amp; RETURNS'!$DA$8*1000000*INDEX($O$31:$O$33,MATCH($B$6,$J$31:$J$33,0))=0,0,(AT$92+AT$110+AT$128)/('VALUATION &amp; RETURNS'!$DA$8*1000000*INDEX($O$31:$O$33,MATCH($B$6,$J$31:$J$33,0))))</f>
        <v>0.30805056395167024</v>
      </c>
      <c r="AU134" s="316" t="n">
        <f>IF('VALUATION &amp; RETURNS'!$DA$8*1000000*INDEX($O$31:$O$33,MATCH($B$6,$J$31:$J$33,0))=0,0,(AU$92+AU$110+AU$128)/('VALUATION &amp; RETURNS'!$DA$8*1000000*INDEX($O$31:$O$33,MATCH($B$6,$J$31:$J$33,0))))</f>
        <v>0.30805056395167024</v>
      </c>
      <c r="AV134" s="316" t="n">
        <f>IF('VALUATION &amp; RETURNS'!$DA$8*1000000*INDEX($O$31:$O$33,MATCH($B$6,$J$31:$J$33,0))=0,0,(AV$92+AV$110+AV$128)/('VALUATION &amp; RETURNS'!$DA$8*1000000*INDEX($O$31:$O$33,MATCH($B$6,$J$31:$J$33,0))))</f>
        <v>0.30805056395167024</v>
      </c>
      <c r="AW134" s="316" t="n">
        <f>IF('VALUATION &amp; RETURNS'!$DA$8*1000000*INDEX($O$31:$O$33,MATCH($B$6,$J$31:$J$33,0))=0,0,(AW$92+AW$110+AW$128)/('VALUATION &amp; RETURNS'!$DA$8*1000000*INDEX($O$31:$O$33,MATCH($B$6,$J$31:$J$33,0))))</f>
        <v>0.30805056395167024</v>
      </c>
      <c r="AX134" s="316" t="n">
        <f>IF('VALUATION &amp; RETURNS'!$DA$8*1000000*INDEX($O$31:$O$33,MATCH($B$6,$J$31:$J$33,0))=0,0,(AX$92+AX$110+AX$128)/('VALUATION &amp; RETURNS'!$DA$8*1000000*INDEX($O$31:$O$33,MATCH($B$6,$J$31:$J$33,0))))</f>
        <v>0.30805056395167024</v>
      </c>
      <c r="AY134" s="316" t="n">
        <f>IF('VALUATION &amp; RETURNS'!$DA$8*1000000*INDEX($O$31:$O$33,MATCH($B$6,$J$31:$J$33,0))=0,0,(AY$92+AY$110+AY$128)/('VALUATION &amp; RETURNS'!$DA$8*1000000*INDEX($O$31:$O$33,MATCH($B$6,$J$31:$J$33,0))))</f>
        <v>0.30805056395167024</v>
      </c>
      <c r="AZ134" s="316" t="n">
        <f>IF('VALUATION &amp; RETURNS'!$DA$8*1000000*INDEX($O$31:$O$33,MATCH($B$6,$J$31:$J$33,0))=0,0,(AZ$92+AZ$110+AZ$128)/('VALUATION &amp; RETURNS'!$DA$8*1000000*INDEX($O$31:$O$33,MATCH($B$6,$J$31:$J$33,0))))</f>
        <v>0.30805056395167024</v>
      </c>
      <c r="BA134" s="316" t="n">
        <f>IF('VALUATION &amp; RETURNS'!$DA$8*1000000*INDEX($O$31:$O$33,MATCH($B$6,$J$31:$J$33,0))=0,0,(BA$92+BA$110+BA$128)/('VALUATION &amp; RETURNS'!$DA$8*1000000*INDEX($O$31:$O$33,MATCH($B$6,$J$31:$J$33,0))))</f>
        <v>0.30805056395167024</v>
      </c>
      <c r="BB134" s="316" t="n">
        <f>IF('VALUATION &amp; RETURNS'!$DA$8*1000000*INDEX($O$31:$O$33,MATCH($B$6,$J$31:$J$33,0))=0,0,(BB$92+BB$110+BB$128)/('VALUATION &amp; RETURNS'!$DA$8*1000000*INDEX($O$31:$O$33,MATCH($B$6,$J$31:$J$33,0))))</f>
        <v>0.30805056395167024</v>
      </c>
      <c r="BC134" s="316" t="n">
        <f>IF('VALUATION &amp; RETURNS'!$DA$8*1000000*INDEX($O$31:$O$33,MATCH($B$6,$J$31:$J$33,0))=0,0,(BC$92+BC$110+BC$128)/('VALUATION &amp; RETURNS'!$DA$8*1000000*INDEX($O$31:$O$33,MATCH($B$6,$J$31:$J$33,0))))</f>
        <v>0.3111310695911869</v>
      </c>
      <c r="BD134" s="316" t="n">
        <f>IF('VALUATION &amp; RETURNS'!$DA$8*1000000*INDEX($O$31:$O$33,MATCH($B$6,$J$31:$J$33,0))=0,0,(BD$92+BD$110+BD$128)/('VALUATION &amp; RETURNS'!$DA$8*1000000*INDEX($O$31:$O$33,MATCH($B$6,$J$31:$J$33,0))))</f>
        <v>0.30867380899553387</v>
      </c>
      <c r="BE134" s="316" t="n">
        <f>IF('VALUATION &amp; RETURNS'!$DA$8*1000000*INDEX($O$31:$O$33,MATCH($B$6,$J$31:$J$33,0))=0,0,(BE$92+BE$110+BE$128)/('VALUATION &amp; RETURNS'!$DA$8*1000000*INDEX($O$31:$O$33,MATCH($B$6,$J$31:$J$33,0))))</f>
        <v>0.3061925612431966</v>
      </c>
      <c r="BF134" s="316" t="n">
        <f>IF('VALUATION &amp; RETURNS'!$DA$8*1000000*INDEX($O$31:$O$33,MATCH($B$6,$J$31:$J$33,0))=0,0,(BF$92+BF$110+BF$128)/('VALUATION &amp; RETURNS'!$DA$8*1000000*INDEX($O$31:$O$33,MATCH($B$6,$J$31:$J$33,0))))</f>
        <v>0.3037236234041348</v>
      </c>
      <c r="BG134" s="316" t="n">
        <f>IF('VALUATION &amp; RETURNS'!$DA$8*1000000*INDEX($O$31:$O$33,MATCH($B$6,$J$31:$J$33,0))=0,0,(BG$92+BG$110+BG$128)/('VALUATION &amp; RETURNS'!$DA$8*1000000*INDEX($O$31:$O$33,MATCH($B$6,$J$31:$J$33,0))))</f>
        <v>0.3012298704204178</v>
      </c>
      <c r="BH134" s="316" t="n">
        <f>IF('VALUATION &amp; RETURNS'!$DA$8*1000000*INDEX($O$31:$O$33,MATCH($B$6,$J$31:$J$33,0))=0,0,(BH$92+BH$110+BH$128)/('VALUATION &amp; RETURNS'!$DA$8*1000000*INDEX($O$31:$O$33,MATCH($B$6,$J$31:$J$33,0))))</f>
        <v>0.29875022974667526</v>
      </c>
      <c r="BI134" s="316" t="n">
        <f>IF('VALUATION &amp; RETURNS'!$DA$8*1000000*INDEX($O$31:$O$33,MATCH($B$6,$J$31:$J$33,0))=0,0,(BI$92+BI$110+BI$128)/('VALUATION &amp; RETURNS'!$DA$8*1000000*INDEX($O$31:$O$33,MATCH($B$6,$J$31:$J$33,0))))</f>
        <v>0.2962164979484748</v>
      </c>
      <c r="BJ134" s="316" t="n">
        <f>IF('VALUATION &amp; RETURNS'!$DA$8*1000000*INDEX($O$31:$O$33,MATCH($B$6,$J$31:$J$33,0))=0,0,(BJ$92+BJ$110+BJ$128)/('VALUATION &amp; RETURNS'!$DA$8*1000000*INDEX($O$31:$O$33,MATCH($B$6,$J$31:$J$33,0))))</f>
        <v>0.293595285225587</v>
      </c>
      <c r="BK134" s="316" t="n">
        <f>IF('VALUATION &amp; RETURNS'!$DA$8*1000000*INDEX($O$31:$O$33,MATCH($B$6,$J$31:$J$33,0))=0,0,(BK$92+BK$110+BK$128)/('VALUATION &amp; RETURNS'!$DA$8*1000000*INDEX($O$31:$O$33,MATCH($B$6,$J$31:$J$33,0))))</f>
        <v>0.2910243962443763</v>
      </c>
      <c r="BL134" s="316" t="n">
        <f>IF('VALUATION &amp; RETURNS'!$DA$8*1000000*INDEX($O$31:$O$33,MATCH($B$6,$J$31:$J$33,0))=0,0,(BL$92+BL$110+BL$128)/('VALUATION &amp; RETURNS'!$DA$8*1000000*INDEX($O$31:$O$33,MATCH($B$6,$J$31:$J$33,0))))</f>
        <v>0.28842019403427477</v>
      </c>
      <c r="BM134" s="316" t="n">
        <f>IF('VALUATION &amp; RETURNS'!$DA$8*1000000*INDEX($O$31:$O$33,MATCH($B$6,$J$31:$J$33,0))=0,0,(BM$92+BM$110+BM$128)/('VALUATION &amp; RETURNS'!$DA$8*1000000*INDEX($O$31:$O$33,MATCH($B$6,$J$31:$J$33,0))))</f>
        <v>0.28582377402231685</v>
      </c>
      <c r="BN134" s="316" t="n">
        <f>IF('VALUATION &amp; RETURNS'!$DA$8*1000000*INDEX($O$31:$O$33,MATCH($B$6,$J$31:$J$33,0))=0,0,(BN$92+BN$110+BN$128)/('VALUATION &amp; RETURNS'!$DA$8*1000000*INDEX($O$31:$O$33,MATCH($B$6,$J$31:$J$33,0))))</f>
        <v>0.28320452218550296</v>
      </c>
      <c r="BO134" s="316" t="n">
        <f>IF('VALUATION &amp; RETURNS'!$DA$8*1000000*INDEX($O$31:$O$33,MATCH($B$6,$J$31:$J$33,0))=0,0,(BO$92+BO$110+BO$128)/('VALUATION &amp; RETURNS'!$DA$8*1000000*INDEX($O$31:$O$33,MATCH($B$6,$J$31:$J$33,0))))</f>
        <v>0.0014369282395977302</v>
      </c>
      <c r="BP134" s="316" t="n">
        <f>IF('VALUATION &amp; RETURNS'!$DA$8*1000000*INDEX($O$31:$O$33,MATCH($B$6,$J$31:$J$33,0))=0,0,(BP$92+BP$110+BP$128)/('VALUATION &amp; RETURNS'!$DA$8*1000000*INDEX($O$31:$O$33,MATCH($B$6,$J$31:$J$33,0))))</f>
        <v>0</v>
      </c>
      <c r="BQ134" s="316" t="n">
        <f>IF('VALUATION &amp; RETURNS'!$DA$8*1000000*INDEX($O$31:$O$33,MATCH($B$6,$J$31:$J$33,0))=0,0,(BQ$92+BQ$110+BQ$128)/('VALUATION &amp; RETURNS'!$DA$8*1000000*INDEX($O$31:$O$33,MATCH($B$6,$J$31:$J$33,0))))</f>
        <v>0</v>
      </c>
      <c r="BR134" s="316" t="n">
        <f>IF('VALUATION &amp; RETURNS'!$DA$8*1000000*INDEX($O$31:$O$33,MATCH($B$6,$J$31:$J$33,0))=0,0,(BR$92+BR$110+BR$128)/('VALUATION &amp; RETURNS'!$DA$8*1000000*INDEX($O$31:$O$33,MATCH($B$6,$J$31:$J$33,0))))</f>
        <v>0</v>
      </c>
      <c r="BS134" s="316" t="n">
        <f>IF('VALUATION &amp; RETURNS'!$DA$8*1000000*INDEX($O$31:$O$33,MATCH($B$6,$J$31:$J$33,0))=0,0,(BS$92+BS$110+BS$128)/('VALUATION &amp; RETURNS'!$DA$8*1000000*INDEX($O$31:$O$33,MATCH($B$6,$J$31:$J$33,0))))</f>
        <v>0</v>
      </c>
      <c r="BT134" s="316" t="n">
        <f>IF('VALUATION &amp; RETURNS'!$DA$8*1000000*INDEX($O$31:$O$33,MATCH($B$6,$J$31:$J$33,0))=0,0,(BT$92+BT$110+BT$128)/('VALUATION &amp; RETURNS'!$DA$8*1000000*INDEX($O$31:$O$33,MATCH($B$6,$J$31:$J$33,0))))</f>
        <v>0</v>
      </c>
      <c r="BU134" s="316" t="n">
        <f>IF('VALUATION &amp; RETURNS'!$DA$8*1000000*INDEX($O$31:$O$33,MATCH($B$6,$J$31:$J$33,0))=0,0,(BU$92+BU$110+BU$128)/('VALUATION &amp; RETURNS'!$DA$8*1000000*INDEX($O$31:$O$33,MATCH($B$6,$J$31:$J$33,0))))</f>
        <v>0</v>
      </c>
      <c r="BV134" s="316" t="n">
        <f>IF('VALUATION &amp; RETURNS'!$DA$8*1000000*INDEX($O$31:$O$33,MATCH($B$6,$J$31:$J$33,0))=0,0,(BV$92+BV$110+BV$128)/('VALUATION &amp; RETURNS'!$DA$8*1000000*INDEX($O$31:$O$33,MATCH($B$6,$J$31:$J$33,0))))</f>
        <v>0</v>
      </c>
      <c r="BW134" s="316" t="n">
        <f>IF('VALUATION &amp; RETURNS'!$DA$8*1000000*INDEX($O$31:$O$33,MATCH($B$6,$J$31:$J$33,0))=0,0,(BW$92+BW$110+BW$128)/('VALUATION &amp; RETURNS'!$DA$8*1000000*INDEX($O$31:$O$33,MATCH($B$6,$J$31:$J$33,0))))</f>
        <v>0</v>
      </c>
      <c r="BX134" s="316" t="n">
        <f>IF('VALUATION &amp; RETURNS'!$DA$8*1000000*INDEX($O$31:$O$33,MATCH($B$6,$J$31:$J$33,0))=0,0,(BX$92+BX$110+BX$128)/('VALUATION &amp; RETURNS'!$DA$8*1000000*INDEX($O$31:$O$33,MATCH($B$6,$J$31:$J$33,0))))</f>
        <v>0</v>
      </c>
      <c r="BY134" s="316" t="n">
        <f>IF('VALUATION &amp; RETURNS'!$DA$8*1000000*INDEX($O$31:$O$33,MATCH($B$6,$J$31:$J$33,0))=0,0,(BY$92+BY$110+BY$128)/('VALUATION &amp; RETURNS'!$DA$8*1000000*INDEX($O$31:$O$33,MATCH($B$6,$J$31:$J$33,0))))</f>
        <v>0</v>
      </c>
      <c r="BZ134" s="316" t="n">
        <f>IF('VALUATION &amp; RETURNS'!$DA$8*1000000*INDEX($O$31:$O$33,MATCH($B$6,$J$31:$J$33,0))=0,0,(BZ$92+BZ$110+BZ$128)/('VALUATION &amp; RETURNS'!$DA$8*1000000*INDEX($O$31:$O$33,MATCH($B$6,$J$31:$J$33,0))))</f>
        <v>0</v>
      </c>
      <c r="CA134" s="316" t="n">
        <f>IF('VALUATION &amp; RETURNS'!$DA$8*1000000*INDEX($O$31:$O$33,MATCH($B$6,$J$31:$J$33,0))=0,0,(CA$92+CA$110+CA$128)/('VALUATION &amp; RETURNS'!$DA$8*1000000*INDEX($O$31:$O$33,MATCH($B$6,$J$31:$J$33,0))))</f>
        <v>0</v>
      </c>
      <c r="CB134" s="316" t="n">
        <f>IF('VALUATION &amp; RETURNS'!$DA$8*1000000*INDEX($O$31:$O$33,MATCH($B$6,$J$31:$J$33,0))=0,0,(CB$92+CB$110+CB$128)/('VALUATION &amp; RETURNS'!$DA$8*1000000*INDEX($O$31:$O$33,MATCH($B$6,$J$31:$J$33,0))))</f>
        <v>0</v>
      </c>
      <c r="CC134" s="316" t="n">
        <f>IF('VALUATION &amp; RETURNS'!$DA$8*1000000*INDEX($O$31:$O$33,MATCH($B$6,$J$31:$J$33,0))=0,0,(CC$92+CC$110+CC$128)/('VALUATION &amp; RETURNS'!$DA$8*1000000*INDEX($O$31:$O$33,MATCH($B$6,$J$31:$J$33,0))))</f>
        <v>0</v>
      </c>
      <c r="CD134" s="316" t="n">
        <f>IF('VALUATION &amp; RETURNS'!$DA$8*1000000*INDEX($O$31:$O$33,MATCH($B$6,$J$31:$J$33,0))=0,0,(CD$92+CD$110+CD$128)/('VALUATION &amp; RETURNS'!$DA$8*1000000*INDEX($O$31:$O$33,MATCH($B$6,$J$31:$J$33,0))))</f>
        <v>0</v>
      </c>
      <c r="CE134" s="316" t="n">
        <f>IF('VALUATION &amp; RETURNS'!$DA$8*1000000*INDEX($O$31:$O$33,MATCH($B$6,$J$31:$J$33,0))=0,0,(CE$92+CE$110+CE$128)/('VALUATION &amp; RETURNS'!$DA$8*1000000*INDEX($O$31:$O$33,MATCH($B$6,$J$31:$J$33,0))))</f>
        <v>0</v>
      </c>
      <c r="CF134" s="316" t="n">
        <f>IF('VALUATION &amp; RETURNS'!$DA$8*1000000*INDEX($O$31:$O$33,MATCH($B$6,$J$31:$J$33,0))=0,0,(CF$92+CF$110+CF$128)/('VALUATION &amp; RETURNS'!$DA$8*1000000*INDEX($O$31:$O$33,MATCH($B$6,$J$31:$J$33,0))))</f>
        <v>0</v>
      </c>
      <c r="CG134" s="316" t="n">
        <f>IF('VALUATION &amp; RETURNS'!$DA$8*1000000*INDEX($O$31:$O$33,MATCH($B$6,$J$31:$J$33,0))=0,0,(CG$92+CG$110+CG$128)/('VALUATION &amp; RETURNS'!$DA$8*1000000*INDEX($O$31:$O$33,MATCH($B$6,$J$31:$J$33,0))))</f>
        <v>0</v>
      </c>
      <c r="CH134" s="316" t="n">
        <f>IF('VALUATION &amp; RETURNS'!$DA$8*1000000*INDEX($O$31:$O$33,MATCH($B$6,$J$31:$J$33,0))=0,0,(CH$92+CH$110+CH$128)/('VALUATION &amp; RETURNS'!$DA$8*1000000*INDEX($O$31:$O$33,MATCH($B$6,$J$31:$J$33,0))))</f>
        <v>0</v>
      </c>
      <c r="CI134" s="316" t="n">
        <f>IF('VALUATION &amp; RETURNS'!$DA$8*1000000*INDEX($O$31:$O$33,MATCH($B$6,$J$31:$J$33,0))=0,0,(CI$92+CI$110+CI$128)/('VALUATION &amp; RETURNS'!$DA$8*1000000*INDEX($O$31:$O$33,MATCH($B$6,$J$31:$J$33,0))))</f>
        <v>0</v>
      </c>
      <c r="CJ134" s="316" t="n">
        <f>IF('VALUATION &amp; RETURNS'!$DA$8*1000000*INDEX($O$31:$O$33,MATCH($B$6,$J$31:$J$33,0))=0,0,(CJ$92+CJ$110+CJ$128)/('VALUATION &amp; RETURNS'!$DA$8*1000000*INDEX($O$31:$O$33,MATCH($B$6,$J$31:$J$33,0))))</f>
        <v>0</v>
      </c>
      <c r="CK134" s="316" t="n">
        <f>IF('VALUATION &amp; RETURNS'!$DA$8*1000000*INDEX($O$31:$O$33,MATCH($B$6,$J$31:$J$33,0))=0,0,(CK$92+CK$110+CK$128)/('VALUATION &amp; RETURNS'!$DA$8*1000000*INDEX($O$31:$O$33,MATCH($B$6,$J$31:$J$33,0))))</f>
        <v>0</v>
      </c>
      <c r="CL134" s="316" t="n">
        <f>IF('VALUATION &amp; RETURNS'!$DA$8*1000000*INDEX($O$31:$O$33,MATCH($B$6,$J$31:$J$33,0))=0,0,(CL$92+CL$110+CL$128)/('VALUATION &amp; RETURNS'!$DA$8*1000000*INDEX($O$31:$O$33,MATCH($B$6,$J$31:$J$33,0))))</f>
        <v>0</v>
      </c>
      <c r="CM134" s="316" t="n">
        <f>IF('VALUATION &amp; RETURNS'!$DA$8*1000000*INDEX($O$31:$O$33,MATCH($B$6,$J$31:$J$33,0))=0,0,(CM$92+CM$110+CM$128)/('VALUATION &amp; RETURNS'!$DA$8*1000000*INDEX($O$31:$O$33,MATCH($B$6,$J$31:$J$33,0))))</f>
        <v>0</v>
      </c>
      <c r="CN134" s="316" t="n">
        <f>IF('VALUATION &amp; RETURNS'!$DA$8*1000000*INDEX($O$31:$O$33,MATCH($B$6,$J$31:$J$33,0))=0,0,(CN$92+CN$110+CN$128)/('VALUATION &amp; RETURNS'!$DA$8*1000000*INDEX($O$31:$O$33,MATCH($B$6,$J$31:$J$33,0))))</f>
        <v>0</v>
      </c>
      <c r="CO134" s="316" t="n">
        <f>IF('VALUATION &amp; RETURNS'!$DA$8*1000000*INDEX($O$31:$O$33,MATCH($B$6,$J$31:$J$33,0))=0,0,(CO$92+CO$110+CO$128)/('VALUATION &amp; RETURNS'!$DA$8*1000000*INDEX($O$31:$O$33,MATCH($B$6,$J$31:$J$33,0))))</f>
        <v>0</v>
      </c>
      <c r="CP134" s="316" t="n">
        <f>IF('VALUATION &amp; RETURNS'!$DA$8*1000000*INDEX($O$31:$O$33,MATCH($B$6,$J$31:$J$33,0))=0,0,(CP$92+CP$110+CP$128)/('VALUATION &amp; RETURNS'!$DA$8*1000000*INDEX($O$31:$O$33,MATCH($B$6,$J$31:$J$33,0))))</f>
        <v>0</v>
      </c>
      <c r="CQ134" s="316" t="n">
        <f>IF('VALUATION &amp; RETURNS'!$DA$8*1000000*INDEX($O$31:$O$33,MATCH($B$6,$J$31:$J$33,0))=0,0,(CQ$92+CQ$110+CQ$128)/('VALUATION &amp; RETURNS'!$DA$8*1000000*INDEX($O$31:$O$33,MATCH($B$6,$J$31:$J$33,0))))</f>
        <v>0</v>
      </c>
      <c r="CR134" s="316" t="n">
        <f>IF('VALUATION &amp; RETURNS'!$DA$8*1000000*INDEX($O$31:$O$33,MATCH($B$6,$J$31:$J$33,0))=0,0,(CR$92+CR$110+CR$128)/('VALUATION &amp; RETURNS'!$DA$8*1000000*INDEX($O$31:$O$33,MATCH($B$6,$J$31:$J$33,0))))</f>
        <v>0</v>
      </c>
      <c r="CS134" s="316" t="n">
        <f>IF('VALUATION &amp; RETURNS'!$DA$8*1000000*INDEX($O$31:$O$33,MATCH($B$6,$J$31:$J$33,0))=0,0,(CS$92+CS$110+CS$128)/('VALUATION &amp; RETURNS'!$DA$8*1000000*INDEX($O$31:$O$33,MATCH($B$6,$J$31:$J$33,0))))</f>
        <v>0</v>
      </c>
      <c r="CT134" s="316" t="n">
        <f>IF('VALUATION &amp; RETURNS'!$DA$8*1000000*INDEX($O$31:$O$33,MATCH($B$6,$J$31:$J$33,0))=0,0,(CT$92+CT$110+CT$128)/('VALUATION &amp; RETURNS'!$DA$8*1000000*INDEX($O$31:$O$33,MATCH($B$6,$J$31:$J$33,0))))</f>
        <v>0</v>
      </c>
      <c r="CU134" s="316" t="n">
        <f>IF('VALUATION &amp; RETURNS'!$DA$8*1000000*INDEX($O$31:$O$33,MATCH($B$6,$J$31:$J$33,0))=0,0,(CU$92+CU$110+CU$128)/('VALUATION &amp; RETURNS'!$DA$8*1000000*INDEX($O$31:$O$33,MATCH($B$6,$J$31:$J$33,0))))</f>
        <v>0</v>
      </c>
      <c r="CV134" s="316" t="n">
        <f>IF('VALUATION &amp; RETURNS'!$DA$8*1000000*INDEX($O$31:$O$33,MATCH($B$6,$J$31:$J$33,0))=0,0,(CV$92+CV$110+CV$128)/('VALUATION &amp; RETURNS'!$DA$8*1000000*INDEX($O$31:$O$33,MATCH($B$6,$J$31:$J$33,0))))</f>
        <v>0</v>
      </c>
      <c r="CW134" s="316" t="n">
        <f>IF('VALUATION &amp; RETURNS'!$DA$8*1000000*INDEX($O$31:$O$33,MATCH($B$6,$J$31:$J$33,0))=0,0,(CW$92+CW$110+CW$128)/('VALUATION &amp; RETURNS'!$DA$8*1000000*INDEX($O$31:$O$33,MATCH($B$6,$J$31:$J$33,0))))</f>
        <v>0</v>
      </c>
      <c r="CX134" s="316" t="n">
        <f>IF('VALUATION &amp; RETURNS'!$DA$8*1000000*INDEX($O$31:$O$33,MATCH($B$6,$J$31:$J$33,0))=0,0,(CX$92+CX$110+CX$128)/('VALUATION &amp; RETURNS'!$DA$8*1000000*INDEX($O$31:$O$33,MATCH($B$6,$J$31:$J$33,0))))</f>
        <v>0</v>
      </c>
      <c r="CY134" s="316" t="n">
        <f>IF('VALUATION &amp; RETURNS'!$DA$8*1000000*INDEX($O$31:$O$33,MATCH($B$6,$J$31:$J$33,0))=0,0,(CY$92+CY$110+CY$128)/('VALUATION &amp; RETURNS'!$DA$8*1000000*INDEX($O$31:$O$33,MATCH($B$6,$J$31:$J$33,0))))</f>
        <v>0</v>
      </c>
      <c r="CZ134" s="316" t="n">
        <f>IF('VALUATION &amp; RETURNS'!$DA$8*1000000*INDEX($O$31:$O$33,MATCH($B$6,$J$31:$J$33,0))=0,0,(CZ$92+CZ$110+CZ$128)/('VALUATION &amp; RETURNS'!$DA$8*1000000*INDEX($O$31:$O$33,MATCH($B$6,$J$31:$J$33,0))))</f>
        <v>0</v>
      </c>
      <c r="DA134" s="316" t="n">
        <f>IF('VALUATION &amp; RETURNS'!$DA$8*1000000*INDEX($O$31:$O$33,MATCH($B$6,$J$31:$J$33,0))=0,0,(DA$92+DA$110+DA$128)/('VALUATION &amp; RETURNS'!$DA$8*1000000*INDEX($O$31:$O$33,MATCH($B$6,$J$31:$J$33,0))))</f>
        <v>0</v>
      </c>
      <c r="DB134" s="316" t="n">
        <f>IF('VALUATION &amp; RETURNS'!$DA$8*1000000*INDEX($O$31:$O$33,MATCH($B$6,$J$31:$J$33,0))=0,0,(DB$92+DB$110+DB$128)/('VALUATION &amp; RETURNS'!$DA$8*1000000*INDEX($O$31:$O$33,MATCH($B$6,$J$31:$J$33,0))))</f>
        <v>0</v>
      </c>
      <c r="DC134" s="316" t="n">
        <f>IF('VALUATION &amp; RETURNS'!$DA$8*1000000*INDEX($O$31:$O$33,MATCH($B$6,$J$31:$J$33,0))=0,0,(DC$92+DC$110+DC$128)/('VALUATION &amp; RETURNS'!$DA$8*1000000*INDEX($O$31:$O$33,MATCH($B$6,$J$31:$J$33,0))))</f>
        <v>0</v>
      </c>
      <c r="DD134" s="316" t="n">
        <f>IF('VALUATION &amp; RETURNS'!$DA$8*1000000*INDEX($O$31:$O$33,MATCH($B$6,$J$31:$J$33,0))=0,0,(DD$92+DD$110+DD$128)/('VALUATION &amp; RETURNS'!$DA$8*1000000*INDEX($O$31:$O$33,MATCH($B$6,$J$31:$J$33,0))))</f>
        <v>0</v>
      </c>
      <c r="DE134" s="316" t="n">
        <f>IF('VALUATION &amp; RETURNS'!$DA$8*1000000*INDEX($O$31:$O$33,MATCH($B$6,$J$31:$J$33,0))=0,0,(DE$92+DE$110+DE$128)/('VALUATION &amp; RETURNS'!$DA$8*1000000*INDEX($O$31:$O$33,MATCH($B$6,$J$31:$J$33,0))))</f>
        <v>0</v>
      </c>
      <c r="DF134" s="316" t="n">
        <f>IF('VALUATION &amp; RETURNS'!$DA$8*1000000*INDEX($O$31:$O$33,MATCH($B$6,$J$31:$J$33,0))=0,0,(DF$92+DF$110+DF$128)/('VALUATION &amp; RETURNS'!$DA$8*1000000*INDEX($O$31:$O$33,MATCH($B$6,$J$31:$J$33,0))))</f>
        <v>0</v>
      </c>
      <c r="DG134" s="316" t="n">
        <f>IF('VALUATION &amp; RETURNS'!$DA$8*1000000*INDEX($O$31:$O$33,MATCH($B$6,$J$31:$J$33,0))=0,0,(DG$92+DG$110+DG$128)/('VALUATION &amp; RETURNS'!$DA$8*1000000*INDEX($O$31:$O$33,MATCH($B$6,$J$31:$J$33,0))))</f>
        <v>0</v>
      </c>
      <c r="DH134" s="316" t="n">
        <f>IF('VALUATION &amp; RETURNS'!$DA$8*1000000*INDEX($O$31:$O$33,MATCH($B$6,$J$31:$J$33,0))=0,0,(DH$92+DH$110+DH$128)/('VALUATION &amp; RETURNS'!$DA$8*1000000*INDEX($O$31:$O$33,MATCH($B$6,$J$31:$J$33,0))))</f>
        <v>0</v>
      </c>
      <c r="DI134" s="316" t="n">
        <f>IF('VALUATION &amp; RETURNS'!$DA$8*1000000*INDEX($O$31:$O$33,MATCH($B$6,$J$31:$J$33,0))=0,0,(DI$92+DI$110+DI$128)/('VALUATION &amp; RETURNS'!$DA$8*1000000*INDEX($O$31:$O$33,MATCH($B$6,$J$31:$J$33,0))))</f>
        <v>0</v>
      </c>
      <c r="DJ134" s="316" t="n">
        <f>IF('VALUATION &amp; RETURNS'!$DA$8*1000000*INDEX($O$31:$O$33,MATCH($B$6,$J$31:$J$33,0))=0,0,(DJ$92+DJ$110+DJ$128)/('VALUATION &amp; RETURNS'!$DA$8*1000000*INDEX($O$31:$O$33,MATCH($B$6,$J$31:$J$33,0))))</f>
        <v>0</v>
      </c>
      <c r="DK134" s="316" t="n">
        <f>IF('VALUATION &amp; RETURNS'!$DA$8*1000000*INDEX($O$31:$O$33,MATCH($B$6,$J$31:$J$33,0))=0,0,(DK$92+DK$110+DK$128)/('VALUATION &amp; RETURNS'!$DA$8*1000000*INDEX($O$31:$O$33,MATCH($B$6,$J$31:$J$33,0))))</f>
        <v>0</v>
      </c>
      <c r="DL134" s="316" t="n">
        <f>IF('VALUATION &amp; RETURNS'!$DA$8*1000000*INDEX($O$31:$O$33,MATCH($B$6,$J$31:$J$33,0))=0,0,(DL$92+DL$110+DL$128)/('VALUATION &amp; RETURNS'!$DA$8*1000000*INDEX($O$31:$O$33,MATCH($B$6,$J$31:$J$33,0))))</f>
        <v>0</v>
      </c>
      <c r="DM134" s="316" t="n">
        <f>IF('VALUATION &amp; RETURNS'!$DA$8*1000000*INDEX($O$31:$O$33,MATCH($B$6,$J$31:$J$33,0))=0,0,(DM$92+DM$110+DM$128)/('VALUATION &amp; RETURNS'!$DA$8*1000000*INDEX($O$31:$O$33,MATCH($B$6,$J$31:$J$33,0))))</f>
        <v>0</v>
      </c>
      <c r="DN134" s="316" t="n">
        <f>IF('VALUATION &amp; RETURNS'!$DA$8*1000000*INDEX($O$31:$O$33,MATCH($B$6,$J$31:$J$33,0))=0,0,(DN$92+DN$110+DN$128)/('VALUATION &amp; RETURNS'!$DA$8*1000000*INDEX($O$31:$O$33,MATCH($B$6,$J$31:$J$33,0))))</f>
        <v>0</v>
      </c>
      <c r="DO134" s="316" t="n">
        <f>IF('VALUATION &amp; RETURNS'!$DA$8*1000000*INDEX($O$31:$O$33,MATCH($B$6,$J$31:$J$33,0))=0,0,(DO$92+DO$110+DO$128)/('VALUATION &amp; RETURNS'!$DA$8*1000000*INDEX($O$31:$O$33,MATCH($B$6,$J$31:$J$33,0))))</f>
        <v>0</v>
      </c>
      <c r="DP134" s="316" t="n">
        <f>IF('VALUATION &amp; RETURNS'!$DA$8*1000000*INDEX($O$31:$O$33,MATCH($B$6,$J$31:$J$33,0))=0,0,(DP$92+DP$110+DP$128)/('VALUATION &amp; RETURNS'!$DA$8*1000000*INDEX($O$31:$O$33,MATCH($B$6,$J$31:$J$33,0))))</f>
        <v>0</v>
      </c>
      <c r="DQ134" s="316" t="n">
        <f>IF('VALUATION &amp; RETURNS'!$DA$8*1000000*INDEX($O$31:$O$33,MATCH($B$6,$J$31:$J$33,0))=0,0,(DQ$92+DQ$110+DQ$128)/('VALUATION &amp; RETURNS'!$DA$8*1000000*INDEX($O$31:$O$33,MATCH($B$6,$J$31:$J$33,0))))</f>
        <v>0</v>
      </c>
      <c r="DR134" s="316" t="n">
        <f>IF('VALUATION &amp; RETURNS'!$DA$8*1000000*INDEX($O$31:$O$33,MATCH($B$6,$J$31:$J$33,0))=0,0,(DR$92+DR$110+DR$128)/('VALUATION &amp; RETURNS'!$DA$8*1000000*INDEX($O$31:$O$33,MATCH($B$6,$J$31:$J$33,0))))</f>
        <v>0</v>
      </c>
      <c r="DS134" s="316" t="n">
        <f>IF('VALUATION &amp; RETURNS'!$DA$8*1000000*INDEX($O$31:$O$33,MATCH($B$6,$J$31:$J$33,0))=0,0,(DS$92+DS$110+DS$128)/('VALUATION &amp; RETURNS'!$DA$8*1000000*INDEX($O$31:$O$33,MATCH($B$6,$J$31:$J$33,0))))</f>
        <v>0</v>
      </c>
      <c r="DT134" s="316" t="n">
        <f>IF('VALUATION &amp; RETURNS'!$DA$8*1000000*INDEX($O$31:$O$33,MATCH($B$6,$J$31:$J$33,0))=0,0,(DT$92+DT$110+DT$128)/('VALUATION &amp; RETURNS'!$DA$8*1000000*INDEX($O$31:$O$33,MATCH($B$6,$J$31:$J$33,0))))</f>
        <v>0</v>
      </c>
      <c r="DU134" s="316" t="n">
        <f>IF('VALUATION &amp; RETURNS'!$DA$8*1000000*INDEX($O$31:$O$33,MATCH($B$6,$J$31:$J$33,0))=0,0,(DU$92+DU$110+DU$128)/('VALUATION &amp; RETURNS'!$DA$8*1000000*INDEX($O$31:$O$33,MATCH($B$6,$J$31:$J$33,0))))</f>
        <v>0</v>
      </c>
      <c r="DV134" s="316" t="n">
        <f>IF('VALUATION &amp; RETURNS'!$DA$8*1000000*INDEX($O$31:$O$33,MATCH($B$6,$J$31:$J$33,0))=0,0,(DV$92+DV$110+DV$128)/('VALUATION &amp; RETURNS'!$DA$8*1000000*INDEX($O$31:$O$33,MATCH($B$6,$J$31:$J$33,0))))</f>
        <v>0</v>
      </c>
    </row>
    <row r="135" ht="15" customHeight="1">
      <c r="A135" s="311" t="s">
        <v>1554</v>
      </c>
      <c r="B135" s="312" t="s">
        <v>1440</v>
      </c>
      <c r="C135" s="702" t="s">
        <v>1519</v>
      </c>
      <c r="D135" s="703"/>
      <c r="F135" s="327" t="str">
        <f t="shared" ref="F135:AK135" si="212">IF(AND(F$64&gt;$B$52,F$128&gt;0.01),"MATURED / OUTSTANDING","OK")</f>
        <v>OK</v>
      </c>
      <c r="G135" s="327" t="str">
        <f t="shared" si="212"/>
        <v>OK</v>
      </c>
      <c r="H135" s="327" t="str">
        <f t="shared" si="212"/>
        <v>OK</v>
      </c>
      <c r="I135" s="327" t="str">
        <f t="shared" si="212"/>
        <v>OK</v>
      </c>
      <c r="J135" s="327" t="str">
        <f t="shared" si="212"/>
        <v>OK</v>
      </c>
      <c r="K135" s="327" t="str">
        <f t="shared" si="212"/>
        <v>OK</v>
      </c>
      <c r="L135" s="327" t="str">
        <f t="shared" si="212"/>
        <v>OK</v>
      </c>
      <c r="M135" s="327" t="str">
        <f t="shared" si="212"/>
        <v>OK</v>
      </c>
      <c r="N135" s="327" t="str">
        <f t="shared" si="212"/>
        <v>OK</v>
      </c>
      <c r="O135" s="327" t="str">
        <f t="shared" si="212"/>
        <v>OK</v>
      </c>
      <c r="P135" s="327" t="str">
        <f t="shared" si="212"/>
        <v>OK</v>
      </c>
      <c r="Q135" s="327" t="str">
        <f t="shared" si="212"/>
        <v>OK</v>
      </c>
      <c r="R135" s="327" t="str">
        <f t="shared" si="212"/>
        <v>OK</v>
      </c>
      <c r="S135" s="327" t="str">
        <f t="shared" si="212"/>
        <v>OK</v>
      </c>
      <c r="T135" s="327" t="str">
        <f t="shared" si="212"/>
        <v>OK</v>
      </c>
      <c r="U135" s="327" t="str">
        <f t="shared" si="212"/>
        <v>OK</v>
      </c>
      <c r="V135" s="327" t="str">
        <f t="shared" si="212"/>
        <v>OK</v>
      </c>
      <c r="W135" s="327" t="str">
        <f t="shared" si="212"/>
        <v>OK</v>
      </c>
      <c r="X135" s="327" t="str">
        <f t="shared" si="212"/>
        <v>OK</v>
      </c>
      <c r="Y135" s="327" t="str">
        <f t="shared" si="212"/>
        <v>OK</v>
      </c>
      <c r="Z135" s="327" t="str">
        <f t="shared" si="212"/>
        <v>OK</v>
      </c>
      <c r="AA135" s="327" t="str">
        <f t="shared" si="212"/>
        <v>OK</v>
      </c>
      <c r="AB135" s="327" t="str">
        <f t="shared" si="212"/>
        <v>OK</v>
      </c>
      <c r="AC135" s="327" t="str">
        <f t="shared" si="212"/>
        <v>OK</v>
      </c>
      <c r="AD135" s="327" t="str">
        <f t="shared" si="212"/>
        <v>OK</v>
      </c>
      <c r="AE135" s="327" t="str">
        <f t="shared" si="212"/>
        <v>OK</v>
      </c>
      <c r="AF135" s="327" t="str">
        <f t="shared" si="212"/>
        <v>OK</v>
      </c>
      <c r="AG135" s="327" t="str">
        <f t="shared" si="212"/>
        <v>OK</v>
      </c>
      <c r="AH135" s="327" t="str">
        <f t="shared" si="212"/>
        <v>OK</v>
      </c>
      <c r="AI135" s="327" t="str">
        <f t="shared" si="212"/>
        <v>OK</v>
      </c>
      <c r="AJ135" s="327" t="str">
        <f t="shared" si="212"/>
        <v>OK</v>
      </c>
      <c r="AK135" s="327" t="str">
        <f t="shared" si="212"/>
        <v>OK</v>
      </c>
      <c r="AL135" s="327" t="str">
        <f t="shared" ref="AL135:BQ135" si="213">IF(AND(AL$64&gt;$B$52,AL$128&gt;0.01),"MATURED / OUTSTANDING","OK")</f>
        <v>OK</v>
      </c>
      <c r="AM135" s="327" t="str">
        <f t="shared" si="213"/>
        <v>OK</v>
      </c>
      <c r="AN135" s="327" t="str">
        <f t="shared" si="213"/>
        <v>OK</v>
      </c>
      <c r="AO135" s="327" t="str">
        <f t="shared" si="213"/>
        <v>OK</v>
      </c>
      <c r="AP135" s="327" t="str">
        <f t="shared" si="213"/>
        <v>OK</v>
      </c>
      <c r="AQ135" s="327" t="str">
        <f t="shared" si="213"/>
        <v>OK</v>
      </c>
      <c r="AR135" s="327" t="str">
        <f t="shared" si="213"/>
        <v>OK</v>
      </c>
      <c r="AS135" s="327" t="str">
        <f t="shared" si="213"/>
        <v>OK</v>
      </c>
      <c r="AT135" s="327" t="str">
        <f t="shared" si="213"/>
        <v>OK</v>
      </c>
      <c r="AU135" s="327" t="str">
        <f t="shared" si="213"/>
        <v>OK</v>
      </c>
      <c r="AV135" s="327" t="str">
        <f t="shared" si="213"/>
        <v>OK</v>
      </c>
      <c r="AW135" s="327" t="str">
        <f t="shared" si="213"/>
        <v>OK</v>
      </c>
      <c r="AX135" s="327" t="str">
        <f t="shared" si="213"/>
        <v>OK</v>
      </c>
      <c r="AY135" s="327" t="str">
        <f t="shared" si="213"/>
        <v>OK</v>
      </c>
      <c r="AZ135" s="327" t="str">
        <f t="shared" si="213"/>
        <v>OK</v>
      </c>
      <c r="BA135" s="327" t="str">
        <f t="shared" si="213"/>
        <v>OK</v>
      </c>
      <c r="BB135" s="327" t="str">
        <f t="shared" si="213"/>
        <v>OK</v>
      </c>
      <c r="BC135" s="327" t="str">
        <f t="shared" si="213"/>
        <v>OK</v>
      </c>
      <c r="BD135" s="327" t="str">
        <f t="shared" si="213"/>
        <v>OK</v>
      </c>
      <c r="BE135" s="327" t="str">
        <f t="shared" si="213"/>
        <v>OK</v>
      </c>
      <c r="BF135" s="327" t="str">
        <f t="shared" si="213"/>
        <v>OK</v>
      </c>
      <c r="BG135" s="327" t="str">
        <f t="shared" si="213"/>
        <v>OK</v>
      </c>
      <c r="BH135" s="327" t="str">
        <f t="shared" si="213"/>
        <v>OK</v>
      </c>
      <c r="BI135" s="327" t="str">
        <f t="shared" si="213"/>
        <v>OK</v>
      </c>
      <c r="BJ135" s="327" t="str">
        <f t="shared" si="213"/>
        <v>OK</v>
      </c>
      <c r="BK135" s="327" t="str">
        <f t="shared" si="213"/>
        <v>OK</v>
      </c>
      <c r="BL135" s="327" t="str">
        <f t="shared" si="213"/>
        <v>OK</v>
      </c>
      <c r="BM135" s="327" t="str">
        <f t="shared" si="213"/>
        <v>OK</v>
      </c>
      <c r="BN135" s="327" t="str">
        <f t="shared" si="213"/>
        <v>OK</v>
      </c>
      <c r="BO135" s="327" t="str">
        <f t="shared" si="213"/>
        <v>OK</v>
      </c>
      <c r="BP135" s="327" t="str">
        <f t="shared" si="213"/>
        <v>OK</v>
      </c>
      <c r="BQ135" s="327" t="str">
        <f t="shared" si="213"/>
        <v>OK</v>
      </c>
      <c r="BR135" s="327" t="str">
        <f t="shared" ref="BR135:CW135" si="214">IF(AND(BR$64&gt;$B$52,BR$128&gt;0.01),"MATURED / OUTSTANDING","OK")</f>
        <v>OK</v>
      </c>
      <c r="BS135" s="327" t="str">
        <f t="shared" si="214"/>
        <v>OK</v>
      </c>
      <c r="BT135" s="327" t="str">
        <f t="shared" si="214"/>
        <v>OK</v>
      </c>
      <c r="BU135" s="327" t="str">
        <f t="shared" si="214"/>
        <v>OK</v>
      </c>
      <c r="BV135" s="327" t="str">
        <f t="shared" si="214"/>
        <v>OK</v>
      </c>
      <c r="BW135" s="327" t="str">
        <f t="shared" si="214"/>
        <v>OK</v>
      </c>
      <c r="BX135" s="327" t="str">
        <f t="shared" si="214"/>
        <v>OK</v>
      </c>
      <c r="BY135" s="327" t="str">
        <f t="shared" si="214"/>
        <v>OK</v>
      </c>
      <c r="BZ135" s="327" t="str">
        <f t="shared" si="214"/>
        <v>OK</v>
      </c>
      <c r="CA135" s="327" t="str">
        <f t="shared" si="214"/>
        <v>OK</v>
      </c>
      <c r="CB135" s="327" t="str">
        <f t="shared" si="214"/>
        <v>OK</v>
      </c>
      <c r="CC135" s="327" t="str">
        <f t="shared" si="214"/>
        <v>OK</v>
      </c>
      <c r="CD135" s="327" t="str">
        <f t="shared" si="214"/>
        <v>OK</v>
      </c>
      <c r="CE135" s="327" t="str">
        <f t="shared" si="214"/>
        <v>OK</v>
      </c>
      <c r="CF135" s="327" t="str">
        <f t="shared" si="214"/>
        <v>OK</v>
      </c>
      <c r="CG135" s="327" t="str">
        <f t="shared" si="214"/>
        <v>OK</v>
      </c>
      <c r="CH135" s="327" t="str">
        <f t="shared" si="214"/>
        <v>OK</v>
      </c>
      <c r="CI135" s="327" t="str">
        <f t="shared" si="214"/>
        <v>OK</v>
      </c>
      <c r="CJ135" s="327" t="str">
        <f t="shared" si="214"/>
        <v>OK</v>
      </c>
      <c r="CK135" s="327" t="str">
        <f t="shared" si="214"/>
        <v>OK</v>
      </c>
      <c r="CL135" s="327" t="str">
        <f t="shared" si="214"/>
        <v>OK</v>
      </c>
      <c r="CM135" s="327" t="str">
        <f t="shared" si="214"/>
        <v>OK</v>
      </c>
      <c r="CN135" s="327" t="str">
        <f t="shared" si="214"/>
        <v>OK</v>
      </c>
      <c r="CO135" s="327" t="str">
        <f t="shared" si="214"/>
        <v>OK</v>
      </c>
      <c r="CP135" s="327" t="str">
        <f t="shared" si="214"/>
        <v>OK</v>
      </c>
      <c r="CQ135" s="327" t="str">
        <f t="shared" si="214"/>
        <v>OK</v>
      </c>
      <c r="CR135" s="327" t="str">
        <f t="shared" si="214"/>
        <v>OK</v>
      </c>
      <c r="CS135" s="327" t="str">
        <f t="shared" si="214"/>
        <v>OK</v>
      </c>
      <c r="CT135" s="327" t="str">
        <f t="shared" si="214"/>
        <v>OK</v>
      </c>
      <c r="CU135" s="327" t="str">
        <f t="shared" si="214"/>
        <v>OK</v>
      </c>
      <c r="CV135" s="327" t="str">
        <f t="shared" si="214"/>
        <v>OK</v>
      </c>
      <c r="CW135" s="327" t="str">
        <f t="shared" si="214"/>
        <v>OK</v>
      </c>
      <c r="CX135" s="327" t="str">
        <f t="shared" ref="CX135:DV135" si="215">IF(AND(CX$64&gt;$B$52,CX$128&gt;0.01),"MATURED / OUTSTANDING","OK")</f>
        <v>OK</v>
      </c>
      <c r="CY135" s="327" t="str">
        <f t="shared" si="215"/>
        <v>OK</v>
      </c>
      <c r="CZ135" s="327" t="str">
        <f t="shared" si="215"/>
        <v>OK</v>
      </c>
      <c r="DA135" s="327" t="str">
        <f t="shared" si="215"/>
        <v>OK</v>
      </c>
      <c r="DB135" s="327" t="str">
        <f t="shared" si="215"/>
        <v>OK</v>
      </c>
      <c r="DC135" s="327" t="str">
        <f t="shared" si="215"/>
        <v>OK</v>
      </c>
      <c r="DD135" s="327" t="str">
        <f t="shared" si="215"/>
        <v>OK</v>
      </c>
      <c r="DE135" s="327" t="str">
        <f t="shared" si="215"/>
        <v>OK</v>
      </c>
      <c r="DF135" s="327" t="str">
        <f t="shared" si="215"/>
        <v>OK</v>
      </c>
      <c r="DG135" s="327" t="str">
        <f t="shared" si="215"/>
        <v>OK</v>
      </c>
      <c r="DH135" s="327" t="str">
        <f t="shared" si="215"/>
        <v>OK</v>
      </c>
      <c r="DI135" s="327" t="str">
        <f t="shared" si="215"/>
        <v>OK</v>
      </c>
      <c r="DJ135" s="327" t="str">
        <f t="shared" si="215"/>
        <v>OK</v>
      </c>
      <c r="DK135" s="327" t="str">
        <f t="shared" si="215"/>
        <v>OK</v>
      </c>
      <c r="DL135" s="327" t="str">
        <f t="shared" si="215"/>
        <v>OK</v>
      </c>
      <c r="DM135" s="327" t="str">
        <f t="shared" si="215"/>
        <v>OK</v>
      </c>
      <c r="DN135" s="327" t="str">
        <f t="shared" si="215"/>
        <v>OK</v>
      </c>
      <c r="DO135" s="327" t="str">
        <f t="shared" si="215"/>
        <v>OK</v>
      </c>
      <c r="DP135" s="327" t="str">
        <f t="shared" si="215"/>
        <v>OK</v>
      </c>
      <c r="DQ135" s="327" t="str">
        <f t="shared" si="215"/>
        <v>OK</v>
      </c>
      <c r="DR135" s="327" t="str">
        <f t="shared" si="215"/>
        <v>OK</v>
      </c>
      <c r="DS135" s="327" t="str">
        <f t="shared" si="215"/>
        <v>OK</v>
      </c>
      <c r="DT135" s="327" t="str">
        <f t="shared" si="215"/>
        <v>OK</v>
      </c>
      <c r="DU135" s="327" t="str">
        <f t="shared" si="215"/>
        <v>OK</v>
      </c>
      <c r="DV135" s="327" t="str">
        <f t="shared" si="215"/>
        <v>OK</v>
      </c>
    </row>
    <row r="136" ht="15" customHeight="1">
      <c r="A136" s="311" t="s">
        <v>1555</v>
      </c>
      <c r="B136" s="312" t="s">
        <v>1321</v>
      </c>
      <c r="C136" s="702" t="s">
        <v>1497</v>
      </c>
      <c r="D136" s="703"/>
      <c r="F136" s="313" t="n">
        <f t="shared" ref="F136:AK136" si="216">F$116+F$120-F$124-F$125-F$126-F$127-F$128</f>
        <v>0</v>
      </c>
      <c r="G136" s="313">
        <f t="shared" si="216"/>
        <v>0</v>
      </c>
      <c r="H136" s="313">
        <f t="shared" si="216"/>
        <v>0</v>
      </c>
      <c r="I136" s="313">
        <f t="shared" si="216"/>
        <v>0</v>
      </c>
      <c r="J136" s="313">
        <f t="shared" si="216"/>
        <v>0</v>
      </c>
      <c r="K136" s="313">
        <f t="shared" si="216"/>
        <v>0</v>
      </c>
      <c r="L136" s="313">
        <f t="shared" si="216"/>
        <v>0</v>
      </c>
      <c r="M136" s="313">
        <f t="shared" si="216"/>
        <v>0</v>
      </c>
      <c r="N136" s="313">
        <f t="shared" si="216"/>
        <v>0</v>
      </c>
      <c r="O136" s="313">
        <f t="shared" si="216"/>
        <v>0</v>
      </c>
      <c r="P136" s="313">
        <f t="shared" si="216"/>
        <v>0</v>
      </c>
      <c r="Q136" s="313">
        <f t="shared" si="216"/>
        <v>0</v>
      </c>
      <c r="R136" s="313">
        <f t="shared" si="216"/>
        <v>0</v>
      </c>
      <c r="S136" s="313">
        <f t="shared" si="216"/>
        <v>0</v>
      </c>
      <c r="T136" s="313">
        <f t="shared" si="216"/>
        <v>0</v>
      </c>
      <c r="U136" s="313">
        <f t="shared" si="216"/>
        <v>0</v>
      </c>
      <c r="V136" s="313">
        <f t="shared" si="216"/>
        <v>0</v>
      </c>
      <c r="W136" s="313">
        <f t="shared" si="216"/>
        <v>0</v>
      </c>
      <c r="X136" s="313">
        <f t="shared" si="216"/>
        <v>0</v>
      </c>
      <c r="Y136" s="313">
        <f t="shared" si="216"/>
        <v>0</v>
      </c>
      <c r="Z136" s="313">
        <f t="shared" si="216"/>
        <v>0</v>
      </c>
      <c r="AA136" s="313">
        <f t="shared" si="216"/>
        <v>0</v>
      </c>
      <c r="AB136" s="313">
        <f t="shared" si="216"/>
        <v>0</v>
      </c>
      <c r="AC136" s="313">
        <f t="shared" si="216"/>
        <v>0</v>
      </c>
      <c r="AD136" s="313">
        <f t="shared" si="216"/>
        <v>0</v>
      </c>
      <c r="AE136" s="313">
        <f t="shared" si="216"/>
        <v>0</v>
      </c>
      <c r="AF136" s="313">
        <f t="shared" si="216"/>
        <v>0</v>
      </c>
      <c r="AG136" s="313">
        <f t="shared" si="216"/>
        <v>0</v>
      </c>
      <c r="AH136" s="313">
        <f t="shared" si="216"/>
        <v>0</v>
      </c>
      <c r="AI136" s="313">
        <f t="shared" si="216"/>
        <v>0</v>
      </c>
      <c r="AJ136" s="313">
        <f t="shared" si="216"/>
        <v>0</v>
      </c>
      <c r="AK136" s="313">
        <f t="shared" si="216"/>
        <v>0</v>
      </c>
      <c r="AL136" s="313" t="n">
        <f t="shared" ref="AL136:BQ136" si="217">AL$116+AL$120-AL$124-AL$125-AL$126-AL$127-AL$128</f>
        <v>0</v>
      </c>
      <c r="AM136" s="313">
        <f t="shared" si="217"/>
        <v>0</v>
      </c>
      <c r="AN136" s="313">
        <f t="shared" si="217"/>
        <v>0</v>
      </c>
      <c r="AO136" s="313">
        <f t="shared" si="217"/>
        <v>0</v>
      </c>
      <c r="AP136" s="313">
        <f t="shared" si="217"/>
        <v>0</v>
      </c>
      <c r="AQ136" s="313">
        <f t="shared" si="217"/>
        <v>0</v>
      </c>
      <c r="AR136" s="313">
        <f t="shared" si="217"/>
        <v>0</v>
      </c>
      <c r="AS136" s="313">
        <f t="shared" si="217"/>
        <v>0</v>
      </c>
      <c r="AT136" s="313">
        <f t="shared" si="217"/>
        <v>0</v>
      </c>
      <c r="AU136" s="313">
        <f t="shared" si="217"/>
        <v>0</v>
      </c>
      <c r="AV136" s="313">
        <f t="shared" si="217"/>
        <v>0</v>
      </c>
      <c r="AW136" s="313">
        <f t="shared" si="217"/>
        <v>0</v>
      </c>
      <c r="AX136" s="313">
        <f t="shared" si="217"/>
        <v>0</v>
      </c>
      <c r="AY136" s="313">
        <f t="shared" si="217"/>
        <v>0</v>
      </c>
      <c r="AZ136" s="313">
        <f t="shared" si="217"/>
        <v>0</v>
      </c>
      <c r="BA136" s="313">
        <f t="shared" si="217"/>
        <v>0</v>
      </c>
      <c r="BB136" s="313">
        <f t="shared" si="217"/>
        <v>0</v>
      </c>
      <c r="BC136" s="313">
        <f t="shared" si="217"/>
        <v>0</v>
      </c>
      <c r="BD136" s="313">
        <f t="shared" si="217"/>
        <v>0</v>
      </c>
      <c r="BE136" s="313">
        <f t="shared" si="217"/>
        <v>0</v>
      </c>
      <c r="BF136" s="313">
        <f t="shared" si="217"/>
        <v>0</v>
      </c>
      <c r="BG136" s="313">
        <f t="shared" si="217"/>
        <v>0</v>
      </c>
      <c r="BH136" s="313">
        <f t="shared" si="217"/>
        <v>0</v>
      </c>
      <c r="BI136" s="313">
        <f t="shared" si="217"/>
        <v>0</v>
      </c>
      <c r="BJ136" s="313">
        <f t="shared" si="217"/>
        <v>0</v>
      </c>
      <c r="BK136" s="313">
        <f t="shared" si="217"/>
        <v>0</v>
      </c>
      <c r="BL136" s="313">
        <f t="shared" si="217"/>
        <v>0</v>
      </c>
      <c r="BM136" s="313">
        <f t="shared" si="217"/>
        <v>0</v>
      </c>
      <c r="BN136" s="313">
        <f t="shared" si="217"/>
        <v>0</v>
      </c>
      <c r="BO136" s="313">
        <f t="shared" si="217"/>
        <v>0</v>
      </c>
      <c r="BP136" s="313">
        <f t="shared" si="217"/>
        <v>0</v>
      </c>
      <c r="BQ136" s="313">
        <f t="shared" si="217"/>
        <v>0</v>
      </c>
      <c r="BR136" s="313" t="n">
        <f t="shared" ref="BR136:CW136" si="218">BR$116+BR$120-BR$124-BR$125-BR$126-BR$127-BR$128</f>
        <v>0</v>
      </c>
      <c r="BS136" s="313">
        <f t="shared" si="218"/>
        <v>0</v>
      </c>
      <c r="BT136" s="313">
        <f t="shared" si="218"/>
        <v>0</v>
      </c>
      <c r="BU136" s="313">
        <f t="shared" si="218"/>
        <v>0</v>
      </c>
      <c r="BV136" s="313">
        <f t="shared" si="218"/>
        <v>0</v>
      </c>
      <c r="BW136" s="313">
        <f t="shared" si="218"/>
        <v>0</v>
      </c>
      <c r="BX136" s="313">
        <f t="shared" si="218"/>
        <v>0</v>
      </c>
      <c r="BY136" s="313">
        <f t="shared" si="218"/>
        <v>0</v>
      </c>
      <c r="BZ136" s="313">
        <f t="shared" si="218"/>
        <v>0</v>
      </c>
      <c r="CA136" s="313">
        <f t="shared" si="218"/>
        <v>0</v>
      </c>
      <c r="CB136" s="313">
        <f t="shared" si="218"/>
        <v>0</v>
      </c>
      <c r="CC136" s="313">
        <f t="shared" si="218"/>
        <v>0</v>
      </c>
      <c r="CD136" s="313">
        <f t="shared" si="218"/>
        <v>0</v>
      </c>
      <c r="CE136" s="313">
        <f t="shared" si="218"/>
        <v>0</v>
      </c>
      <c r="CF136" s="313">
        <f t="shared" si="218"/>
        <v>0</v>
      </c>
      <c r="CG136" s="313">
        <f t="shared" si="218"/>
        <v>0</v>
      </c>
      <c r="CH136" s="313">
        <f t="shared" si="218"/>
        <v>0</v>
      </c>
      <c r="CI136" s="313">
        <f t="shared" si="218"/>
        <v>0</v>
      </c>
      <c r="CJ136" s="313">
        <f t="shared" si="218"/>
        <v>0</v>
      </c>
      <c r="CK136" s="313">
        <f t="shared" si="218"/>
        <v>0</v>
      </c>
      <c r="CL136" s="313">
        <f t="shared" si="218"/>
        <v>0</v>
      </c>
      <c r="CM136" s="313">
        <f t="shared" si="218"/>
        <v>0</v>
      </c>
      <c r="CN136" s="313">
        <f t="shared" si="218"/>
        <v>0</v>
      </c>
      <c r="CO136" s="313">
        <f t="shared" si="218"/>
        <v>0</v>
      </c>
      <c r="CP136" s="313">
        <f t="shared" si="218"/>
        <v>0</v>
      </c>
      <c r="CQ136" s="313">
        <f t="shared" si="218"/>
        <v>0</v>
      </c>
      <c r="CR136" s="313">
        <f t="shared" si="218"/>
        <v>0</v>
      </c>
      <c r="CS136" s="313">
        <f t="shared" si="218"/>
        <v>0</v>
      </c>
      <c r="CT136" s="313">
        <f t="shared" si="218"/>
        <v>0</v>
      </c>
      <c r="CU136" s="313">
        <f t="shared" si="218"/>
        <v>0</v>
      </c>
      <c r="CV136" s="313">
        <f t="shared" si="218"/>
        <v>0</v>
      </c>
      <c r="CW136" s="313">
        <f t="shared" si="218"/>
        <v>0</v>
      </c>
      <c r="CX136" s="313" t="n">
        <f t="shared" ref="CX136:DV136" si="219">CX$116+CX$120-CX$124-CX$125-CX$126-CX$127-CX$128</f>
        <v>0</v>
      </c>
      <c r="CY136" s="313">
        <f t="shared" si="219"/>
        <v>0</v>
      </c>
      <c r="CZ136" s="313">
        <f t="shared" si="219"/>
        <v>0</v>
      </c>
      <c r="DA136" s="313">
        <f t="shared" si="219"/>
        <v>0</v>
      </c>
      <c r="DB136" s="313">
        <f t="shared" si="219"/>
        <v>0</v>
      </c>
      <c r="DC136" s="313">
        <f t="shared" si="219"/>
        <v>0</v>
      </c>
      <c r="DD136" s="313">
        <f t="shared" si="219"/>
        <v>0</v>
      </c>
      <c r="DE136" s="313">
        <f t="shared" si="219"/>
        <v>0</v>
      </c>
      <c r="DF136" s="313">
        <f t="shared" si="219"/>
        <v>0</v>
      </c>
      <c r="DG136" s="313">
        <f t="shared" si="219"/>
        <v>0</v>
      </c>
      <c r="DH136" s="313">
        <f t="shared" si="219"/>
        <v>0</v>
      </c>
      <c r="DI136" s="313">
        <f t="shared" si="219"/>
        <v>0</v>
      </c>
      <c r="DJ136" s="313">
        <f t="shared" si="219"/>
        <v>0</v>
      </c>
      <c r="DK136" s="313">
        <f t="shared" si="219"/>
        <v>0</v>
      </c>
      <c r="DL136" s="313">
        <f t="shared" si="219"/>
        <v>0</v>
      </c>
      <c r="DM136" s="313">
        <f t="shared" si="219"/>
        <v>0</v>
      </c>
      <c r="DN136" s="313">
        <f t="shared" si="219"/>
        <v>0</v>
      </c>
      <c r="DO136" s="313">
        <f t="shared" si="219"/>
        <v>0</v>
      </c>
      <c r="DP136" s="313">
        <f t="shared" si="219"/>
        <v>0</v>
      </c>
      <c r="DQ136" s="313">
        <f t="shared" si="219"/>
        <v>0</v>
      </c>
      <c r="DR136" s="313">
        <f t="shared" si="219"/>
        <v>0</v>
      </c>
      <c r="DS136" s="313">
        <f t="shared" si="219"/>
        <v>0</v>
      </c>
      <c r="DT136" s="313">
        <f t="shared" si="219"/>
        <v>0</v>
      </c>
      <c r="DU136" s="313">
        <f t="shared" si="219"/>
        <v>0</v>
      </c>
      <c r="DV136" s="313">
        <f t="shared" si="219"/>
        <v>0</v>
      </c>
    </row>
    <row r="138" ht="21" customHeight="1">
      <c r="A138" s="704" t="s">
        <v>1556</v>
      </c>
      <c r="B138" s="699"/>
      <c r="C138" s="699"/>
      <c r="D138" s="699"/>
      <c r="E138" s="699"/>
      <c r="F138" s="699"/>
      <c r="G138" s="699"/>
      <c r="H138" s="699"/>
      <c r="I138" s="699"/>
      <c r="J138" s="699"/>
      <c r="K138" s="699"/>
      <c r="L138" s="699"/>
      <c r="M138" s="699"/>
      <c r="N138" s="699"/>
      <c r="O138" s="699"/>
      <c r="P138" s="699"/>
      <c r="Q138" s="699"/>
      <c r="R138" s="699"/>
      <c r="S138" s="699"/>
      <c r="T138" s="699"/>
      <c r="U138" s="699"/>
      <c r="V138" s="699"/>
      <c r="W138" s="699"/>
      <c r="X138" s="699"/>
      <c r="Y138" s="699"/>
      <c r="Z138" s="699"/>
      <c r="AA138" s="699"/>
      <c r="AB138" s="699"/>
      <c r="AC138" s="699"/>
      <c r="AD138" s="699"/>
      <c r="AE138" s="699"/>
      <c r="AF138" s="699"/>
      <c r="AG138" s="699"/>
      <c r="AH138" s="699"/>
      <c r="AI138" s="699"/>
      <c r="AJ138" s="699"/>
      <c r="AK138" s="699"/>
      <c r="AL138" s="699"/>
      <c r="AM138" s="699"/>
      <c r="AN138" s="699"/>
      <c r="AO138" s="699"/>
      <c r="AP138" s="699"/>
      <c r="AQ138" s="699"/>
      <c r="AR138" s="699"/>
      <c r="AS138" s="699"/>
      <c r="AT138" s="699"/>
      <c r="AU138" s="699"/>
      <c r="AV138" s="699"/>
      <c r="AW138" s="699"/>
      <c r="AX138" s="699"/>
      <c r="AY138" s="699"/>
      <c r="AZ138" s="699"/>
      <c r="BA138" s="699"/>
      <c r="BB138" s="699"/>
      <c r="BC138" s="699"/>
      <c r="BD138" s="699"/>
      <c r="BE138" s="699"/>
      <c r="BF138" s="699"/>
      <c r="BG138" s="699"/>
      <c r="BH138" s="699"/>
      <c r="BI138" s="699"/>
      <c r="BJ138" s="699"/>
      <c r="BK138" s="699"/>
      <c r="BL138" s="699"/>
      <c r="BM138" s="699"/>
      <c r="BN138" s="699"/>
      <c r="BO138" s="699"/>
      <c r="BP138" s="699"/>
      <c r="BQ138" s="699"/>
      <c r="BR138" s="699"/>
      <c r="BS138" s="699"/>
      <c r="BT138" s="699"/>
      <c r="BU138" s="699"/>
      <c r="BV138" s="699"/>
      <c r="BW138" s="699"/>
      <c r="BX138" s="699"/>
      <c r="BY138" s="699"/>
      <c r="BZ138" s="699"/>
      <c r="CA138" s="699"/>
      <c r="CB138" s="699"/>
      <c r="CC138" s="699"/>
      <c r="CD138" s="699"/>
      <c r="CE138" s="699"/>
      <c r="CF138" s="699"/>
      <c r="CG138" s="699"/>
      <c r="CH138" s="699"/>
      <c r="CI138" s="699"/>
      <c r="CJ138" s="699"/>
      <c r="CK138" s="699"/>
      <c r="CL138" s="699"/>
      <c r="CM138" s="699"/>
      <c r="CN138" s="699"/>
      <c r="CO138" s="699"/>
      <c r="CP138" s="699"/>
      <c r="CQ138" s="699"/>
      <c r="CR138" s="699"/>
      <c r="CS138" s="699"/>
      <c r="CT138" s="699"/>
      <c r="CU138" s="699"/>
      <c r="CV138" s="699"/>
      <c r="CW138" s="699"/>
      <c r="CX138" s="699"/>
      <c r="CY138" s="699"/>
      <c r="CZ138" s="699"/>
      <c r="DA138" s="699"/>
      <c r="DB138" s="699"/>
      <c r="DC138" s="699"/>
      <c r="DD138" s="699"/>
      <c r="DE138" s="699"/>
      <c r="DF138" s="699"/>
      <c r="DG138" s="699"/>
      <c r="DH138" s="699"/>
      <c r="DI138" s="699"/>
      <c r="DJ138" s="699"/>
      <c r="DK138" s="699"/>
      <c r="DL138" s="699"/>
      <c r="DM138" s="699"/>
      <c r="DN138" s="699"/>
      <c r="DO138" s="699"/>
      <c r="DP138" s="699"/>
      <c r="DQ138" s="699"/>
      <c r="DR138" s="699"/>
      <c r="DS138" s="699"/>
      <c r="DT138" s="699"/>
      <c r="DU138" s="699"/>
      <c r="DV138" s="699"/>
    </row>
    <row r="139" ht="15" customHeight="1">
      <c r="A139" s="311" t="s">
        <v>1557</v>
      </c>
      <c r="B139" s="312" t="s">
        <v>1321</v>
      </c>
      <c r="C139" s="702" t="s">
        <v>1558</v>
      </c>
      <c r="D139" s="703"/>
      <c r="F139" s="313" t="n">
        <f>MAX(0,Underwriting!$L$130)*INDEX($N$31:$N$33,MATCH($B$6,$J$31:$J$33,0))*INDEX($P$31:$P$33,MATCH($B$6,$J$31:$J$33,0))</f>
        <v>2042.483660130719</v>
      </c>
      <c r="G139" s="313" t="n">
        <f>MAX(0,Underwriting!$M$130)*INDEX($N$31:$N$33,MATCH($B$6,$J$31:$J$33,0))*INDEX($P$31:$P$33,MATCH($B$6,$J$31:$J$33,0))</f>
        <v>0</v>
      </c>
      <c r="H139" s="313" t="n">
        <f>MAX(0,Underwriting!$N$130)*INDEX($N$31:$N$33,MATCH($B$6,$J$31:$J$33,0))*INDEX($P$31:$P$33,MATCH($B$6,$J$31:$J$33,0))</f>
        <v>0</v>
      </c>
      <c r="I139" s="313" t="n">
        <f>MAX(0,Underwriting!$O$130)*INDEX($N$31:$N$33,MATCH($B$6,$J$31:$J$33,0))*INDEX($P$31:$P$33,MATCH($B$6,$J$31:$J$33,0))</f>
        <v>0</v>
      </c>
      <c r="J139" s="313" t="n">
        <f>MAX(0,Underwriting!$P$130)*INDEX($N$31:$N$33,MATCH($B$6,$J$31:$J$33,0))*INDEX($P$31:$P$33,MATCH($B$6,$J$31:$J$33,0))</f>
        <v>0</v>
      </c>
      <c r="K139" s="313" t="n">
        <f>MAX(0,Underwriting!$Q$130)*INDEX($N$31:$N$33,MATCH($B$6,$J$31:$J$33,0))*INDEX($P$31:$P$33,MATCH($B$6,$J$31:$J$33,0))</f>
        <v>0</v>
      </c>
      <c r="L139" s="313" t="n">
        <f>MAX(0,Underwriting!$R$130)*INDEX($N$31:$N$33,MATCH($B$6,$J$31:$J$33,0))*INDEX($P$31:$P$33,MATCH($B$6,$J$31:$J$33,0))</f>
        <v>0</v>
      </c>
      <c r="M139" s="313" t="n">
        <f>MAX(0,Underwriting!$S$130)*INDEX($N$31:$N$33,MATCH($B$6,$J$31:$J$33,0))*INDEX($P$31:$P$33,MATCH($B$6,$J$31:$J$33,0))</f>
        <v>700145.9419782542</v>
      </c>
      <c r="N139" s="313" t="n">
        <f>MAX(0,Underwriting!$T$130)*INDEX($N$31:$N$33,MATCH($B$6,$J$31:$J$33,0))*INDEX($P$31:$P$33,MATCH($B$6,$J$31:$J$33,0))</f>
        <v>700145.9419782542</v>
      </c>
      <c r="O139" s="313" t="n">
        <f>MAX(0,Underwriting!$U$130)*INDEX($N$31:$N$33,MATCH($B$6,$J$31:$J$33,0))*INDEX($P$31:$P$33,MATCH($B$6,$J$31:$J$33,0))</f>
        <v>700145.9419782542</v>
      </c>
      <c r="P139" s="313" t="n">
        <f>MAX(0,Underwriting!$V$130)*INDEX($N$31:$N$33,MATCH($B$6,$J$31:$J$33,0))*INDEX($P$31:$P$33,MATCH($B$6,$J$31:$J$33,0))</f>
        <v>700145.9419782542</v>
      </c>
      <c r="Q139" s="313" t="n">
        <f>MAX(0,Underwriting!$W$130)*INDEX($N$31:$N$33,MATCH($B$6,$J$31:$J$33,0))*INDEX($P$31:$P$33,MATCH($B$6,$J$31:$J$33,0))</f>
        <v>700145.9419782542</v>
      </c>
      <c r="R139" s="313" t="n">
        <f>MAX(0,Underwriting!$X$130)*INDEX($N$31:$N$33,MATCH($B$6,$J$31:$J$33,0))*INDEX($P$31:$P$33,MATCH($B$6,$J$31:$J$33,0))</f>
        <v>700145.9419782542</v>
      </c>
      <c r="S139" s="313" t="n">
        <f>MAX(0,Underwriting!$Y$130)*INDEX($N$31:$N$33,MATCH($B$6,$J$31:$J$33,0))*INDEX($P$31:$P$33,MATCH($B$6,$J$31:$J$33,0))</f>
        <v>700145.9419782542</v>
      </c>
      <c r="T139" s="313" t="n">
        <f>MAX(0,Underwriting!$Z$130)*INDEX($N$31:$N$33,MATCH($B$6,$J$31:$J$33,0))*INDEX($P$31:$P$33,MATCH($B$6,$J$31:$J$33,0))</f>
        <v>700145.9419782542</v>
      </c>
      <c r="U139" s="313" t="n">
        <f>MAX(0,Underwriting!$AA$130)*INDEX($N$31:$N$33,MATCH($B$6,$J$31:$J$33,0))*INDEX($P$31:$P$33,MATCH($B$6,$J$31:$J$33,0))</f>
        <v>700145.9419782542</v>
      </c>
      <c r="V139" s="313" t="n">
        <f>MAX(0,Underwriting!$AB$130)*INDEX($N$31:$N$33,MATCH($B$6,$J$31:$J$33,0))*INDEX($P$31:$P$33,MATCH($B$6,$J$31:$J$33,0))</f>
        <v>700145.9419782542</v>
      </c>
      <c r="W139" s="313" t="n">
        <f>MAX(0,Underwriting!$AC$130)*INDEX($N$31:$N$33,MATCH($B$6,$J$31:$J$33,0))*INDEX($P$31:$P$33,MATCH($B$6,$J$31:$J$33,0))</f>
        <v>700145.9419782542</v>
      </c>
      <c r="X139" s="313" t="n">
        <f>MAX(0,Underwriting!$AD$130)*INDEX($N$31:$N$33,MATCH($B$6,$J$31:$J$33,0))*INDEX($P$31:$P$33,MATCH($B$6,$J$31:$J$33,0))</f>
        <v>700145.9419782542</v>
      </c>
      <c r="Y139" s="313" t="n">
        <f>MAX(0,Underwriting!$AE$130)*INDEX($N$31:$N$33,MATCH($B$6,$J$31:$J$33,0))*INDEX($P$31:$P$33,MATCH($B$6,$J$31:$J$33,0))</f>
        <v>3756155.729140019</v>
      </c>
      <c r="Z139" s="313" t="n">
        <f>MAX(0,Underwriting!$AF$130)*INDEX($N$31:$N$33,MATCH($B$6,$J$31:$J$33,0))*INDEX($P$31:$P$33,MATCH($B$6,$J$31:$J$33,0))</f>
        <v>3756155.729140019</v>
      </c>
      <c r="AA139" s="313" t="n">
        <f>MAX(0,Underwriting!$AG$130)*INDEX($N$31:$N$33,MATCH($B$6,$J$31:$J$33,0))*INDEX($P$31:$P$33,MATCH($B$6,$J$31:$J$33,0))</f>
        <v>3756155.729140019</v>
      </c>
      <c r="AB139" s="313" t="n">
        <f>MAX(0,Underwriting!$AH$130)*INDEX($N$31:$N$33,MATCH($B$6,$J$31:$J$33,0))*INDEX($P$31:$P$33,MATCH($B$6,$J$31:$J$33,0))</f>
        <v>4544918.029351614</v>
      </c>
      <c r="AC139" s="313" t="n">
        <f>MAX(0,Underwriting!$AI$130)*INDEX($N$31:$N$33,MATCH($B$6,$J$31:$J$33,0))*INDEX($P$31:$P$33,MATCH($B$6,$J$31:$J$33,0))</f>
        <v>4544918.029351614</v>
      </c>
      <c r="AD139" s="313" t="n">
        <f>MAX(0,Underwriting!$AJ$130)*INDEX($N$31:$N$33,MATCH($B$6,$J$31:$J$33,0))*INDEX($P$31:$P$33,MATCH($B$6,$J$31:$J$33,0))</f>
        <v>4544918.029351614</v>
      </c>
      <c r="AE139" s="313" t="n">
        <f>MAX(0,Underwriting!$AK$130)*INDEX($N$31:$N$33,MATCH($B$6,$J$31:$J$33,0))*INDEX($P$31:$P$33,MATCH($B$6,$J$31:$J$33,0))</f>
        <v>4850446.755969007</v>
      </c>
      <c r="AF139" s="313" t="n">
        <f>MAX(0,Underwriting!$AL$130)*INDEX($N$31:$N$33,MATCH($B$6,$J$31:$J$33,0))*INDEX($P$31:$P$33,MATCH($B$6,$J$31:$J$33,0))</f>
        <v>4850446.755969007</v>
      </c>
      <c r="AG139" s="313" t="n">
        <f>MAX(0,Underwriting!$AM$130)*INDEX($N$31:$N$33,MATCH($B$6,$J$31:$J$33,0))*INDEX($P$31:$P$33,MATCH($B$6,$J$31:$J$33,0))</f>
        <v>4850446.755969007</v>
      </c>
      <c r="AH139" s="313" t="n">
        <f>MAX(0,Underwriting!$AN$130)*INDEX($N$31:$N$33,MATCH($B$6,$J$31:$J$33,0))*INDEX($P$31:$P$33,MATCH($B$6,$J$31:$J$33,0))</f>
        <v>5038529.556552486</v>
      </c>
      <c r="AI139" s="313" t="n">
        <f>MAX(0,Underwriting!$AO$130)*INDEX($N$31:$N$33,MATCH($B$6,$J$31:$J$33,0))*INDEX($P$31:$P$33,MATCH($B$6,$J$31:$J$33,0))</f>
        <v>5038529.556552486</v>
      </c>
      <c r="AJ139" s="313" t="n">
        <f>MAX(0,Underwriting!$AP$130)*INDEX($N$31:$N$33,MATCH($B$6,$J$31:$J$33,0))*INDEX($P$31:$P$33,MATCH($B$6,$J$31:$J$33,0))</f>
        <v>5046134.04023146</v>
      </c>
      <c r="AK139" s="313" t="n">
        <f>MAX(0,Underwriting!$AQ$130)*INDEX($N$31:$N$33,MATCH($B$6,$J$31:$J$33,0))*INDEX($P$31:$P$33,MATCH($B$6,$J$31:$J$33,0))</f>
        <v>5599025.478059117</v>
      </c>
      <c r="AL139" s="313" t="n">
        <f>MAX(0,Underwriting!$AR$130)*INDEX($N$31:$N$33,MATCH($B$6,$J$31:$J$33,0))*INDEX($P$31:$P$33,MATCH($B$6,$J$31:$J$33,0))</f>
        <v>5599025.478059117</v>
      </c>
      <c r="AM139" s="313" t="n">
        <f>MAX(0,Underwriting!$AS$130)*INDEX($N$31:$N$33,MATCH($B$6,$J$31:$J$33,0))*INDEX($P$31:$P$33,MATCH($B$6,$J$31:$J$33,0))</f>
        <v>5599025.478059117</v>
      </c>
      <c r="AN139" s="313" t="n">
        <f>MAX(0,Underwriting!$AT$130)*INDEX($N$31:$N$33,MATCH($B$6,$J$31:$J$33,0))*INDEX($P$31:$P$33,MATCH($B$6,$J$31:$J$33,0))</f>
        <v>5724564.6827028</v>
      </c>
      <c r="AO139" s="313" t="n">
        <f>MAX(0,Underwriting!$AU$130)*INDEX($N$31:$N$33,MATCH($B$6,$J$31:$J$33,0))*INDEX($P$31:$P$33,MATCH($B$6,$J$31:$J$33,0))</f>
        <v>5724564.6827028</v>
      </c>
      <c r="AP139" s="313" t="n">
        <f>MAX(0,Underwriting!$AV$130)*INDEX($N$31:$N$33,MATCH($B$6,$J$31:$J$33,0))*INDEX($P$31:$P$33,MATCH($B$6,$J$31:$J$33,0))</f>
        <v>5724564.6827028</v>
      </c>
      <c r="AQ139" s="313" t="n">
        <f>MAX(0,Underwriting!$AW$130)*INDEX($N$31:$N$33,MATCH($B$6,$J$31:$J$33,0))*INDEX($P$31:$P$33,MATCH($B$6,$J$31:$J$33,0))</f>
        <v>5732148.016036134</v>
      </c>
      <c r="AR139" s="313" t="n">
        <f>MAX(0,Underwriting!$AX$130)*INDEX($N$31:$N$33,MATCH($B$6,$J$31:$J$33,0))*INDEX($P$31:$P$33,MATCH($B$6,$J$31:$J$33,0))</f>
        <v>5732148.016036134</v>
      </c>
      <c r="AS139" s="313" t="n">
        <f>MAX(0,Underwriting!$AY$130)*INDEX($N$31:$N$33,MATCH($B$6,$J$31:$J$33,0))*INDEX($P$31:$P$33,MATCH($B$6,$J$31:$J$33,0))</f>
        <v>5732148.016036134</v>
      </c>
      <c r="AT139" s="313" t="n">
        <f>MAX(0,Underwriting!$AZ$130)*INDEX($N$31:$N$33,MATCH($B$6,$J$31:$J$33,0))*INDEX($P$31:$P$33,MATCH($B$6,$J$31:$J$33,0))</f>
        <v>5738467.7920714775</v>
      </c>
      <c r="AU139" s="313" t="n">
        <f>MAX(0,Underwriting!$BA$130)*INDEX($N$31:$N$33,MATCH($B$6,$J$31:$J$33,0))*INDEX($P$31:$P$33,MATCH($B$6,$J$31:$J$33,0))</f>
        <v>5738467.7920714775</v>
      </c>
      <c r="AV139" s="313" t="n">
        <f>MAX(0,Underwriting!$BB$130)*INDEX($N$31:$N$33,MATCH($B$6,$J$31:$J$33,0))*INDEX($P$31:$P$33,MATCH($B$6,$J$31:$J$33,0))</f>
        <v>5738467.7920714775</v>
      </c>
      <c r="AW139" s="313" t="n">
        <f>MAX(0,Underwriting!$BC$130)*INDEX($N$31:$N$33,MATCH($B$6,$J$31:$J$33,0))*INDEX($P$31:$P$33,MATCH($B$6,$J$31:$J$33,0))</f>
        <v>5908617.646416153</v>
      </c>
      <c r="AX139" s="313" t="n">
        <f>MAX(0,Underwriting!$BD$130)*INDEX($N$31:$N$33,MATCH($B$6,$J$31:$J$33,0))*INDEX($P$31:$P$33,MATCH($B$6,$J$31:$J$33,0))</f>
        <v>5908617.646416153</v>
      </c>
      <c r="AY139" s="313" t="n">
        <f>MAX(0,Underwriting!$BE$130)*INDEX($N$31:$N$33,MATCH($B$6,$J$31:$J$33,0))*INDEX($P$31:$P$33,MATCH($B$6,$J$31:$J$33,0))</f>
        <v>5908617.646416153</v>
      </c>
      <c r="AZ139" s="313" t="n">
        <f>MAX(0,Underwriting!$BF$130)*INDEX($N$31:$N$33,MATCH($B$6,$J$31:$J$33,0))*INDEX($P$31:$P$33,MATCH($B$6,$J$31:$J$33,0))</f>
        <v>5937758.06308282</v>
      </c>
      <c r="BA139" s="313" t="n">
        <f>MAX(0,Underwriting!$BG$130)*INDEX($N$31:$N$33,MATCH($B$6,$J$31:$J$33,0))*INDEX($P$31:$P$33,MATCH($B$6,$J$31:$J$33,0))</f>
        <v>5937758.06308282</v>
      </c>
      <c r="BB139" s="313" t="n">
        <f>MAX(0,Underwriting!$BH$130)*INDEX($N$31:$N$33,MATCH($B$6,$J$31:$J$33,0))*INDEX($P$31:$P$33,MATCH($B$6,$J$31:$J$33,0))</f>
        <v>5937758.06308282</v>
      </c>
      <c r="BC139" s="313" t="n">
        <f>MAX(0,Underwriting!$BI$130)*INDEX($N$31:$N$33,MATCH($B$6,$J$31:$J$33,0))*INDEX($P$31:$P$33,MATCH($B$6,$J$31:$J$33,0))</f>
        <v>5945606.81308282</v>
      </c>
      <c r="BD139" s="313" t="n">
        <f>MAX(0,Underwriting!$BJ$130)*INDEX($N$31:$N$33,MATCH($B$6,$J$31:$J$33,0))*INDEX($P$31:$P$33,MATCH($B$6,$J$31:$J$33,0))</f>
        <v>5945606.81308282</v>
      </c>
      <c r="BE139" s="313" t="n">
        <f>MAX(0,Underwriting!$BK$130)*INDEX($N$31:$N$33,MATCH($B$6,$J$31:$J$33,0))*INDEX($P$31:$P$33,MATCH($B$6,$J$31:$J$33,0))</f>
        <v>5945606.81308282</v>
      </c>
      <c r="BF139" s="313" t="n">
        <f>MAX(0,Underwriting!$BL$130)*INDEX($N$31:$N$33,MATCH($B$6,$J$31:$J$33,0))*INDEX($P$31:$P$33,MATCH($B$6,$J$31:$J$33,0))</f>
        <v>5951916.00058282</v>
      </c>
      <c r="BG139" s="313" t="n">
        <f>MAX(0,Underwriting!$BM$130)*INDEX($N$31:$N$33,MATCH($B$6,$J$31:$J$33,0))*INDEX($P$31:$P$33,MATCH($B$6,$J$31:$J$33,0))</f>
        <v>5951916.00058282</v>
      </c>
      <c r="BH139" s="313" t="n">
        <f>MAX(0,Underwriting!$BN$130)*INDEX($N$31:$N$33,MATCH($B$6,$J$31:$J$33,0))*INDEX($P$31:$P$33,MATCH($B$6,$J$31:$J$33,0))</f>
        <v>5951916.00058282</v>
      </c>
      <c r="BI139" s="313" t="n">
        <f>MAX(0,Underwriting!$BO$130)*INDEX($N$31:$N$33,MATCH($B$6,$J$31:$J$33,0))*INDEX($P$31:$P$33,MATCH($B$6,$J$31:$J$33,0))</f>
        <v>6105951.438463997</v>
      </c>
      <c r="BJ139" s="313" t="n">
        <f>MAX(0,Underwriting!$BP$130)*INDEX($N$31:$N$33,MATCH($B$6,$J$31:$J$33,0))*INDEX($P$31:$P$33,MATCH($B$6,$J$31:$J$33,0))</f>
        <v>6105951.438463997</v>
      </c>
      <c r="BK139" s="313" t="n">
        <f>MAX(0,Underwriting!$BQ$130)*INDEX($N$31:$N$33,MATCH($B$6,$J$31:$J$33,0))*INDEX($P$31:$P$33,MATCH($B$6,$J$31:$J$33,0))</f>
        <v>6105951.438463997</v>
      </c>
      <c r="BL139" s="313" t="n">
        <f>MAX(0,Underwriting!$BR$130)*INDEX($N$31:$N$33,MATCH($B$6,$J$31:$J$33,0))*INDEX($P$31:$P$33,MATCH($B$6,$J$31:$J$33,0))</f>
        <v>6136111.769713997</v>
      </c>
      <c r="BM139" s="313" t="n">
        <f>MAX(0,Underwriting!$BS$130)*INDEX($N$31:$N$33,MATCH($B$6,$J$31:$J$33,0))*INDEX($P$31:$P$33,MATCH($B$6,$J$31:$J$33,0))</f>
        <v>6136111.769713997</v>
      </c>
      <c r="BN139" s="313" t="n">
        <f>MAX(0,Underwriting!$BT$130)*INDEX($N$31:$N$33,MATCH($B$6,$J$31:$J$33,0))*INDEX($P$31:$P$33,MATCH($B$6,$J$31:$J$33,0))</f>
        <v>6136111.769713997</v>
      </c>
      <c r="BO139" s="313" t="n">
        <f>MAX(0,Underwriting!$BU$130)*INDEX($N$31:$N$33,MATCH($B$6,$J$31:$J$33,0))*INDEX($P$31:$P$33,MATCH($B$6,$J$31:$J$33,0))</f>
        <v>6144235.225963997</v>
      </c>
      <c r="BP139" s="313" t="n">
        <f>MAX(0,Underwriting!$BV$130)*INDEX($N$31:$N$33,MATCH($B$6,$J$31:$J$33,0))*INDEX($P$31:$P$33,MATCH($B$6,$J$31:$J$33,0))</f>
        <v>6144235.225963997</v>
      </c>
      <c r="BQ139" s="313" t="n">
        <f>MAX(0,Underwriting!$BW$130)*INDEX($N$31:$N$33,MATCH($B$6,$J$31:$J$33,0))*INDEX($P$31:$P$33,MATCH($B$6,$J$31:$J$33,0))</f>
        <v>6144235.225963997</v>
      </c>
      <c r="BR139" s="313" t="n">
        <f>MAX(0,Underwriting!$BX$130)*INDEX($N$31:$N$33,MATCH($B$6,$J$31:$J$33,0))*INDEX($P$31:$P$33,MATCH($B$6,$J$31:$J$33,0))</f>
        <v>6150765.235026497</v>
      </c>
      <c r="BS139" s="313" t="n">
        <f>MAX(0,Underwriting!$BY$130)*INDEX($N$31:$N$33,MATCH($B$6,$J$31:$J$33,0))*INDEX($P$31:$P$33,MATCH($B$6,$J$31:$J$33,0))</f>
        <v>6150765.235026497</v>
      </c>
      <c r="BT139" s="313" t="n">
        <f>MAX(0,Underwriting!$BZ$130)*INDEX($N$31:$N$33,MATCH($B$6,$J$31:$J$33,0))*INDEX($P$31:$P$33,MATCH($B$6,$J$31:$J$33,0))</f>
        <v>6150765.235026497</v>
      </c>
      <c r="BU139" s="313" t="n">
        <f>MAX(0,Underwriting!$CA$130)*INDEX($N$31:$N$33,MATCH($B$6,$J$31:$J$33,0))*INDEX($P$31:$P$33,MATCH($B$6,$J$31:$J$33,0))</f>
        <v>6306916.922973928</v>
      </c>
      <c r="BV139" s="313" t="n">
        <f>MAX(0,Underwriting!$CB$130)*INDEX($N$31:$N$33,MATCH($B$6,$J$31:$J$33,0))*INDEX($P$31:$P$33,MATCH($B$6,$J$31:$J$33,0))</f>
        <v>6306916.922973928</v>
      </c>
      <c r="BW139" s="313" t="n">
        <f>MAX(0,Underwriting!$CC$130)*INDEX($N$31:$N$33,MATCH($B$6,$J$31:$J$33,0))*INDEX($P$31:$P$33,MATCH($B$6,$J$31:$J$33,0))</f>
        <v>6306916.922973928</v>
      </c>
      <c r="BX139" s="313" t="n">
        <f>MAX(0,Underwriting!$CD$130)*INDEX($N$31:$N$33,MATCH($B$6,$J$31:$J$33,0))*INDEX($P$31:$P$33,MATCH($B$6,$J$31:$J$33,0))</f>
        <v>6338132.865817678</v>
      </c>
      <c r="BY139" s="313" t="n">
        <f>MAX(0,Underwriting!$CE$130)*INDEX($N$31:$N$33,MATCH($B$6,$J$31:$J$33,0))*INDEX($P$31:$P$33,MATCH($B$6,$J$31:$J$33,0))</f>
        <v>6338132.865817678</v>
      </c>
      <c r="BZ139" s="313" t="n">
        <f>MAX(0,Underwriting!$CF$130)*INDEX($N$31:$N$33,MATCH($B$6,$J$31:$J$33,0))*INDEX($P$31:$P$33,MATCH($B$6,$J$31:$J$33,0))</f>
        <v>6338132.865817678</v>
      </c>
      <c r="CA139" s="313" t="n">
        <f>MAX(0,Underwriting!$CG$130)*INDEX($N$31:$N$33,MATCH($B$6,$J$31:$J$33,0))*INDEX($P$31:$P$33,MATCH($B$6,$J$31:$J$33,0))</f>
        <v>6346540.643036428</v>
      </c>
      <c r="CB139" s="313" t="n">
        <f>MAX(0,Underwriting!$CH$130)*INDEX($N$31:$N$33,MATCH($B$6,$J$31:$J$33,0))*INDEX($P$31:$P$33,MATCH($B$6,$J$31:$J$33,0))</f>
        <v>6346540.643036428</v>
      </c>
      <c r="CC139" s="313" t="n">
        <f>MAX(0,Underwriting!$CI$130)*INDEX($N$31:$N$33,MATCH($B$6,$J$31:$J$33,0))*INDEX($P$31:$P$33,MATCH($B$6,$J$31:$J$33,0))</f>
        <v>6346540.643036428</v>
      </c>
      <c r="CD139" s="313" t="n">
        <f>MAX(0,Underwriting!$CJ$130)*INDEX($N$31:$N$33,MATCH($B$6,$J$31:$J$33,0))*INDEX($P$31:$P$33,MATCH($B$6,$J$31:$J$33,0))</f>
        <v>6353299.202416115</v>
      </c>
      <c r="CE139" s="313" t="n">
        <f>MAX(0,Underwriting!$CK$130)*INDEX($N$31:$N$33,MATCH($B$6,$J$31:$J$33,0))*INDEX($P$31:$P$33,MATCH($B$6,$J$31:$J$33,0))</f>
        <v>6353299.202416115</v>
      </c>
      <c r="CF139" s="313" t="n">
        <f>MAX(0,Underwriting!$CL$130)*INDEX($N$31:$N$33,MATCH($B$6,$J$31:$J$33,0))*INDEX($P$31:$P$33,MATCH($B$6,$J$31:$J$33,0))</f>
        <v>6353299.202416115</v>
      </c>
      <c r="CG139" s="313" t="n">
        <f>MAX(0,Underwriting!$CM$130)*INDEX($N$31:$N$33,MATCH($B$6,$J$31:$J$33,0))*INDEX($P$31:$P$33,MATCH($B$6,$J$31:$J$33,0))</f>
        <v>6249736.794229507</v>
      </c>
      <c r="CH139" s="313" t="n">
        <f>MAX(0,Underwriting!$CN$130)*INDEX($N$31:$N$33,MATCH($B$6,$J$31:$J$33,0))*INDEX($P$31:$P$33,MATCH($B$6,$J$31:$J$33,0))</f>
        <v>6249736.794229507</v>
      </c>
      <c r="CI139" s="313" t="n">
        <f>MAX(0,Underwriting!$CO$130)*INDEX($N$31:$N$33,MATCH($B$6,$J$31:$J$33,0))*INDEX($P$31:$P$33,MATCH($B$6,$J$31:$J$33,0))</f>
        <v>6249736.794229507</v>
      </c>
      <c r="CJ139" s="313" t="n">
        <f>MAX(0,Underwriting!$CP$130)*INDEX($N$31:$N$33,MATCH($B$6,$J$31:$J$33,0))*INDEX($P$31:$P$33,MATCH($B$6,$J$31:$J$33,0))</f>
        <v>6282045.295072788</v>
      </c>
      <c r="CK139" s="313" t="n">
        <f>MAX(0,Underwriting!$CQ$130)*INDEX($N$31:$N$33,MATCH($B$6,$J$31:$J$33,0))*INDEX($P$31:$P$33,MATCH($B$6,$J$31:$J$33,0))</f>
        <v>6282045.295072788</v>
      </c>
      <c r="CL139" s="313" t="n">
        <f>MAX(0,Underwriting!$CR$130)*INDEX($N$31:$N$33,MATCH($B$6,$J$31:$J$33,0))*INDEX($P$31:$P$33,MATCH($B$6,$J$31:$J$33,0))</f>
        <v>6282045.295072788</v>
      </c>
      <c r="CM139" s="313" t="n">
        <f>MAX(0,Underwriting!$CS$130)*INDEX($N$31:$N$33,MATCH($B$6,$J$31:$J$33,0))*INDEX($P$31:$P$33,MATCH($B$6,$J$31:$J$33,0))</f>
        <v>6290747.344494194</v>
      </c>
      <c r="CN139" s="313" t="n">
        <f>MAX(0,Underwriting!$CT$130)*INDEX($N$31:$N$33,MATCH($B$6,$J$31:$J$33,0))*INDEX($P$31:$P$33,MATCH($B$6,$J$31:$J$33,0))</f>
        <v>6290747.344494194</v>
      </c>
      <c r="CO139" s="313" t="n">
        <f>MAX(0,Underwriting!$CU$130)*INDEX($N$31:$N$33,MATCH($B$6,$J$31:$J$33,0))*INDEX($P$31:$P$33,MATCH($B$6,$J$31:$J$33,0))</f>
        <v>6290747.344494194</v>
      </c>
      <c r="CP139" s="313" t="n">
        <f>MAX(0,Underwriting!$CV$130)*INDEX($N$31:$N$33,MATCH($B$6,$J$31:$J$33,0))*INDEX($P$31:$P$33,MATCH($B$6,$J$31:$J$33,0))</f>
        <v>6297742.453452171</v>
      </c>
      <c r="CQ139" s="313" t="n">
        <f>MAX(0,Underwriting!$CW$130)*INDEX($N$31:$N$33,MATCH($B$6,$J$31:$J$33,0))*INDEX($P$31:$P$33,MATCH($B$6,$J$31:$J$33,0))</f>
        <v>6297742.453452171</v>
      </c>
      <c r="CR139" s="313" t="n">
        <f>MAX(0,Underwriting!$CX$130)*INDEX($N$31:$N$33,MATCH($B$6,$J$31:$J$33,0))*INDEX($P$31:$P$33,MATCH($B$6,$J$31:$J$33,0))</f>
        <v>6297742.453452171</v>
      </c>
      <c r="CS139" s="313" t="n">
        <f>MAX(0,Underwriting!$CY$130)*INDEX($N$31:$N$33,MATCH($B$6,$J$31:$J$33,0))*INDEX($P$31:$P$33,MATCH($B$6,$J$31:$J$33,0))</f>
        <v>6460126.842875655</v>
      </c>
      <c r="CT139" s="313" t="n">
        <f>MAX(0,Underwriting!$CZ$130)*INDEX($N$31:$N$33,MATCH($B$6,$J$31:$J$33,0))*INDEX($P$31:$P$33,MATCH($B$6,$J$31:$J$33,0))</f>
        <v>6460126.842875655</v>
      </c>
      <c r="CU139" s="313" t="n">
        <f>MAX(0,Underwriting!$DA$130)*INDEX($N$31:$N$33,MATCH($B$6,$J$31:$J$33,0))*INDEX($P$31:$P$33,MATCH($B$6,$J$31:$J$33,0))</f>
        <v>6460126.842875655</v>
      </c>
      <c r="CV139" s="313" t="n">
        <f>MAX(0,Underwriting!$DB$130)*INDEX($N$31:$N$33,MATCH($B$6,$J$31:$J$33,0))*INDEX($P$31:$P$33,MATCH($B$6,$J$31:$J$33,0))</f>
        <v>6493566.141248451</v>
      </c>
      <c r="CW139" s="313" t="n">
        <f>MAX(0,Underwriting!$DC$130)*INDEX($N$31:$N$33,MATCH($B$6,$J$31:$J$33,0))*INDEX($P$31:$P$33,MATCH($B$6,$J$31:$J$33,0))</f>
        <v>6493566.141248451</v>
      </c>
      <c r="CX139" s="313" t="n">
        <f>MAX(0,Underwriting!$DD$130)*INDEX($N$31:$N$33,MATCH($B$6,$J$31:$J$33,0))*INDEX($P$31:$P$33,MATCH($B$6,$J$31:$J$33,0))</f>
        <v>6493566.141248451</v>
      </c>
      <c r="CY139" s="313" t="n">
        <f>MAX(0,Underwriting!$DE$130)*INDEX($N$31:$N$33,MATCH($B$6,$J$31:$J$33,0))*INDEX($P$31:$P$33,MATCH($B$6,$J$31:$J$33,0))</f>
        <v>6502572.762399606</v>
      </c>
      <c r="CZ139" s="313" t="n">
        <f>MAX(0,Underwriting!$DF$130)*INDEX($N$31:$N$33,MATCH($B$6,$J$31:$J$33,0))*INDEX($P$31:$P$33,MATCH($B$6,$J$31:$J$33,0))</f>
        <v>6502572.762399606</v>
      </c>
      <c r="DA139" s="313" t="n">
        <f>MAX(0,Underwriting!$DG$130)*INDEX($N$31:$N$33,MATCH($B$6,$J$31:$J$33,0))*INDEX($P$31:$P$33,MATCH($B$6,$J$31:$J$33,0))</f>
        <v>6502572.762399606</v>
      </c>
      <c r="DB139" s="313" t="n">
        <f>MAX(0,Underwriting!$DH$130)*INDEX($N$31:$N$33,MATCH($B$6,$J$31:$J$33,0))*INDEX($P$31:$P$33,MATCH($B$6,$J$31:$J$33,0))</f>
        <v>6509812.700171112</v>
      </c>
      <c r="DC139" s="313" t="n">
        <f>MAX(0,Underwriting!$DI$130)*INDEX($N$31:$N$33,MATCH($B$6,$J$31:$J$33,0))*INDEX($P$31:$P$33,MATCH($B$6,$J$31:$J$33,0))</f>
        <v>6509812.700171112</v>
      </c>
      <c r="DD139" s="313" t="n">
        <f>MAX(0,Underwriting!$DJ$130)*INDEX($N$31:$N$33,MATCH($B$6,$J$31:$J$33,0))*INDEX($P$31:$P$33,MATCH($B$6,$J$31:$J$33,0))</f>
        <v>6509812.700171112</v>
      </c>
      <c r="DE139" s="313" t="n">
        <f>MAX(0,Underwriting!$DK$130)*INDEX($N$31:$N$33,MATCH($B$6,$J$31:$J$33,0))*INDEX($P$31:$P$33,MATCH($B$6,$J$31:$J$33,0))</f>
        <v>6677995.982191074</v>
      </c>
      <c r="DF139" s="313" t="n">
        <f>MAX(0,Underwriting!$DL$130)*INDEX($N$31:$N$33,MATCH($B$6,$J$31:$J$33,0))*INDEX($P$31:$P$33,MATCH($B$6,$J$31:$J$33,0))</f>
        <v>6677995.982191074</v>
      </c>
      <c r="DG139" s="313" t="n">
        <f>MAX(0,Underwriting!$DM$130)*INDEX($N$31:$N$33,MATCH($B$6,$J$31:$J$33,0))*INDEX($P$31:$P$33,MATCH($B$6,$J$31:$J$33,0))</f>
        <v>6677995.982191074</v>
      </c>
      <c r="DH139" s="313" t="n">
        <f>MAX(0,Underwriting!$DN$130)*INDEX($N$31:$N$33,MATCH($B$6,$J$31:$J$33,0))*INDEX($P$31:$P$33,MATCH($B$6,$J$31:$J$33,0))</f>
        <v>6712605.656006917</v>
      </c>
      <c r="DI139" s="313" t="n">
        <f>MAX(0,Underwriting!$DO$130)*INDEX($N$31:$N$33,MATCH($B$6,$J$31:$J$33,0))*INDEX($P$31:$P$33,MATCH($B$6,$J$31:$J$33,0))</f>
        <v>6712605.656006917</v>
      </c>
      <c r="DJ139" s="313" t="n">
        <f>MAX(0,Underwriting!$DP$130)*INDEX($N$31:$N$33,MATCH($B$6,$J$31:$J$33,0))*INDEX($P$31:$P$33,MATCH($B$6,$J$31:$J$33,0))</f>
        <v>6712605.656006917</v>
      </c>
      <c r="DK139" s="313" t="n">
        <f>MAX(0,Underwriting!$DQ$130)*INDEX($N$31:$N$33,MATCH($B$6,$J$31:$J$33,0))*INDEX($P$31:$P$33,MATCH($B$6,$J$31:$J$33,0))</f>
        <v>6721927.508898363</v>
      </c>
      <c r="DL139" s="313" t="n">
        <f>MAX(0,Underwriting!$DR$130)*INDEX($N$31:$N$33,MATCH($B$6,$J$31:$J$33,0))*INDEX($P$31:$P$33,MATCH($B$6,$J$31:$J$33,0))</f>
        <v>6721927.508898363</v>
      </c>
      <c r="DM139" s="313" t="n">
        <f>MAX(0,Underwriting!$DS$130)*INDEX($N$31:$N$33,MATCH($B$6,$J$31:$J$33,0))*INDEX($P$31:$P$33,MATCH($B$6,$J$31:$J$33,0))</f>
        <v>6721927.508898363</v>
      </c>
      <c r="DN139" s="313" t="n">
        <f>MAX(0,Underwriting!$DT$130)*INDEX($N$31:$N$33,MATCH($B$6,$J$31:$J$33,0))*INDEX($P$31:$P$33,MATCH($B$6,$J$31:$J$33,0))</f>
        <v>6729420.844491872</v>
      </c>
      <c r="DO139" s="313" t="n">
        <f>MAX(0,Underwriting!$DU$130)*INDEX($N$31:$N$33,MATCH($B$6,$J$31:$J$33,0))*INDEX($P$31:$P$33,MATCH($B$6,$J$31:$J$33,0))</f>
        <v>6729420.844491872</v>
      </c>
      <c r="DP139" s="313" t="n">
        <f>MAX(0,Underwriting!$DV$130)*INDEX($N$31:$N$33,MATCH($B$6,$J$31:$J$33,0))*INDEX($P$31:$P$33,MATCH($B$6,$J$31:$J$33,0))</f>
        <v>6729420.844491872</v>
      </c>
      <c r="DQ139" s="313" t="n">
        <f>MAX(0,Underwriting!$DW$130)*INDEX($N$31:$N$33,MATCH($B$6,$J$31:$J$33,0))*INDEX($P$31:$P$33,MATCH($B$6,$J$31:$J$33,0))</f>
        <v>6903661.242761696</v>
      </c>
      <c r="DR139" s="313" t="n">
        <f>MAX(0,Underwriting!$DX$130)*INDEX($N$31:$N$33,MATCH($B$6,$J$31:$J$33,0))*INDEX($P$31:$P$33,MATCH($B$6,$J$31:$J$33,0))</f>
        <v>6903661.242761696</v>
      </c>
      <c r="DS139" s="313" t="n">
        <f>MAX(0,Underwriting!$DY$130)*INDEX($N$31:$N$33,MATCH($B$6,$J$31:$J$33,0))*INDEX($P$31:$P$33,MATCH($B$6,$J$31:$J$33,0))</f>
        <v>6903661.242761696</v>
      </c>
      <c r="DT139" s="313" t="n">
        <f>MAX(0,Underwriting!$DZ$130)*INDEX($N$31:$N$33,MATCH($B$6,$J$31:$J$33,0))*INDEX($P$31:$P$33,MATCH($B$6,$J$31:$J$33,0))</f>
        <v>6939482.255161094</v>
      </c>
      <c r="DU139" s="313" t="n">
        <f>MAX(0,Underwriting!$EA$130)*INDEX($N$31:$N$33,MATCH($B$6,$J$31:$J$33,0))*INDEX($P$31:$P$33,MATCH($B$6,$J$31:$J$33,0))</f>
        <v>6939482.255161094</v>
      </c>
      <c r="DV139" s="313" t="n">
        <f>MAX(0,Underwriting!$EB$130)*INDEX($N$31:$N$33,MATCH($B$6,$J$31:$J$33,0))*INDEX($P$31:$P$33,MATCH($B$6,$J$31:$J$33,0))</f>
        <v>6939482.255161094</v>
      </c>
    </row>
    <row r="140" ht="15" customHeight="1">
      <c r="A140" s="311" t="s">
        <v>1559</v>
      </c>
      <c r="B140" s="312" t="s">
        <v>1321</v>
      </c>
      <c r="C140" s="702" t="s">
        <v>1560</v>
      </c>
      <c r="D140" s="703"/>
      <c r="F140" s="313" t="n">
        <f>MAX(0,Underwriting!$L$138)</f>
        <v>0</v>
      </c>
      <c r="G140" s="313" t="n">
        <f>MAX(0,Underwriting!$M$138)</f>
        <v>0</v>
      </c>
      <c r="H140" s="313" t="n">
        <f>MAX(0,Underwriting!$N$138)</f>
        <v>0</v>
      </c>
      <c r="I140" s="313" t="n">
        <f>MAX(0,Underwriting!$O$138)</f>
        <v>0</v>
      </c>
      <c r="J140" s="313" t="n">
        <f>MAX(0,Underwriting!$P$138)</f>
        <v>0</v>
      </c>
      <c r="K140" s="313" t="n">
        <f>MAX(0,Underwriting!$Q$138)</f>
        <v>0</v>
      </c>
      <c r="L140" s="313" t="n">
        <f>MAX(0,Underwriting!$R$138)</f>
        <v>114338.88963590557</v>
      </c>
      <c r="M140" s="313" t="n">
        <f>MAX(0,Underwriting!$S$138)</f>
        <v>114338.88963590557</v>
      </c>
      <c r="N140" s="313" t="n">
        <f>MAX(0,Underwriting!$T$138)</f>
        <v>114338.88963590557</v>
      </c>
      <c r="O140" s="313" t="n">
        <f>MAX(0,Underwriting!$U$138)</f>
        <v>114338.88963590557</v>
      </c>
      <c r="P140" s="313" t="n">
        <f>MAX(0,Underwriting!$V$138)</f>
        <v>114338.88963590557</v>
      </c>
      <c r="Q140" s="313" t="n">
        <f>MAX(0,Underwriting!$W$138)</f>
        <v>114338.88963590557</v>
      </c>
      <c r="R140" s="313" t="n">
        <f>MAX(0,Underwriting!$X$138)</f>
        <v>114338.88963590557</v>
      </c>
      <c r="S140" s="313" t="n">
        <f>MAX(0,Underwriting!$Y$138)</f>
        <v>114338.88963590557</v>
      </c>
      <c r="T140" s="313" t="n">
        <f>MAX(0,Underwriting!$Z$138)</f>
        <v>114338.88963590557</v>
      </c>
      <c r="U140" s="313" t="n">
        <f>MAX(0,Underwriting!$AA$138)</f>
        <v>114338.88963590557</v>
      </c>
      <c r="V140" s="313" t="n">
        <f>MAX(0,Underwriting!$AB$138)</f>
        <v>114338.88963590557</v>
      </c>
      <c r="W140" s="313" t="n">
        <f>MAX(0,Underwriting!$AC$138)</f>
        <v>114338.88963590557</v>
      </c>
      <c r="X140" s="313" t="n">
        <f>MAX(0,Underwriting!$AD$138)</f>
        <v>262603.75118656736</v>
      </c>
      <c r="Y140" s="313" t="n">
        <f>MAX(0,Underwriting!$AE$138)</f>
        <v>262603.75118656736</v>
      </c>
      <c r="Z140" s="313" t="n">
        <f>MAX(0,Underwriting!$AF$138)</f>
        <v>262603.75118656736</v>
      </c>
      <c r="AA140" s="313" t="n">
        <f>MAX(0,Underwriting!$AG$138)</f>
        <v>262603.75118656736</v>
      </c>
      <c r="AB140" s="313" t="n">
        <f>MAX(0,Underwriting!$AH$138)</f>
        <v>262603.75118656736</v>
      </c>
      <c r="AC140" s="313" t="n">
        <f>MAX(0,Underwriting!$AI$138)</f>
        <v>262603.75118656736</v>
      </c>
      <c r="AD140" s="313" t="n">
        <f>MAX(0,Underwriting!$AJ$138)</f>
        <v>262603.75118656736</v>
      </c>
      <c r="AE140" s="313" t="n">
        <f>MAX(0,Underwriting!$AK$138)</f>
        <v>262603.75118656736</v>
      </c>
      <c r="AF140" s="313" t="n">
        <f>MAX(0,Underwriting!$AL$138)</f>
        <v>262603.75118656736</v>
      </c>
      <c r="AG140" s="313" t="n">
        <f>MAX(0,Underwriting!$AM$138)</f>
        <v>262603.75118656736</v>
      </c>
      <c r="AH140" s="313" t="n">
        <f>MAX(0,Underwriting!$AN$138)</f>
        <v>262603.75118656736</v>
      </c>
      <c r="AI140" s="313" t="n">
        <f>MAX(0,Underwriting!$AO$138)</f>
        <v>262603.75118656736</v>
      </c>
      <c r="AJ140" s="313" t="n">
        <f>MAX(0,Underwriting!$AP$138)</f>
        <v>274023.21840750036</v>
      </c>
      <c r="AK140" s="313" t="n">
        <f>MAX(0,Underwriting!$AQ$138)</f>
        <v>274023.21840750036</v>
      </c>
      <c r="AL140" s="313" t="n">
        <f>MAX(0,Underwriting!$AR$138)</f>
        <v>274023.21840750036</v>
      </c>
      <c r="AM140" s="313" t="n">
        <f>MAX(0,Underwriting!$AS$138)</f>
        <v>274023.21840750036</v>
      </c>
      <c r="AN140" s="313" t="n">
        <f>MAX(0,Underwriting!$AT$138)</f>
        <v>274023.21840750036</v>
      </c>
      <c r="AO140" s="313" t="n">
        <f>MAX(0,Underwriting!$AU$138)</f>
        <v>274023.21840750036</v>
      </c>
      <c r="AP140" s="313" t="n">
        <f>MAX(0,Underwriting!$AV$138)</f>
        <v>274023.21840750036</v>
      </c>
      <c r="AQ140" s="313" t="n">
        <f>MAX(0,Underwriting!$AW$138)</f>
        <v>274023.21840750036</v>
      </c>
      <c r="AR140" s="313" t="n">
        <f>MAX(0,Underwriting!$AX$138)</f>
        <v>274023.21840750036</v>
      </c>
      <c r="AS140" s="313" t="n">
        <f>MAX(0,Underwriting!$AY$138)</f>
        <v>274023.21840750036</v>
      </c>
      <c r="AT140" s="313" t="n">
        <f>MAX(0,Underwriting!$AZ$138)</f>
        <v>274023.21840750036</v>
      </c>
      <c r="AU140" s="313" t="n">
        <f>MAX(0,Underwriting!$BA$138)</f>
        <v>274023.21840750036</v>
      </c>
      <c r="AV140" s="313" t="n">
        <f>MAX(0,Underwriting!$BB$138)</f>
        <v>274023.21840750036</v>
      </c>
      <c r="AW140" s="313" t="n">
        <f>MAX(0,Underwriting!$BC$138)</f>
        <v>280051.0646697076</v>
      </c>
      <c r="AX140" s="313" t="n">
        <f>MAX(0,Underwriting!$BD$138)</f>
        <v>280051.0646697076</v>
      </c>
      <c r="AY140" s="313" t="n">
        <f>MAX(0,Underwriting!$BE$138)</f>
        <v>280051.0646697076</v>
      </c>
      <c r="AZ140" s="313" t="n">
        <f>MAX(0,Underwriting!$BF$138)</f>
        <v>280051.0646697076</v>
      </c>
      <c r="BA140" s="313" t="n">
        <f>MAX(0,Underwriting!$BG$138)</f>
        <v>280051.0646697076</v>
      </c>
      <c r="BB140" s="313" t="n">
        <f>MAX(0,Underwriting!$BH$138)</f>
        <v>280051.0646697076</v>
      </c>
      <c r="BC140" s="313" t="n">
        <f>MAX(0,Underwriting!$BI$138)</f>
        <v>280051.0646697076</v>
      </c>
      <c r="BD140" s="313" t="n">
        <f>MAX(0,Underwriting!$BJ$138)</f>
        <v>280051.0646697076</v>
      </c>
      <c r="BE140" s="313" t="n">
        <f>MAX(0,Underwriting!$BK$138)</f>
        <v>280051.0646697076</v>
      </c>
      <c r="BF140" s="313" t="n">
        <f>MAX(0,Underwriting!$BL$138)</f>
        <v>280051.0646697076</v>
      </c>
      <c r="BG140" s="313" t="n">
        <f>MAX(0,Underwriting!$BM$138)</f>
        <v>280051.0646697076</v>
      </c>
      <c r="BH140" s="313" t="n">
        <f>MAX(0,Underwriting!$BN$138)</f>
        <v>280051.0646697076</v>
      </c>
      <c r="BI140" s="313" t="n">
        <f>MAX(0,Underwriting!$BO$138)</f>
        <v>285541.2466786235</v>
      </c>
      <c r="BJ140" s="313" t="n">
        <f>MAX(0,Underwriting!$BP$138)</f>
        <v>285541.2466786235</v>
      </c>
      <c r="BK140" s="313" t="n">
        <f>MAX(0,Underwriting!$BQ$138)</f>
        <v>285541.2466786235</v>
      </c>
      <c r="BL140" s="313" t="n">
        <f>MAX(0,Underwriting!$BR$138)</f>
        <v>285541.2466786235</v>
      </c>
      <c r="BM140" s="313" t="n">
        <f>MAX(0,Underwriting!$BS$138)</f>
        <v>285541.2466786235</v>
      </c>
      <c r="BN140" s="313" t="n">
        <f>MAX(0,Underwriting!$BT$138)</f>
        <v>285541.2466786235</v>
      </c>
      <c r="BO140" s="313" t="n">
        <f>MAX(0,Underwriting!$BU$138)</f>
        <v>285541.2466786235</v>
      </c>
      <c r="BP140" s="313" t="n">
        <f>MAX(0,Underwriting!$BV$138)</f>
        <v>285541.2466786235</v>
      </c>
      <c r="BQ140" s="313" t="n">
        <f>MAX(0,Underwriting!$BW$138)</f>
        <v>285541.2466786235</v>
      </c>
      <c r="BR140" s="313" t="n">
        <f>MAX(0,Underwriting!$BX$138)</f>
        <v>285541.2466786235</v>
      </c>
      <c r="BS140" s="313" t="n">
        <f>MAX(0,Underwriting!$BY$138)</f>
        <v>285541.2466786235</v>
      </c>
      <c r="BT140" s="313" t="n">
        <f>MAX(0,Underwriting!$BZ$138)</f>
        <v>285541.2466786235</v>
      </c>
      <c r="BU140" s="313" t="n">
        <f>MAX(0,Underwriting!$CA$138)</f>
        <v>291110.45875670854</v>
      </c>
      <c r="BV140" s="313" t="n">
        <f>MAX(0,Underwriting!$CB$138)</f>
        <v>291110.45875670854</v>
      </c>
      <c r="BW140" s="313" t="n">
        <f>MAX(0,Underwriting!$CC$138)</f>
        <v>291110.45875670854</v>
      </c>
      <c r="BX140" s="313" t="n">
        <f>MAX(0,Underwriting!$CD$138)</f>
        <v>291110.45875670854</v>
      </c>
      <c r="BY140" s="313" t="n">
        <f>MAX(0,Underwriting!$CE$138)</f>
        <v>291110.45875670854</v>
      </c>
      <c r="BZ140" s="313" t="n">
        <f>MAX(0,Underwriting!$CF$138)</f>
        <v>291110.45875670854</v>
      </c>
      <c r="CA140" s="313" t="n">
        <f>MAX(0,Underwriting!$CG$138)</f>
        <v>291110.45875670854</v>
      </c>
      <c r="CB140" s="313" t="n">
        <f>MAX(0,Underwriting!$CH$138)</f>
        <v>291110.45875670854</v>
      </c>
      <c r="CC140" s="313" t="n">
        <f>MAX(0,Underwriting!$CI$138)</f>
        <v>291110.45875670854</v>
      </c>
      <c r="CD140" s="313" t="n">
        <f>MAX(0,Underwriting!$CJ$138)</f>
        <v>291110.45875670854</v>
      </c>
      <c r="CE140" s="313" t="n">
        <f>MAX(0,Underwriting!$CK$138)</f>
        <v>291110.45875670854</v>
      </c>
      <c r="CF140" s="313" t="n">
        <f>MAX(0,Underwriting!$CL$138)</f>
        <v>291110.45875670854</v>
      </c>
      <c r="CG140" s="313" t="n">
        <f>MAX(0,Underwriting!$CM$138)</f>
        <v>287904.5410761604</v>
      </c>
      <c r="CH140" s="313" t="n">
        <f>MAX(0,Underwriting!$CN$138)</f>
        <v>287904.5410761604</v>
      </c>
      <c r="CI140" s="313" t="n">
        <f>MAX(0,Underwriting!$CO$138)</f>
        <v>287904.5410761604</v>
      </c>
      <c r="CJ140" s="313" t="n">
        <f>MAX(0,Underwriting!$CP$138)</f>
        <v>287904.5410761604</v>
      </c>
      <c r="CK140" s="313" t="n">
        <f>MAX(0,Underwriting!$CQ$138)</f>
        <v>287904.5410761604</v>
      </c>
      <c r="CL140" s="313" t="n">
        <f>MAX(0,Underwriting!$CR$138)</f>
        <v>287904.5410761604</v>
      </c>
      <c r="CM140" s="313" t="n">
        <f>MAX(0,Underwriting!$CS$138)</f>
        <v>287904.5410761604</v>
      </c>
      <c r="CN140" s="313" t="n">
        <f>MAX(0,Underwriting!$CT$138)</f>
        <v>287904.5410761604</v>
      </c>
      <c r="CO140" s="313" t="n">
        <f>MAX(0,Underwriting!$CU$138)</f>
        <v>287904.5410761604</v>
      </c>
      <c r="CP140" s="313" t="n">
        <f>MAX(0,Underwriting!$CV$138)</f>
        <v>287904.5410761604</v>
      </c>
      <c r="CQ140" s="313" t="n">
        <f>MAX(0,Underwriting!$CW$138)</f>
        <v>287904.5410761604</v>
      </c>
      <c r="CR140" s="313" t="n">
        <f>MAX(0,Underwriting!$CX$138)</f>
        <v>287904.5410761604</v>
      </c>
      <c r="CS140" s="313" t="n">
        <f>MAX(0,Underwriting!$CY$138)</f>
        <v>293700.02884675935</v>
      </c>
      <c r="CT140" s="313" t="n">
        <f>MAX(0,Underwriting!$CZ$138)</f>
        <v>293700.02884675935</v>
      </c>
      <c r="CU140" s="313" t="n">
        <f>MAX(0,Underwriting!$DA$138)</f>
        <v>293700.02884675935</v>
      </c>
      <c r="CV140" s="313" t="n">
        <f>MAX(0,Underwriting!$DB$138)</f>
        <v>293700.02884675935</v>
      </c>
      <c r="CW140" s="313" t="n">
        <f>MAX(0,Underwriting!$DC$138)</f>
        <v>293700.02884675935</v>
      </c>
      <c r="CX140" s="313" t="n">
        <f>MAX(0,Underwriting!$DD$138)</f>
        <v>293700.02884675935</v>
      </c>
      <c r="CY140" s="313" t="n">
        <f>MAX(0,Underwriting!$DE$138)</f>
        <v>293700.02884675935</v>
      </c>
      <c r="CZ140" s="313" t="n">
        <f>MAX(0,Underwriting!$DF$138)</f>
        <v>293700.02884675935</v>
      </c>
      <c r="DA140" s="313" t="n">
        <f>MAX(0,Underwriting!$DG$138)</f>
        <v>293700.02884675935</v>
      </c>
      <c r="DB140" s="313" t="n">
        <f>MAX(0,Underwriting!$DH$138)</f>
        <v>293700.02884675935</v>
      </c>
      <c r="DC140" s="313" t="n">
        <f>MAX(0,Underwriting!$DI$138)</f>
        <v>293700.02884675935</v>
      </c>
      <c r="DD140" s="313" t="n">
        <f>MAX(0,Underwriting!$DJ$138)</f>
        <v>293700.02884675935</v>
      </c>
      <c r="DE140" s="313" t="n">
        <f>MAX(0,Underwriting!$DK$138)</f>
        <v>299699.66668375017</v>
      </c>
      <c r="DF140" s="313" t="n">
        <f>MAX(0,Underwriting!$DL$138)</f>
        <v>299699.66668375017</v>
      </c>
      <c r="DG140" s="313" t="n">
        <f>MAX(0,Underwriting!$DM$138)</f>
        <v>299699.66668375017</v>
      </c>
      <c r="DH140" s="313" t="n">
        <f>MAX(0,Underwriting!$DN$138)</f>
        <v>299699.66668375017</v>
      </c>
      <c r="DI140" s="313" t="n">
        <f>MAX(0,Underwriting!$DO$138)</f>
        <v>299699.66668375017</v>
      </c>
      <c r="DJ140" s="313" t="n">
        <f>MAX(0,Underwriting!$DP$138)</f>
        <v>299699.66668375017</v>
      </c>
      <c r="DK140" s="313" t="n">
        <f>MAX(0,Underwriting!$DQ$138)</f>
        <v>299699.66668375017</v>
      </c>
      <c r="DL140" s="313" t="n">
        <f>MAX(0,Underwriting!$DR$138)</f>
        <v>299699.66668375017</v>
      </c>
      <c r="DM140" s="313" t="n">
        <f>MAX(0,Underwriting!$DS$138)</f>
        <v>299699.66668375017</v>
      </c>
      <c r="DN140" s="313" t="n">
        <f>MAX(0,Underwriting!$DT$138)</f>
        <v>299699.66668375017</v>
      </c>
      <c r="DO140" s="313" t="n">
        <f>MAX(0,Underwriting!$DU$138)</f>
        <v>299699.66668375017</v>
      </c>
      <c r="DP140" s="313" t="n">
        <f>MAX(0,Underwriting!$DV$138)</f>
        <v>299699.66668375017</v>
      </c>
      <c r="DQ140" s="313" t="n">
        <f>MAX(0,Underwriting!$DW$138)</f>
        <v>305912.39078083617</v>
      </c>
      <c r="DR140" s="313" t="n">
        <f>MAX(0,Underwriting!$DX$138)</f>
        <v>305912.39078083617</v>
      </c>
      <c r="DS140" s="313" t="n">
        <f>MAX(0,Underwriting!$DY$138)</f>
        <v>305912.39078083617</v>
      </c>
      <c r="DT140" s="313" t="n">
        <f>MAX(0,Underwriting!$DZ$138)</f>
        <v>305912.39078083617</v>
      </c>
      <c r="DU140" s="313" t="n">
        <f>MAX(0,Underwriting!$EA$138)</f>
        <v>305912.39078083617</v>
      </c>
      <c r="DV140" s="313" t="n">
        <f>MAX(0,Underwriting!$EB$138)</f>
        <v>305912.39078083617</v>
      </c>
    </row>
    <row r="141" ht="15" customHeight="1">
      <c r="A141" s="311" t="s">
        <v>1561</v>
      </c>
      <c r="B141" s="312" t="s">
        <v>1321</v>
      </c>
      <c r="C141" s="702" t="s">
        <v>1562</v>
      </c>
      <c r="D141" s="703"/>
      <c r="F141" s="313" t="n">
        <f t="shared" ref="F141:AK141" si="220">F$193</f>
        <v>612.7450980392157</v>
      </c>
      <c r="G141" s="313">
        <f t="shared" si="220"/>
        <v>0</v>
      </c>
      <c r="H141" s="313">
        <f t="shared" si="220"/>
        <v>0</v>
      </c>
      <c r="I141" s="313">
        <f t="shared" si="220"/>
        <v>0</v>
      </c>
      <c r="J141" s="313">
        <f t="shared" si="220"/>
        <v>0</v>
      </c>
      <c r="K141" s="313">
        <f t="shared" si="220"/>
        <v>0</v>
      </c>
      <c r="L141" s="313">
        <f t="shared" si="220"/>
        <v>0</v>
      </c>
      <c r="M141" s="313">
        <f t="shared" si="220"/>
        <v>140099.29027072457</v>
      </c>
      <c r="N141" s="313">
        <f t="shared" si="220"/>
        <v>175742.11570270461</v>
      </c>
      <c r="O141" s="313">
        <f t="shared" si="220"/>
        <v>175742.11570270461</v>
      </c>
      <c r="P141" s="313">
        <f t="shared" si="220"/>
        <v>175742.11570270461</v>
      </c>
      <c r="Q141" s="313">
        <f t="shared" si="220"/>
        <v>175742.11570270461</v>
      </c>
      <c r="R141" s="313">
        <f t="shared" si="220"/>
        <v>175742.11570270461</v>
      </c>
      <c r="S141" s="313">
        <f t="shared" si="220"/>
        <v>175742.11570270461</v>
      </c>
      <c r="T141" s="313">
        <f t="shared" si="220"/>
        <v>175742.11570270461</v>
      </c>
      <c r="U141" s="313">
        <f t="shared" si="220"/>
        <v>175742.11570270461</v>
      </c>
      <c r="V141" s="313">
        <f t="shared" si="220"/>
        <v>175742.11570270461</v>
      </c>
      <c r="W141" s="313">
        <f t="shared" si="220"/>
        <v>175742.11570270461</v>
      </c>
      <c r="X141" s="313">
        <f t="shared" si="220"/>
        <v>131262.65723750606</v>
      </c>
      <c r="Y141" s="313">
        <f t="shared" si="220"/>
        <v>1017841.5672377452</v>
      </c>
      <c r="Z141" s="313">
        <f t="shared" si="220"/>
        <v>993023.83755430882</v>
      </c>
      <c r="AA141" s="313">
        <f t="shared" si="220"/>
        <v>949617.22327711037</v>
      </c>
      <c r="AB141" s="313">
        <f t="shared" si="220"/>
        <v>1162978.4311020046</v>
      </c>
      <c r="AC141" s="313">
        <f t="shared" si="220"/>
        <v>1128544.1801121519</v>
      </c>
      <c r="AD141" s="313">
        <f t="shared" si="220"/>
        <v>1113655.3625749773</v>
      </c>
      <c r="AE141" s="313">
        <f t="shared" si="220"/>
        <v>1176392.0194599279</v>
      </c>
      <c r="AF141" s="313">
        <f t="shared" si="220"/>
        <v>1159846.2101003779</v>
      </c>
      <c r="AG141" s="313">
        <f t="shared" si="220"/>
        <v>1157044.7910512155</v>
      </c>
      <c r="AH141" s="313">
        <f t="shared" si="220"/>
        <v>1193260.0634610998</v>
      </c>
      <c r="AI141" s="313">
        <f t="shared" si="220"/>
        <v>1198616.8904454794</v>
      </c>
      <c r="AJ141" s="313">
        <f t="shared" si="220"/>
        <v>1183735.81833958</v>
      </c>
      <c r="AK141" s="313">
        <f t="shared" si="220"/>
        <v>1347678.0060601698</v>
      </c>
      <c r="AL141" s="313" t="n">
        <f t="shared" ref="AL141:BQ141" si="221">AL$193</f>
        <v>1380127.0108175778</v>
      </c>
      <c r="AM141" s="313">
        <f t="shared" si="221"/>
        <v>1345725.7186488812</v>
      </c>
      <c r="AN141" s="313">
        <f t="shared" si="221"/>
        <v>1394119.3883540584</v>
      </c>
      <c r="AO141" s="313">
        <f t="shared" si="221"/>
        <v>1333094.4835022134</v>
      </c>
      <c r="AP141" s="313">
        <f t="shared" si="221"/>
        <v>1313037.0736179622</v>
      </c>
      <c r="AQ141" s="313">
        <f t="shared" si="221"/>
        <v>1009429.2212354121</v>
      </c>
      <c r="AR141" s="313">
        <f t="shared" si="221"/>
        <v>1009429.2212354121</v>
      </c>
      <c r="AS141" s="313">
        <f t="shared" si="221"/>
        <v>1020614.5093987284</v>
      </c>
      <c r="AT141" s="313">
        <f t="shared" si="221"/>
        <v>1011325.1540460151</v>
      </c>
      <c r="AU141" s="313">
        <f t="shared" si="221"/>
        <v>1022510.4422093313</v>
      </c>
      <c r="AV141" s="313">
        <f t="shared" si="221"/>
        <v>1011325.1540460151</v>
      </c>
      <c r="AW141" s="313">
        <f t="shared" si="221"/>
        <v>1060561.7564707554</v>
      </c>
      <c r="AX141" s="313">
        <f t="shared" si="221"/>
        <v>1094117.6209607043</v>
      </c>
      <c r="AY141" s="313">
        <f t="shared" si="221"/>
        <v>1060561.7564707554</v>
      </c>
      <c r="AZ141" s="313">
        <f t="shared" si="221"/>
        <v>1080489.1696340719</v>
      </c>
      <c r="BA141" s="313">
        <f t="shared" si="221"/>
        <v>1069303.8814707557</v>
      </c>
      <c r="BB141" s="313">
        <f t="shared" si="221"/>
        <v>1080489.1696340719</v>
      </c>
      <c r="BC141" s="313">
        <f t="shared" si="221"/>
        <v>1242765.074528093</v>
      </c>
      <c r="BD141" s="313">
        <f t="shared" si="221"/>
        <v>1067659.3883313776</v>
      </c>
      <c r="BE141" s="313">
        <f t="shared" si="221"/>
        <v>1081633.2166872178</v>
      </c>
      <c r="BF141" s="313">
        <f t="shared" si="221"/>
        <v>1075110.9651401816</v>
      </c>
      <c r="BG141" s="313">
        <f t="shared" si="221"/>
        <v>1088918.1966934174</v>
      </c>
      <c r="BH141" s="313">
        <f t="shared" si="221"/>
        <v>1080697.0056667458</v>
      </c>
      <c r="BI141" s="313">
        <f t="shared" si="221"/>
        <v>1128051.683826735</v>
      </c>
      <c r="BJ141" s="313">
        <f t="shared" si="221"/>
        <v>1163170.4534699479</v>
      </c>
      <c r="BK141" s="313">
        <f t="shared" si="221"/>
        <v>1133854.1265005395</v>
      </c>
      <c r="BL141" s="313">
        <f t="shared" si="221"/>
        <v>1156363.1065769685</v>
      </c>
      <c r="BM141" s="313">
        <f t="shared" si="221"/>
        <v>1148727.3457864248</v>
      </c>
      <c r="BN141" s="313">
        <f t="shared" si="221"/>
        <v>1162028.1302765913</v>
      </c>
      <c r="BO141" s="313">
        <f t="shared" si="221"/>
        <v>1156492.8680676434</v>
      </c>
      <c r="BP141" s="313">
        <f t="shared" si="221"/>
        <v>1473652.500827719</v>
      </c>
      <c r="BQ141" s="313">
        <f t="shared" si="221"/>
        <v>1475269.9176015619</v>
      </c>
      <c r="BR141" s="313" t="n">
        <f t="shared" ref="BR141:CW141" si="222">BR$193</f>
        <v>1477228.920320312</v>
      </c>
      <c r="BS141" s="313">
        <f t="shared" si="222"/>
        <v>1477228.920320312</v>
      </c>
      <c r="BT141" s="313">
        <f t="shared" si="222"/>
        <v>1477228.920320312</v>
      </c>
      <c r="BU141" s="313">
        <f t="shared" si="222"/>
        <v>1522403.6630811156</v>
      </c>
      <c r="BV141" s="313">
        <f t="shared" si="222"/>
        <v>1522403.6630811156</v>
      </c>
      <c r="BW141" s="313">
        <f t="shared" si="222"/>
        <v>1522403.6630811156</v>
      </c>
      <c r="BX141" s="313">
        <f t="shared" si="222"/>
        <v>1531768.4459342407</v>
      </c>
      <c r="BY141" s="313">
        <f t="shared" si="222"/>
        <v>1531768.4459342407</v>
      </c>
      <c r="BZ141" s="313">
        <f t="shared" si="222"/>
        <v>1531768.4459342407</v>
      </c>
      <c r="CA141" s="313">
        <f t="shared" si="222"/>
        <v>1533737.6204672421</v>
      </c>
      <c r="CB141" s="313">
        <f t="shared" si="222"/>
        <v>1533737.6204672421</v>
      </c>
      <c r="CC141" s="313">
        <f t="shared" si="222"/>
        <v>1533737.6204672421</v>
      </c>
      <c r="CD141" s="313">
        <f t="shared" si="222"/>
        <v>1535765.1882811484</v>
      </c>
      <c r="CE141" s="313">
        <f t="shared" si="222"/>
        <v>1535765.1882811484</v>
      </c>
      <c r="CF141" s="313">
        <f t="shared" si="222"/>
        <v>1535765.1882811484</v>
      </c>
      <c r="CG141" s="313">
        <f t="shared" si="222"/>
        <v>1505658.2411293306</v>
      </c>
      <c r="CH141" s="313">
        <f t="shared" si="222"/>
        <v>1505658.2411293306</v>
      </c>
      <c r="CI141" s="313">
        <f t="shared" si="222"/>
        <v>1505658.2411293306</v>
      </c>
      <c r="CJ141" s="313">
        <f t="shared" si="222"/>
        <v>1515350.7913823149</v>
      </c>
      <c r="CK141" s="313">
        <f t="shared" si="222"/>
        <v>1515350.7913823149</v>
      </c>
      <c r="CL141" s="313">
        <f t="shared" si="222"/>
        <v>1515350.7913823149</v>
      </c>
      <c r="CM141" s="313">
        <f t="shared" si="222"/>
        <v>1517397.1844034602</v>
      </c>
      <c r="CN141" s="313">
        <f t="shared" si="222"/>
        <v>1517397.1844034602</v>
      </c>
      <c r="CO141" s="313">
        <f t="shared" si="222"/>
        <v>1517397.1844034602</v>
      </c>
      <c r="CP141" s="313">
        <f t="shared" si="222"/>
        <v>1519495.7170908535</v>
      </c>
      <c r="CQ141" s="313">
        <f t="shared" si="222"/>
        <v>1519495.7170908535</v>
      </c>
      <c r="CR141" s="313">
        <f t="shared" si="222"/>
        <v>1519495.7170908535</v>
      </c>
      <c r="CS141" s="313">
        <f t="shared" si="222"/>
        <v>1566472.3875867189</v>
      </c>
      <c r="CT141" s="313">
        <f t="shared" si="222"/>
        <v>1566472.3875867189</v>
      </c>
      <c r="CU141" s="313">
        <f t="shared" si="222"/>
        <v>1566472.3875867189</v>
      </c>
      <c r="CV141" s="313">
        <f t="shared" si="222"/>
        <v>1576504.1770985576</v>
      </c>
      <c r="CW141" s="313">
        <f t="shared" si="222"/>
        <v>1576504.1770985576</v>
      </c>
      <c r="CX141" s="313" t="n">
        <f t="shared" ref="CX141:DV141" si="223">CX$193</f>
        <v>1576504.1770985576</v>
      </c>
      <c r="CY141" s="313">
        <f t="shared" si="223"/>
        <v>1578630.6572025227</v>
      </c>
      <c r="CZ141" s="313">
        <f t="shared" si="223"/>
        <v>1578630.6572025227</v>
      </c>
      <c r="DA141" s="313">
        <f t="shared" si="223"/>
        <v>1578630.6572025227</v>
      </c>
      <c r="DB141" s="313">
        <f t="shared" si="223"/>
        <v>1580802.6385339745</v>
      </c>
      <c r="DC141" s="313">
        <f t="shared" si="223"/>
        <v>1580802.6385339745</v>
      </c>
      <c r="DD141" s="313">
        <f t="shared" si="223"/>
        <v>1580802.6385339745</v>
      </c>
      <c r="DE141" s="313">
        <f t="shared" si="223"/>
        <v>1629457.7317888658</v>
      </c>
      <c r="DF141" s="313">
        <f t="shared" si="223"/>
        <v>1629457.7317888658</v>
      </c>
      <c r="DG141" s="313">
        <f t="shared" si="223"/>
        <v>1629457.7317888658</v>
      </c>
      <c r="DH141" s="313">
        <f t="shared" si="223"/>
        <v>1639840.6339336189</v>
      </c>
      <c r="DI141" s="313">
        <f t="shared" si="223"/>
        <v>1639840.6339336189</v>
      </c>
      <c r="DJ141" s="313">
        <f t="shared" si="223"/>
        <v>1639840.6339336189</v>
      </c>
      <c r="DK141" s="313">
        <f t="shared" si="223"/>
        <v>1642050.1734348438</v>
      </c>
      <c r="DL141" s="313">
        <f t="shared" si="223"/>
        <v>1642050.1734348438</v>
      </c>
      <c r="DM141" s="313">
        <f t="shared" si="223"/>
        <v>1642050.1734348438</v>
      </c>
      <c r="DN141" s="313">
        <f t="shared" si="223"/>
        <v>1644298.1741128962</v>
      </c>
      <c r="DO141" s="313">
        <f t="shared" si="223"/>
        <v>1644298.1741128962</v>
      </c>
      <c r="DP141" s="313">
        <f t="shared" si="223"/>
        <v>1644298.1741128962</v>
      </c>
      <c r="DQ141" s="313">
        <f t="shared" si="223"/>
        <v>1694706.4763647176</v>
      </c>
      <c r="DR141" s="313">
        <f t="shared" si="223"/>
        <v>1694706.4763647176</v>
      </c>
      <c r="DS141" s="313">
        <f t="shared" si="223"/>
        <v>1694706.4763647176</v>
      </c>
      <c r="DT141" s="313">
        <f t="shared" si="223"/>
        <v>1705452.7800845369</v>
      </c>
      <c r="DU141" s="313">
        <f t="shared" si="223"/>
        <v>1705452.7800845369</v>
      </c>
      <c r="DV141" s="313">
        <f t="shared" si="223"/>
        <v>1705452.7800845369</v>
      </c>
    </row>
    <row r="142" ht="15" customHeight="1">
      <c r="A142" s="311" t="s">
        <v>1563</v>
      </c>
      <c r="B142" s="312" t="s">
        <v>1321</v>
      </c>
      <c r="C142" s="702" t="s">
        <v>1564</v>
      </c>
      <c r="D142" s="703"/>
      <c r="F142" s="313" t="n">
        <f>MAX(0,Underwriting!$L$153)</f>
        <v>0</v>
      </c>
      <c r="G142" s="313" t="n">
        <f>MAX(0,Underwriting!$M$153)</f>
        <v>0</v>
      </c>
      <c r="H142" s="313" t="n">
        <f>MAX(0,Underwriting!$N$153)</f>
        <v>0</v>
      </c>
      <c r="I142" s="313" t="n">
        <f>MAX(0,Underwriting!$O$153)</f>
        <v>0</v>
      </c>
      <c r="J142" s="313" t="n">
        <f>MAX(0,Underwriting!$P$153)</f>
        <v>0</v>
      </c>
      <c r="K142" s="313" t="n">
        <f>MAX(0,Underwriting!$Q$153)</f>
        <v>0</v>
      </c>
      <c r="L142" s="313" t="n">
        <f>MAX(0,Underwriting!$R$153)</f>
        <v>0</v>
      </c>
      <c r="M142" s="313" t="n">
        <f>MAX(0,Underwriting!$S$153)</f>
        <v>0</v>
      </c>
      <c r="N142" s="313" t="n">
        <f>MAX(0,Underwriting!$T$153)</f>
        <v>0</v>
      </c>
      <c r="O142" s="313" t="n">
        <f>MAX(0,Underwriting!$U$153)</f>
        <v>0</v>
      </c>
      <c r="P142" s="313" t="n">
        <f>MAX(0,Underwriting!$V$153)</f>
        <v>0</v>
      </c>
      <c r="Q142" s="313" t="n">
        <f>MAX(0,Underwriting!$W$153)</f>
        <v>0</v>
      </c>
      <c r="R142" s="313" t="n">
        <f>MAX(0,Underwriting!$X$153)</f>
        <v>0</v>
      </c>
      <c r="S142" s="313" t="n">
        <f>MAX(0,Underwriting!$Y$153)</f>
        <v>0</v>
      </c>
      <c r="T142" s="313" t="n">
        <f>MAX(0,Underwriting!$Z$153)</f>
        <v>0</v>
      </c>
      <c r="U142" s="313" t="n">
        <f>MAX(0,Underwriting!$AA$153)</f>
        <v>0</v>
      </c>
      <c r="V142" s="313" t="n">
        <f>MAX(0,Underwriting!$AB$153)</f>
        <v>0</v>
      </c>
      <c r="W142" s="313" t="n">
        <f>MAX(0,Underwriting!$AC$153)</f>
        <v>0</v>
      </c>
      <c r="X142" s="313" t="n">
        <f>MAX(0,Underwriting!$AD$153)</f>
        <v>0</v>
      </c>
      <c r="Y142" s="313" t="n">
        <f>MAX(0,Underwriting!$AE$153)</f>
        <v>0</v>
      </c>
      <c r="Z142" s="313" t="n">
        <f>MAX(0,Underwriting!$AF$153)</f>
        <v>0</v>
      </c>
      <c r="AA142" s="313" t="n">
        <f>MAX(0,Underwriting!$AG$153)</f>
        <v>0</v>
      </c>
      <c r="AB142" s="313" t="n">
        <f>MAX(0,Underwriting!$AH$153)</f>
        <v>0</v>
      </c>
      <c r="AC142" s="313" t="n">
        <f>MAX(0,Underwriting!$AI$153)</f>
        <v>0</v>
      </c>
      <c r="AD142" s="313" t="n">
        <f>MAX(0,Underwriting!$AJ$153)</f>
        <v>0</v>
      </c>
      <c r="AE142" s="313" t="n">
        <f>MAX(0,Underwriting!$AK$153)</f>
        <v>0</v>
      </c>
      <c r="AF142" s="313" t="n">
        <f>MAX(0,Underwriting!$AL$153)</f>
        <v>0</v>
      </c>
      <c r="AG142" s="313" t="n">
        <f>MAX(0,Underwriting!$AM$153)</f>
        <v>0</v>
      </c>
      <c r="AH142" s="313" t="n">
        <f>MAX(0,Underwriting!$AN$153)</f>
        <v>0</v>
      </c>
      <c r="AI142" s="313" t="n">
        <f>MAX(0,Underwriting!$AO$153)</f>
        <v>0</v>
      </c>
      <c r="AJ142" s="313" t="n">
        <f>MAX(0,Underwriting!$AP$153)</f>
        <v>0</v>
      </c>
      <c r="AK142" s="313" t="n">
        <f>MAX(0,Underwriting!$AQ$153)</f>
        <v>0</v>
      </c>
      <c r="AL142" s="313" t="n">
        <f>MAX(0,Underwriting!$AR$153)</f>
        <v>0</v>
      </c>
      <c r="AM142" s="313" t="n">
        <f>MAX(0,Underwriting!$AS$153)</f>
        <v>0</v>
      </c>
      <c r="AN142" s="313" t="n">
        <f>MAX(0,Underwriting!$AT$153)</f>
        <v>0</v>
      </c>
      <c r="AO142" s="313" t="n">
        <f>MAX(0,Underwriting!$AU$153)</f>
        <v>0</v>
      </c>
      <c r="AP142" s="313" t="n">
        <f>MAX(0,Underwriting!$AV$153)</f>
        <v>0</v>
      </c>
      <c r="AQ142" s="313" t="n">
        <f>MAX(0,Underwriting!$AW$153)</f>
        <v>88613.13479166667</v>
      </c>
      <c r="AR142" s="313" t="n">
        <f>MAX(0,Underwriting!$AX$153)</f>
        <v>88613.13479166667</v>
      </c>
      <c r="AS142" s="313" t="n">
        <f>MAX(0,Underwriting!$AY$153)</f>
        <v>88613.13479166667</v>
      </c>
      <c r="AT142" s="313" t="n">
        <f>MAX(0,Underwriting!$AZ$153)</f>
        <v>88613.13479166667</v>
      </c>
      <c r="AU142" s="313" t="n">
        <f>MAX(0,Underwriting!$BA$153)</f>
        <v>88613.13479166667</v>
      </c>
      <c r="AV142" s="313" t="n">
        <f>MAX(0,Underwriting!$BB$153)</f>
        <v>88613.13479166667</v>
      </c>
      <c r="AW142" s="313" t="n">
        <f>MAX(0,Underwriting!$BC$153)</f>
        <v>88613.13479166667</v>
      </c>
      <c r="AX142" s="313" t="n">
        <f>MAX(0,Underwriting!$BD$153)</f>
        <v>88613.13479166667</v>
      </c>
      <c r="AY142" s="313" t="n">
        <f>MAX(0,Underwriting!$BE$153)</f>
        <v>88613.13479166667</v>
      </c>
      <c r="AZ142" s="313" t="n">
        <f>MAX(0,Underwriting!$BF$153)</f>
        <v>88613.13479166667</v>
      </c>
      <c r="BA142" s="313" t="n">
        <f>MAX(0,Underwriting!$BG$153)</f>
        <v>88613.13479166667</v>
      </c>
      <c r="BB142" s="313" t="n">
        <f>MAX(0,Underwriting!$BH$153)</f>
        <v>88613.13479166667</v>
      </c>
      <c r="BC142" s="313" t="n">
        <f>MAX(0,Underwriting!$BI$153)</f>
        <v>90385.39748750001</v>
      </c>
      <c r="BD142" s="313" t="n">
        <f>MAX(0,Underwriting!$BJ$153)</f>
        <v>90385.39748750001</v>
      </c>
      <c r="BE142" s="313" t="n">
        <f>MAX(0,Underwriting!$BK$153)</f>
        <v>90385.39748750001</v>
      </c>
      <c r="BF142" s="313" t="n">
        <f>MAX(0,Underwriting!$BL$153)</f>
        <v>90385.39748750001</v>
      </c>
      <c r="BG142" s="313" t="n">
        <f>MAX(0,Underwriting!$BM$153)</f>
        <v>90385.39748750001</v>
      </c>
      <c r="BH142" s="313" t="n">
        <f>MAX(0,Underwriting!$BN$153)</f>
        <v>90385.39748750001</v>
      </c>
      <c r="BI142" s="313" t="n">
        <f>MAX(0,Underwriting!$BO$153)</f>
        <v>90385.39748750001</v>
      </c>
      <c r="BJ142" s="313" t="n">
        <f>MAX(0,Underwriting!$BP$153)</f>
        <v>90385.39748750001</v>
      </c>
      <c r="BK142" s="313" t="n">
        <f>MAX(0,Underwriting!$BQ$153)</f>
        <v>90385.39748750001</v>
      </c>
      <c r="BL142" s="313" t="n">
        <f>MAX(0,Underwriting!$BR$153)</f>
        <v>90385.39748750001</v>
      </c>
      <c r="BM142" s="313" t="n">
        <f>MAX(0,Underwriting!$BS$153)</f>
        <v>90385.39748750001</v>
      </c>
      <c r="BN142" s="313" t="n">
        <f>MAX(0,Underwriting!$BT$153)</f>
        <v>90385.39748750001</v>
      </c>
      <c r="BO142" s="313" t="n">
        <f>MAX(0,Underwriting!$BU$153)</f>
        <v>92193.10543725001</v>
      </c>
      <c r="BP142" s="313" t="n">
        <f>MAX(0,Underwriting!$BV$153)</f>
        <v>92193.10543725001</v>
      </c>
      <c r="BQ142" s="313" t="n">
        <f>MAX(0,Underwriting!$BW$153)</f>
        <v>92193.10543725001</v>
      </c>
      <c r="BR142" s="313" t="n">
        <f>MAX(0,Underwriting!$BX$153)</f>
        <v>92193.10543725001</v>
      </c>
      <c r="BS142" s="313" t="n">
        <f>MAX(0,Underwriting!$BY$153)</f>
        <v>92193.10543725001</v>
      </c>
      <c r="BT142" s="313" t="n">
        <f>MAX(0,Underwriting!$BZ$153)</f>
        <v>92193.10543725001</v>
      </c>
      <c r="BU142" s="313" t="n">
        <f>MAX(0,Underwriting!$CA$153)</f>
        <v>92193.10543725001</v>
      </c>
      <c r="BV142" s="313" t="n">
        <f>MAX(0,Underwriting!$CB$153)</f>
        <v>92193.10543725001</v>
      </c>
      <c r="BW142" s="313" t="n">
        <f>MAX(0,Underwriting!$CC$153)</f>
        <v>92193.10543725001</v>
      </c>
      <c r="BX142" s="313" t="n">
        <f>MAX(0,Underwriting!$CD$153)</f>
        <v>92193.10543725001</v>
      </c>
      <c r="BY142" s="313" t="n">
        <f>MAX(0,Underwriting!$CE$153)</f>
        <v>92193.10543725001</v>
      </c>
      <c r="BZ142" s="313" t="n">
        <f>MAX(0,Underwriting!$CF$153)</f>
        <v>92193.10543725001</v>
      </c>
      <c r="CA142" s="313" t="n">
        <f>MAX(0,Underwriting!$CG$153)</f>
        <v>94036.96754599501</v>
      </c>
      <c r="CB142" s="313" t="n">
        <f>MAX(0,Underwriting!$CH$153)</f>
        <v>94036.96754599501</v>
      </c>
      <c r="CC142" s="313" t="n">
        <f>MAX(0,Underwriting!$CI$153)</f>
        <v>94036.96754599501</v>
      </c>
      <c r="CD142" s="313" t="n">
        <f>MAX(0,Underwriting!$CJ$153)</f>
        <v>94036.96754599501</v>
      </c>
      <c r="CE142" s="313" t="n">
        <f>MAX(0,Underwriting!$CK$153)</f>
        <v>94036.96754599501</v>
      </c>
      <c r="CF142" s="313" t="n">
        <f>MAX(0,Underwriting!$CL$153)</f>
        <v>94036.96754599501</v>
      </c>
      <c r="CG142" s="313" t="n">
        <f>MAX(0,Underwriting!$CM$153)</f>
        <v>94036.96754599501</v>
      </c>
      <c r="CH142" s="313" t="n">
        <f>MAX(0,Underwriting!$CN$153)</f>
        <v>94036.96754599501</v>
      </c>
      <c r="CI142" s="313" t="n">
        <f>MAX(0,Underwriting!$CO$153)</f>
        <v>94036.96754599501</v>
      </c>
      <c r="CJ142" s="313" t="n">
        <f>MAX(0,Underwriting!$CP$153)</f>
        <v>94036.96754599501</v>
      </c>
      <c r="CK142" s="313" t="n">
        <f>MAX(0,Underwriting!$CQ$153)</f>
        <v>94036.96754599501</v>
      </c>
      <c r="CL142" s="313" t="n">
        <f>MAX(0,Underwriting!$CR$153)</f>
        <v>94036.96754599501</v>
      </c>
      <c r="CM142" s="313" t="n">
        <f>MAX(0,Underwriting!$CS$153)</f>
        <v>95917.70689691491</v>
      </c>
      <c r="CN142" s="313" t="n">
        <f>MAX(0,Underwriting!$CT$153)</f>
        <v>95917.70689691491</v>
      </c>
      <c r="CO142" s="313" t="n">
        <f>MAX(0,Underwriting!$CU$153)</f>
        <v>95917.70689691491</v>
      </c>
      <c r="CP142" s="313" t="n">
        <f>MAX(0,Underwriting!$CV$153)</f>
        <v>95917.70689691491</v>
      </c>
      <c r="CQ142" s="313" t="n">
        <f>MAX(0,Underwriting!$CW$153)</f>
        <v>95917.70689691491</v>
      </c>
      <c r="CR142" s="313" t="n">
        <f>MAX(0,Underwriting!$CX$153)</f>
        <v>95917.70689691491</v>
      </c>
      <c r="CS142" s="313" t="n">
        <f>MAX(0,Underwriting!$CY$153)</f>
        <v>95917.70689691491</v>
      </c>
      <c r="CT142" s="313" t="n">
        <f>MAX(0,Underwriting!$CZ$153)</f>
        <v>95917.70689691491</v>
      </c>
      <c r="CU142" s="313" t="n">
        <f>MAX(0,Underwriting!$DA$153)</f>
        <v>95917.70689691491</v>
      </c>
      <c r="CV142" s="313" t="n">
        <f>MAX(0,Underwriting!$DB$153)</f>
        <v>95917.70689691491</v>
      </c>
      <c r="CW142" s="313" t="n">
        <f>MAX(0,Underwriting!$DC$153)</f>
        <v>95917.70689691491</v>
      </c>
      <c r="CX142" s="313" t="n">
        <f>MAX(0,Underwriting!$DD$153)</f>
        <v>95917.70689691491</v>
      </c>
      <c r="CY142" s="313" t="n">
        <f>MAX(0,Underwriting!$DE$153)</f>
        <v>97836.0610348532</v>
      </c>
      <c r="CZ142" s="313" t="n">
        <f>MAX(0,Underwriting!$DF$153)</f>
        <v>97836.0610348532</v>
      </c>
      <c r="DA142" s="313" t="n">
        <f>MAX(0,Underwriting!$DG$153)</f>
        <v>97836.0610348532</v>
      </c>
      <c r="DB142" s="313" t="n">
        <f>MAX(0,Underwriting!$DH$153)</f>
        <v>97836.0610348532</v>
      </c>
      <c r="DC142" s="313" t="n">
        <f>MAX(0,Underwriting!$DI$153)</f>
        <v>97836.0610348532</v>
      </c>
      <c r="DD142" s="313" t="n">
        <f>MAX(0,Underwriting!$DJ$153)</f>
        <v>97836.0610348532</v>
      </c>
      <c r="DE142" s="313" t="n">
        <f>MAX(0,Underwriting!$DK$153)</f>
        <v>97836.0610348532</v>
      </c>
      <c r="DF142" s="313" t="n">
        <f>MAX(0,Underwriting!$DL$153)</f>
        <v>97836.0610348532</v>
      </c>
      <c r="DG142" s="313" t="n">
        <f>MAX(0,Underwriting!$DM$153)</f>
        <v>97836.0610348532</v>
      </c>
      <c r="DH142" s="313" t="n">
        <f>MAX(0,Underwriting!$DN$153)</f>
        <v>97836.0610348532</v>
      </c>
      <c r="DI142" s="313" t="n">
        <f>MAX(0,Underwriting!$DO$153)</f>
        <v>97836.0610348532</v>
      </c>
      <c r="DJ142" s="313" t="n">
        <f>MAX(0,Underwriting!$DP$153)</f>
        <v>97836.0610348532</v>
      </c>
      <c r="DK142" s="313" t="n">
        <f>MAX(0,Underwriting!$DQ$153)</f>
        <v>99792.78225555028</v>
      </c>
      <c r="DL142" s="313" t="n">
        <f>MAX(0,Underwriting!$DR$153)</f>
        <v>99792.78225555028</v>
      </c>
      <c r="DM142" s="313" t="n">
        <f>MAX(0,Underwriting!$DS$153)</f>
        <v>99792.78225555028</v>
      </c>
      <c r="DN142" s="313" t="n">
        <f>MAX(0,Underwriting!$DT$153)</f>
        <v>99792.78225555028</v>
      </c>
      <c r="DO142" s="313" t="n">
        <f>MAX(0,Underwriting!$DU$153)</f>
        <v>99792.78225555028</v>
      </c>
      <c r="DP142" s="313" t="n">
        <f>MAX(0,Underwriting!$DV$153)</f>
        <v>99792.78225555028</v>
      </c>
      <c r="DQ142" s="313" t="n">
        <f>MAX(0,Underwriting!$DW$153)</f>
        <v>99792.78225555028</v>
      </c>
      <c r="DR142" s="313" t="n">
        <f>MAX(0,Underwriting!$DX$153)</f>
        <v>99792.78225555028</v>
      </c>
      <c r="DS142" s="313" t="n">
        <f>MAX(0,Underwriting!$DY$153)</f>
        <v>99792.78225555028</v>
      </c>
      <c r="DT142" s="313" t="n">
        <f>MAX(0,Underwriting!$DZ$153)</f>
        <v>99792.78225555028</v>
      </c>
      <c r="DU142" s="313" t="n">
        <f>MAX(0,Underwriting!$EA$153)</f>
        <v>99792.78225555028</v>
      </c>
      <c r="DV142" s="313" t="n">
        <f>MAX(0,Underwriting!$EB$153)</f>
        <v>99792.78225555028</v>
      </c>
    </row>
    <row r="143" ht="15" customHeight="1">
      <c r="A143" s="311" t="s">
        <v>1565</v>
      </c>
      <c r="B143" s="312" t="s">
        <v>1321</v>
      </c>
      <c r="C143" s="702" t="s">
        <v>1562</v>
      </c>
      <c r="D143" s="703"/>
      <c r="F143" s="313" t="n">
        <f>F$194-0</f>
        <v>490.1960784313726</v>
      </c>
      <c r="G143" s="313" t="n">
        <f t="shared" ref="G143:AL143" si="224">G$194-F$194</f>
        <v>-490.1960784313726</v>
      </c>
      <c r="H143" s="313">
        <f t="shared" si="224"/>
        <v>0</v>
      </c>
      <c r="I143" s="313">
        <f t="shared" si="224"/>
        <v>0</v>
      </c>
      <c r="J143" s="313">
        <f t="shared" si="224"/>
        <v>0</v>
      </c>
      <c r="K143" s="313">
        <f t="shared" si="224"/>
        <v>0</v>
      </c>
      <c r="L143" s="313">
        <f t="shared" si="224"/>
        <v>0</v>
      </c>
      <c r="M143" s="313">
        <f t="shared" si="224"/>
        <v>168035.02607478102</v>
      </c>
      <c r="N143" s="313">
        <f t="shared" si="224"/>
        <v>0</v>
      </c>
      <c r="O143" s="313">
        <f t="shared" si="224"/>
        <v>0</v>
      </c>
      <c r="P143" s="313">
        <f t="shared" si="224"/>
        <v>0</v>
      </c>
      <c r="Q143" s="313">
        <f t="shared" si="224"/>
        <v>0</v>
      </c>
      <c r="R143" s="313">
        <f t="shared" si="224"/>
        <v>0</v>
      </c>
      <c r="S143" s="313">
        <f t="shared" si="224"/>
        <v>0</v>
      </c>
      <c r="T143" s="313">
        <f t="shared" si="224"/>
        <v>0</v>
      </c>
      <c r="U143" s="313">
        <f t="shared" si="224"/>
        <v>0</v>
      </c>
      <c r="V143" s="313">
        <f t="shared" si="224"/>
        <v>0</v>
      </c>
      <c r="W143" s="313">
        <f t="shared" si="224"/>
        <v>0</v>
      </c>
      <c r="X143" s="313">
        <f t="shared" si="224"/>
        <v>0</v>
      </c>
      <c r="Y143" s="313">
        <f t="shared" si="224"/>
        <v>733442.34891882353</v>
      </c>
      <c r="Z143" s="313">
        <f t="shared" si="224"/>
        <v>0</v>
      </c>
      <c r="AA143" s="313">
        <f t="shared" si="224"/>
        <v>0</v>
      </c>
      <c r="AB143" s="313">
        <f t="shared" si="224"/>
        <v>189302.95205078297</v>
      </c>
      <c r="AC143" s="313">
        <f t="shared" si="224"/>
        <v>0</v>
      </c>
      <c r="AD143" s="313">
        <f t="shared" si="224"/>
        <v>0</v>
      </c>
      <c r="AE143" s="313">
        <f t="shared" si="224"/>
        <v>73326.89438817394</v>
      </c>
      <c r="AF143" s="313">
        <f t="shared" si="224"/>
        <v>0</v>
      </c>
      <c r="AG143" s="313">
        <f t="shared" si="224"/>
        <v>0</v>
      </c>
      <c r="AH143" s="313">
        <f t="shared" si="224"/>
        <v>45139.872140035033</v>
      </c>
      <c r="AI143" s="313">
        <f t="shared" si="224"/>
        <v>0</v>
      </c>
      <c r="AJ143" s="313">
        <f t="shared" si="224"/>
        <v>1825.0760829539504</v>
      </c>
      <c r="AK143" s="313">
        <f t="shared" si="224"/>
        <v>132693.94507863745</v>
      </c>
      <c r="AL143" s="313">
        <f t="shared" si="224"/>
        <v>0</v>
      </c>
      <c r="AM143" s="313" t="n">
        <f t="shared" ref="AM143:BR143" si="225">AM$194-AL$194</f>
        <v>0</v>
      </c>
      <c r="AN143" s="313">
        <f t="shared" si="225"/>
        <v>30129.409114483977</v>
      </c>
      <c r="AO143" s="313">
        <f t="shared" si="225"/>
        <v>0</v>
      </c>
      <c r="AP143" s="313">
        <f t="shared" si="225"/>
        <v>0</v>
      </c>
      <c r="AQ143" s="313">
        <f t="shared" si="225"/>
        <v>1820.0000000002328</v>
      </c>
      <c r="AR143" s="313">
        <f t="shared" si="225"/>
        <v>0</v>
      </c>
      <c r="AS143" s="313">
        <f t="shared" si="225"/>
        <v>0</v>
      </c>
      <c r="AT143" s="313">
        <f t="shared" si="225"/>
        <v>1516.7462484824937</v>
      </c>
      <c r="AU143" s="313">
        <f t="shared" si="225"/>
        <v>0</v>
      </c>
      <c r="AV143" s="313">
        <f t="shared" si="225"/>
        <v>0</v>
      </c>
      <c r="AW143" s="313">
        <f t="shared" si="225"/>
        <v>40835.965042721946</v>
      </c>
      <c r="AX143" s="313">
        <f t="shared" si="225"/>
        <v>0</v>
      </c>
      <c r="AY143" s="313">
        <f t="shared" si="225"/>
        <v>0</v>
      </c>
      <c r="AZ143" s="313">
        <f t="shared" si="225"/>
        <v>6993.6999999999534</v>
      </c>
      <c r="BA143" s="313">
        <f t="shared" si="225"/>
        <v>0</v>
      </c>
      <c r="BB143" s="313">
        <f t="shared" si="225"/>
        <v>0</v>
      </c>
      <c r="BC143" s="313">
        <f t="shared" si="225"/>
        <v>1883.7000000001863</v>
      </c>
      <c r="BD143" s="313">
        <f t="shared" si="225"/>
        <v>0</v>
      </c>
      <c r="BE143" s="313">
        <f t="shared" si="225"/>
        <v>0</v>
      </c>
      <c r="BF143" s="313">
        <f t="shared" si="225"/>
        <v>1514.2049999998417</v>
      </c>
      <c r="BG143" s="313">
        <f t="shared" si="225"/>
        <v>0</v>
      </c>
      <c r="BH143" s="313">
        <f t="shared" si="225"/>
        <v>0</v>
      </c>
      <c r="BI143" s="313">
        <f t="shared" si="225"/>
        <v>36968.505091482773</v>
      </c>
      <c r="BJ143" s="313">
        <f t="shared" si="225"/>
        <v>0</v>
      </c>
      <c r="BK143" s="313">
        <f t="shared" si="225"/>
        <v>0</v>
      </c>
      <c r="BL143" s="313">
        <f t="shared" si="225"/>
        <v>7238.4794999998994</v>
      </c>
      <c r="BM143" s="313">
        <f t="shared" si="225"/>
        <v>0</v>
      </c>
      <c r="BN143" s="313">
        <f t="shared" si="225"/>
        <v>0</v>
      </c>
      <c r="BO143" s="313">
        <f t="shared" si="225"/>
        <v>1949.6295000000391</v>
      </c>
      <c r="BP143" s="313">
        <f t="shared" si="225"/>
        <v>0</v>
      </c>
      <c r="BQ143" s="313">
        <f t="shared" si="225"/>
        <v>0</v>
      </c>
      <c r="BR143" s="313">
        <f t="shared" si="225"/>
        <v>1567.2021750002168</v>
      </c>
      <c r="BS143" s="313" t="n">
        <f t="shared" ref="BS143:CX143" si="226">BS$194-BR$194</f>
        <v>0</v>
      </c>
      <c r="BT143" s="313">
        <f t="shared" si="226"/>
        <v>0</v>
      </c>
      <c r="BU143" s="313">
        <f t="shared" si="226"/>
        <v>37476.405107383383</v>
      </c>
      <c r="BV143" s="313">
        <f t="shared" si="226"/>
        <v>0</v>
      </c>
      <c r="BW143" s="313">
        <f t="shared" si="226"/>
        <v>0</v>
      </c>
      <c r="BX143" s="313">
        <f t="shared" si="226"/>
        <v>7491.8262825000565</v>
      </c>
      <c r="BY143" s="313">
        <f t="shared" si="226"/>
        <v>0</v>
      </c>
      <c r="BZ143" s="313">
        <f t="shared" si="226"/>
        <v>0</v>
      </c>
      <c r="CA143" s="313">
        <f t="shared" si="226"/>
        <v>2017.8665324996691</v>
      </c>
      <c r="CB143" s="313">
        <f t="shared" si="226"/>
        <v>0</v>
      </c>
      <c r="CC143" s="313">
        <f t="shared" si="226"/>
        <v>0</v>
      </c>
      <c r="CD143" s="313">
        <f t="shared" si="226"/>
        <v>1622.0542511250824</v>
      </c>
      <c r="CE143" s="313">
        <f t="shared" si="226"/>
        <v>0</v>
      </c>
      <c r="CF143" s="313">
        <f t="shared" si="226"/>
        <v>0</v>
      </c>
      <c r="CG143" s="313">
        <f t="shared" si="226"/>
        <v>-24854.977964785881</v>
      </c>
      <c r="CH143" s="313">
        <f t="shared" si="226"/>
        <v>0</v>
      </c>
      <c r="CI143" s="313">
        <f t="shared" si="226"/>
        <v>0</v>
      </c>
      <c r="CJ143" s="313">
        <f t="shared" si="226"/>
        <v>7754.0402023876086</v>
      </c>
      <c r="CK143" s="313">
        <f t="shared" si="226"/>
        <v>0</v>
      </c>
      <c r="CL143" s="313">
        <f t="shared" si="226"/>
        <v>0</v>
      </c>
      <c r="CM143" s="313">
        <f t="shared" si="226"/>
        <v>2088.4918611370958</v>
      </c>
      <c r="CN143" s="313">
        <f t="shared" si="226"/>
        <v>0</v>
      </c>
      <c r="CO143" s="313">
        <f t="shared" si="226"/>
        <v>0</v>
      </c>
      <c r="CP143" s="313">
        <f t="shared" si="226"/>
        <v>1678.8261499146465</v>
      </c>
      <c r="CQ143" s="313">
        <f t="shared" si="226"/>
        <v>0</v>
      </c>
      <c r="CR143" s="313">
        <f t="shared" si="226"/>
        <v>0</v>
      </c>
      <c r="CS143" s="313">
        <f t="shared" si="226"/>
        <v>38972.253461635904</v>
      </c>
      <c r="CT143" s="313">
        <f t="shared" si="226"/>
        <v>0</v>
      </c>
      <c r="CU143" s="313">
        <f t="shared" si="226"/>
        <v>0</v>
      </c>
      <c r="CV143" s="313">
        <f t="shared" si="226"/>
        <v>8025.4316094710957</v>
      </c>
      <c r="CW143" s="313">
        <f t="shared" si="226"/>
        <v>0</v>
      </c>
      <c r="CX143" s="313">
        <f t="shared" si="226"/>
        <v>0</v>
      </c>
      <c r="CY143" s="313" t="n">
        <f t="shared" ref="CY143:DV143" si="227">CY$194-CX$194</f>
        <v>2161.5890762773342</v>
      </c>
      <c r="CZ143" s="313">
        <f t="shared" si="227"/>
        <v>0</v>
      </c>
      <c r="DA143" s="313">
        <f t="shared" si="227"/>
        <v>0</v>
      </c>
      <c r="DB143" s="313">
        <f t="shared" si="227"/>
        <v>1737.5850651613437</v>
      </c>
      <c r="DC143" s="313">
        <f t="shared" si="227"/>
        <v>0</v>
      </c>
      <c r="DD143" s="313">
        <f t="shared" si="227"/>
        <v>0</v>
      </c>
      <c r="DE143" s="313">
        <f t="shared" si="227"/>
        <v>40363.987684790744</v>
      </c>
      <c r="DF143" s="313">
        <f t="shared" si="227"/>
        <v>0</v>
      </c>
      <c r="DG143" s="313">
        <f t="shared" si="227"/>
        <v>0</v>
      </c>
      <c r="DH143" s="313">
        <f t="shared" si="227"/>
        <v>8306.3217158026528</v>
      </c>
      <c r="DI143" s="313">
        <f t="shared" si="227"/>
        <v>0</v>
      </c>
      <c r="DJ143" s="313">
        <f t="shared" si="227"/>
        <v>0</v>
      </c>
      <c r="DK143" s="313">
        <f t="shared" si="227"/>
        <v>2237.2446939470246</v>
      </c>
      <c r="DL143" s="313">
        <f t="shared" si="227"/>
        <v>0</v>
      </c>
      <c r="DM143" s="313">
        <f t="shared" si="227"/>
        <v>0</v>
      </c>
      <c r="DN143" s="313">
        <f t="shared" si="227"/>
        <v>1798.4005424419884</v>
      </c>
      <c r="DO143" s="313">
        <f t="shared" si="227"/>
        <v>0</v>
      </c>
      <c r="DP143" s="313">
        <f t="shared" si="227"/>
        <v>0</v>
      </c>
      <c r="DQ143" s="313">
        <f t="shared" si="227"/>
        <v>41817.695584757952</v>
      </c>
      <c r="DR143" s="313">
        <f t="shared" si="227"/>
        <v>0</v>
      </c>
      <c r="DS143" s="313">
        <f t="shared" si="227"/>
        <v>0</v>
      </c>
      <c r="DT143" s="313">
        <f t="shared" si="227"/>
        <v>8597.0429758555256</v>
      </c>
      <c r="DU143" s="313">
        <f t="shared" si="227"/>
        <v>0</v>
      </c>
      <c r="DV143" s="313">
        <f t="shared" si="227"/>
        <v>0</v>
      </c>
    </row>
    <row r="144" ht="15" customHeight="1">
      <c r="A144" s="311" t="s">
        <v>1566</v>
      </c>
      <c r="B144" s="312" t="s">
        <v>1321</v>
      </c>
      <c r="C144" s="702" t="s">
        <v>1567</v>
      </c>
      <c r="D144" s="703"/>
      <c r="F144" s="313" t="n">
        <f t="shared" ref="F144:AK144" si="228">F$139-F$140-F$141-F$142-F$143</f>
        <v>939.5424836601308</v>
      </c>
      <c r="G144" s="313">
        <f t="shared" si="228"/>
        <v>490.1960784313726</v>
      </c>
      <c r="H144" s="313">
        <f t="shared" si="228"/>
        <v>0</v>
      </c>
      <c r="I144" s="313">
        <f t="shared" si="228"/>
        <v>0</v>
      </c>
      <c r="J144" s="313">
        <f t="shared" si="228"/>
        <v>0</v>
      </c>
      <c r="K144" s="313">
        <f t="shared" si="228"/>
        <v>0</v>
      </c>
      <c r="L144" s="313">
        <f t="shared" si="228"/>
        <v>-114338.88963590557</v>
      </c>
      <c r="M144" s="313">
        <f t="shared" si="228"/>
        <v>277672.73599684314</v>
      </c>
      <c r="N144" s="313">
        <f t="shared" si="228"/>
        <v>410064.93663964409</v>
      </c>
      <c r="O144" s="313">
        <f t="shared" si="228"/>
        <v>410064.93663964409</v>
      </c>
      <c r="P144" s="313">
        <f t="shared" si="228"/>
        <v>410064.93663964409</v>
      </c>
      <c r="Q144" s="313">
        <f t="shared" si="228"/>
        <v>410064.93663964409</v>
      </c>
      <c r="R144" s="313">
        <f t="shared" si="228"/>
        <v>410064.93663964409</v>
      </c>
      <c r="S144" s="313">
        <f t="shared" si="228"/>
        <v>410064.93663964409</v>
      </c>
      <c r="T144" s="313">
        <f t="shared" si="228"/>
        <v>410064.93663964409</v>
      </c>
      <c r="U144" s="313">
        <f t="shared" si="228"/>
        <v>410064.93663964409</v>
      </c>
      <c r="V144" s="313">
        <f t="shared" si="228"/>
        <v>410064.93663964409</v>
      </c>
      <c r="W144" s="313">
        <f t="shared" si="228"/>
        <v>410064.93663964409</v>
      </c>
      <c r="X144" s="313">
        <f t="shared" si="228"/>
        <v>306279.53355418082</v>
      </c>
      <c r="Y144" s="313">
        <f t="shared" si="228"/>
        <v>1742268.0617968831</v>
      </c>
      <c r="Z144" s="313">
        <f t="shared" si="228"/>
        <v>2500528.1403991431</v>
      </c>
      <c r="AA144" s="313">
        <f t="shared" si="228"/>
        <v>2543934.7546763411</v>
      </c>
      <c r="AB144" s="313">
        <f t="shared" si="228"/>
        <v>2930032.8950122595</v>
      </c>
      <c r="AC144" s="313">
        <f t="shared" si="228"/>
        <v>3153770.0980528952</v>
      </c>
      <c r="AD144" s="313">
        <f t="shared" si="228"/>
        <v>3168658.9155900697</v>
      </c>
      <c r="AE144" s="313">
        <f t="shared" si="228"/>
        <v>3338124.0909343371</v>
      </c>
      <c r="AF144" s="313">
        <f t="shared" si="228"/>
        <v>3427996.7946820613</v>
      </c>
      <c r="AG144" s="313">
        <f t="shared" si="228"/>
        <v>3430798.2137312237</v>
      </c>
      <c r="AH144" s="313">
        <f t="shared" si="228"/>
        <v>3537525.8697647834</v>
      </c>
      <c r="AI144" s="313">
        <f t="shared" si="228"/>
        <v>3577308.914920439</v>
      </c>
      <c r="AJ144" s="313">
        <f t="shared" si="228"/>
        <v>3586549.9274014253</v>
      </c>
      <c r="AK144" s="313">
        <f t="shared" si="228"/>
        <v>3844630.3085128088</v>
      </c>
      <c r="AL144" s="313" t="n">
        <f t="shared" ref="AL144:BQ144" si="229">AL$139-AL$140-AL$141-AL$142-AL$143</f>
        <v>3944875.248834038</v>
      </c>
      <c r="AM144" s="313">
        <f t="shared" si="229"/>
        <v>3979276.541002735</v>
      </c>
      <c r="AN144" s="313">
        <f t="shared" si="229"/>
        <v>4026292.6668267576</v>
      </c>
      <c r="AO144" s="313">
        <f t="shared" si="229"/>
        <v>4117446.9807930863</v>
      </c>
      <c r="AP144" s="313">
        <f t="shared" si="229"/>
        <v>4137504.3906773375</v>
      </c>
      <c r="AQ144" s="313">
        <f t="shared" si="229"/>
        <v>4358262.4416015549</v>
      </c>
      <c r="AR144" s="313">
        <f t="shared" si="229"/>
        <v>4360082.4416015549</v>
      </c>
      <c r="AS144" s="313">
        <f t="shared" si="229"/>
        <v>4348897.1534382384</v>
      </c>
      <c r="AT144" s="313">
        <f t="shared" si="229"/>
        <v>4362989.5385778127</v>
      </c>
      <c r="AU144" s="313">
        <f t="shared" si="229"/>
        <v>4353320.996662979</v>
      </c>
      <c r="AV144" s="313">
        <f t="shared" si="229"/>
        <v>4364506.2848262955</v>
      </c>
      <c r="AW144" s="313">
        <f t="shared" si="229"/>
        <v>4438555.7254413012</v>
      </c>
      <c r="AX144" s="313">
        <f t="shared" si="229"/>
        <v>4445835.8259940743</v>
      </c>
      <c r="AY144" s="313">
        <f t="shared" si="229"/>
        <v>4479391.6904840227</v>
      </c>
      <c r="AZ144" s="313">
        <f t="shared" si="229"/>
        <v>4481610.9939873731</v>
      </c>
      <c r="BA144" s="313">
        <f t="shared" si="229"/>
        <v>4499789.9821506897</v>
      </c>
      <c r="BB144" s="313">
        <f t="shared" si="229"/>
        <v>4488604.6939873733</v>
      </c>
      <c r="BC144" s="313">
        <f t="shared" si="229"/>
        <v>4330521.5763975196</v>
      </c>
      <c r="BD144" s="313">
        <f t="shared" si="229"/>
        <v>4507510.9625942344</v>
      </c>
      <c r="BE144" s="313">
        <f t="shared" si="229"/>
        <v>4493537.1342383949</v>
      </c>
      <c r="BF144" s="313">
        <f t="shared" si="229"/>
        <v>4504854.3682854306</v>
      </c>
      <c r="BG144" s="313">
        <f t="shared" si="229"/>
        <v>4492561.3417321946</v>
      </c>
      <c r="BH144" s="313">
        <f t="shared" si="229"/>
        <v>4500782.5327588664</v>
      </c>
      <c r="BI144" s="313">
        <f t="shared" si="229"/>
        <v>4565004.605379656</v>
      </c>
      <c r="BJ144" s="313">
        <f t="shared" si="229"/>
        <v>4566854.3408279261</v>
      </c>
      <c r="BK144" s="313">
        <f t="shared" si="229"/>
        <v>4596170.6677973345</v>
      </c>
      <c r="BL144" s="313">
        <f t="shared" si="229"/>
        <v>4596583.5394709054</v>
      </c>
      <c r="BM144" s="313">
        <f t="shared" si="229"/>
        <v>4611457.7797614494</v>
      </c>
      <c r="BN144" s="313">
        <f t="shared" si="229"/>
        <v>4598156.9952712823</v>
      </c>
      <c r="BO144" s="313">
        <f t="shared" si="229"/>
        <v>4608058.3762804801</v>
      </c>
      <c r="BP144" s="313">
        <f t="shared" si="229"/>
        <v>4292848.373020404</v>
      </c>
      <c r="BQ144" s="313">
        <f t="shared" si="229"/>
        <v>4291230.9562465614</v>
      </c>
      <c r="BR144" s="313" t="n">
        <f t="shared" ref="BR144:CW144" si="230">BR$139-BR$140-BR$141-BR$142-BR$143</f>
        <v>4294234.760415312</v>
      </c>
      <c r="BS144" s="313">
        <f t="shared" si="230"/>
        <v>4295801.9625903117</v>
      </c>
      <c r="BT144" s="313">
        <f t="shared" si="230"/>
        <v>4295801.9625903117</v>
      </c>
      <c r="BU144" s="313">
        <f t="shared" si="230"/>
        <v>4363733.2905914709</v>
      </c>
      <c r="BV144" s="313">
        <f t="shared" si="230"/>
        <v>4401209.6956988545</v>
      </c>
      <c r="BW144" s="313">
        <f t="shared" si="230"/>
        <v>4401209.6956988545</v>
      </c>
      <c r="BX144" s="313">
        <f t="shared" si="230"/>
        <v>4415569.0294069787</v>
      </c>
      <c r="BY144" s="313">
        <f t="shared" si="230"/>
        <v>4423060.855689479</v>
      </c>
      <c r="BZ144" s="313">
        <f t="shared" si="230"/>
        <v>4423060.855689479</v>
      </c>
      <c r="CA144" s="313">
        <f t="shared" si="230"/>
        <v>4425637.7297339831</v>
      </c>
      <c r="CB144" s="313">
        <f t="shared" si="230"/>
        <v>4427655.596266483</v>
      </c>
      <c r="CC144" s="313">
        <f t="shared" si="230"/>
        <v>4427655.596266483</v>
      </c>
      <c r="CD144" s="313">
        <f t="shared" si="230"/>
        <v>4430764.5335811386</v>
      </c>
      <c r="CE144" s="313">
        <f t="shared" si="230"/>
        <v>4432386.5878322637</v>
      </c>
      <c r="CF144" s="313">
        <f t="shared" si="230"/>
        <v>4432386.5878322637</v>
      </c>
      <c r="CG144" s="313">
        <f t="shared" si="230"/>
        <v>4386992.0224428084</v>
      </c>
      <c r="CH144" s="313">
        <f t="shared" si="230"/>
        <v>4362137.0444780225</v>
      </c>
      <c r="CI144" s="313">
        <f t="shared" si="230"/>
        <v>4362137.0444780225</v>
      </c>
      <c r="CJ144" s="313">
        <f t="shared" si="230"/>
        <v>4376998.9548659315</v>
      </c>
      <c r="CK144" s="313">
        <f t="shared" si="230"/>
        <v>4384752.9950683191</v>
      </c>
      <c r="CL144" s="313">
        <f t="shared" si="230"/>
        <v>4384752.9950683191</v>
      </c>
      <c r="CM144" s="313">
        <f t="shared" si="230"/>
        <v>4387439.4202565216</v>
      </c>
      <c r="CN144" s="313">
        <f t="shared" si="230"/>
        <v>4389527.9121176582</v>
      </c>
      <c r="CO144" s="313">
        <f t="shared" si="230"/>
        <v>4389527.9121176582</v>
      </c>
      <c r="CP144" s="313">
        <f t="shared" si="230"/>
        <v>4392745.6622383278</v>
      </c>
      <c r="CQ144" s="313">
        <f t="shared" si="230"/>
        <v>4394424.4883882422</v>
      </c>
      <c r="CR144" s="313">
        <f t="shared" si="230"/>
        <v>4394424.4883882422</v>
      </c>
      <c r="CS144" s="313">
        <f t="shared" si="230"/>
        <v>4465064.4660836253</v>
      </c>
      <c r="CT144" s="313">
        <f t="shared" si="230"/>
        <v>4504036.719545261</v>
      </c>
      <c r="CU144" s="313">
        <f t="shared" si="230"/>
        <v>4504036.719545261</v>
      </c>
      <c r="CV144" s="313">
        <f t="shared" si="230"/>
        <v>4519418.7967967475</v>
      </c>
      <c r="CW144" s="313">
        <f t="shared" si="230"/>
        <v>4527444.2284062188</v>
      </c>
      <c r="CX144" s="313" t="n">
        <f t="shared" ref="CX144:DV144" si="231">CX$139-CX$140-CX$141-CX$142-CX$143</f>
        <v>4527444.228406219</v>
      </c>
      <c r="CY144" s="313">
        <f t="shared" si="231"/>
        <v>4530244.4262391925</v>
      </c>
      <c r="CZ144" s="313">
        <f t="shared" si="231"/>
        <v>4532406.0153154703</v>
      </c>
      <c r="DA144" s="313">
        <f t="shared" si="231"/>
        <v>4532406.0153154703</v>
      </c>
      <c r="DB144" s="313">
        <f t="shared" si="231"/>
        <v>4535736.3866903633</v>
      </c>
      <c r="DC144" s="313">
        <f t="shared" si="231"/>
        <v>4537473.9717555242</v>
      </c>
      <c r="DD144" s="313">
        <f t="shared" si="231"/>
        <v>4537473.9717555242</v>
      </c>
      <c r="DE144" s="313">
        <f t="shared" si="231"/>
        <v>4610638.5349988136</v>
      </c>
      <c r="DF144" s="313">
        <f t="shared" si="231"/>
        <v>4651002.5226836046</v>
      </c>
      <c r="DG144" s="313">
        <f t="shared" si="231"/>
        <v>4651002.5226836046</v>
      </c>
      <c r="DH144" s="313">
        <f t="shared" si="231"/>
        <v>4666922.972638892</v>
      </c>
      <c r="DI144" s="313">
        <f t="shared" si="231"/>
        <v>4675229.2943546949</v>
      </c>
      <c r="DJ144" s="313">
        <f t="shared" si="231"/>
        <v>4675229.2943546949</v>
      </c>
      <c r="DK144" s="313">
        <f t="shared" si="231"/>
        <v>4678147.641830273</v>
      </c>
      <c r="DL144" s="313">
        <f t="shared" si="231"/>
        <v>4680384.88652422</v>
      </c>
      <c r="DM144" s="313">
        <f t="shared" si="231"/>
        <v>4680384.88652422</v>
      </c>
      <c r="DN144" s="313">
        <f t="shared" si="231"/>
        <v>4683831.8208972337</v>
      </c>
      <c r="DO144" s="313">
        <f t="shared" si="231"/>
        <v>4685630.2214396754</v>
      </c>
      <c r="DP144" s="313">
        <f t="shared" si="231"/>
        <v>4685630.2214396754</v>
      </c>
      <c r="DQ144" s="313">
        <f t="shared" si="231"/>
        <v>4761431.8977758335</v>
      </c>
      <c r="DR144" s="313">
        <f t="shared" si="231"/>
        <v>4803249.5933605917</v>
      </c>
      <c r="DS144" s="313">
        <f t="shared" si="231"/>
        <v>4803249.5933605917</v>
      </c>
      <c r="DT144" s="313">
        <f t="shared" si="231"/>
        <v>4819727.2590643149</v>
      </c>
      <c r="DU144" s="313">
        <f t="shared" si="231"/>
        <v>4828324.3020401699</v>
      </c>
      <c r="DV144" s="313">
        <f t="shared" si="231"/>
        <v>4828324.3020401699</v>
      </c>
    </row>
    <row r="145" ht="15" customHeight="1">
      <c r="A145" s="311" t="s">
        <v>1568</v>
      </c>
      <c r="B145" s="312" t="s">
        <v>1321</v>
      </c>
      <c r="C145" s="702" t="s">
        <v>1569</v>
      </c>
      <c r="D145" s="703"/>
      <c r="F145" s="313" t="n">
        <f t="shared" ref="F145:AK145" si="232">F$108+F$109</f>
        <v>0</v>
      </c>
      <c r="G145" s="313">
        <f t="shared" si="232"/>
        <v>546.86800519294479</v>
      </c>
      <c r="H145" s="313">
        <f t="shared" si="232"/>
        <v>547.18086528177923</v>
      </c>
      <c r="I145" s="313">
        <f t="shared" si="232"/>
        <v>532.4531646612254</v>
      </c>
      <c r="J145" s="313">
        <f t="shared" si="232"/>
        <v>553.14103670735506</v>
      </c>
      <c r="K145" s="313">
        <f t="shared" si="232"/>
        <v>538.25291450415352</v>
      </c>
      <c r="L145" s="313">
        <f t="shared" si="232"/>
        <v>559.16612934212537</v>
      </c>
      <c r="M145" s="313">
        <f t="shared" si="232"/>
        <v>1193.466355005068</v>
      </c>
      <c r="N145" s="313">
        <f t="shared" si="232"/>
        <v>0</v>
      </c>
      <c r="O145" s="313">
        <f t="shared" si="232"/>
        <v>0</v>
      </c>
      <c r="P145" s="313">
        <f t="shared" si="232"/>
        <v>0</v>
      </c>
      <c r="Q145" s="313">
        <f t="shared" si="232"/>
        <v>0</v>
      </c>
      <c r="R145" s="313">
        <f t="shared" si="232"/>
        <v>0</v>
      </c>
      <c r="S145" s="313">
        <f t="shared" si="232"/>
        <v>0</v>
      </c>
      <c r="T145" s="313">
        <f t="shared" si="232"/>
        <v>0</v>
      </c>
      <c r="U145" s="313">
        <f t="shared" si="232"/>
        <v>0</v>
      </c>
      <c r="V145" s="313">
        <f t="shared" si="232"/>
        <v>0</v>
      </c>
      <c r="W145" s="313">
        <f t="shared" si="232"/>
        <v>0</v>
      </c>
      <c r="X145" s="313">
        <f t="shared" si="232"/>
        <v>0</v>
      </c>
      <c r="Y145" s="313">
        <f t="shared" si="232"/>
        <v>0</v>
      </c>
      <c r="Z145" s="313">
        <f t="shared" si="232"/>
        <v>0</v>
      </c>
      <c r="AA145" s="313">
        <f t="shared" si="232"/>
        <v>0</v>
      </c>
      <c r="AB145" s="313">
        <f t="shared" si="232"/>
        <v>0</v>
      </c>
      <c r="AC145" s="313">
        <f t="shared" si="232"/>
        <v>0</v>
      </c>
      <c r="AD145" s="313">
        <f t="shared" si="232"/>
        <v>0</v>
      </c>
      <c r="AE145" s="313">
        <f t="shared" si="232"/>
        <v>0</v>
      </c>
      <c r="AF145" s="313">
        <f t="shared" si="232"/>
        <v>0</v>
      </c>
      <c r="AG145" s="313">
        <f t="shared" si="232"/>
        <v>0</v>
      </c>
      <c r="AH145" s="313">
        <f t="shared" si="232"/>
        <v>0</v>
      </c>
      <c r="AI145" s="313">
        <f t="shared" si="232"/>
        <v>0</v>
      </c>
      <c r="AJ145" s="313">
        <f t="shared" si="232"/>
        <v>0</v>
      </c>
      <c r="AK145" s="313">
        <f t="shared" si="232"/>
        <v>0</v>
      </c>
      <c r="AL145" s="313" t="n">
        <f t="shared" ref="AL145:BQ145" si="233">AL$108+AL$109</f>
        <v>0</v>
      </c>
      <c r="AM145" s="313">
        <f t="shared" si="233"/>
        <v>0</v>
      </c>
      <c r="AN145" s="313">
        <f t="shared" si="233"/>
        <v>0</v>
      </c>
      <c r="AO145" s="313">
        <f t="shared" si="233"/>
        <v>0</v>
      </c>
      <c r="AP145" s="313">
        <f t="shared" si="233"/>
        <v>0</v>
      </c>
      <c r="AQ145" s="313">
        <f t="shared" si="233"/>
        <v>0</v>
      </c>
      <c r="AR145" s="313">
        <f t="shared" si="233"/>
        <v>0</v>
      </c>
      <c r="AS145" s="313">
        <f t="shared" si="233"/>
        <v>0</v>
      </c>
      <c r="AT145" s="313">
        <f t="shared" si="233"/>
        <v>0</v>
      </c>
      <c r="AU145" s="313">
        <f t="shared" si="233"/>
        <v>0</v>
      </c>
      <c r="AV145" s="313">
        <f t="shared" si="233"/>
        <v>0</v>
      </c>
      <c r="AW145" s="313">
        <f t="shared" si="233"/>
        <v>0</v>
      </c>
      <c r="AX145" s="313">
        <f t="shared" si="233"/>
        <v>0</v>
      </c>
      <c r="AY145" s="313">
        <f t="shared" si="233"/>
        <v>0</v>
      </c>
      <c r="AZ145" s="313">
        <f t="shared" si="233"/>
        <v>0</v>
      </c>
      <c r="BA145" s="313">
        <f t="shared" si="233"/>
        <v>0</v>
      </c>
      <c r="BB145" s="313">
        <f t="shared" si="233"/>
        <v>0</v>
      </c>
      <c r="BC145" s="313">
        <f t="shared" si="233"/>
        <v>0</v>
      </c>
      <c r="BD145" s="313">
        <f t="shared" si="233"/>
        <v>0</v>
      </c>
      <c r="BE145" s="313">
        <f t="shared" si="233"/>
        <v>0</v>
      </c>
      <c r="BF145" s="313">
        <f t="shared" si="233"/>
        <v>0</v>
      </c>
      <c r="BG145" s="313">
        <f t="shared" si="233"/>
        <v>0</v>
      </c>
      <c r="BH145" s="313">
        <f t="shared" si="233"/>
        <v>0</v>
      </c>
      <c r="BI145" s="313">
        <f t="shared" si="233"/>
        <v>0</v>
      </c>
      <c r="BJ145" s="313">
        <f t="shared" si="233"/>
        <v>0</v>
      </c>
      <c r="BK145" s="313">
        <f t="shared" si="233"/>
        <v>0</v>
      </c>
      <c r="BL145" s="313">
        <f t="shared" si="233"/>
        <v>0</v>
      </c>
      <c r="BM145" s="313">
        <f t="shared" si="233"/>
        <v>0</v>
      </c>
      <c r="BN145" s="313">
        <f t="shared" si="233"/>
        <v>0</v>
      </c>
      <c r="BO145" s="313">
        <f t="shared" si="233"/>
        <v>0</v>
      </c>
      <c r="BP145" s="313">
        <f t="shared" si="233"/>
        <v>5391.3892461422438</v>
      </c>
      <c r="BQ145" s="313">
        <f t="shared" si="233"/>
        <v>0</v>
      </c>
      <c r="BR145" s="313" t="n">
        <f t="shared" ref="BR145:CW145" si="234">BR$108+BR$109</f>
        <v>0</v>
      </c>
      <c r="BS145" s="313">
        <f t="shared" si="234"/>
        <v>0</v>
      </c>
      <c r="BT145" s="313">
        <f t="shared" si="234"/>
        <v>0</v>
      </c>
      <c r="BU145" s="313">
        <f t="shared" si="234"/>
        <v>0</v>
      </c>
      <c r="BV145" s="313">
        <f t="shared" si="234"/>
        <v>0</v>
      </c>
      <c r="BW145" s="313">
        <f t="shared" si="234"/>
        <v>0</v>
      </c>
      <c r="BX145" s="313">
        <f t="shared" si="234"/>
        <v>0</v>
      </c>
      <c r="BY145" s="313">
        <f t="shared" si="234"/>
        <v>0</v>
      </c>
      <c r="BZ145" s="313">
        <f t="shared" si="234"/>
        <v>0</v>
      </c>
      <c r="CA145" s="313">
        <f t="shared" si="234"/>
        <v>0</v>
      </c>
      <c r="CB145" s="313">
        <f t="shared" si="234"/>
        <v>0</v>
      </c>
      <c r="CC145" s="313">
        <f t="shared" si="234"/>
        <v>0</v>
      </c>
      <c r="CD145" s="313">
        <f t="shared" si="234"/>
        <v>0</v>
      </c>
      <c r="CE145" s="313">
        <f t="shared" si="234"/>
        <v>0</v>
      </c>
      <c r="CF145" s="313">
        <f t="shared" si="234"/>
        <v>0</v>
      </c>
      <c r="CG145" s="313">
        <f t="shared" si="234"/>
        <v>0</v>
      </c>
      <c r="CH145" s="313">
        <f t="shared" si="234"/>
        <v>0</v>
      </c>
      <c r="CI145" s="313">
        <f t="shared" si="234"/>
        <v>0</v>
      </c>
      <c r="CJ145" s="313">
        <f t="shared" si="234"/>
        <v>0</v>
      </c>
      <c r="CK145" s="313">
        <f t="shared" si="234"/>
        <v>0</v>
      </c>
      <c r="CL145" s="313">
        <f t="shared" si="234"/>
        <v>0</v>
      </c>
      <c r="CM145" s="313">
        <f t="shared" si="234"/>
        <v>0</v>
      </c>
      <c r="CN145" s="313">
        <f t="shared" si="234"/>
        <v>0</v>
      </c>
      <c r="CO145" s="313">
        <f t="shared" si="234"/>
        <v>0</v>
      </c>
      <c r="CP145" s="313">
        <f t="shared" si="234"/>
        <v>0</v>
      </c>
      <c r="CQ145" s="313">
        <f t="shared" si="234"/>
        <v>0</v>
      </c>
      <c r="CR145" s="313">
        <f t="shared" si="234"/>
        <v>0</v>
      </c>
      <c r="CS145" s="313">
        <f t="shared" si="234"/>
        <v>0</v>
      </c>
      <c r="CT145" s="313">
        <f t="shared" si="234"/>
        <v>0</v>
      </c>
      <c r="CU145" s="313">
        <f t="shared" si="234"/>
        <v>0</v>
      </c>
      <c r="CV145" s="313">
        <f t="shared" si="234"/>
        <v>0</v>
      </c>
      <c r="CW145" s="313">
        <f t="shared" si="234"/>
        <v>0</v>
      </c>
      <c r="CX145" s="313" t="n">
        <f t="shared" ref="CX145:DV145" si="235">CX$108+CX$109</f>
        <v>0</v>
      </c>
      <c r="CY145" s="313">
        <f t="shared" si="235"/>
        <v>0</v>
      </c>
      <c r="CZ145" s="313">
        <f t="shared" si="235"/>
        <v>0</v>
      </c>
      <c r="DA145" s="313">
        <f t="shared" si="235"/>
        <v>0</v>
      </c>
      <c r="DB145" s="313">
        <f t="shared" si="235"/>
        <v>0</v>
      </c>
      <c r="DC145" s="313">
        <f t="shared" si="235"/>
        <v>0</v>
      </c>
      <c r="DD145" s="313">
        <f t="shared" si="235"/>
        <v>0</v>
      </c>
      <c r="DE145" s="313">
        <f t="shared" si="235"/>
        <v>0</v>
      </c>
      <c r="DF145" s="313">
        <f t="shared" si="235"/>
        <v>0</v>
      </c>
      <c r="DG145" s="313">
        <f t="shared" si="235"/>
        <v>0</v>
      </c>
      <c r="DH145" s="313">
        <f t="shared" si="235"/>
        <v>0</v>
      </c>
      <c r="DI145" s="313">
        <f t="shared" si="235"/>
        <v>0</v>
      </c>
      <c r="DJ145" s="313">
        <f t="shared" si="235"/>
        <v>0</v>
      </c>
      <c r="DK145" s="313">
        <f t="shared" si="235"/>
        <v>0</v>
      </c>
      <c r="DL145" s="313">
        <f t="shared" si="235"/>
        <v>0</v>
      </c>
      <c r="DM145" s="313">
        <f t="shared" si="235"/>
        <v>0</v>
      </c>
      <c r="DN145" s="313">
        <f t="shared" si="235"/>
        <v>0</v>
      </c>
      <c r="DO145" s="313">
        <f t="shared" si="235"/>
        <v>0</v>
      </c>
      <c r="DP145" s="313">
        <f t="shared" si="235"/>
        <v>0</v>
      </c>
      <c r="DQ145" s="313">
        <f t="shared" si="235"/>
        <v>0</v>
      </c>
      <c r="DR145" s="313">
        <f t="shared" si="235"/>
        <v>0</v>
      </c>
      <c r="DS145" s="313">
        <f t="shared" si="235"/>
        <v>0</v>
      </c>
      <c r="DT145" s="313">
        <f t="shared" si="235"/>
        <v>0</v>
      </c>
      <c r="DU145" s="313">
        <f t="shared" si="235"/>
        <v>0</v>
      </c>
      <c r="DV145" s="313">
        <f t="shared" si="235"/>
        <v>0</v>
      </c>
    </row>
    <row r="146" ht="15" customHeight="1">
      <c r="A146" s="311" t="s">
        <v>1570</v>
      </c>
      <c r="B146" s="312" t="s">
        <v>1321</v>
      </c>
      <c r="C146" s="702" t="s">
        <v>1571</v>
      </c>
      <c r="D146" s="703"/>
      <c r="F146" s="313" t="n">
        <f t="shared" ref="F146:AK146" si="236">F$84+F$86+F$88+F$123</f>
        <v>0</v>
      </c>
      <c r="G146" s="313">
        <f t="shared" si="236"/>
        <v>0</v>
      </c>
      <c r="H146" s="313">
        <f t="shared" si="236"/>
        <v>0</v>
      </c>
      <c r="I146" s="313">
        <f t="shared" si="236"/>
        <v>0</v>
      </c>
      <c r="J146" s="313">
        <f t="shared" si="236"/>
        <v>0</v>
      </c>
      <c r="K146" s="313">
        <f t="shared" si="236"/>
        <v>0</v>
      </c>
      <c r="L146" s="313">
        <f t="shared" si="236"/>
        <v>0</v>
      </c>
      <c r="M146" s="313">
        <f t="shared" si="236"/>
        <v>0</v>
      </c>
      <c r="N146" s="313">
        <f t="shared" si="236"/>
        <v>0</v>
      </c>
      <c r="O146" s="313">
        <f t="shared" si="236"/>
        <v>0</v>
      </c>
      <c r="P146" s="313">
        <f t="shared" si="236"/>
        <v>0</v>
      </c>
      <c r="Q146" s="313">
        <f t="shared" si="236"/>
        <v>0</v>
      </c>
      <c r="R146" s="313">
        <f t="shared" si="236"/>
        <v>0</v>
      </c>
      <c r="S146" s="313">
        <f t="shared" si="236"/>
        <v>0</v>
      </c>
      <c r="T146" s="313">
        <f t="shared" si="236"/>
        <v>0</v>
      </c>
      <c r="U146" s="313">
        <f t="shared" si="236"/>
        <v>0</v>
      </c>
      <c r="V146" s="313">
        <f t="shared" si="236"/>
        <v>0</v>
      </c>
      <c r="W146" s="313">
        <f t="shared" si="236"/>
        <v>0</v>
      </c>
      <c r="X146" s="313">
        <f t="shared" si="236"/>
        <v>0</v>
      </c>
      <c r="Y146" s="313">
        <f t="shared" si="236"/>
        <v>100746.75382763427</v>
      </c>
      <c r="Z146" s="313">
        <f t="shared" si="236"/>
        <v>183472.51943908882</v>
      </c>
      <c r="AA146" s="313">
        <f t="shared" si="236"/>
        <v>328161.23369641678</v>
      </c>
      <c r="AB146" s="313">
        <f t="shared" si="236"/>
        <v>405719.50782503159</v>
      </c>
      <c r="AC146" s="313">
        <f t="shared" si="236"/>
        <v>520500.34445787367</v>
      </c>
      <c r="AD146" s="313">
        <f t="shared" si="236"/>
        <v>570129.73624845594</v>
      </c>
      <c r="AE146" s="313">
        <f t="shared" si="236"/>
        <v>666536.27324934606</v>
      </c>
      <c r="AF146" s="313">
        <f t="shared" si="236"/>
        <v>721688.97111451253</v>
      </c>
      <c r="AG146" s="313">
        <f t="shared" si="236"/>
        <v>731027.03461172036</v>
      </c>
      <c r="AH146" s="313">
        <f t="shared" si="236"/>
        <v>798392.26049558516</v>
      </c>
      <c r="AI146" s="313">
        <f t="shared" si="236"/>
        <v>780536.17054765322</v>
      </c>
      <c r="AJ146" s="313">
        <f t="shared" si="236"/>
        <v>826324.76069202577</v>
      </c>
      <c r="AK146" s="313">
        <f t="shared" si="236"/>
        <v>832742.23945104959</v>
      </c>
      <c r="AL146" s="313" t="n">
        <f t="shared" ref="AL146:BQ146" si="237">AL$84+AL$86+AL$88+AL$123</f>
        <v>724578.8902596894</v>
      </c>
      <c r="AM146" s="313">
        <f t="shared" si="237"/>
        <v>839249.86415534536</v>
      </c>
      <c r="AN146" s="313">
        <f t="shared" si="237"/>
        <v>803476.8364484387</v>
      </c>
      <c r="AO146" s="313">
        <f t="shared" si="237"/>
        <v>1006893.1859545882</v>
      </c>
      <c r="AP146" s="313">
        <f t="shared" si="237"/>
        <v>1073751.218902092</v>
      </c>
      <c r="AQ146" s="313">
        <f t="shared" si="237"/>
        <v>1155813.1102093433</v>
      </c>
      <c r="AR146" s="313">
        <f t="shared" si="237"/>
        <v>1155813.1102093433</v>
      </c>
      <c r="AS146" s="313">
        <f t="shared" si="237"/>
        <v>1118528.8163316224</v>
      </c>
      <c r="AT146" s="313">
        <f t="shared" si="237"/>
        <v>1155813.1102093433</v>
      </c>
      <c r="AU146" s="313">
        <f t="shared" si="237"/>
        <v>1118528.8163316224</v>
      </c>
      <c r="AV146" s="313">
        <f t="shared" si="237"/>
        <v>1155813.1102093433</v>
      </c>
      <c r="AW146" s="313">
        <f t="shared" si="237"/>
        <v>1155813.1102093433</v>
      </c>
      <c r="AX146" s="313">
        <f t="shared" si="237"/>
        <v>1043960.2285761809</v>
      </c>
      <c r="AY146" s="313">
        <f t="shared" si="237"/>
        <v>1155813.1102093433</v>
      </c>
      <c r="AZ146" s="313">
        <f t="shared" si="237"/>
        <v>1118528.8163316224</v>
      </c>
      <c r="BA146" s="313">
        <f t="shared" si="237"/>
        <v>1155813.1102093433</v>
      </c>
      <c r="BB146" s="313">
        <f t="shared" si="237"/>
        <v>1118528.8163316224</v>
      </c>
      <c r="BC146" s="313">
        <f t="shared" si="237"/>
        <v>583685.62065571814</v>
      </c>
      <c r="BD146" s="313">
        <f t="shared" si="237"/>
        <v>1167371.2413114363</v>
      </c>
      <c r="BE146" s="313">
        <f t="shared" si="237"/>
        <v>1120791.8134586352</v>
      </c>
      <c r="BF146" s="313">
        <f t="shared" si="237"/>
        <v>1148841.839448757</v>
      </c>
      <c r="BG146" s="313">
        <f t="shared" si="237"/>
        <v>1102817.7342713035</v>
      </c>
      <c r="BH146" s="313">
        <f t="shared" si="237"/>
        <v>1130221.7043602096</v>
      </c>
      <c r="BI146" s="313">
        <f t="shared" si="237"/>
        <v>1120918.0330325065</v>
      </c>
      <c r="BJ146" s="313">
        <f t="shared" si="237"/>
        <v>1003855.4675551307</v>
      </c>
      <c r="BK146" s="313">
        <f t="shared" si="237"/>
        <v>1101576.5574531581</v>
      </c>
      <c r="BL146" s="313">
        <f t="shared" si="237"/>
        <v>1056706.9551150624</v>
      </c>
      <c r="BM146" s="313">
        <f t="shared" si="237"/>
        <v>1082159.4910835412</v>
      </c>
      <c r="BN146" s="313">
        <f t="shared" si="237"/>
        <v>1037823.5427829858</v>
      </c>
      <c r="BO146" s="313">
        <f t="shared" si="237"/>
        <v>1062590.1651130617</v>
      </c>
      <c r="BP146" s="313">
        <f t="shared" si="237"/>
        <v>0</v>
      </c>
      <c r="BQ146" s="313">
        <f t="shared" si="237"/>
        <v>0</v>
      </c>
      <c r="BR146" s="313" t="n">
        <f t="shared" ref="BR146:CW146" si="238">BR$84+BR$86+BR$88+BR$123</f>
        <v>0</v>
      </c>
      <c r="BS146" s="313">
        <f t="shared" si="238"/>
        <v>0</v>
      </c>
      <c r="BT146" s="313">
        <f t="shared" si="238"/>
        <v>0</v>
      </c>
      <c r="BU146" s="313">
        <f t="shared" si="238"/>
        <v>0</v>
      </c>
      <c r="BV146" s="313">
        <f t="shared" si="238"/>
        <v>0</v>
      </c>
      <c r="BW146" s="313">
        <f t="shared" si="238"/>
        <v>0</v>
      </c>
      <c r="BX146" s="313">
        <f t="shared" si="238"/>
        <v>0</v>
      </c>
      <c r="BY146" s="313">
        <f t="shared" si="238"/>
        <v>0</v>
      </c>
      <c r="BZ146" s="313">
        <f t="shared" si="238"/>
        <v>0</v>
      </c>
      <c r="CA146" s="313">
        <f t="shared" si="238"/>
        <v>0</v>
      </c>
      <c r="CB146" s="313">
        <f t="shared" si="238"/>
        <v>0</v>
      </c>
      <c r="CC146" s="313">
        <f t="shared" si="238"/>
        <v>0</v>
      </c>
      <c r="CD146" s="313">
        <f t="shared" si="238"/>
        <v>0</v>
      </c>
      <c r="CE146" s="313">
        <f t="shared" si="238"/>
        <v>0</v>
      </c>
      <c r="CF146" s="313">
        <f t="shared" si="238"/>
        <v>0</v>
      </c>
      <c r="CG146" s="313">
        <f t="shared" si="238"/>
        <v>0</v>
      </c>
      <c r="CH146" s="313">
        <f t="shared" si="238"/>
        <v>0</v>
      </c>
      <c r="CI146" s="313">
        <f t="shared" si="238"/>
        <v>0</v>
      </c>
      <c r="CJ146" s="313">
        <f t="shared" si="238"/>
        <v>0</v>
      </c>
      <c r="CK146" s="313">
        <f t="shared" si="238"/>
        <v>0</v>
      </c>
      <c r="CL146" s="313">
        <f t="shared" si="238"/>
        <v>0</v>
      </c>
      <c r="CM146" s="313">
        <f t="shared" si="238"/>
        <v>0</v>
      </c>
      <c r="CN146" s="313">
        <f t="shared" si="238"/>
        <v>0</v>
      </c>
      <c r="CO146" s="313">
        <f t="shared" si="238"/>
        <v>0</v>
      </c>
      <c r="CP146" s="313">
        <f t="shared" si="238"/>
        <v>0</v>
      </c>
      <c r="CQ146" s="313">
        <f t="shared" si="238"/>
        <v>0</v>
      </c>
      <c r="CR146" s="313">
        <f t="shared" si="238"/>
        <v>0</v>
      </c>
      <c r="CS146" s="313">
        <f t="shared" si="238"/>
        <v>0</v>
      </c>
      <c r="CT146" s="313">
        <f t="shared" si="238"/>
        <v>0</v>
      </c>
      <c r="CU146" s="313">
        <f t="shared" si="238"/>
        <v>0</v>
      </c>
      <c r="CV146" s="313">
        <f t="shared" si="238"/>
        <v>0</v>
      </c>
      <c r="CW146" s="313">
        <f t="shared" si="238"/>
        <v>0</v>
      </c>
      <c r="CX146" s="313" t="n">
        <f t="shared" ref="CX146:DV146" si="239">CX$84+CX$86+CX$88+CX$123</f>
        <v>0</v>
      </c>
      <c r="CY146" s="313">
        <f t="shared" si="239"/>
        <v>0</v>
      </c>
      <c r="CZ146" s="313">
        <f t="shared" si="239"/>
        <v>0</v>
      </c>
      <c r="DA146" s="313">
        <f t="shared" si="239"/>
        <v>0</v>
      </c>
      <c r="DB146" s="313">
        <f t="shared" si="239"/>
        <v>0</v>
      </c>
      <c r="DC146" s="313">
        <f t="shared" si="239"/>
        <v>0</v>
      </c>
      <c r="DD146" s="313">
        <f t="shared" si="239"/>
        <v>0</v>
      </c>
      <c r="DE146" s="313">
        <f t="shared" si="239"/>
        <v>0</v>
      </c>
      <c r="DF146" s="313">
        <f t="shared" si="239"/>
        <v>0</v>
      </c>
      <c r="DG146" s="313">
        <f t="shared" si="239"/>
        <v>0</v>
      </c>
      <c r="DH146" s="313">
        <f t="shared" si="239"/>
        <v>0</v>
      </c>
      <c r="DI146" s="313">
        <f t="shared" si="239"/>
        <v>0</v>
      </c>
      <c r="DJ146" s="313">
        <f t="shared" si="239"/>
        <v>0</v>
      </c>
      <c r="DK146" s="313">
        <f t="shared" si="239"/>
        <v>0</v>
      </c>
      <c r="DL146" s="313">
        <f t="shared" si="239"/>
        <v>0</v>
      </c>
      <c r="DM146" s="313">
        <f t="shared" si="239"/>
        <v>0</v>
      </c>
      <c r="DN146" s="313">
        <f t="shared" si="239"/>
        <v>0</v>
      </c>
      <c r="DO146" s="313">
        <f t="shared" si="239"/>
        <v>0</v>
      </c>
      <c r="DP146" s="313">
        <f t="shared" si="239"/>
        <v>0</v>
      </c>
      <c r="DQ146" s="313">
        <f t="shared" si="239"/>
        <v>0</v>
      </c>
      <c r="DR146" s="313">
        <f t="shared" si="239"/>
        <v>0</v>
      </c>
      <c r="DS146" s="313">
        <f t="shared" si="239"/>
        <v>0</v>
      </c>
      <c r="DT146" s="313">
        <f t="shared" si="239"/>
        <v>0</v>
      </c>
      <c r="DU146" s="313">
        <f t="shared" si="239"/>
        <v>0</v>
      </c>
      <c r="DV146" s="313">
        <f t="shared" si="239"/>
        <v>0</v>
      </c>
    </row>
    <row r="147" ht="15" customHeight="1">
      <c r="A147" s="311" t="s">
        <v>1572</v>
      </c>
      <c r="B147" s="312" t="s">
        <v>1321</v>
      </c>
      <c r="C147" s="702" t="s">
        <v>1573</v>
      </c>
      <c r="D147" s="703"/>
      <c r="F147" s="313" t="n">
        <f t="shared" ref="F147:AK147" si="240">F$89+F$124</f>
        <v>0</v>
      </c>
      <c r="G147" s="313">
        <f t="shared" si="240"/>
        <v>0</v>
      </c>
      <c r="H147" s="313">
        <f t="shared" si="240"/>
        <v>626111.11111111112</v>
      </c>
      <c r="I147" s="313">
        <f t="shared" si="240"/>
        <v>0</v>
      </c>
      <c r="J147" s="313">
        <f t="shared" si="240"/>
        <v>0</v>
      </c>
      <c r="K147" s="313">
        <f t="shared" si="240"/>
        <v>0</v>
      </c>
      <c r="L147" s="313">
        <f t="shared" si="240"/>
        <v>0</v>
      </c>
      <c r="M147" s="313">
        <f t="shared" si="240"/>
        <v>0</v>
      </c>
      <c r="N147" s="313">
        <f t="shared" si="240"/>
        <v>0</v>
      </c>
      <c r="O147" s="313">
        <f t="shared" si="240"/>
        <v>0</v>
      </c>
      <c r="P147" s="313">
        <f t="shared" si="240"/>
        <v>0</v>
      </c>
      <c r="Q147" s="313">
        <f t="shared" si="240"/>
        <v>0</v>
      </c>
      <c r="R147" s="313">
        <f t="shared" si="240"/>
        <v>0</v>
      </c>
      <c r="S147" s="313">
        <f t="shared" si="240"/>
        <v>0</v>
      </c>
      <c r="T147" s="313">
        <f t="shared" si="240"/>
        <v>0</v>
      </c>
      <c r="U147" s="313">
        <f t="shared" si="240"/>
        <v>0</v>
      </c>
      <c r="V147" s="313">
        <f t="shared" si="240"/>
        <v>0</v>
      </c>
      <c r="W147" s="313">
        <f t="shared" si="240"/>
        <v>0</v>
      </c>
      <c r="X147" s="313">
        <f t="shared" si="240"/>
        <v>0</v>
      </c>
      <c r="Y147" s="313">
        <f t="shared" si="240"/>
        <v>0</v>
      </c>
      <c r="Z147" s="313">
        <f t="shared" si="240"/>
        <v>90749.137075924315</v>
      </c>
      <c r="AA147" s="313">
        <f t="shared" si="240"/>
        <v>174553.61273367773</v>
      </c>
      <c r="AB147" s="313">
        <f t="shared" si="240"/>
        <v>245346.92688102461</v>
      </c>
      <c r="AC147" s="313">
        <f t="shared" si="240"/>
        <v>298664.76362304972</v>
      </c>
      <c r="AD147" s="313">
        <f t="shared" si="240"/>
        <v>332095.22752505192</v>
      </c>
      <c r="AE147" s="313">
        <f t="shared" si="240"/>
        <v>345395.27257881418</v>
      </c>
      <c r="AF147" s="313">
        <f t="shared" si="240"/>
        <v>340282.33397308982</v>
      </c>
      <c r="AG147" s="313">
        <f t="shared" si="240"/>
        <v>319971.35631247738</v>
      </c>
      <c r="AH147" s="313">
        <f t="shared" si="240"/>
        <v>288567.01646289101</v>
      </c>
      <c r="AI147" s="313">
        <f t="shared" si="240"/>
        <v>250432.2831283253</v>
      </c>
      <c r="AJ147" s="313">
        <f t="shared" si="240"/>
        <v>209638.92700129299</v>
      </c>
      <c r="AK147" s="313">
        <f t="shared" si="240"/>
        <v>169571.13126643118</v>
      </c>
      <c r="AL147" s="313" t="n">
        <f t="shared" ref="AL147:BQ147" si="241">AL$89+AL$124</f>
        <v>132711.21484693795</v>
      </c>
      <c r="AM147" s="313">
        <f t="shared" si="241"/>
        <v>100597.62539995846</v>
      </c>
      <c r="AN147" s="313">
        <f t="shared" si="241"/>
        <v>73917.59288724004</v>
      </c>
      <c r="AO147" s="313">
        <f t="shared" si="241"/>
        <v>44612.052331992141</v>
      </c>
      <c r="AP147" s="313">
        <f t="shared" si="241"/>
        <v>13625.405868174492</v>
      </c>
      <c r="AQ147" s="313">
        <f t="shared" si="241"/>
        <v>0</v>
      </c>
      <c r="AR147" s="313">
        <f t="shared" si="241"/>
        <v>0</v>
      </c>
      <c r="AS147" s="313">
        <f t="shared" si="241"/>
        <v>0</v>
      </c>
      <c r="AT147" s="313">
        <f t="shared" si="241"/>
        <v>0</v>
      </c>
      <c r="AU147" s="313">
        <f t="shared" si="241"/>
        <v>0</v>
      </c>
      <c r="AV147" s="313">
        <f t="shared" si="241"/>
        <v>0</v>
      </c>
      <c r="AW147" s="313">
        <f t="shared" si="241"/>
        <v>0</v>
      </c>
      <c r="AX147" s="313">
        <f t="shared" si="241"/>
        <v>0</v>
      </c>
      <c r="AY147" s="313">
        <f t="shared" si="241"/>
        <v>0</v>
      </c>
      <c r="AZ147" s="313">
        <f t="shared" si="241"/>
        <v>0</v>
      </c>
      <c r="BA147" s="313">
        <f t="shared" si="241"/>
        <v>0</v>
      </c>
      <c r="BB147" s="313">
        <f t="shared" si="241"/>
        <v>0</v>
      </c>
      <c r="BC147" s="313">
        <f t="shared" si="241"/>
        <v>0</v>
      </c>
      <c r="BD147" s="313">
        <f t="shared" si="241"/>
        <v>0</v>
      </c>
      <c r="BE147" s="313">
        <f t="shared" si="241"/>
        <v>0</v>
      </c>
      <c r="BF147" s="313">
        <f t="shared" si="241"/>
        <v>0</v>
      </c>
      <c r="BG147" s="313">
        <f t="shared" si="241"/>
        <v>0</v>
      </c>
      <c r="BH147" s="313">
        <f t="shared" si="241"/>
        <v>0</v>
      </c>
      <c r="BI147" s="313">
        <f t="shared" si="241"/>
        <v>0</v>
      </c>
      <c r="BJ147" s="313">
        <f t="shared" si="241"/>
        <v>0</v>
      </c>
      <c r="BK147" s="313">
        <f t="shared" si="241"/>
        <v>0</v>
      </c>
      <c r="BL147" s="313">
        <f t="shared" si="241"/>
        <v>0</v>
      </c>
      <c r="BM147" s="313">
        <f t="shared" si="241"/>
        <v>0</v>
      </c>
      <c r="BN147" s="313">
        <f t="shared" si="241"/>
        <v>0</v>
      </c>
      <c r="BO147" s="313">
        <f t="shared" si="241"/>
        <v>553100.89596170606</v>
      </c>
      <c r="BP147" s="313">
        <f t="shared" si="241"/>
        <v>0</v>
      </c>
      <c r="BQ147" s="313">
        <f t="shared" si="241"/>
        <v>0</v>
      </c>
      <c r="BR147" s="313" t="n">
        <f t="shared" ref="BR147:CW147" si="242">BR$89+BR$124</f>
        <v>0</v>
      </c>
      <c r="BS147" s="313">
        <f t="shared" si="242"/>
        <v>0</v>
      </c>
      <c r="BT147" s="313">
        <f t="shared" si="242"/>
        <v>0</v>
      </c>
      <c r="BU147" s="313">
        <f t="shared" si="242"/>
        <v>0</v>
      </c>
      <c r="BV147" s="313">
        <f t="shared" si="242"/>
        <v>0</v>
      </c>
      <c r="BW147" s="313">
        <f t="shared" si="242"/>
        <v>0</v>
      </c>
      <c r="BX147" s="313">
        <f t="shared" si="242"/>
        <v>0</v>
      </c>
      <c r="BY147" s="313">
        <f t="shared" si="242"/>
        <v>0</v>
      </c>
      <c r="BZ147" s="313">
        <f t="shared" si="242"/>
        <v>0</v>
      </c>
      <c r="CA147" s="313">
        <f t="shared" si="242"/>
        <v>0</v>
      </c>
      <c r="CB147" s="313">
        <f t="shared" si="242"/>
        <v>0</v>
      </c>
      <c r="CC147" s="313">
        <f t="shared" si="242"/>
        <v>0</v>
      </c>
      <c r="CD147" s="313">
        <f t="shared" si="242"/>
        <v>0</v>
      </c>
      <c r="CE147" s="313">
        <f t="shared" si="242"/>
        <v>0</v>
      </c>
      <c r="CF147" s="313">
        <f t="shared" si="242"/>
        <v>0</v>
      </c>
      <c r="CG147" s="313">
        <f t="shared" si="242"/>
        <v>0</v>
      </c>
      <c r="CH147" s="313">
        <f t="shared" si="242"/>
        <v>0</v>
      </c>
      <c r="CI147" s="313">
        <f t="shared" si="242"/>
        <v>0</v>
      </c>
      <c r="CJ147" s="313">
        <f t="shared" si="242"/>
        <v>0</v>
      </c>
      <c r="CK147" s="313">
        <f t="shared" si="242"/>
        <v>0</v>
      </c>
      <c r="CL147" s="313">
        <f t="shared" si="242"/>
        <v>0</v>
      </c>
      <c r="CM147" s="313">
        <f t="shared" si="242"/>
        <v>0</v>
      </c>
      <c r="CN147" s="313">
        <f t="shared" si="242"/>
        <v>0</v>
      </c>
      <c r="CO147" s="313">
        <f t="shared" si="242"/>
        <v>0</v>
      </c>
      <c r="CP147" s="313">
        <f t="shared" si="242"/>
        <v>0</v>
      </c>
      <c r="CQ147" s="313">
        <f t="shared" si="242"/>
        <v>0</v>
      </c>
      <c r="CR147" s="313">
        <f t="shared" si="242"/>
        <v>0</v>
      </c>
      <c r="CS147" s="313">
        <f t="shared" si="242"/>
        <v>0</v>
      </c>
      <c r="CT147" s="313">
        <f t="shared" si="242"/>
        <v>0</v>
      </c>
      <c r="CU147" s="313">
        <f t="shared" si="242"/>
        <v>0</v>
      </c>
      <c r="CV147" s="313">
        <f t="shared" si="242"/>
        <v>0</v>
      </c>
      <c r="CW147" s="313">
        <f t="shared" si="242"/>
        <v>0</v>
      </c>
      <c r="CX147" s="313" t="n">
        <f t="shared" ref="CX147:DV147" si="243">CX$89+CX$124</f>
        <v>0</v>
      </c>
      <c r="CY147" s="313">
        <f t="shared" si="243"/>
        <v>0</v>
      </c>
      <c r="CZ147" s="313">
        <f t="shared" si="243"/>
        <v>0</v>
      </c>
      <c r="DA147" s="313">
        <f t="shared" si="243"/>
        <v>0</v>
      </c>
      <c r="DB147" s="313">
        <f t="shared" si="243"/>
        <v>0</v>
      </c>
      <c r="DC147" s="313">
        <f t="shared" si="243"/>
        <v>0</v>
      </c>
      <c r="DD147" s="313">
        <f t="shared" si="243"/>
        <v>0</v>
      </c>
      <c r="DE147" s="313">
        <f t="shared" si="243"/>
        <v>0</v>
      </c>
      <c r="DF147" s="313">
        <f t="shared" si="243"/>
        <v>0</v>
      </c>
      <c r="DG147" s="313">
        <f t="shared" si="243"/>
        <v>0</v>
      </c>
      <c r="DH147" s="313">
        <f t="shared" si="243"/>
        <v>0</v>
      </c>
      <c r="DI147" s="313">
        <f t="shared" si="243"/>
        <v>0</v>
      </c>
      <c r="DJ147" s="313">
        <f t="shared" si="243"/>
        <v>0</v>
      </c>
      <c r="DK147" s="313">
        <f t="shared" si="243"/>
        <v>0</v>
      </c>
      <c r="DL147" s="313">
        <f t="shared" si="243"/>
        <v>0</v>
      </c>
      <c r="DM147" s="313">
        <f t="shared" si="243"/>
        <v>0</v>
      </c>
      <c r="DN147" s="313">
        <f t="shared" si="243"/>
        <v>0</v>
      </c>
      <c r="DO147" s="313">
        <f t="shared" si="243"/>
        <v>0</v>
      </c>
      <c r="DP147" s="313">
        <f t="shared" si="243"/>
        <v>0</v>
      </c>
      <c r="DQ147" s="313">
        <f t="shared" si="243"/>
        <v>0</v>
      </c>
      <c r="DR147" s="313">
        <f t="shared" si="243"/>
        <v>0</v>
      </c>
      <c r="DS147" s="313">
        <f t="shared" si="243"/>
        <v>0</v>
      </c>
      <c r="DT147" s="313">
        <f t="shared" si="243"/>
        <v>0</v>
      </c>
      <c r="DU147" s="313">
        <f t="shared" si="243"/>
        <v>0</v>
      </c>
      <c r="DV147" s="313">
        <f t="shared" si="243"/>
        <v>0</v>
      </c>
    </row>
    <row r="148" ht="15" customHeight="1">
      <c r="A148" s="311" t="s">
        <v>1574</v>
      </c>
      <c r="B148" s="312" t="s">
        <v>1321</v>
      </c>
      <c r="C148" s="702" t="s">
        <v>1575</v>
      </c>
      <c r="D148" s="703"/>
      <c r="F148" s="313" t="n">
        <f t="shared" ref="F148:AK148" si="244">F$91+F$125+MAX(0,F$107-F$118)</f>
        <v>0</v>
      </c>
      <c r="G148" s="313">
        <f t="shared" si="244"/>
        <v>0</v>
      </c>
      <c r="H148" s="313">
        <f t="shared" si="244"/>
        <v>0</v>
      </c>
      <c r="I148" s="313">
        <f t="shared" si="244"/>
        <v>0</v>
      </c>
      <c r="J148" s="313">
        <f t="shared" si="244"/>
        <v>0</v>
      </c>
      <c r="K148" s="313">
        <f t="shared" si="244"/>
        <v>0</v>
      </c>
      <c r="L148" s="313">
        <f t="shared" si="244"/>
        <v>0</v>
      </c>
      <c r="M148" s="313">
        <f t="shared" si="244"/>
        <v>216186.21318950364</v>
      </c>
      <c r="N148" s="313">
        <f t="shared" si="244"/>
        <v>0</v>
      </c>
      <c r="O148" s="313">
        <f t="shared" si="244"/>
        <v>0</v>
      </c>
      <c r="P148" s="313">
        <f t="shared" si="244"/>
        <v>0</v>
      </c>
      <c r="Q148" s="313">
        <f t="shared" si="244"/>
        <v>0</v>
      </c>
      <c r="R148" s="313">
        <f t="shared" si="244"/>
        <v>0</v>
      </c>
      <c r="S148" s="313">
        <f t="shared" si="244"/>
        <v>0</v>
      </c>
      <c r="T148" s="313">
        <f t="shared" si="244"/>
        <v>0</v>
      </c>
      <c r="U148" s="313">
        <f t="shared" si="244"/>
        <v>0</v>
      </c>
      <c r="V148" s="313">
        <f t="shared" si="244"/>
        <v>0</v>
      </c>
      <c r="W148" s="313">
        <f t="shared" si="244"/>
        <v>0</v>
      </c>
      <c r="X148" s="313">
        <f t="shared" si="244"/>
        <v>0</v>
      </c>
      <c r="Y148" s="313">
        <f t="shared" si="244"/>
        <v>0</v>
      </c>
      <c r="Z148" s="313">
        <f t="shared" si="244"/>
        <v>0</v>
      </c>
      <c r="AA148" s="313">
        <f t="shared" si="244"/>
        <v>0</v>
      </c>
      <c r="AB148" s="313">
        <f t="shared" si="244"/>
        <v>0</v>
      </c>
      <c r="AC148" s="313">
        <f t="shared" si="244"/>
        <v>0</v>
      </c>
      <c r="AD148" s="313">
        <f t="shared" si="244"/>
        <v>0</v>
      </c>
      <c r="AE148" s="313">
        <f t="shared" si="244"/>
        <v>0</v>
      </c>
      <c r="AF148" s="313">
        <f t="shared" si="244"/>
        <v>0</v>
      </c>
      <c r="AG148" s="313">
        <f t="shared" si="244"/>
        <v>0</v>
      </c>
      <c r="AH148" s="313">
        <f t="shared" si="244"/>
        <v>0</v>
      </c>
      <c r="AI148" s="313">
        <f t="shared" si="244"/>
        <v>0</v>
      </c>
      <c r="AJ148" s="313">
        <f t="shared" si="244"/>
        <v>0</v>
      </c>
      <c r="AK148" s="313">
        <f t="shared" si="244"/>
        <v>0</v>
      </c>
      <c r="AL148" s="313" t="n">
        <f t="shared" ref="AL148:BQ148" si="245">AL$91+AL$125+MAX(0,AL$107-AL$118)</f>
        <v>0</v>
      </c>
      <c r="AM148" s="313">
        <f t="shared" si="245"/>
        <v>0</v>
      </c>
      <c r="AN148" s="313">
        <f t="shared" si="245"/>
        <v>0</v>
      </c>
      <c r="AO148" s="313">
        <f t="shared" si="245"/>
        <v>0</v>
      </c>
      <c r="AP148" s="313">
        <f t="shared" si="245"/>
        <v>0</v>
      </c>
      <c r="AQ148" s="313">
        <f t="shared" si="245"/>
        <v>0</v>
      </c>
      <c r="AR148" s="313">
        <f t="shared" si="245"/>
        <v>0</v>
      </c>
      <c r="AS148" s="313">
        <f t="shared" si="245"/>
        <v>0</v>
      </c>
      <c r="AT148" s="313">
        <f t="shared" si="245"/>
        <v>0</v>
      </c>
      <c r="AU148" s="313">
        <f t="shared" si="245"/>
        <v>0</v>
      </c>
      <c r="AV148" s="313">
        <f t="shared" si="245"/>
        <v>0</v>
      </c>
      <c r="AW148" s="313">
        <f t="shared" si="245"/>
        <v>0</v>
      </c>
      <c r="AX148" s="313">
        <f t="shared" si="245"/>
        <v>0</v>
      </c>
      <c r="AY148" s="313">
        <f t="shared" si="245"/>
        <v>0</v>
      </c>
      <c r="AZ148" s="313">
        <f t="shared" si="245"/>
        <v>0</v>
      </c>
      <c r="BA148" s="313">
        <f t="shared" si="245"/>
        <v>0</v>
      </c>
      <c r="BB148" s="313">
        <f t="shared" si="245"/>
        <v>0</v>
      </c>
      <c r="BC148" s="313">
        <f t="shared" si="245"/>
        <v>0</v>
      </c>
      <c r="BD148" s="313">
        <f t="shared" si="245"/>
        <v>0</v>
      </c>
      <c r="BE148" s="313">
        <f t="shared" si="245"/>
        <v>0</v>
      </c>
      <c r="BF148" s="313">
        <f t="shared" si="245"/>
        <v>0</v>
      </c>
      <c r="BG148" s="313">
        <f t="shared" si="245"/>
        <v>0</v>
      </c>
      <c r="BH148" s="313">
        <f t="shared" si="245"/>
        <v>0</v>
      </c>
      <c r="BI148" s="313">
        <f t="shared" si="245"/>
        <v>0</v>
      </c>
      <c r="BJ148" s="313">
        <f t="shared" si="245"/>
        <v>0</v>
      </c>
      <c r="BK148" s="313">
        <f t="shared" si="245"/>
        <v>0</v>
      </c>
      <c r="BL148" s="313">
        <f t="shared" si="245"/>
        <v>0</v>
      </c>
      <c r="BM148" s="313">
        <f t="shared" si="245"/>
        <v>0</v>
      </c>
      <c r="BN148" s="313">
        <f t="shared" si="245"/>
        <v>0</v>
      </c>
      <c r="BO148" s="313">
        <f t="shared" si="245"/>
        <v>191926010.89871201</v>
      </c>
      <c r="BP148" s="313">
        <f t="shared" si="245"/>
        <v>976604.00736571662</v>
      </c>
      <c r="BQ148" s="313">
        <f t="shared" si="245"/>
        <v>0</v>
      </c>
      <c r="BR148" s="313" t="n">
        <f t="shared" ref="BR148:CW148" si="246">BR$91+BR$125+MAX(0,BR$107-BR$118)</f>
        <v>0</v>
      </c>
      <c r="BS148" s="313">
        <f t="shared" si="246"/>
        <v>0</v>
      </c>
      <c r="BT148" s="313">
        <f t="shared" si="246"/>
        <v>0</v>
      </c>
      <c r="BU148" s="313">
        <f t="shared" si="246"/>
        <v>0</v>
      </c>
      <c r="BV148" s="313">
        <f t="shared" si="246"/>
        <v>0</v>
      </c>
      <c r="BW148" s="313">
        <f t="shared" si="246"/>
        <v>0</v>
      </c>
      <c r="BX148" s="313">
        <f t="shared" si="246"/>
        <v>0</v>
      </c>
      <c r="BY148" s="313">
        <f t="shared" si="246"/>
        <v>0</v>
      </c>
      <c r="BZ148" s="313">
        <f t="shared" si="246"/>
        <v>0</v>
      </c>
      <c r="CA148" s="313">
        <f t="shared" si="246"/>
        <v>0</v>
      </c>
      <c r="CB148" s="313">
        <f t="shared" si="246"/>
        <v>0</v>
      </c>
      <c r="CC148" s="313">
        <f t="shared" si="246"/>
        <v>0</v>
      </c>
      <c r="CD148" s="313">
        <f t="shared" si="246"/>
        <v>0</v>
      </c>
      <c r="CE148" s="313">
        <f t="shared" si="246"/>
        <v>0</v>
      </c>
      <c r="CF148" s="313">
        <f t="shared" si="246"/>
        <v>0</v>
      </c>
      <c r="CG148" s="313">
        <f t="shared" si="246"/>
        <v>0</v>
      </c>
      <c r="CH148" s="313">
        <f t="shared" si="246"/>
        <v>0</v>
      </c>
      <c r="CI148" s="313">
        <f t="shared" si="246"/>
        <v>0</v>
      </c>
      <c r="CJ148" s="313">
        <f t="shared" si="246"/>
        <v>0</v>
      </c>
      <c r="CK148" s="313">
        <f t="shared" si="246"/>
        <v>0</v>
      </c>
      <c r="CL148" s="313">
        <f t="shared" si="246"/>
        <v>0</v>
      </c>
      <c r="CM148" s="313">
        <f t="shared" si="246"/>
        <v>0</v>
      </c>
      <c r="CN148" s="313">
        <f t="shared" si="246"/>
        <v>0</v>
      </c>
      <c r="CO148" s="313">
        <f t="shared" si="246"/>
        <v>0</v>
      </c>
      <c r="CP148" s="313">
        <f t="shared" si="246"/>
        <v>0</v>
      </c>
      <c r="CQ148" s="313">
        <f t="shared" si="246"/>
        <v>0</v>
      </c>
      <c r="CR148" s="313">
        <f t="shared" si="246"/>
        <v>0</v>
      </c>
      <c r="CS148" s="313">
        <f t="shared" si="246"/>
        <v>0</v>
      </c>
      <c r="CT148" s="313">
        <f t="shared" si="246"/>
        <v>0</v>
      </c>
      <c r="CU148" s="313">
        <f t="shared" si="246"/>
        <v>0</v>
      </c>
      <c r="CV148" s="313">
        <f t="shared" si="246"/>
        <v>0</v>
      </c>
      <c r="CW148" s="313">
        <f t="shared" si="246"/>
        <v>0</v>
      </c>
      <c r="CX148" s="313" t="n">
        <f t="shared" ref="CX148:DV148" si="247">CX$91+CX$125+MAX(0,CX$107-CX$118)</f>
        <v>0</v>
      </c>
      <c r="CY148" s="313">
        <f t="shared" si="247"/>
        <v>0</v>
      </c>
      <c r="CZ148" s="313">
        <f t="shared" si="247"/>
        <v>0</v>
      </c>
      <c r="DA148" s="313">
        <f t="shared" si="247"/>
        <v>0</v>
      </c>
      <c r="DB148" s="313">
        <f t="shared" si="247"/>
        <v>0</v>
      </c>
      <c r="DC148" s="313">
        <f t="shared" si="247"/>
        <v>0</v>
      </c>
      <c r="DD148" s="313">
        <f t="shared" si="247"/>
        <v>0</v>
      </c>
      <c r="DE148" s="313">
        <f t="shared" si="247"/>
        <v>0</v>
      </c>
      <c r="DF148" s="313">
        <f t="shared" si="247"/>
        <v>0</v>
      </c>
      <c r="DG148" s="313">
        <f t="shared" si="247"/>
        <v>0</v>
      </c>
      <c r="DH148" s="313">
        <f t="shared" si="247"/>
        <v>0</v>
      </c>
      <c r="DI148" s="313">
        <f t="shared" si="247"/>
        <v>0</v>
      </c>
      <c r="DJ148" s="313">
        <f t="shared" si="247"/>
        <v>0</v>
      </c>
      <c r="DK148" s="313">
        <f t="shared" si="247"/>
        <v>0</v>
      </c>
      <c r="DL148" s="313">
        <f t="shared" si="247"/>
        <v>0</v>
      </c>
      <c r="DM148" s="313">
        <f t="shared" si="247"/>
        <v>0</v>
      </c>
      <c r="DN148" s="313">
        <f t="shared" si="247"/>
        <v>0</v>
      </c>
      <c r="DO148" s="313">
        <f t="shared" si="247"/>
        <v>0</v>
      </c>
      <c r="DP148" s="313">
        <f t="shared" si="247"/>
        <v>0</v>
      </c>
      <c r="DQ148" s="313">
        <f t="shared" si="247"/>
        <v>0</v>
      </c>
      <c r="DR148" s="313">
        <f t="shared" si="247"/>
        <v>0</v>
      </c>
      <c r="DS148" s="313">
        <f t="shared" si="247"/>
        <v>0</v>
      </c>
      <c r="DT148" s="313">
        <f t="shared" si="247"/>
        <v>0</v>
      </c>
      <c r="DU148" s="313">
        <f t="shared" si="247"/>
        <v>0</v>
      </c>
      <c r="DV148" s="313">
        <f t="shared" si="247"/>
        <v>0</v>
      </c>
    </row>
    <row r="149" ht="15" customHeight="1">
      <c r="A149" s="311" t="s">
        <v>1576</v>
      </c>
      <c r="B149" s="312" t="s">
        <v>1321</v>
      </c>
      <c r="C149" s="702" t="s">
        <v>1577</v>
      </c>
      <c r="D149" s="703"/>
      <c r="F149" s="313" t="n">
        <f t="shared" ref="F149:AK149" si="248">F$126</f>
        <v>0</v>
      </c>
      <c r="G149" s="313">
        <f t="shared" si="248"/>
        <v>0</v>
      </c>
      <c r="H149" s="313">
        <f t="shared" si="248"/>
        <v>0</v>
      </c>
      <c r="I149" s="313">
        <f t="shared" si="248"/>
        <v>0</v>
      </c>
      <c r="J149" s="313">
        <f t="shared" si="248"/>
        <v>0</v>
      </c>
      <c r="K149" s="313">
        <f t="shared" si="248"/>
        <v>0</v>
      </c>
      <c r="L149" s="313">
        <f t="shared" si="248"/>
        <v>0</v>
      </c>
      <c r="M149" s="313">
        <f t="shared" si="248"/>
        <v>0</v>
      </c>
      <c r="N149" s="313">
        <f t="shared" si="248"/>
        <v>0</v>
      </c>
      <c r="O149" s="313">
        <f t="shared" si="248"/>
        <v>0</v>
      </c>
      <c r="P149" s="313">
        <f t="shared" si="248"/>
        <v>0</v>
      </c>
      <c r="Q149" s="313">
        <f t="shared" si="248"/>
        <v>0</v>
      </c>
      <c r="R149" s="313">
        <f t="shared" si="248"/>
        <v>0</v>
      </c>
      <c r="S149" s="313">
        <f t="shared" si="248"/>
        <v>0</v>
      </c>
      <c r="T149" s="313">
        <f t="shared" si="248"/>
        <v>0</v>
      </c>
      <c r="U149" s="313">
        <f t="shared" si="248"/>
        <v>0</v>
      </c>
      <c r="V149" s="313">
        <f t="shared" si="248"/>
        <v>0</v>
      </c>
      <c r="W149" s="313">
        <f t="shared" si="248"/>
        <v>0</v>
      </c>
      <c r="X149" s="313">
        <f t="shared" si="248"/>
        <v>0</v>
      </c>
      <c r="Y149" s="313">
        <f t="shared" si="248"/>
        <v>0</v>
      </c>
      <c r="Z149" s="313">
        <f t="shared" si="248"/>
        <v>0</v>
      </c>
      <c r="AA149" s="313">
        <f t="shared" si="248"/>
        <v>0</v>
      </c>
      <c r="AB149" s="313">
        <f t="shared" si="248"/>
        <v>0</v>
      </c>
      <c r="AC149" s="313">
        <f t="shared" si="248"/>
        <v>0</v>
      </c>
      <c r="AD149" s="313">
        <f t="shared" si="248"/>
        <v>0</v>
      </c>
      <c r="AE149" s="313">
        <f t="shared" si="248"/>
        <v>0</v>
      </c>
      <c r="AF149" s="313">
        <f t="shared" si="248"/>
        <v>0</v>
      </c>
      <c r="AG149" s="313">
        <f t="shared" si="248"/>
        <v>0</v>
      </c>
      <c r="AH149" s="313">
        <f t="shared" si="248"/>
        <v>0</v>
      </c>
      <c r="AI149" s="313">
        <f t="shared" si="248"/>
        <v>0</v>
      </c>
      <c r="AJ149" s="313">
        <f t="shared" si="248"/>
        <v>0</v>
      </c>
      <c r="AK149" s="313">
        <f t="shared" si="248"/>
        <v>0</v>
      </c>
      <c r="AL149" s="313" t="n">
        <f t="shared" ref="AL149:BQ149" si="249">AL$126</f>
        <v>0</v>
      </c>
      <c r="AM149" s="313">
        <f t="shared" si="249"/>
        <v>0</v>
      </c>
      <c r="AN149" s="313">
        <f t="shared" si="249"/>
        <v>0</v>
      </c>
      <c r="AO149" s="313">
        <f t="shared" si="249"/>
        <v>0</v>
      </c>
      <c r="AP149" s="313">
        <f t="shared" si="249"/>
        <v>0</v>
      </c>
      <c r="AQ149" s="313">
        <f t="shared" si="249"/>
        <v>0</v>
      </c>
      <c r="AR149" s="313">
        <f t="shared" si="249"/>
        <v>0</v>
      </c>
      <c r="AS149" s="313">
        <f t="shared" si="249"/>
        <v>0</v>
      </c>
      <c r="AT149" s="313">
        <f t="shared" si="249"/>
        <v>0</v>
      </c>
      <c r="AU149" s="313">
        <f t="shared" si="249"/>
        <v>0</v>
      </c>
      <c r="AV149" s="313">
        <f t="shared" si="249"/>
        <v>0</v>
      </c>
      <c r="AW149" s="313">
        <f t="shared" si="249"/>
        <v>0</v>
      </c>
      <c r="AX149" s="313">
        <f t="shared" si="249"/>
        <v>0</v>
      </c>
      <c r="AY149" s="313">
        <f t="shared" si="249"/>
        <v>0</v>
      </c>
      <c r="AZ149" s="313">
        <f t="shared" si="249"/>
        <v>0</v>
      </c>
      <c r="BA149" s="313">
        <f t="shared" si="249"/>
        <v>0</v>
      </c>
      <c r="BB149" s="313">
        <f t="shared" si="249"/>
        <v>0</v>
      </c>
      <c r="BC149" s="313">
        <f t="shared" si="249"/>
        <v>0</v>
      </c>
      <c r="BD149" s="313">
        <f t="shared" si="249"/>
        <v>1670069.8606413989</v>
      </c>
      <c r="BE149" s="313">
        <f t="shared" si="249"/>
        <v>1686372.6603898797</v>
      </c>
      <c r="BF149" s="313">
        <f t="shared" si="249"/>
        <v>1678006.2644183368</v>
      </c>
      <c r="BG149" s="313">
        <f t="shared" si="249"/>
        <v>1694871.8037304454</v>
      </c>
      <c r="BH149" s="313">
        <f t="shared" si="249"/>
        <v>1685280.4141993285</v>
      </c>
      <c r="BI149" s="313">
        <f t="shared" si="249"/>
        <v>1722043.2861735746</v>
      </c>
      <c r="BJ149" s="313">
        <f t="shared" si="249"/>
        <v>1781499.4366363976</v>
      </c>
      <c r="BK149" s="313">
        <f t="shared" si="249"/>
        <v>1747297.0551720881</v>
      </c>
      <c r="BL149" s="313">
        <f t="shared" si="249"/>
        <v>1769938.2921779216</v>
      </c>
      <c r="BM149" s="313">
        <f t="shared" si="249"/>
        <v>1764649.1443389542</v>
      </c>
      <c r="BN149" s="313">
        <f t="shared" si="249"/>
        <v>1780166.7262441483</v>
      </c>
      <c r="BO149" s="313">
        <f t="shared" si="249"/>
        <v>0</v>
      </c>
      <c r="BP149" s="313">
        <f t="shared" si="249"/>
        <v>0</v>
      </c>
      <c r="BQ149" s="313">
        <f t="shared" si="249"/>
        <v>0</v>
      </c>
      <c r="BR149" s="313" t="n">
        <f t="shared" ref="BR149:CW149" si="250">BR$126</f>
        <v>0</v>
      </c>
      <c r="BS149" s="313">
        <f t="shared" si="250"/>
        <v>0</v>
      </c>
      <c r="BT149" s="313">
        <f t="shared" si="250"/>
        <v>0</v>
      </c>
      <c r="BU149" s="313">
        <f t="shared" si="250"/>
        <v>0</v>
      </c>
      <c r="BV149" s="313">
        <f t="shared" si="250"/>
        <v>0</v>
      </c>
      <c r="BW149" s="313">
        <f t="shared" si="250"/>
        <v>0</v>
      </c>
      <c r="BX149" s="313">
        <f t="shared" si="250"/>
        <v>0</v>
      </c>
      <c r="BY149" s="313">
        <f t="shared" si="250"/>
        <v>0</v>
      </c>
      <c r="BZ149" s="313">
        <f t="shared" si="250"/>
        <v>0</v>
      </c>
      <c r="CA149" s="313">
        <f t="shared" si="250"/>
        <v>0</v>
      </c>
      <c r="CB149" s="313">
        <f t="shared" si="250"/>
        <v>0</v>
      </c>
      <c r="CC149" s="313">
        <f t="shared" si="250"/>
        <v>0</v>
      </c>
      <c r="CD149" s="313">
        <f t="shared" si="250"/>
        <v>0</v>
      </c>
      <c r="CE149" s="313">
        <f t="shared" si="250"/>
        <v>0</v>
      </c>
      <c r="CF149" s="313">
        <f t="shared" si="250"/>
        <v>0</v>
      </c>
      <c r="CG149" s="313">
        <f t="shared" si="250"/>
        <v>0</v>
      </c>
      <c r="CH149" s="313">
        <f t="shared" si="250"/>
        <v>0</v>
      </c>
      <c r="CI149" s="313">
        <f t="shared" si="250"/>
        <v>0</v>
      </c>
      <c r="CJ149" s="313">
        <f t="shared" si="250"/>
        <v>0</v>
      </c>
      <c r="CK149" s="313">
        <f t="shared" si="250"/>
        <v>0</v>
      </c>
      <c r="CL149" s="313">
        <f t="shared" si="250"/>
        <v>0</v>
      </c>
      <c r="CM149" s="313">
        <f t="shared" si="250"/>
        <v>0</v>
      </c>
      <c r="CN149" s="313">
        <f t="shared" si="250"/>
        <v>0</v>
      </c>
      <c r="CO149" s="313">
        <f t="shared" si="250"/>
        <v>0</v>
      </c>
      <c r="CP149" s="313">
        <f t="shared" si="250"/>
        <v>0</v>
      </c>
      <c r="CQ149" s="313">
        <f t="shared" si="250"/>
        <v>0</v>
      </c>
      <c r="CR149" s="313">
        <f t="shared" si="250"/>
        <v>0</v>
      </c>
      <c r="CS149" s="313">
        <f t="shared" si="250"/>
        <v>0</v>
      </c>
      <c r="CT149" s="313">
        <f t="shared" si="250"/>
        <v>0</v>
      </c>
      <c r="CU149" s="313">
        <f t="shared" si="250"/>
        <v>0</v>
      </c>
      <c r="CV149" s="313">
        <f t="shared" si="250"/>
        <v>0</v>
      </c>
      <c r="CW149" s="313">
        <f t="shared" si="250"/>
        <v>0</v>
      </c>
      <c r="CX149" s="313" t="n">
        <f t="shared" ref="CX149:DV149" si="251">CX$126</f>
        <v>0</v>
      </c>
      <c r="CY149" s="313">
        <f t="shared" si="251"/>
        <v>0</v>
      </c>
      <c r="CZ149" s="313">
        <f t="shared" si="251"/>
        <v>0</v>
      </c>
      <c r="DA149" s="313">
        <f t="shared" si="251"/>
        <v>0</v>
      </c>
      <c r="DB149" s="313">
        <f t="shared" si="251"/>
        <v>0</v>
      </c>
      <c r="DC149" s="313">
        <f t="shared" si="251"/>
        <v>0</v>
      </c>
      <c r="DD149" s="313">
        <f t="shared" si="251"/>
        <v>0</v>
      </c>
      <c r="DE149" s="313">
        <f t="shared" si="251"/>
        <v>0</v>
      </c>
      <c r="DF149" s="313">
        <f t="shared" si="251"/>
        <v>0</v>
      </c>
      <c r="DG149" s="313">
        <f t="shared" si="251"/>
        <v>0</v>
      </c>
      <c r="DH149" s="313">
        <f t="shared" si="251"/>
        <v>0</v>
      </c>
      <c r="DI149" s="313">
        <f t="shared" si="251"/>
        <v>0</v>
      </c>
      <c r="DJ149" s="313">
        <f t="shared" si="251"/>
        <v>0</v>
      </c>
      <c r="DK149" s="313">
        <f t="shared" si="251"/>
        <v>0</v>
      </c>
      <c r="DL149" s="313">
        <f t="shared" si="251"/>
        <v>0</v>
      </c>
      <c r="DM149" s="313">
        <f t="shared" si="251"/>
        <v>0</v>
      </c>
      <c r="DN149" s="313">
        <f t="shared" si="251"/>
        <v>0</v>
      </c>
      <c r="DO149" s="313">
        <f t="shared" si="251"/>
        <v>0</v>
      </c>
      <c r="DP149" s="313">
        <f t="shared" si="251"/>
        <v>0</v>
      </c>
      <c r="DQ149" s="313">
        <f t="shared" si="251"/>
        <v>0</v>
      </c>
      <c r="DR149" s="313">
        <f t="shared" si="251"/>
        <v>0</v>
      </c>
      <c r="DS149" s="313">
        <f t="shared" si="251"/>
        <v>0</v>
      </c>
      <c r="DT149" s="313">
        <f t="shared" si="251"/>
        <v>0</v>
      </c>
      <c r="DU149" s="313">
        <f t="shared" si="251"/>
        <v>0</v>
      </c>
      <c r="DV149" s="313">
        <f t="shared" si="251"/>
        <v>0</v>
      </c>
    </row>
    <row r="150" ht="15" customHeight="1">
      <c r="A150" s="311" t="s">
        <v>1578</v>
      </c>
      <c r="B150" s="312" t="s">
        <v>1321</v>
      </c>
      <c r="C150" s="702" t="s">
        <v>1579</v>
      </c>
      <c r="D150" s="703"/>
      <c r="F150" s="313" t="n">
        <f t="shared" ref="F150:AK150" si="252">$B$27</f>
        <v>100000</v>
      </c>
      <c r="G150" s="313">
        <f t="shared" si="252"/>
        <v>100000</v>
      </c>
      <c r="H150" s="313">
        <f t="shared" si="252"/>
        <v>100000</v>
      </c>
      <c r="I150" s="313">
        <f t="shared" si="252"/>
        <v>100000</v>
      </c>
      <c r="J150" s="313">
        <f t="shared" si="252"/>
        <v>100000</v>
      </c>
      <c r="K150" s="313">
        <f t="shared" si="252"/>
        <v>100000</v>
      </c>
      <c r="L150" s="313">
        <f t="shared" si="252"/>
        <v>100000</v>
      </c>
      <c r="M150" s="313">
        <f t="shared" si="252"/>
        <v>100000</v>
      </c>
      <c r="N150" s="313">
        <f t="shared" si="252"/>
        <v>100000</v>
      </c>
      <c r="O150" s="313">
        <f t="shared" si="252"/>
        <v>100000</v>
      </c>
      <c r="P150" s="313">
        <f t="shared" si="252"/>
        <v>100000</v>
      </c>
      <c r="Q150" s="313">
        <f t="shared" si="252"/>
        <v>100000</v>
      </c>
      <c r="R150" s="313">
        <f t="shared" si="252"/>
        <v>100000</v>
      </c>
      <c r="S150" s="313">
        <f t="shared" si="252"/>
        <v>100000</v>
      </c>
      <c r="T150" s="313">
        <f t="shared" si="252"/>
        <v>100000</v>
      </c>
      <c r="U150" s="313">
        <f t="shared" si="252"/>
        <v>100000</v>
      </c>
      <c r="V150" s="313">
        <f t="shared" si="252"/>
        <v>100000</v>
      </c>
      <c r="W150" s="313">
        <f t="shared" si="252"/>
        <v>100000</v>
      </c>
      <c r="X150" s="313">
        <f t="shared" si="252"/>
        <v>100000</v>
      </c>
      <c r="Y150" s="313">
        <f t="shared" si="252"/>
        <v>100000</v>
      </c>
      <c r="Z150" s="313">
        <f t="shared" si="252"/>
        <v>100000</v>
      </c>
      <c r="AA150" s="313">
        <f t="shared" si="252"/>
        <v>100000</v>
      </c>
      <c r="AB150" s="313">
        <f t="shared" si="252"/>
        <v>100000</v>
      </c>
      <c r="AC150" s="313">
        <f t="shared" si="252"/>
        <v>100000</v>
      </c>
      <c r="AD150" s="313">
        <f t="shared" si="252"/>
        <v>100000</v>
      </c>
      <c r="AE150" s="313">
        <f t="shared" si="252"/>
        <v>100000</v>
      </c>
      <c r="AF150" s="313">
        <f t="shared" si="252"/>
        <v>100000</v>
      </c>
      <c r="AG150" s="313">
        <f t="shared" si="252"/>
        <v>100000</v>
      </c>
      <c r="AH150" s="313">
        <f t="shared" si="252"/>
        <v>100000</v>
      </c>
      <c r="AI150" s="313">
        <f t="shared" si="252"/>
        <v>100000</v>
      </c>
      <c r="AJ150" s="313">
        <f t="shared" si="252"/>
        <v>100000</v>
      </c>
      <c r="AK150" s="313">
        <f t="shared" si="252"/>
        <v>100000</v>
      </c>
      <c r="AL150" s="313" t="n">
        <f t="shared" ref="AL150:BQ150" si="253">$B$27</f>
        <v>100000</v>
      </c>
      <c r="AM150" s="313">
        <f t="shared" si="253"/>
        <v>100000</v>
      </c>
      <c r="AN150" s="313">
        <f t="shared" si="253"/>
        <v>100000</v>
      </c>
      <c r="AO150" s="313">
        <f t="shared" si="253"/>
        <v>100000</v>
      </c>
      <c r="AP150" s="313">
        <f t="shared" si="253"/>
        <v>100000</v>
      </c>
      <c r="AQ150" s="313">
        <f t="shared" si="253"/>
        <v>100000</v>
      </c>
      <c r="AR150" s="313">
        <f t="shared" si="253"/>
        <v>100000</v>
      </c>
      <c r="AS150" s="313">
        <f t="shared" si="253"/>
        <v>100000</v>
      </c>
      <c r="AT150" s="313">
        <f t="shared" si="253"/>
        <v>100000</v>
      </c>
      <c r="AU150" s="313">
        <f t="shared" si="253"/>
        <v>100000</v>
      </c>
      <c r="AV150" s="313">
        <f t="shared" si="253"/>
        <v>100000</v>
      </c>
      <c r="AW150" s="313">
        <f t="shared" si="253"/>
        <v>100000</v>
      </c>
      <c r="AX150" s="313">
        <f t="shared" si="253"/>
        <v>100000</v>
      </c>
      <c r="AY150" s="313">
        <f t="shared" si="253"/>
        <v>100000</v>
      </c>
      <c r="AZ150" s="313">
        <f t="shared" si="253"/>
        <v>100000</v>
      </c>
      <c r="BA150" s="313">
        <f t="shared" si="253"/>
        <v>100000</v>
      </c>
      <c r="BB150" s="313">
        <f t="shared" si="253"/>
        <v>100000</v>
      </c>
      <c r="BC150" s="313">
        <f t="shared" si="253"/>
        <v>100000</v>
      </c>
      <c r="BD150" s="313">
        <f t="shared" si="253"/>
        <v>100000</v>
      </c>
      <c r="BE150" s="313">
        <f t="shared" si="253"/>
        <v>100000</v>
      </c>
      <c r="BF150" s="313">
        <f t="shared" si="253"/>
        <v>100000</v>
      </c>
      <c r="BG150" s="313">
        <f t="shared" si="253"/>
        <v>100000</v>
      </c>
      <c r="BH150" s="313">
        <f t="shared" si="253"/>
        <v>100000</v>
      </c>
      <c r="BI150" s="313">
        <f t="shared" si="253"/>
        <v>100000</v>
      </c>
      <c r="BJ150" s="313">
        <f t="shared" si="253"/>
        <v>100000</v>
      </c>
      <c r="BK150" s="313">
        <f t="shared" si="253"/>
        <v>100000</v>
      </c>
      <c r="BL150" s="313">
        <f t="shared" si="253"/>
        <v>100000</v>
      </c>
      <c r="BM150" s="313">
        <f t="shared" si="253"/>
        <v>100000</v>
      </c>
      <c r="BN150" s="313">
        <f t="shared" si="253"/>
        <v>100000</v>
      </c>
      <c r="BO150" s="313">
        <f t="shared" si="253"/>
        <v>100000</v>
      </c>
      <c r="BP150" s="313">
        <f t="shared" si="253"/>
        <v>100000</v>
      </c>
      <c r="BQ150" s="313">
        <f t="shared" si="253"/>
        <v>100000</v>
      </c>
      <c r="BR150" s="313" t="n">
        <f t="shared" ref="BR150:CW150" si="254">$B$27</f>
        <v>100000</v>
      </c>
      <c r="BS150" s="313">
        <f t="shared" si="254"/>
        <v>100000</v>
      </c>
      <c r="BT150" s="313">
        <f t="shared" si="254"/>
        <v>100000</v>
      </c>
      <c r="BU150" s="313">
        <f t="shared" si="254"/>
        <v>100000</v>
      </c>
      <c r="BV150" s="313">
        <f t="shared" si="254"/>
        <v>100000</v>
      </c>
      <c r="BW150" s="313">
        <f t="shared" si="254"/>
        <v>100000</v>
      </c>
      <c r="BX150" s="313">
        <f t="shared" si="254"/>
        <v>100000</v>
      </c>
      <c r="BY150" s="313">
        <f t="shared" si="254"/>
        <v>100000</v>
      </c>
      <c r="BZ150" s="313">
        <f t="shared" si="254"/>
        <v>100000</v>
      </c>
      <c r="CA150" s="313">
        <f t="shared" si="254"/>
        <v>100000</v>
      </c>
      <c r="CB150" s="313">
        <f t="shared" si="254"/>
        <v>100000</v>
      </c>
      <c r="CC150" s="313">
        <f t="shared" si="254"/>
        <v>100000</v>
      </c>
      <c r="CD150" s="313">
        <f t="shared" si="254"/>
        <v>100000</v>
      </c>
      <c r="CE150" s="313">
        <f t="shared" si="254"/>
        <v>100000</v>
      </c>
      <c r="CF150" s="313">
        <f t="shared" si="254"/>
        <v>100000</v>
      </c>
      <c r="CG150" s="313">
        <f t="shared" si="254"/>
        <v>100000</v>
      </c>
      <c r="CH150" s="313">
        <f t="shared" si="254"/>
        <v>100000</v>
      </c>
      <c r="CI150" s="313">
        <f t="shared" si="254"/>
        <v>100000</v>
      </c>
      <c r="CJ150" s="313">
        <f t="shared" si="254"/>
        <v>100000</v>
      </c>
      <c r="CK150" s="313">
        <f t="shared" si="254"/>
        <v>100000</v>
      </c>
      <c r="CL150" s="313">
        <f t="shared" si="254"/>
        <v>100000</v>
      </c>
      <c r="CM150" s="313">
        <f t="shared" si="254"/>
        <v>100000</v>
      </c>
      <c r="CN150" s="313">
        <f t="shared" si="254"/>
        <v>100000</v>
      </c>
      <c r="CO150" s="313">
        <f t="shared" si="254"/>
        <v>100000</v>
      </c>
      <c r="CP150" s="313">
        <f t="shared" si="254"/>
        <v>100000</v>
      </c>
      <c r="CQ150" s="313">
        <f t="shared" si="254"/>
        <v>100000</v>
      </c>
      <c r="CR150" s="313">
        <f t="shared" si="254"/>
        <v>100000</v>
      </c>
      <c r="CS150" s="313">
        <f t="shared" si="254"/>
        <v>100000</v>
      </c>
      <c r="CT150" s="313">
        <f t="shared" si="254"/>
        <v>100000</v>
      </c>
      <c r="CU150" s="313">
        <f t="shared" si="254"/>
        <v>100000</v>
      </c>
      <c r="CV150" s="313">
        <f t="shared" si="254"/>
        <v>100000</v>
      </c>
      <c r="CW150" s="313">
        <f t="shared" si="254"/>
        <v>100000</v>
      </c>
      <c r="CX150" s="313" t="n">
        <f t="shared" ref="CX150:DV150" si="255">$B$27</f>
        <v>100000</v>
      </c>
      <c r="CY150" s="313">
        <f t="shared" si="255"/>
        <v>100000</v>
      </c>
      <c r="CZ150" s="313">
        <f t="shared" si="255"/>
        <v>100000</v>
      </c>
      <c r="DA150" s="313">
        <f t="shared" si="255"/>
        <v>100000</v>
      </c>
      <c r="DB150" s="313">
        <f t="shared" si="255"/>
        <v>100000</v>
      </c>
      <c r="DC150" s="313">
        <f t="shared" si="255"/>
        <v>100000</v>
      </c>
      <c r="DD150" s="313">
        <f t="shared" si="255"/>
        <v>100000</v>
      </c>
      <c r="DE150" s="313">
        <f t="shared" si="255"/>
        <v>100000</v>
      </c>
      <c r="DF150" s="313">
        <f t="shared" si="255"/>
        <v>100000</v>
      </c>
      <c r="DG150" s="313">
        <f t="shared" si="255"/>
        <v>100000</v>
      </c>
      <c r="DH150" s="313">
        <f t="shared" si="255"/>
        <v>100000</v>
      </c>
      <c r="DI150" s="313">
        <f t="shared" si="255"/>
        <v>100000</v>
      </c>
      <c r="DJ150" s="313">
        <f t="shared" si="255"/>
        <v>100000</v>
      </c>
      <c r="DK150" s="313">
        <f t="shared" si="255"/>
        <v>100000</v>
      </c>
      <c r="DL150" s="313">
        <f t="shared" si="255"/>
        <v>100000</v>
      </c>
      <c r="DM150" s="313">
        <f t="shared" si="255"/>
        <v>100000</v>
      </c>
      <c r="DN150" s="313">
        <f t="shared" si="255"/>
        <v>100000</v>
      </c>
      <c r="DO150" s="313">
        <f t="shared" si="255"/>
        <v>100000</v>
      </c>
      <c r="DP150" s="313">
        <f t="shared" si="255"/>
        <v>100000</v>
      </c>
      <c r="DQ150" s="313">
        <f t="shared" si="255"/>
        <v>100000</v>
      </c>
      <c r="DR150" s="313">
        <f t="shared" si="255"/>
        <v>100000</v>
      </c>
      <c r="DS150" s="313">
        <f t="shared" si="255"/>
        <v>100000</v>
      </c>
      <c r="DT150" s="313">
        <f t="shared" si="255"/>
        <v>100000</v>
      </c>
      <c r="DU150" s="313">
        <f t="shared" si="255"/>
        <v>100000</v>
      </c>
      <c r="DV150" s="313">
        <f t="shared" si="255"/>
        <v>100000</v>
      </c>
    </row>
    <row r="151" ht="15" customHeight="1">
      <c r="A151" s="311" t="s">
        <v>1580</v>
      </c>
      <c r="B151" s="312" t="s">
        <v>1321</v>
      </c>
      <c r="C151" s="702" t="s">
        <v>1581</v>
      </c>
      <c r="D151" s="703"/>
      <c r="F151" s="313" t="n">
        <f t="shared" ref="F151:AK151" si="256">MAX(0,F$150-(E$153+F$144+F$106-MAX(0,F$107-F$118)-F$145-F$146-F$147-F$125-F$127-F$149))</f>
        <v>0</v>
      </c>
      <c r="G151" s="313">
        <f t="shared" si="256"/>
        <v>0</v>
      </c>
      <c r="H151" s="313">
        <f t="shared" si="256"/>
        <v>626111.11111111112</v>
      </c>
      <c r="I151" s="313">
        <f t="shared" si="256"/>
        <v>0</v>
      </c>
      <c r="J151" s="313">
        <f t="shared" si="256"/>
        <v>0</v>
      </c>
      <c r="K151" s="313">
        <f t="shared" si="256"/>
        <v>0</v>
      </c>
      <c r="L151" s="313">
        <f t="shared" si="256"/>
        <v>0</v>
      </c>
      <c r="M151" s="313">
        <f t="shared" si="256"/>
        <v>0</v>
      </c>
      <c r="N151" s="313">
        <f t="shared" si="256"/>
        <v>0</v>
      </c>
      <c r="O151" s="313">
        <f t="shared" si="256"/>
        <v>0</v>
      </c>
      <c r="P151" s="313">
        <f t="shared" si="256"/>
        <v>0</v>
      </c>
      <c r="Q151" s="313">
        <f t="shared" si="256"/>
        <v>0</v>
      </c>
      <c r="R151" s="313">
        <f t="shared" si="256"/>
        <v>0</v>
      </c>
      <c r="S151" s="313">
        <f t="shared" si="256"/>
        <v>0</v>
      </c>
      <c r="T151" s="313">
        <f t="shared" si="256"/>
        <v>0</v>
      </c>
      <c r="U151" s="313">
        <f t="shared" si="256"/>
        <v>0</v>
      </c>
      <c r="V151" s="313">
        <f t="shared" si="256"/>
        <v>0</v>
      </c>
      <c r="W151" s="313">
        <f t="shared" si="256"/>
        <v>0</v>
      </c>
      <c r="X151" s="313">
        <f t="shared" si="256"/>
        <v>0</v>
      </c>
      <c r="Y151" s="313">
        <f t="shared" si="256"/>
        <v>0</v>
      </c>
      <c r="Z151" s="313">
        <f t="shared" si="256"/>
        <v>0</v>
      </c>
      <c r="AA151" s="313">
        <f t="shared" si="256"/>
        <v>0</v>
      </c>
      <c r="AB151" s="313">
        <f t="shared" si="256"/>
        <v>0</v>
      </c>
      <c r="AC151" s="313">
        <f t="shared" si="256"/>
        <v>0</v>
      </c>
      <c r="AD151" s="313">
        <f t="shared" si="256"/>
        <v>0</v>
      </c>
      <c r="AE151" s="313">
        <f t="shared" si="256"/>
        <v>0</v>
      </c>
      <c r="AF151" s="313">
        <f t="shared" si="256"/>
        <v>0</v>
      </c>
      <c r="AG151" s="313">
        <f t="shared" si="256"/>
        <v>0</v>
      </c>
      <c r="AH151" s="313">
        <f t="shared" si="256"/>
        <v>0</v>
      </c>
      <c r="AI151" s="313">
        <f t="shared" si="256"/>
        <v>0</v>
      </c>
      <c r="AJ151" s="313">
        <f t="shared" si="256"/>
        <v>0</v>
      </c>
      <c r="AK151" s="313">
        <f t="shared" si="256"/>
        <v>0</v>
      </c>
      <c r="AL151" s="313" t="n">
        <f t="shared" ref="AL151:BQ151" si="257">MAX(0,AL$150-(AK$153+AL$144+AL$106-MAX(0,AL$107-AL$118)-AL$145-AL$146-AL$147-AL$125-AL$127-AL$149))</f>
        <v>0</v>
      </c>
      <c r="AM151" s="313">
        <f t="shared" si="257"/>
        <v>0</v>
      </c>
      <c r="AN151" s="313">
        <f t="shared" si="257"/>
        <v>0</v>
      </c>
      <c r="AO151" s="313">
        <f t="shared" si="257"/>
        <v>0</v>
      </c>
      <c r="AP151" s="313">
        <f t="shared" si="257"/>
        <v>0</v>
      </c>
      <c r="AQ151" s="313">
        <f t="shared" si="257"/>
        <v>0</v>
      </c>
      <c r="AR151" s="313">
        <f t="shared" si="257"/>
        <v>0</v>
      </c>
      <c r="AS151" s="313">
        <f t="shared" si="257"/>
        <v>0</v>
      </c>
      <c r="AT151" s="313">
        <f t="shared" si="257"/>
        <v>0</v>
      </c>
      <c r="AU151" s="313">
        <f t="shared" si="257"/>
        <v>0</v>
      </c>
      <c r="AV151" s="313">
        <f t="shared" si="257"/>
        <v>0</v>
      </c>
      <c r="AW151" s="313">
        <f t="shared" si="257"/>
        <v>0</v>
      </c>
      <c r="AX151" s="313">
        <f t="shared" si="257"/>
        <v>0</v>
      </c>
      <c r="AY151" s="313">
        <f t="shared" si="257"/>
        <v>0</v>
      </c>
      <c r="AZ151" s="313">
        <f t="shared" si="257"/>
        <v>0</v>
      </c>
      <c r="BA151" s="313">
        <f t="shared" si="257"/>
        <v>0</v>
      </c>
      <c r="BB151" s="313">
        <f t="shared" si="257"/>
        <v>0</v>
      </c>
      <c r="BC151" s="313">
        <f t="shared" si="257"/>
        <v>0</v>
      </c>
      <c r="BD151" s="313">
        <f t="shared" si="257"/>
        <v>0</v>
      </c>
      <c r="BE151" s="313">
        <f t="shared" si="257"/>
        <v>0</v>
      </c>
      <c r="BF151" s="313">
        <f t="shared" si="257"/>
        <v>0</v>
      </c>
      <c r="BG151" s="313">
        <f t="shared" si="257"/>
        <v>0</v>
      </c>
      <c r="BH151" s="313">
        <f t="shared" si="257"/>
        <v>0</v>
      </c>
      <c r="BI151" s="313">
        <f t="shared" si="257"/>
        <v>0</v>
      </c>
      <c r="BJ151" s="313">
        <f t="shared" si="257"/>
        <v>0</v>
      </c>
      <c r="BK151" s="313">
        <f t="shared" si="257"/>
        <v>0</v>
      </c>
      <c r="BL151" s="313">
        <f t="shared" si="257"/>
        <v>0</v>
      </c>
      <c r="BM151" s="313">
        <f t="shared" si="257"/>
        <v>0</v>
      </c>
      <c r="BN151" s="313">
        <f t="shared" si="257"/>
        <v>0</v>
      </c>
      <c r="BO151" s="313">
        <f t="shared" si="257"/>
        <v>187957039.57614058</v>
      </c>
      <c r="BP151" s="313">
        <f t="shared" si="257"/>
        <v>0</v>
      </c>
      <c r="BQ151" s="313">
        <f t="shared" si="257"/>
        <v>0</v>
      </c>
      <c r="BR151" s="313" t="n">
        <f t="shared" ref="BR151:CW151" si="258">MAX(0,BR$150-(BQ$153+BR$144+BR$106-MAX(0,BR$107-BR$118)-BR$145-BR$146-BR$147-BR$125-BR$127-BR$149))</f>
        <v>0</v>
      </c>
      <c r="BS151" s="313">
        <f t="shared" si="258"/>
        <v>0</v>
      </c>
      <c r="BT151" s="313">
        <f t="shared" si="258"/>
        <v>0</v>
      </c>
      <c r="BU151" s="313">
        <f t="shared" si="258"/>
        <v>0</v>
      </c>
      <c r="BV151" s="313">
        <f t="shared" si="258"/>
        <v>0</v>
      </c>
      <c r="BW151" s="313">
        <f t="shared" si="258"/>
        <v>0</v>
      </c>
      <c r="BX151" s="313">
        <f t="shared" si="258"/>
        <v>0</v>
      </c>
      <c r="BY151" s="313">
        <f t="shared" si="258"/>
        <v>0</v>
      </c>
      <c r="BZ151" s="313">
        <f t="shared" si="258"/>
        <v>0</v>
      </c>
      <c r="CA151" s="313">
        <f t="shared" si="258"/>
        <v>0</v>
      </c>
      <c r="CB151" s="313">
        <f t="shared" si="258"/>
        <v>0</v>
      </c>
      <c r="CC151" s="313">
        <f t="shared" si="258"/>
        <v>0</v>
      </c>
      <c r="CD151" s="313">
        <f t="shared" si="258"/>
        <v>0</v>
      </c>
      <c r="CE151" s="313">
        <f t="shared" si="258"/>
        <v>0</v>
      </c>
      <c r="CF151" s="313">
        <f t="shared" si="258"/>
        <v>0</v>
      </c>
      <c r="CG151" s="313">
        <f t="shared" si="258"/>
        <v>0</v>
      </c>
      <c r="CH151" s="313">
        <f t="shared" si="258"/>
        <v>0</v>
      </c>
      <c r="CI151" s="313">
        <f t="shared" si="258"/>
        <v>0</v>
      </c>
      <c r="CJ151" s="313">
        <f t="shared" si="258"/>
        <v>0</v>
      </c>
      <c r="CK151" s="313">
        <f t="shared" si="258"/>
        <v>0</v>
      </c>
      <c r="CL151" s="313">
        <f t="shared" si="258"/>
        <v>0</v>
      </c>
      <c r="CM151" s="313">
        <f t="shared" si="258"/>
        <v>0</v>
      </c>
      <c r="CN151" s="313">
        <f t="shared" si="258"/>
        <v>0</v>
      </c>
      <c r="CO151" s="313">
        <f t="shared" si="258"/>
        <v>0</v>
      </c>
      <c r="CP151" s="313">
        <f t="shared" si="258"/>
        <v>0</v>
      </c>
      <c r="CQ151" s="313">
        <f t="shared" si="258"/>
        <v>0</v>
      </c>
      <c r="CR151" s="313">
        <f t="shared" si="258"/>
        <v>0</v>
      </c>
      <c r="CS151" s="313">
        <f t="shared" si="258"/>
        <v>0</v>
      </c>
      <c r="CT151" s="313">
        <f t="shared" si="258"/>
        <v>0</v>
      </c>
      <c r="CU151" s="313">
        <f t="shared" si="258"/>
        <v>0</v>
      </c>
      <c r="CV151" s="313">
        <f t="shared" si="258"/>
        <v>0</v>
      </c>
      <c r="CW151" s="313">
        <f t="shared" si="258"/>
        <v>0</v>
      </c>
      <c r="CX151" s="313" t="n">
        <f t="shared" ref="CX151:DV151" si="259">MAX(0,CX$150-(CW$153+CX$144+CX$106-MAX(0,CX$107-CX$118)-CX$145-CX$146-CX$147-CX$125-CX$127-CX$149))</f>
        <v>0</v>
      </c>
      <c r="CY151" s="313">
        <f t="shared" si="259"/>
        <v>0</v>
      </c>
      <c r="CZ151" s="313">
        <f t="shared" si="259"/>
        <v>0</v>
      </c>
      <c r="DA151" s="313">
        <f t="shared" si="259"/>
        <v>0</v>
      </c>
      <c r="DB151" s="313">
        <f t="shared" si="259"/>
        <v>0</v>
      </c>
      <c r="DC151" s="313">
        <f t="shared" si="259"/>
        <v>0</v>
      </c>
      <c r="DD151" s="313">
        <f t="shared" si="259"/>
        <v>0</v>
      </c>
      <c r="DE151" s="313">
        <f t="shared" si="259"/>
        <v>0</v>
      </c>
      <c r="DF151" s="313">
        <f t="shared" si="259"/>
        <v>0</v>
      </c>
      <c r="DG151" s="313">
        <f t="shared" si="259"/>
        <v>0</v>
      </c>
      <c r="DH151" s="313">
        <f t="shared" si="259"/>
        <v>0</v>
      </c>
      <c r="DI151" s="313">
        <f t="shared" si="259"/>
        <v>0</v>
      </c>
      <c r="DJ151" s="313">
        <f t="shared" si="259"/>
        <v>0</v>
      </c>
      <c r="DK151" s="313">
        <f t="shared" si="259"/>
        <v>0</v>
      </c>
      <c r="DL151" s="313">
        <f t="shared" si="259"/>
        <v>0</v>
      </c>
      <c r="DM151" s="313">
        <f t="shared" si="259"/>
        <v>0</v>
      </c>
      <c r="DN151" s="313">
        <f t="shared" si="259"/>
        <v>0</v>
      </c>
      <c r="DO151" s="313">
        <f t="shared" si="259"/>
        <v>0</v>
      </c>
      <c r="DP151" s="313">
        <f t="shared" si="259"/>
        <v>0</v>
      </c>
      <c r="DQ151" s="313">
        <f t="shared" si="259"/>
        <v>0</v>
      </c>
      <c r="DR151" s="313">
        <f t="shared" si="259"/>
        <v>0</v>
      </c>
      <c r="DS151" s="313">
        <f t="shared" si="259"/>
        <v>0</v>
      </c>
      <c r="DT151" s="313">
        <f t="shared" si="259"/>
        <v>0</v>
      </c>
      <c r="DU151" s="313">
        <f t="shared" si="259"/>
        <v>0</v>
      </c>
      <c r="DV151" s="313">
        <f t="shared" si="259"/>
        <v>0</v>
      </c>
    </row>
    <row r="152" ht="15" customHeight="1">
      <c r="A152" s="311" t="s">
        <v>970</v>
      </c>
      <c r="B152" s="312" t="s">
        <v>1321</v>
      </c>
      <c r="C152" s="702" t="s">
        <v>1582</v>
      </c>
      <c r="D152" s="703"/>
      <c r="F152" s="313" t="n">
        <f t="shared" ref="F152:AK152" si="260">IF(AND(F$97="OK",F$112="OK",F$135="OK",IF(F$123+F$124=0,TRUE,F$144/(F$123+F$124)&gt;=$B$48),IF(F$123=0,TRUE,F$144/F$123&gt;=$B$49),OR(F$133=0,F$133&gt;=$B$50),F$150&lt;=E$153+F$144+F$106-MAX(0,F$107-F$118)-F$145-F$146-F$147-F$125-F$127-F$149+F$151),MAX(0,(E$153+F$144+F$106-MAX(0,F$107-F$118)-F$145-F$146-F$147-F$125-F$127-F$149)+F$151-F$150),0)</f>
        <v>0</v>
      </c>
      <c r="G152" s="313">
        <f t="shared" si="260"/>
        <v>0</v>
      </c>
      <c r="H152" s="313">
        <f t="shared" si="260"/>
        <v>0</v>
      </c>
      <c r="I152" s="313">
        <f t="shared" si="260"/>
        <v>0</v>
      </c>
      <c r="J152" s="313">
        <f t="shared" si="260"/>
        <v>0</v>
      </c>
      <c r="K152" s="313">
        <f t="shared" si="260"/>
        <v>0</v>
      </c>
      <c r="L152" s="313">
        <f t="shared" si="260"/>
        <v>0</v>
      </c>
      <c r="M152" s="313">
        <f t="shared" si="260"/>
        <v>60293.056452334422</v>
      </c>
      <c r="N152" s="313">
        <f t="shared" si="260"/>
        <v>410064.93663964409</v>
      </c>
      <c r="O152" s="313">
        <f t="shared" si="260"/>
        <v>410064.93663964409</v>
      </c>
      <c r="P152" s="313">
        <f t="shared" si="260"/>
        <v>410064.93663964409</v>
      </c>
      <c r="Q152" s="313">
        <f t="shared" si="260"/>
        <v>410064.93663964409</v>
      </c>
      <c r="R152" s="313">
        <f t="shared" si="260"/>
        <v>410064.93663964409</v>
      </c>
      <c r="S152" s="313">
        <f t="shared" si="260"/>
        <v>410064.93663964409</v>
      </c>
      <c r="T152" s="313">
        <f t="shared" si="260"/>
        <v>410064.93663964409</v>
      </c>
      <c r="U152" s="313">
        <f t="shared" si="260"/>
        <v>410064.93663964409</v>
      </c>
      <c r="V152" s="313">
        <f t="shared" si="260"/>
        <v>410064.93663964409</v>
      </c>
      <c r="W152" s="313">
        <f t="shared" si="260"/>
        <v>410064.93663964409</v>
      </c>
      <c r="X152" s="313">
        <f t="shared" si="260"/>
        <v>306279.53355418082</v>
      </c>
      <c r="Y152" s="313">
        <f t="shared" si="260"/>
        <v>1641521.3079692489</v>
      </c>
      <c r="Z152" s="313">
        <f t="shared" si="260"/>
        <v>2226306.4838841301</v>
      </c>
      <c r="AA152" s="313">
        <f t="shared" si="260"/>
        <v>2041219.9082462462</v>
      </c>
      <c r="AB152" s="313">
        <f t="shared" si="260"/>
        <v>2278966.4603062035</v>
      </c>
      <c r="AC152" s="313">
        <f t="shared" si="260"/>
        <v>2334604.9899719721</v>
      </c>
      <c r="AD152" s="313">
        <f t="shared" si="260"/>
        <v>2266433.9518165616</v>
      </c>
      <c r="AE152" s="313">
        <f t="shared" si="260"/>
        <v>2326192.5451061772</v>
      </c>
      <c r="AF152" s="313">
        <f t="shared" si="260"/>
        <v>2366025.4895944591</v>
      </c>
      <c r="AG152" s="313">
        <f t="shared" si="260"/>
        <v>2379799.8228070256</v>
      </c>
      <c r="AH152" s="313">
        <f t="shared" si="260"/>
        <v>2450566.5928063071</v>
      </c>
      <c r="AI152" s="313">
        <f t="shared" si="260"/>
        <v>2546340.4612444607</v>
      </c>
      <c r="AJ152" s="313">
        <f t="shared" si="260"/>
        <v>2550586.239708107</v>
      </c>
      <c r="AK152" s="313">
        <f t="shared" si="260"/>
        <v>2842316.937795328</v>
      </c>
      <c r="AL152" s="313" t="n">
        <f t="shared" ref="AL152:BQ152" si="261">IF(AND(AL$97="OK",AL$112="OK",AL$135="OK",IF(AL$123+AL$124=0,TRUE,AL$144/(AL$123+AL$124)&gt;=$B$48),IF(AL$123=0,TRUE,AL$144/AL$123&gt;=$B$49),OR(AL$133=0,AL$133&gt;=$B$50),AL$150&lt;=AK$153+AL$144+AL$106-MAX(0,AL$107-AL$118)-AL$145-AL$146-AL$147-AL$125-AL$127-AL$149+AL$151),MAX(0,(AK$153+AL$144+AL$106-MAX(0,AL$107-AL$118)-AL$145-AL$146-AL$147-AL$125-AL$127-AL$149)+AL$151-AL$150),0)</f>
        <v>0</v>
      </c>
      <c r="AM152" s="313">
        <f t="shared" si="261"/>
        <v>3039429.0514474316</v>
      </c>
      <c r="AN152" s="313">
        <f t="shared" si="261"/>
        <v>0</v>
      </c>
      <c r="AO152" s="313">
        <f t="shared" si="261"/>
        <v>0</v>
      </c>
      <c r="AP152" s="313">
        <f t="shared" si="261"/>
        <v>0</v>
      </c>
      <c r="AQ152" s="313">
        <f t="shared" si="261"/>
        <v>0</v>
      </c>
      <c r="AR152" s="313">
        <f t="shared" si="261"/>
        <v>0</v>
      </c>
      <c r="AS152" s="313">
        <f t="shared" si="261"/>
        <v>0</v>
      </c>
      <c r="AT152" s="313">
        <f t="shared" si="261"/>
        <v>0</v>
      </c>
      <c r="AU152" s="313">
        <f t="shared" si="261"/>
        <v>0</v>
      </c>
      <c r="AV152" s="313">
        <f t="shared" si="261"/>
        <v>0</v>
      </c>
      <c r="AW152" s="313">
        <f t="shared" si="261"/>
        <v>0</v>
      </c>
      <c r="AX152" s="313">
        <f t="shared" si="261"/>
        <v>0</v>
      </c>
      <c r="AY152" s="313">
        <f t="shared" si="261"/>
        <v>0</v>
      </c>
      <c r="AZ152" s="313">
        <f t="shared" si="261"/>
        <v>0</v>
      </c>
      <c r="BA152" s="313">
        <f t="shared" si="261"/>
        <v>0</v>
      </c>
      <c r="BB152" s="313">
        <f t="shared" si="261"/>
        <v>0</v>
      </c>
      <c r="BC152" s="313">
        <f t="shared" si="261"/>
        <v>52384884.205031648</v>
      </c>
      <c r="BD152" s="313">
        <f t="shared" si="261"/>
        <v>1670069.8606413989</v>
      </c>
      <c r="BE152" s="313">
        <f t="shared" si="261"/>
        <v>1686372.6603898797</v>
      </c>
      <c r="BF152" s="313">
        <f t="shared" si="261"/>
        <v>1678006.2644183368</v>
      </c>
      <c r="BG152" s="313">
        <f t="shared" si="261"/>
        <v>1694871.8037304454</v>
      </c>
      <c r="BH152" s="313">
        <f t="shared" si="261"/>
        <v>1685280.4141993285</v>
      </c>
      <c r="BI152" s="313">
        <f t="shared" si="261"/>
        <v>1722043.2861735746</v>
      </c>
      <c r="BJ152" s="313">
        <f t="shared" si="261"/>
        <v>1781499.4366363976</v>
      </c>
      <c r="BK152" s="313">
        <f t="shared" si="261"/>
        <v>1747297.0551720881</v>
      </c>
      <c r="BL152" s="313">
        <f t="shared" si="261"/>
        <v>1769938.2921779216</v>
      </c>
      <c r="BM152" s="313">
        <f t="shared" si="261"/>
        <v>1764649.1443389542</v>
      </c>
      <c r="BN152" s="313">
        <f t="shared" si="261"/>
        <v>1780166.7262441483</v>
      </c>
      <c r="BO152" s="313">
        <f t="shared" si="261"/>
        <v>0</v>
      </c>
      <c r="BP152" s="313">
        <f t="shared" si="261"/>
        <v>3310852.9764085449</v>
      </c>
      <c r="BQ152" s="313">
        <f t="shared" si="261"/>
        <v>4291230.9562465614</v>
      </c>
      <c r="BR152" s="313" t="n">
        <f t="shared" ref="BR152:CW152" si="262">IF(AND(BR$97="OK",BR$112="OK",BR$135="OK",IF(BR$123+BR$124=0,TRUE,BR$144/(BR$123+BR$124)&gt;=$B$48),IF(BR$123=0,TRUE,BR$144/BR$123&gt;=$B$49),OR(BR$133=0,BR$133&gt;=$B$50),BR$150&lt;=BQ$153+BR$144+BR$106-MAX(0,BR$107-BR$118)-BR$145-BR$146-BR$147-BR$125-BR$127-BR$149+BR$151),MAX(0,(BQ$153+BR$144+BR$106-MAX(0,BR$107-BR$118)-BR$145-BR$146-BR$147-BR$125-BR$127-BR$149)+BR$151-BR$150),0)</f>
        <v>4294234.760415312</v>
      </c>
      <c r="BS152" s="313">
        <f t="shared" si="262"/>
        <v>4295801.9625903117</v>
      </c>
      <c r="BT152" s="313">
        <f t="shared" si="262"/>
        <v>4295801.9625903117</v>
      </c>
      <c r="BU152" s="313">
        <f t="shared" si="262"/>
        <v>4363733.2905914709</v>
      </c>
      <c r="BV152" s="313">
        <f t="shared" si="262"/>
        <v>4401209.6956988545</v>
      </c>
      <c r="BW152" s="313">
        <f t="shared" si="262"/>
        <v>4401209.6956988545</v>
      </c>
      <c r="BX152" s="313">
        <f t="shared" si="262"/>
        <v>4415569.0294069787</v>
      </c>
      <c r="BY152" s="313">
        <f t="shared" si="262"/>
        <v>4423060.855689479</v>
      </c>
      <c r="BZ152" s="313">
        <f t="shared" si="262"/>
        <v>4423060.855689479</v>
      </c>
      <c r="CA152" s="313">
        <f t="shared" si="262"/>
        <v>4425637.7297339831</v>
      </c>
      <c r="CB152" s="313">
        <f t="shared" si="262"/>
        <v>4427655.596266483</v>
      </c>
      <c r="CC152" s="313">
        <f t="shared" si="262"/>
        <v>4427655.596266483</v>
      </c>
      <c r="CD152" s="313">
        <f t="shared" si="262"/>
        <v>4430764.5335811386</v>
      </c>
      <c r="CE152" s="313">
        <f t="shared" si="262"/>
        <v>4432386.5878322637</v>
      </c>
      <c r="CF152" s="313">
        <f t="shared" si="262"/>
        <v>4432386.5878322637</v>
      </c>
      <c r="CG152" s="313">
        <f t="shared" si="262"/>
        <v>4386992.0224428084</v>
      </c>
      <c r="CH152" s="313">
        <f t="shared" si="262"/>
        <v>4362137.0444780225</v>
      </c>
      <c r="CI152" s="313">
        <f t="shared" si="262"/>
        <v>4362137.0444780225</v>
      </c>
      <c r="CJ152" s="313">
        <f t="shared" si="262"/>
        <v>4376998.9548659315</v>
      </c>
      <c r="CK152" s="313">
        <f t="shared" si="262"/>
        <v>4384752.9950683191</v>
      </c>
      <c r="CL152" s="313">
        <f t="shared" si="262"/>
        <v>4384752.9950683191</v>
      </c>
      <c r="CM152" s="313">
        <f t="shared" si="262"/>
        <v>4387439.4202565216</v>
      </c>
      <c r="CN152" s="313">
        <f t="shared" si="262"/>
        <v>4389527.9121176582</v>
      </c>
      <c r="CO152" s="313">
        <f t="shared" si="262"/>
        <v>4389527.9121176582</v>
      </c>
      <c r="CP152" s="313">
        <f t="shared" si="262"/>
        <v>4392745.6622383278</v>
      </c>
      <c r="CQ152" s="313">
        <f t="shared" si="262"/>
        <v>4394424.4883882422</v>
      </c>
      <c r="CR152" s="313">
        <f t="shared" si="262"/>
        <v>4394424.4883882422</v>
      </c>
      <c r="CS152" s="313">
        <f t="shared" si="262"/>
        <v>4465064.4660836253</v>
      </c>
      <c r="CT152" s="313">
        <f t="shared" si="262"/>
        <v>4504036.719545261</v>
      </c>
      <c r="CU152" s="313">
        <f t="shared" si="262"/>
        <v>4504036.719545261</v>
      </c>
      <c r="CV152" s="313">
        <f t="shared" si="262"/>
        <v>4519418.7967967475</v>
      </c>
      <c r="CW152" s="313">
        <f t="shared" si="262"/>
        <v>4527444.2284062188</v>
      </c>
      <c r="CX152" s="313" t="n">
        <f t="shared" ref="CX152:DV152" si="263">IF(AND(CX$97="OK",CX$112="OK",CX$135="OK",IF(CX$123+CX$124=0,TRUE,CX$144/(CX$123+CX$124)&gt;=$B$48),IF(CX$123=0,TRUE,CX$144/CX$123&gt;=$B$49),OR(CX$133=0,CX$133&gt;=$B$50),CX$150&lt;=CW$153+CX$144+CX$106-MAX(0,CX$107-CX$118)-CX$145-CX$146-CX$147-CX$125-CX$127-CX$149+CX$151),MAX(0,(CW$153+CX$144+CX$106-MAX(0,CX$107-CX$118)-CX$145-CX$146-CX$147-CX$125-CX$127-CX$149)+CX$151-CX$150),0)</f>
        <v>4527444.228406219</v>
      </c>
      <c r="CY152" s="313">
        <f t="shared" si="263"/>
        <v>4530244.4262391925</v>
      </c>
      <c r="CZ152" s="313">
        <f t="shared" si="263"/>
        <v>4532406.0153154703</v>
      </c>
      <c r="DA152" s="313">
        <f t="shared" si="263"/>
        <v>4532406.0153154703</v>
      </c>
      <c r="DB152" s="313">
        <f t="shared" si="263"/>
        <v>4535736.3866903633</v>
      </c>
      <c r="DC152" s="313">
        <f t="shared" si="263"/>
        <v>4537473.9717555242</v>
      </c>
      <c r="DD152" s="313">
        <f t="shared" si="263"/>
        <v>4537473.9717555242</v>
      </c>
      <c r="DE152" s="313">
        <f t="shared" si="263"/>
        <v>4610638.5349988136</v>
      </c>
      <c r="DF152" s="313">
        <f t="shared" si="263"/>
        <v>4651002.5226836046</v>
      </c>
      <c r="DG152" s="313">
        <f t="shared" si="263"/>
        <v>4651002.5226836046</v>
      </c>
      <c r="DH152" s="313">
        <f t="shared" si="263"/>
        <v>4666922.972638892</v>
      </c>
      <c r="DI152" s="313">
        <f t="shared" si="263"/>
        <v>4675229.2943546949</v>
      </c>
      <c r="DJ152" s="313">
        <f t="shared" si="263"/>
        <v>4675229.2943546949</v>
      </c>
      <c r="DK152" s="313">
        <f t="shared" si="263"/>
        <v>4678147.641830273</v>
      </c>
      <c r="DL152" s="313">
        <f t="shared" si="263"/>
        <v>4680384.88652422</v>
      </c>
      <c r="DM152" s="313">
        <f t="shared" si="263"/>
        <v>4680384.88652422</v>
      </c>
      <c r="DN152" s="313">
        <f t="shared" si="263"/>
        <v>4683831.8208972337</v>
      </c>
      <c r="DO152" s="313">
        <f t="shared" si="263"/>
        <v>4685630.2214396754</v>
      </c>
      <c r="DP152" s="313">
        <f t="shared" si="263"/>
        <v>4685630.2214396754</v>
      </c>
      <c r="DQ152" s="313">
        <f t="shared" si="263"/>
        <v>4761431.8977758335</v>
      </c>
      <c r="DR152" s="313">
        <f t="shared" si="263"/>
        <v>4803249.5933605917</v>
      </c>
      <c r="DS152" s="313">
        <f t="shared" si="263"/>
        <v>4803249.5933605917</v>
      </c>
      <c r="DT152" s="313">
        <f t="shared" si="263"/>
        <v>4819727.2590643149</v>
      </c>
      <c r="DU152" s="313">
        <f t="shared" si="263"/>
        <v>4828324.3020401699</v>
      </c>
      <c r="DV152" s="313">
        <f t="shared" si="263"/>
        <v>4828324.3020401699</v>
      </c>
    </row>
    <row r="153" ht="15" customHeight="1">
      <c r="A153" s="311" t="s">
        <v>1583</v>
      </c>
      <c r="B153" s="312" t="s">
        <v>1321</v>
      </c>
      <c r="C153" s="702" t="s">
        <v>1584</v>
      </c>
      <c r="D153" s="703"/>
      <c r="E153" s="313">
        <v>0</v>
      </c>
      <c r="F153" s="313" t="n">
        <f t="shared" ref="F153:AK153" si="264">(E$153+F$144+F$106-MAX(0,F$107-F$118)-F$145-F$146-F$147-F$125-F$127-F$149)+F$151-F$152</f>
        <v>100000</v>
      </c>
      <c r="G153" s="313">
        <f t="shared" si="264"/>
        <v>100000</v>
      </c>
      <c r="H153" s="313">
        <f t="shared" si="264"/>
        <v>100000</v>
      </c>
      <c r="I153" s="313">
        <f t="shared" si="264"/>
        <v>100000</v>
      </c>
      <c r="J153" s="313">
        <f t="shared" si="264"/>
        <v>100000</v>
      </c>
      <c r="K153" s="313">
        <f t="shared" si="264"/>
        <v>100000</v>
      </c>
      <c r="L153" s="313">
        <f t="shared" si="264"/>
        <v>100000</v>
      </c>
      <c r="M153" s="313">
        <f t="shared" si="264"/>
        <v>100000</v>
      </c>
      <c r="N153" s="313">
        <f t="shared" si="264"/>
        <v>100000</v>
      </c>
      <c r="O153" s="313">
        <f t="shared" si="264"/>
        <v>100000</v>
      </c>
      <c r="P153" s="313">
        <f t="shared" si="264"/>
        <v>100000</v>
      </c>
      <c r="Q153" s="313">
        <f t="shared" si="264"/>
        <v>100000</v>
      </c>
      <c r="R153" s="313">
        <f t="shared" si="264"/>
        <v>100000</v>
      </c>
      <c r="S153" s="313">
        <f t="shared" si="264"/>
        <v>100000</v>
      </c>
      <c r="T153" s="313">
        <f t="shared" si="264"/>
        <v>100000</v>
      </c>
      <c r="U153" s="313">
        <f t="shared" si="264"/>
        <v>100000</v>
      </c>
      <c r="V153" s="313">
        <f t="shared" si="264"/>
        <v>100000</v>
      </c>
      <c r="W153" s="313">
        <f t="shared" si="264"/>
        <v>100000</v>
      </c>
      <c r="X153" s="313">
        <f t="shared" si="264"/>
        <v>100000</v>
      </c>
      <c r="Y153" s="313">
        <f t="shared" si="264"/>
        <v>100000</v>
      </c>
      <c r="Z153" s="313">
        <f t="shared" si="264"/>
        <v>100000</v>
      </c>
      <c r="AA153" s="313">
        <f t="shared" si="264"/>
        <v>100000</v>
      </c>
      <c r="AB153" s="313">
        <f t="shared" si="264"/>
        <v>100000</v>
      </c>
      <c r="AC153" s="313">
        <f t="shared" si="264"/>
        <v>100000</v>
      </c>
      <c r="AD153" s="313">
        <f t="shared" si="264"/>
        <v>100000</v>
      </c>
      <c r="AE153" s="313">
        <f t="shared" si="264"/>
        <v>100000</v>
      </c>
      <c r="AF153" s="313">
        <f t="shared" si="264"/>
        <v>100000</v>
      </c>
      <c r="AG153" s="313">
        <f t="shared" si="264"/>
        <v>100000</v>
      </c>
      <c r="AH153" s="313">
        <f t="shared" si="264"/>
        <v>100000</v>
      </c>
      <c r="AI153" s="313">
        <f t="shared" si="264"/>
        <v>100000</v>
      </c>
      <c r="AJ153" s="313">
        <f t="shared" si="264"/>
        <v>100000</v>
      </c>
      <c r="AK153" s="313">
        <f t="shared" si="264"/>
        <v>100000</v>
      </c>
      <c r="AL153" s="313" t="n">
        <f t="shared" ref="AL153:BQ153" si="265">(AK$153+AL$144+AL$106-MAX(0,AL$107-AL$118)-AL$145-AL$146-AL$147-AL$125-AL$127-AL$149)+AL$151-AL$152</f>
        <v>3187585.1437274106</v>
      </c>
      <c r="AM153" s="313">
        <f t="shared" si="265"/>
        <v>100000</v>
      </c>
      <c r="AN153" s="313">
        <f t="shared" si="265"/>
        <v>3248898.2374910791</v>
      </c>
      <c r="AO153" s="313">
        <f t="shared" si="265"/>
        <v>6314839.9799975846</v>
      </c>
      <c r="AP153" s="313">
        <f t="shared" si="265"/>
        <v>9364967.7459046561</v>
      </c>
      <c r="AQ153" s="313">
        <f t="shared" si="265"/>
        <v>12567417.077296866</v>
      </c>
      <c r="AR153" s="313">
        <f t="shared" si="265"/>
        <v>15771686.408689076</v>
      </c>
      <c r="AS153" s="313">
        <f t="shared" si="265"/>
        <v>19002054.745795693</v>
      </c>
      <c r="AT153" s="313">
        <f t="shared" si="265"/>
        <v>22209231.174164165</v>
      </c>
      <c r="AU153" s="313">
        <f t="shared" si="265"/>
        <v>25444023.354495522</v>
      </c>
      <c r="AV153" s="313">
        <f t="shared" si="265"/>
        <v>28652716.529112477</v>
      </c>
      <c r="AW153" s="313">
        <f t="shared" si="265"/>
        <v>31935459.144344438</v>
      </c>
      <c r="AX153" s="313">
        <f t="shared" si="265"/>
        <v>35337334.741762325</v>
      </c>
      <c r="AY153" s="313">
        <f t="shared" si="265"/>
        <v>38660913.322037004</v>
      </c>
      <c r="AZ153" s="313">
        <f t="shared" si="265"/>
        <v>42023995.499692753</v>
      </c>
      <c r="BA153" s="313">
        <f t="shared" si="265"/>
        <v>45367972.371634096</v>
      </c>
      <c r="BB153" s="313">
        <f t="shared" si="265"/>
        <v>48738048.24928984</v>
      </c>
      <c r="BC153" s="313">
        <f t="shared" si="265"/>
        <v>100000</v>
      </c>
      <c r="BD153" s="313">
        <f t="shared" si="265"/>
        <v>100000</v>
      </c>
      <c r="BE153" s="313">
        <f t="shared" si="265"/>
        <v>100000</v>
      </c>
      <c r="BF153" s="313">
        <f t="shared" si="265"/>
        <v>100000</v>
      </c>
      <c r="BG153" s="313">
        <f t="shared" si="265"/>
        <v>100000</v>
      </c>
      <c r="BH153" s="313">
        <f t="shared" si="265"/>
        <v>100000</v>
      </c>
      <c r="BI153" s="313">
        <f t="shared" si="265"/>
        <v>100000</v>
      </c>
      <c r="BJ153" s="313">
        <f t="shared" si="265"/>
        <v>100000</v>
      </c>
      <c r="BK153" s="313">
        <f t="shared" si="265"/>
        <v>100000</v>
      </c>
      <c r="BL153" s="313">
        <f t="shared" si="265"/>
        <v>100000</v>
      </c>
      <c r="BM153" s="313">
        <f t="shared" si="265"/>
        <v>100000</v>
      </c>
      <c r="BN153" s="313">
        <f t="shared" si="265"/>
        <v>100000</v>
      </c>
      <c r="BO153" s="313">
        <f t="shared" si="265"/>
        <v>100000</v>
      </c>
      <c r="BP153" s="313">
        <f t="shared" si="265"/>
        <v>100000</v>
      </c>
      <c r="BQ153" s="313">
        <f t="shared" si="265"/>
        <v>100000</v>
      </c>
      <c r="BR153" s="313" t="n">
        <f t="shared" ref="BR153:CW153" si="266">(BQ$153+BR$144+BR$106-MAX(0,BR$107-BR$118)-BR$145-BR$146-BR$147-BR$125-BR$127-BR$149)+BR$151-BR$152</f>
        <v>100000</v>
      </c>
      <c r="BS153" s="313">
        <f t="shared" si="266"/>
        <v>100000</v>
      </c>
      <c r="BT153" s="313">
        <f t="shared" si="266"/>
        <v>100000</v>
      </c>
      <c r="BU153" s="313">
        <f t="shared" si="266"/>
        <v>100000</v>
      </c>
      <c r="BV153" s="313">
        <f t="shared" si="266"/>
        <v>100000</v>
      </c>
      <c r="BW153" s="313">
        <f t="shared" si="266"/>
        <v>100000</v>
      </c>
      <c r="BX153" s="313">
        <f t="shared" si="266"/>
        <v>100000</v>
      </c>
      <c r="BY153" s="313">
        <f t="shared" si="266"/>
        <v>100000</v>
      </c>
      <c r="BZ153" s="313">
        <f t="shared" si="266"/>
        <v>100000</v>
      </c>
      <c r="CA153" s="313">
        <f t="shared" si="266"/>
        <v>100000</v>
      </c>
      <c r="CB153" s="313">
        <f t="shared" si="266"/>
        <v>100000</v>
      </c>
      <c r="CC153" s="313">
        <f t="shared" si="266"/>
        <v>100000</v>
      </c>
      <c r="CD153" s="313">
        <f t="shared" si="266"/>
        <v>100000</v>
      </c>
      <c r="CE153" s="313">
        <f t="shared" si="266"/>
        <v>100000</v>
      </c>
      <c r="CF153" s="313">
        <f t="shared" si="266"/>
        <v>100000</v>
      </c>
      <c r="CG153" s="313">
        <f t="shared" si="266"/>
        <v>100000</v>
      </c>
      <c r="CH153" s="313">
        <f t="shared" si="266"/>
        <v>100000</v>
      </c>
      <c r="CI153" s="313">
        <f t="shared" si="266"/>
        <v>100000</v>
      </c>
      <c r="CJ153" s="313">
        <f t="shared" si="266"/>
        <v>100000</v>
      </c>
      <c r="CK153" s="313">
        <f t="shared" si="266"/>
        <v>100000</v>
      </c>
      <c r="CL153" s="313">
        <f t="shared" si="266"/>
        <v>100000</v>
      </c>
      <c r="CM153" s="313">
        <f t="shared" si="266"/>
        <v>100000</v>
      </c>
      <c r="CN153" s="313">
        <f t="shared" si="266"/>
        <v>100000</v>
      </c>
      <c r="CO153" s="313">
        <f t="shared" si="266"/>
        <v>100000</v>
      </c>
      <c r="CP153" s="313">
        <f t="shared" si="266"/>
        <v>100000</v>
      </c>
      <c r="CQ153" s="313">
        <f t="shared" si="266"/>
        <v>100000</v>
      </c>
      <c r="CR153" s="313">
        <f t="shared" si="266"/>
        <v>100000</v>
      </c>
      <c r="CS153" s="313">
        <f t="shared" si="266"/>
        <v>100000</v>
      </c>
      <c r="CT153" s="313">
        <f t="shared" si="266"/>
        <v>100000</v>
      </c>
      <c r="CU153" s="313">
        <f t="shared" si="266"/>
        <v>100000</v>
      </c>
      <c r="CV153" s="313">
        <f t="shared" si="266"/>
        <v>100000</v>
      </c>
      <c r="CW153" s="313">
        <f t="shared" si="266"/>
        <v>100000</v>
      </c>
      <c r="CX153" s="313" t="n">
        <f t="shared" ref="CX153:DV153" si="267">(CW$153+CX$144+CX$106-MAX(0,CX$107-CX$118)-CX$145-CX$146-CX$147-CX$125-CX$127-CX$149)+CX$151-CX$152</f>
        <v>100000</v>
      </c>
      <c r="CY153" s="313">
        <f t="shared" si="267"/>
        <v>100000</v>
      </c>
      <c r="CZ153" s="313">
        <f t="shared" si="267"/>
        <v>100000</v>
      </c>
      <c r="DA153" s="313">
        <f t="shared" si="267"/>
        <v>100000</v>
      </c>
      <c r="DB153" s="313">
        <f t="shared" si="267"/>
        <v>100000</v>
      </c>
      <c r="DC153" s="313">
        <f t="shared" si="267"/>
        <v>100000</v>
      </c>
      <c r="DD153" s="313">
        <f t="shared" si="267"/>
        <v>100000</v>
      </c>
      <c r="DE153" s="313">
        <f t="shared" si="267"/>
        <v>100000</v>
      </c>
      <c r="DF153" s="313">
        <f t="shared" si="267"/>
        <v>100000</v>
      </c>
      <c r="DG153" s="313">
        <f t="shared" si="267"/>
        <v>100000</v>
      </c>
      <c r="DH153" s="313">
        <f t="shared" si="267"/>
        <v>100000</v>
      </c>
      <c r="DI153" s="313">
        <f t="shared" si="267"/>
        <v>100000</v>
      </c>
      <c r="DJ153" s="313">
        <f t="shared" si="267"/>
        <v>100000</v>
      </c>
      <c r="DK153" s="313">
        <f t="shared" si="267"/>
        <v>100000</v>
      </c>
      <c r="DL153" s="313">
        <f t="shared" si="267"/>
        <v>100000</v>
      </c>
      <c r="DM153" s="313">
        <f t="shared" si="267"/>
        <v>100000</v>
      </c>
      <c r="DN153" s="313">
        <f t="shared" si="267"/>
        <v>100000</v>
      </c>
      <c r="DO153" s="313">
        <f t="shared" si="267"/>
        <v>100000</v>
      </c>
      <c r="DP153" s="313">
        <f t="shared" si="267"/>
        <v>100000</v>
      </c>
      <c r="DQ153" s="313">
        <f t="shared" si="267"/>
        <v>100000</v>
      </c>
      <c r="DR153" s="313">
        <f t="shared" si="267"/>
        <v>100000</v>
      </c>
      <c r="DS153" s="313">
        <f t="shared" si="267"/>
        <v>100000</v>
      </c>
      <c r="DT153" s="313">
        <f t="shared" si="267"/>
        <v>100000</v>
      </c>
      <c r="DU153" s="313">
        <f t="shared" si="267"/>
        <v>100000</v>
      </c>
      <c r="DV153" s="313">
        <f t="shared" si="267"/>
        <v>100000</v>
      </c>
    </row>
    <row r="154" ht="15" customHeight="1">
      <c r="A154" s="311" t="s">
        <v>1585</v>
      </c>
      <c r="B154" s="312" t="s">
        <v>1440</v>
      </c>
      <c r="C154" s="702" t="s">
        <v>1586</v>
      </c>
      <c r="D154" s="703"/>
      <c r="F154" s="327" t="str">
        <f t="shared" ref="F154:AK154" si="268">IF(AND(F$97="OK",F$112="OK",F$135="OK",OR(F$131=0,F$131&gt;=$B$48),OR(F$132=0,F$132&gt;=$B$49),OR(F$133=0,F$133&gt;=$B$50),F$150&lt;=E$153+F$144+F$106-MAX(0,F$107-F$118)-F$145-F$146-F$147-F$125-F$127-F$149+F$151),"OK","BLOCKED")</f>
        <v>OK</v>
      </c>
      <c r="G154" s="327" t="str">
        <f t="shared" si="268"/>
        <v>OK</v>
      </c>
      <c r="H154" s="327" t="str">
        <f t="shared" si="268"/>
        <v>OK</v>
      </c>
      <c r="I154" s="327" t="str">
        <f t="shared" si="268"/>
        <v>OK</v>
      </c>
      <c r="J154" s="327" t="str">
        <f t="shared" si="268"/>
        <v>OK</v>
      </c>
      <c r="K154" s="327" t="str">
        <f t="shared" si="268"/>
        <v>OK</v>
      </c>
      <c r="L154" s="327" t="str">
        <f t="shared" si="268"/>
        <v>OK</v>
      </c>
      <c r="M154" s="327" t="str">
        <f t="shared" si="268"/>
        <v>OK</v>
      </c>
      <c r="N154" s="327" t="str">
        <f t="shared" si="268"/>
        <v>OK</v>
      </c>
      <c r="O154" s="327" t="str">
        <f t="shared" si="268"/>
        <v>OK</v>
      </c>
      <c r="P154" s="327" t="str">
        <f t="shared" si="268"/>
        <v>OK</v>
      </c>
      <c r="Q154" s="327" t="str">
        <f t="shared" si="268"/>
        <v>OK</v>
      </c>
      <c r="R154" s="327" t="str">
        <f t="shared" si="268"/>
        <v>OK</v>
      </c>
      <c r="S154" s="327" t="str">
        <f t="shared" si="268"/>
        <v>OK</v>
      </c>
      <c r="T154" s="327" t="str">
        <f t="shared" si="268"/>
        <v>OK</v>
      </c>
      <c r="U154" s="327" t="str">
        <f t="shared" si="268"/>
        <v>OK</v>
      </c>
      <c r="V154" s="327" t="str">
        <f t="shared" si="268"/>
        <v>OK</v>
      </c>
      <c r="W154" s="327" t="str">
        <f t="shared" si="268"/>
        <v>OK</v>
      </c>
      <c r="X154" s="327" t="str">
        <f t="shared" si="268"/>
        <v>OK</v>
      </c>
      <c r="Y154" s="327" t="str">
        <f t="shared" si="268"/>
        <v>OK</v>
      </c>
      <c r="Z154" s="327" t="str">
        <f t="shared" si="268"/>
        <v>OK</v>
      </c>
      <c r="AA154" s="327" t="str">
        <f t="shared" si="268"/>
        <v>OK</v>
      </c>
      <c r="AB154" s="327" t="str">
        <f t="shared" si="268"/>
        <v>OK</v>
      </c>
      <c r="AC154" s="327" t="str">
        <f t="shared" si="268"/>
        <v>OK</v>
      </c>
      <c r="AD154" s="327" t="str">
        <f t="shared" si="268"/>
        <v>OK</v>
      </c>
      <c r="AE154" s="327" t="str">
        <f t="shared" si="268"/>
        <v>OK</v>
      </c>
      <c r="AF154" s="327" t="str">
        <f t="shared" si="268"/>
        <v>OK</v>
      </c>
      <c r="AG154" s="327" t="str">
        <f t="shared" si="268"/>
        <v>OK</v>
      </c>
      <c r="AH154" s="327" t="str">
        <f t="shared" si="268"/>
        <v>OK</v>
      </c>
      <c r="AI154" s="327" t="str">
        <f t="shared" si="268"/>
        <v>OK</v>
      </c>
      <c r="AJ154" s="327" t="str">
        <f t="shared" si="268"/>
        <v>OK</v>
      </c>
      <c r="AK154" s="327" t="str">
        <f t="shared" si="268"/>
        <v>OK</v>
      </c>
      <c r="AL154" s="327" t="str">
        <f t="shared" ref="AL154:BQ154" si="269">IF(AND(AL$97="OK",AL$112="OK",AL$135="OK",OR(AL$131=0,AL$131&gt;=$B$48),OR(AL$132=0,AL$132&gt;=$B$49),OR(AL$133=0,AL$133&gt;=$B$50),AL$150&lt;=AK$153+AL$144+AL$106-MAX(0,AL$107-AL$118)-AL$145-AL$146-AL$147-AL$125-AL$127-AL$149+AL$151),"OK","BLOCKED")</f>
        <v>BLOCKED</v>
      </c>
      <c r="AM154" s="327" t="str">
        <f t="shared" si="269"/>
        <v>OK</v>
      </c>
      <c r="AN154" s="327" t="str">
        <f t="shared" si="269"/>
        <v>BLOCKED</v>
      </c>
      <c r="AO154" s="327" t="str">
        <f t="shared" si="269"/>
        <v>BLOCKED</v>
      </c>
      <c r="AP154" s="327" t="str">
        <f t="shared" si="269"/>
        <v>BLOCKED</v>
      </c>
      <c r="AQ154" s="327" t="str">
        <f t="shared" si="269"/>
        <v>BLOCKED</v>
      </c>
      <c r="AR154" s="327" t="str">
        <f t="shared" si="269"/>
        <v>BLOCKED</v>
      </c>
      <c r="AS154" s="327" t="str">
        <f t="shared" si="269"/>
        <v>BLOCKED</v>
      </c>
      <c r="AT154" s="327" t="str">
        <f t="shared" si="269"/>
        <v>BLOCKED</v>
      </c>
      <c r="AU154" s="327" t="str">
        <f t="shared" si="269"/>
        <v>BLOCKED</v>
      </c>
      <c r="AV154" s="327" t="str">
        <f t="shared" si="269"/>
        <v>BLOCKED</v>
      </c>
      <c r="AW154" s="327" t="str">
        <f t="shared" si="269"/>
        <v>BLOCKED</v>
      </c>
      <c r="AX154" s="327" t="str">
        <f t="shared" si="269"/>
        <v>BLOCKED</v>
      </c>
      <c r="AY154" s="327" t="str">
        <f t="shared" si="269"/>
        <v>BLOCKED</v>
      </c>
      <c r="AZ154" s="327" t="str">
        <f t="shared" si="269"/>
        <v>BLOCKED</v>
      </c>
      <c r="BA154" s="327" t="str">
        <f t="shared" si="269"/>
        <v>BLOCKED</v>
      </c>
      <c r="BB154" s="327" t="str">
        <f t="shared" si="269"/>
        <v>BLOCKED</v>
      </c>
      <c r="BC154" s="327" t="str">
        <f t="shared" si="269"/>
        <v>OK</v>
      </c>
      <c r="BD154" s="327" t="str">
        <f t="shared" si="269"/>
        <v>OK</v>
      </c>
      <c r="BE154" s="327" t="str">
        <f t="shared" si="269"/>
        <v>OK</v>
      </c>
      <c r="BF154" s="327" t="str">
        <f t="shared" si="269"/>
        <v>OK</v>
      </c>
      <c r="BG154" s="327" t="str">
        <f t="shared" si="269"/>
        <v>OK</v>
      </c>
      <c r="BH154" s="327" t="str">
        <f t="shared" si="269"/>
        <v>OK</v>
      </c>
      <c r="BI154" s="327" t="str">
        <f t="shared" si="269"/>
        <v>OK</v>
      </c>
      <c r="BJ154" s="327" t="str">
        <f t="shared" si="269"/>
        <v>OK</v>
      </c>
      <c r="BK154" s="327" t="str">
        <f t="shared" si="269"/>
        <v>OK</v>
      </c>
      <c r="BL154" s="327" t="str">
        <f t="shared" si="269"/>
        <v>OK</v>
      </c>
      <c r="BM154" s="327" t="str">
        <f t="shared" si="269"/>
        <v>OK</v>
      </c>
      <c r="BN154" s="327" t="str">
        <f t="shared" si="269"/>
        <v>OK</v>
      </c>
      <c r="BO154" s="327" t="str">
        <f t="shared" si="269"/>
        <v>OK</v>
      </c>
      <c r="BP154" s="327" t="str">
        <f t="shared" si="269"/>
        <v>OK</v>
      </c>
      <c r="BQ154" s="327" t="str">
        <f t="shared" si="269"/>
        <v>OK</v>
      </c>
      <c r="BR154" s="327" t="str">
        <f t="shared" ref="BR154:CW154" si="270">IF(AND(BR$97="OK",BR$112="OK",BR$135="OK",OR(BR$131=0,BR$131&gt;=$B$48),OR(BR$132=0,BR$132&gt;=$B$49),OR(BR$133=0,BR$133&gt;=$B$50),BR$150&lt;=BQ$153+BR$144+BR$106-MAX(0,BR$107-BR$118)-BR$145-BR$146-BR$147-BR$125-BR$127-BR$149+BR$151),"OK","BLOCKED")</f>
        <v>OK</v>
      </c>
      <c r="BS154" s="327" t="str">
        <f t="shared" si="270"/>
        <v>OK</v>
      </c>
      <c r="BT154" s="327" t="str">
        <f t="shared" si="270"/>
        <v>OK</v>
      </c>
      <c r="BU154" s="327" t="str">
        <f t="shared" si="270"/>
        <v>OK</v>
      </c>
      <c r="BV154" s="327" t="str">
        <f t="shared" si="270"/>
        <v>OK</v>
      </c>
      <c r="BW154" s="327" t="str">
        <f t="shared" si="270"/>
        <v>OK</v>
      </c>
      <c r="BX154" s="327" t="str">
        <f t="shared" si="270"/>
        <v>OK</v>
      </c>
      <c r="BY154" s="327" t="str">
        <f t="shared" si="270"/>
        <v>OK</v>
      </c>
      <c r="BZ154" s="327" t="str">
        <f t="shared" si="270"/>
        <v>OK</v>
      </c>
      <c r="CA154" s="327" t="str">
        <f t="shared" si="270"/>
        <v>OK</v>
      </c>
      <c r="CB154" s="327" t="str">
        <f t="shared" si="270"/>
        <v>OK</v>
      </c>
      <c r="CC154" s="327" t="str">
        <f t="shared" si="270"/>
        <v>OK</v>
      </c>
      <c r="CD154" s="327" t="str">
        <f t="shared" si="270"/>
        <v>OK</v>
      </c>
      <c r="CE154" s="327" t="str">
        <f t="shared" si="270"/>
        <v>OK</v>
      </c>
      <c r="CF154" s="327" t="str">
        <f t="shared" si="270"/>
        <v>OK</v>
      </c>
      <c r="CG154" s="327" t="str">
        <f t="shared" si="270"/>
        <v>OK</v>
      </c>
      <c r="CH154" s="327" t="str">
        <f t="shared" si="270"/>
        <v>OK</v>
      </c>
      <c r="CI154" s="327" t="str">
        <f t="shared" si="270"/>
        <v>OK</v>
      </c>
      <c r="CJ154" s="327" t="str">
        <f t="shared" si="270"/>
        <v>OK</v>
      </c>
      <c r="CK154" s="327" t="str">
        <f t="shared" si="270"/>
        <v>OK</v>
      </c>
      <c r="CL154" s="327" t="str">
        <f t="shared" si="270"/>
        <v>OK</v>
      </c>
      <c r="CM154" s="327" t="str">
        <f t="shared" si="270"/>
        <v>OK</v>
      </c>
      <c r="CN154" s="327" t="str">
        <f t="shared" si="270"/>
        <v>OK</v>
      </c>
      <c r="CO154" s="327" t="str">
        <f t="shared" si="270"/>
        <v>OK</v>
      </c>
      <c r="CP154" s="327" t="str">
        <f t="shared" si="270"/>
        <v>OK</v>
      </c>
      <c r="CQ154" s="327" t="str">
        <f t="shared" si="270"/>
        <v>OK</v>
      </c>
      <c r="CR154" s="327" t="str">
        <f t="shared" si="270"/>
        <v>OK</v>
      </c>
      <c r="CS154" s="327" t="str">
        <f t="shared" si="270"/>
        <v>OK</v>
      </c>
      <c r="CT154" s="327" t="str">
        <f t="shared" si="270"/>
        <v>OK</v>
      </c>
      <c r="CU154" s="327" t="str">
        <f t="shared" si="270"/>
        <v>OK</v>
      </c>
      <c r="CV154" s="327" t="str">
        <f t="shared" si="270"/>
        <v>OK</v>
      </c>
      <c r="CW154" s="327" t="str">
        <f t="shared" si="270"/>
        <v>OK</v>
      </c>
      <c r="CX154" s="327" t="str">
        <f t="shared" ref="CX154:DV154" si="271">IF(AND(CX$97="OK",CX$112="OK",CX$135="OK",OR(CX$131=0,CX$131&gt;=$B$48),OR(CX$132=0,CX$132&gt;=$B$49),OR(CX$133=0,CX$133&gt;=$B$50),CX$150&lt;=CW$153+CX$144+CX$106-MAX(0,CX$107-CX$118)-CX$145-CX$146-CX$147-CX$125-CX$127-CX$149+CX$151),"OK","BLOCKED")</f>
        <v>OK</v>
      </c>
      <c r="CY154" s="327" t="str">
        <f t="shared" si="271"/>
        <v>OK</v>
      </c>
      <c r="CZ154" s="327" t="str">
        <f t="shared" si="271"/>
        <v>OK</v>
      </c>
      <c r="DA154" s="327" t="str">
        <f t="shared" si="271"/>
        <v>OK</v>
      </c>
      <c r="DB154" s="327" t="str">
        <f t="shared" si="271"/>
        <v>OK</v>
      </c>
      <c r="DC154" s="327" t="str">
        <f t="shared" si="271"/>
        <v>OK</v>
      </c>
      <c r="DD154" s="327" t="str">
        <f t="shared" si="271"/>
        <v>OK</v>
      </c>
      <c r="DE154" s="327" t="str">
        <f t="shared" si="271"/>
        <v>OK</v>
      </c>
      <c r="DF154" s="327" t="str">
        <f t="shared" si="271"/>
        <v>OK</v>
      </c>
      <c r="DG154" s="327" t="str">
        <f t="shared" si="271"/>
        <v>OK</v>
      </c>
      <c r="DH154" s="327" t="str">
        <f t="shared" si="271"/>
        <v>OK</v>
      </c>
      <c r="DI154" s="327" t="str">
        <f t="shared" si="271"/>
        <v>OK</v>
      </c>
      <c r="DJ154" s="327" t="str">
        <f t="shared" si="271"/>
        <v>OK</v>
      </c>
      <c r="DK154" s="327" t="str">
        <f t="shared" si="271"/>
        <v>OK</v>
      </c>
      <c r="DL154" s="327" t="str">
        <f t="shared" si="271"/>
        <v>OK</v>
      </c>
      <c r="DM154" s="327" t="str">
        <f t="shared" si="271"/>
        <v>OK</v>
      </c>
      <c r="DN154" s="327" t="str">
        <f t="shared" si="271"/>
        <v>OK</v>
      </c>
      <c r="DO154" s="327" t="str">
        <f t="shared" si="271"/>
        <v>OK</v>
      </c>
      <c r="DP154" s="327" t="str">
        <f t="shared" si="271"/>
        <v>OK</v>
      </c>
      <c r="DQ154" s="327" t="str">
        <f t="shared" si="271"/>
        <v>OK</v>
      </c>
      <c r="DR154" s="327" t="str">
        <f t="shared" si="271"/>
        <v>OK</v>
      </c>
      <c r="DS154" s="327" t="str">
        <f t="shared" si="271"/>
        <v>OK</v>
      </c>
      <c r="DT154" s="327" t="str">
        <f t="shared" si="271"/>
        <v>OK</v>
      </c>
      <c r="DU154" s="327" t="str">
        <f t="shared" si="271"/>
        <v>OK</v>
      </c>
      <c r="DV154" s="327" t="str">
        <f t="shared" si="271"/>
        <v>OK</v>
      </c>
    </row>
    <row r="155" ht="15" customHeight="1">
      <c r="A155" s="311" t="s">
        <v>1587</v>
      </c>
      <c r="B155" s="312" t="s">
        <v>1321</v>
      </c>
      <c r="C155" s="702" t="s">
        <v>1497</v>
      </c>
      <c r="D155" s="703"/>
      <c r="F155" s="313" t="n">
        <f t="shared" ref="F155:AK155" si="272">E$153+F$144+F$106-MAX(0,F$107-F$118)-F$145-F$146-F$147-F$125-F$127-F$149+F$151-F$152-F$153</f>
        <v>0</v>
      </c>
      <c r="G155" s="313">
        <f t="shared" si="272"/>
        <v>0</v>
      </c>
      <c r="H155" s="313">
        <f t="shared" si="272"/>
        <v>0</v>
      </c>
      <c r="I155" s="313">
        <f t="shared" si="272"/>
        <v>0</v>
      </c>
      <c r="J155" s="313">
        <f t="shared" si="272"/>
        <v>0</v>
      </c>
      <c r="K155" s="313">
        <f t="shared" si="272"/>
        <v>0</v>
      </c>
      <c r="L155" s="313">
        <f t="shared" si="272"/>
        <v>0</v>
      </c>
      <c r="M155" s="313">
        <f t="shared" si="272"/>
        <v>0</v>
      </c>
      <c r="N155" s="313">
        <f t="shared" si="272"/>
        <v>0</v>
      </c>
      <c r="O155" s="313">
        <f t="shared" si="272"/>
        <v>0</v>
      </c>
      <c r="P155" s="313">
        <f t="shared" si="272"/>
        <v>0</v>
      </c>
      <c r="Q155" s="313">
        <f t="shared" si="272"/>
        <v>0</v>
      </c>
      <c r="R155" s="313">
        <f t="shared" si="272"/>
        <v>0</v>
      </c>
      <c r="S155" s="313">
        <f t="shared" si="272"/>
        <v>0</v>
      </c>
      <c r="T155" s="313">
        <f t="shared" si="272"/>
        <v>0</v>
      </c>
      <c r="U155" s="313">
        <f t="shared" si="272"/>
        <v>0</v>
      </c>
      <c r="V155" s="313">
        <f t="shared" si="272"/>
        <v>0</v>
      </c>
      <c r="W155" s="313">
        <f t="shared" si="272"/>
        <v>0</v>
      </c>
      <c r="X155" s="313">
        <f t="shared" si="272"/>
        <v>0</v>
      </c>
      <c r="Y155" s="313">
        <f t="shared" si="272"/>
        <v>0</v>
      </c>
      <c r="Z155" s="313">
        <f t="shared" si="272"/>
        <v>0</v>
      </c>
      <c r="AA155" s="313">
        <f t="shared" si="272"/>
        <v>0</v>
      </c>
      <c r="AB155" s="313">
        <f t="shared" si="272"/>
        <v>0</v>
      </c>
      <c r="AC155" s="313">
        <f t="shared" si="272"/>
        <v>0</v>
      </c>
      <c r="AD155" s="313">
        <f t="shared" si="272"/>
        <v>0</v>
      </c>
      <c r="AE155" s="313">
        <f t="shared" si="272"/>
        <v>0</v>
      </c>
      <c r="AF155" s="313">
        <f t="shared" si="272"/>
        <v>0</v>
      </c>
      <c r="AG155" s="313">
        <f t="shared" si="272"/>
        <v>0</v>
      </c>
      <c r="AH155" s="313">
        <f t="shared" si="272"/>
        <v>0</v>
      </c>
      <c r="AI155" s="313">
        <f t="shared" si="272"/>
        <v>0</v>
      </c>
      <c r="AJ155" s="313">
        <f t="shared" si="272"/>
        <v>0</v>
      </c>
      <c r="AK155" s="313">
        <f t="shared" si="272"/>
        <v>0</v>
      </c>
      <c r="AL155" s="313" t="n">
        <f t="shared" ref="AL155:BQ155" si="273">AK$153+AL$144+AL$106-MAX(0,AL$107-AL$118)-AL$145-AL$146-AL$147-AL$125-AL$127-AL$149+AL$151-AL$152-AL$153</f>
        <v>0</v>
      </c>
      <c r="AM155" s="313">
        <f t="shared" si="273"/>
        <v>0</v>
      </c>
      <c r="AN155" s="313">
        <f t="shared" si="273"/>
        <v>0</v>
      </c>
      <c r="AO155" s="313">
        <f t="shared" si="273"/>
        <v>0</v>
      </c>
      <c r="AP155" s="313">
        <f t="shared" si="273"/>
        <v>0</v>
      </c>
      <c r="AQ155" s="313">
        <f t="shared" si="273"/>
        <v>0</v>
      </c>
      <c r="AR155" s="313">
        <f t="shared" si="273"/>
        <v>0</v>
      </c>
      <c r="AS155" s="313">
        <f t="shared" si="273"/>
        <v>0</v>
      </c>
      <c r="AT155" s="313">
        <f t="shared" si="273"/>
        <v>0</v>
      </c>
      <c r="AU155" s="313">
        <f t="shared" si="273"/>
        <v>0</v>
      </c>
      <c r="AV155" s="313">
        <f t="shared" si="273"/>
        <v>0</v>
      </c>
      <c r="AW155" s="313">
        <f t="shared" si="273"/>
        <v>0</v>
      </c>
      <c r="AX155" s="313">
        <f t="shared" si="273"/>
        <v>0</v>
      </c>
      <c r="AY155" s="313">
        <f t="shared" si="273"/>
        <v>0</v>
      </c>
      <c r="AZ155" s="313">
        <f t="shared" si="273"/>
        <v>0</v>
      </c>
      <c r="BA155" s="313">
        <f t="shared" si="273"/>
        <v>0</v>
      </c>
      <c r="BB155" s="313">
        <f t="shared" si="273"/>
        <v>0</v>
      </c>
      <c r="BC155" s="313">
        <f t="shared" si="273"/>
        <v>0</v>
      </c>
      <c r="BD155" s="313">
        <f t="shared" si="273"/>
        <v>0</v>
      </c>
      <c r="BE155" s="313">
        <f t="shared" si="273"/>
        <v>0</v>
      </c>
      <c r="BF155" s="313">
        <f t="shared" si="273"/>
        <v>0</v>
      </c>
      <c r="BG155" s="313">
        <f t="shared" si="273"/>
        <v>0</v>
      </c>
      <c r="BH155" s="313">
        <f t="shared" si="273"/>
        <v>0</v>
      </c>
      <c r="BI155" s="313">
        <f t="shared" si="273"/>
        <v>0</v>
      </c>
      <c r="BJ155" s="313">
        <f t="shared" si="273"/>
        <v>0</v>
      </c>
      <c r="BK155" s="313">
        <f t="shared" si="273"/>
        <v>0</v>
      </c>
      <c r="BL155" s="313">
        <f t="shared" si="273"/>
        <v>0</v>
      </c>
      <c r="BM155" s="313">
        <f t="shared" si="273"/>
        <v>0</v>
      </c>
      <c r="BN155" s="313">
        <f t="shared" si="273"/>
        <v>0</v>
      </c>
      <c r="BO155" s="313">
        <f t="shared" si="273"/>
        <v>0</v>
      </c>
      <c r="BP155" s="313">
        <f t="shared" si="273"/>
        <v>0</v>
      </c>
      <c r="BQ155" s="313">
        <f t="shared" si="273"/>
        <v>0</v>
      </c>
      <c r="BR155" s="313" t="n">
        <f t="shared" ref="BR155:CW155" si="274">BQ$153+BR$144+BR$106-MAX(0,BR$107-BR$118)-BR$145-BR$146-BR$147-BR$125-BR$127-BR$149+BR$151-BR$152-BR$153</f>
        <v>0</v>
      </c>
      <c r="BS155" s="313">
        <f t="shared" si="274"/>
        <v>0</v>
      </c>
      <c r="BT155" s="313">
        <f t="shared" si="274"/>
        <v>0</v>
      </c>
      <c r="BU155" s="313">
        <f t="shared" si="274"/>
        <v>0</v>
      </c>
      <c r="BV155" s="313">
        <f t="shared" si="274"/>
        <v>0</v>
      </c>
      <c r="BW155" s="313">
        <f t="shared" si="274"/>
        <v>0</v>
      </c>
      <c r="BX155" s="313">
        <f t="shared" si="274"/>
        <v>0</v>
      </c>
      <c r="BY155" s="313">
        <f t="shared" si="274"/>
        <v>0</v>
      </c>
      <c r="BZ155" s="313">
        <f t="shared" si="274"/>
        <v>0</v>
      </c>
      <c r="CA155" s="313">
        <f t="shared" si="274"/>
        <v>0</v>
      </c>
      <c r="CB155" s="313">
        <f t="shared" si="274"/>
        <v>0</v>
      </c>
      <c r="CC155" s="313">
        <f t="shared" si="274"/>
        <v>0</v>
      </c>
      <c r="CD155" s="313">
        <f t="shared" si="274"/>
        <v>0</v>
      </c>
      <c r="CE155" s="313">
        <f t="shared" si="274"/>
        <v>0</v>
      </c>
      <c r="CF155" s="313">
        <f t="shared" si="274"/>
        <v>0</v>
      </c>
      <c r="CG155" s="313">
        <f t="shared" si="274"/>
        <v>0</v>
      </c>
      <c r="CH155" s="313">
        <f t="shared" si="274"/>
        <v>0</v>
      </c>
      <c r="CI155" s="313">
        <f t="shared" si="274"/>
        <v>0</v>
      </c>
      <c r="CJ155" s="313">
        <f t="shared" si="274"/>
        <v>0</v>
      </c>
      <c r="CK155" s="313">
        <f t="shared" si="274"/>
        <v>0</v>
      </c>
      <c r="CL155" s="313">
        <f t="shared" si="274"/>
        <v>0</v>
      </c>
      <c r="CM155" s="313">
        <f t="shared" si="274"/>
        <v>0</v>
      </c>
      <c r="CN155" s="313">
        <f t="shared" si="274"/>
        <v>0</v>
      </c>
      <c r="CO155" s="313">
        <f t="shared" si="274"/>
        <v>0</v>
      </c>
      <c r="CP155" s="313">
        <f t="shared" si="274"/>
        <v>0</v>
      </c>
      <c r="CQ155" s="313">
        <f t="shared" si="274"/>
        <v>0</v>
      </c>
      <c r="CR155" s="313">
        <f t="shared" si="274"/>
        <v>0</v>
      </c>
      <c r="CS155" s="313">
        <f t="shared" si="274"/>
        <v>0</v>
      </c>
      <c r="CT155" s="313">
        <f t="shared" si="274"/>
        <v>0</v>
      </c>
      <c r="CU155" s="313">
        <f t="shared" si="274"/>
        <v>0</v>
      </c>
      <c r="CV155" s="313">
        <f t="shared" si="274"/>
        <v>0</v>
      </c>
      <c r="CW155" s="313">
        <f t="shared" si="274"/>
        <v>0</v>
      </c>
      <c r="CX155" s="313" t="n">
        <f t="shared" ref="CX155:DV155" si="275">CW$153+CX$144+CX$106-MAX(0,CX$107-CX$118)-CX$145-CX$146-CX$147-CX$125-CX$127-CX$149+CX$151-CX$152-CX$153</f>
        <v>0</v>
      </c>
      <c r="CY155" s="313">
        <f t="shared" si="275"/>
        <v>0</v>
      </c>
      <c r="CZ155" s="313">
        <f t="shared" si="275"/>
        <v>0</v>
      </c>
      <c r="DA155" s="313">
        <f t="shared" si="275"/>
        <v>0</v>
      </c>
      <c r="DB155" s="313">
        <f t="shared" si="275"/>
        <v>0</v>
      </c>
      <c r="DC155" s="313">
        <f t="shared" si="275"/>
        <v>0</v>
      </c>
      <c r="DD155" s="313">
        <f t="shared" si="275"/>
        <v>0</v>
      </c>
      <c r="DE155" s="313">
        <f t="shared" si="275"/>
        <v>0</v>
      </c>
      <c r="DF155" s="313">
        <f t="shared" si="275"/>
        <v>0</v>
      </c>
      <c r="DG155" s="313">
        <f t="shared" si="275"/>
        <v>0</v>
      </c>
      <c r="DH155" s="313">
        <f t="shared" si="275"/>
        <v>0</v>
      </c>
      <c r="DI155" s="313">
        <f t="shared" si="275"/>
        <v>0</v>
      </c>
      <c r="DJ155" s="313">
        <f t="shared" si="275"/>
        <v>0</v>
      </c>
      <c r="DK155" s="313">
        <f t="shared" si="275"/>
        <v>0</v>
      </c>
      <c r="DL155" s="313">
        <f t="shared" si="275"/>
        <v>0</v>
      </c>
      <c r="DM155" s="313">
        <f t="shared" si="275"/>
        <v>0</v>
      </c>
      <c r="DN155" s="313">
        <f t="shared" si="275"/>
        <v>0</v>
      </c>
      <c r="DO155" s="313">
        <f t="shared" si="275"/>
        <v>0</v>
      </c>
      <c r="DP155" s="313">
        <f t="shared" si="275"/>
        <v>0</v>
      </c>
      <c r="DQ155" s="313">
        <f t="shared" si="275"/>
        <v>0</v>
      </c>
      <c r="DR155" s="313">
        <f t="shared" si="275"/>
        <v>0</v>
      </c>
      <c r="DS155" s="313">
        <f t="shared" si="275"/>
        <v>0</v>
      </c>
      <c r="DT155" s="313">
        <f t="shared" si="275"/>
        <v>0</v>
      </c>
      <c r="DU155" s="313">
        <f t="shared" si="275"/>
        <v>0</v>
      </c>
      <c r="DV155" s="313">
        <f t="shared" si="275"/>
        <v>0</v>
      </c>
    </row>
    <row r="156">
      <c r="A156" t="s">
        <v>1588</v>
      </c>
      <c r="B156" t="s">
        <v>1321</v>
      </c>
      <c r="C156" t="s">
        <v>1589</v>
      </c>
      <c r="F156" t="n">
        <f t="shared" ref="F156:AK156" si="276">F77-F78-F81</f>
        <v>0</v>
      </c>
      <c r="G156">
        <f t="shared" si="276"/>
        <v>0</v>
      </c>
      <c r="H156">
        <f t="shared" si="276"/>
        <v>0</v>
      </c>
      <c r="I156">
        <f t="shared" si="276"/>
        <v>0</v>
      </c>
      <c r="J156">
        <f t="shared" si="276"/>
        <v>0</v>
      </c>
      <c r="K156">
        <f t="shared" si="276"/>
        <v>0</v>
      </c>
      <c r="L156">
        <f t="shared" si="276"/>
        <v>0</v>
      </c>
      <c r="M156">
        <f t="shared" si="276"/>
        <v>0</v>
      </c>
      <c r="N156">
        <f t="shared" si="276"/>
        <v>0</v>
      </c>
      <c r="O156">
        <f t="shared" si="276"/>
        <v>0</v>
      </c>
      <c r="P156">
        <f t="shared" si="276"/>
        <v>0</v>
      </c>
      <c r="Q156">
        <f t="shared" si="276"/>
        <v>0</v>
      </c>
      <c r="R156">
        <f t="shared" si="276"/>
        <v>0</v>
      </c>
      <c r="S156">
        <f t="shared" si="276"/>
        <v>0</v>
      </c>
      <c r="T156">
        <f t="shared" si="276"/>
        <v>0</v>
      </c>
      <c r="U156">
        <f t="shared" si="276"/>
        <v>0</v>
      </c>
      <c r="V156">
        <f t="shared" si="276"/>
        <v>0</v>
      </c>
      <c r="W156">
        <f t="shared" si="276"/>
        <v>0</v>
      </c>
      <c r="X156">
        <f t="shared" si="276"/>
        <v>0</v>
      </c>
      <c r="Y156">
        <f t="shared" si="276"/>
        <v>0</v>
      </c>
      <c r="Z156">
        <f t="shared" si="276"/>
        <v>0</v>
      </c>
      <c r="AA156">
        <f t="shared" si="276"/>
        <v>0</v>
      </c>
      <c r="AB156">
        <f t="shared" si="276"/>
        <v>0</v>
      </c>
      <c r="AC156">
        <f t="shared" si="276"/>
        <v>0</v>
      </c>
      <c r="AD156">
        <f t="shared" si="276"/>
        <v>0</v>
      </c>
      <c r="AE156">
        <f t="shared" si="276"/>
        <v>0</v>
      </c>
      <c r="AF156">
        <f t="shared" si="276"/>
        <v>0</v>
      </c>
      <c r="AG156">
        <f t="shared" si="276"/>
        <v>0</v>
      </c>
      <c r="AH156">
        <f t="shared" si="276"/>
        <v>0</v>
      </c>
      <c r="AI156">
        <f t="shared" si="276"/>
        <v>0</v>
      </c>
      <c r="AJ156">
        <f t="shared" si="276"/>
        <v>0</v>
      </c>
      <c r="AK156">
        <f t="shared" si="276"/>
        <v>0</v>
      </c>
      <c r="AL156" t="n">
        <f t="shared" ref="AL156:BQ156" si="277">AL77-AL78-AL81</f>
        <v>0</v>
      </c>
      <c r="AM156">
        <f t="shared" si="277"/>
        <v>0</v>
      </c>
      <c r="AN156">
        <f t="shared" si="277"/>
        <v>0</v>
      </c>
      <c r="AO156">
        <f t="shared" si="277"/>
        <v>0</v>
      </c>
      <c r="AP156">
        <f t="shared" si="277"/>
        <v>0</v>
      </c>
      <c r="AQ156">
        <f t="shared" si="277"/>
        <v>0</v>
      </c>
      <c r="AR156">
        <f t="shared" si="277"/>
        <v>0</v>
      </c>
      <c r="AS156">
        <f t="shared" si="277"/>
        <v>0</v>
      </c>
      <c r="AT156">
        <f t="shared" si="277"/>
        <v>0</v>
      </c>
      <c r="AU156">
        <f t="shared" si="277"/>
        <v>0</v>
      </c>
      <c r="AV156">
        <f t="shared" si="277"/>
        <v>0</v>
      </c>
      <c r="AW156">
        <f t="shared" si="277"/>
        <v>0</v>
      </c>
      <c r="AX156">
        <f t="shared" si="277"/>
        <v>0</v>
      </c>
      <c r="AY156">
        <f t="shared" si="277"/>
        <v>0</v>
      </c>
      <c r="AZ156">
        <f t="shared" si="277"/>
        <v>0</v>
      </c>
      <c r="BA156">
        <f t="shared" si="277"/>
        <v>0</v>
      </c>
      <c r="BB156">
        <f t="shared" si="277"/>
        <v>0</v>
      </c>
      <c r="BC156">
        <f t="shared" si="277"/>
        <v>0</v>
      </c>
      <c r="BD156">
        <f t="shared" si="277"/>
        <v>0</v>
      </c>
      <c r="BE156">
        <f t="shared" si="277"/>
        <v>0</v>
      </c>
      <c r="BF156">
        <f t="shared" si="277"/>
        <v>0</v>
      </c>
      <c r="BG156">
        <f t="shared" si="277"/>
        <v>0</v>
      </c>
      <c r="BH156">
        <f t="shared" si="277"/>
        <v>0</v>
      </c>
      <c r="BI156">
        <f t="shared" si="277"/>
        <v>0</v>
      </c>
      <c r="BJ156">
        <f t="shared" si="277"/>
        <v>0</v>
      </c>
      <c r="BK156">
        <f t="shared" si="277"/>
        <v>0</v>
      </c>
      <c r="BL156">
        <f t="shared" si="277"/>
        <v>0</v>
      </c>
      <c r="BM156">
        <f t="shared" si="277"/>
        <v>0</v>
      </c>
      <c r="BN156">
        <f t="shared" si="277"/>
        <v>0</v>
      </c>
      <c r="BO156">
        <f t="shared" si="277"/>
        <v>0</v>
      </c>
      <c r="BP156">
        <f t="shared" si="277"/>
        <v>0</v>
      </c>
      <c r="BQ156">
        <f t="shared" si="277"/>
        <v>0</v>
      </c>
      <c r="BR156" t="n">
        <f t="shared" ref="BR156:CW156" si="278">BR77-BR78-BR81</f>
        <v>0</v>
      </c>
      <c r="BS156">
        <f t="shared" si="278"/>
        <v>0</v>
      </c>
      <c r="BT156">
        <f t="shared" si="278"/>
        <v>0</v>
      </c>
      <c r="BU156">
        <f t="shared" si="278"/>
        <v>0</v>
      </c>
      <c r="BV156">
        <f t="shared" si="278"/>
        <v>0</v>
      </c>
      <c r="BW156">
        <f t="shared" si="278"/>
        <v>0</v>
      </c>
      <c r="BX156">
        <f t="shared" si="278"/>
        <v>0</v>
      </c>
      <c r="BY156">
        <f t="shared" si="278"/>
        <v>0</v>
      </c>
      <c r="BZ156">
        <f t="shared" si="278"/>
        <v>0</v>
      </c>
      <c r="CA156">
        <f t="shared" si="278"/>
        <v>0</v>
      </c>
      <c r="CB156">
        <f t="shared" si="278"/>
        <v>0</v>
      </c>
      <c r="CC156">
        <f t="shared" si="278"/>
        <v>0</v>
      </c>
      <c r="CD156">
        <f t="shared" si="278"/>
        <v>0</v>
      </c>
      <c r="CE156">
        <f t="shared" si="278"/>
        <v>0</v>
      </c>
      <c r="CF156">
        <f t="shared" si="278"/>
        <v>0</v>
      </c>
      <c r="CG156">
        <f t="shared" si="278"/>
        <v>0</v>
      </c>
      <c r="CH156">
        <f t="shared" si="278"/>
        <v>0</v>
      </c>
      <c r="CI156">
        <f t="shared" si="278"/>
        <v>0</v>
      </c>
      <c r="CJ156">
        <f t="shared" si="278"/>
        <v>0</v>
      </c>
      <c r="CK156">
        <f t="shared" si="278"/>
        <v>0</v>
      </c>
      <c r="CL156">
        <f t="shared" si="278"/>
        <v>0</v>
      </c>
      <c r="CM156">
        <f t="shared" si="278"/>
        <v>0</v>
      </c>
      <c r="CN156">
        <f t="shared" si="278"/>
        <v>0</v>
      </c>
      <c r="CO156">
        <f t="shared" si="278"/>
        <v>0</v>
      </c>
      <c r="CP156">
        <f t="shared" si="278"/>
        <v>0</v>
      </c>
      <c r="CQ156">
        <f t="shared" si="278"/>
        <v>0</v>
      </c>
      <c r="CR156">
        <f t="shared" si="278"/>
        <v>0</v>
      </c>
      <c r="CS156">
        <f t="shared" si="278"/>
        <v>0</v>
      </c>
      <c r="CT156">
        <f t="shared" si="278"/>
        <v>0</v>
      </c>
      <c r="CU156">
        <f t="shared" si="278"/>
        <v>0</v>
      </c>
      <c r="CV156">
        <f t="shared" si="278"/>
        <v>0</v>
      </c>
      <c r="CW156">
        <f t="shared" si="278"/>
        <v>0</v>
      </c>
      <c r="CX156" t="n">
        <f t="shared" ref="CX156:DV156" si="279">CX77-CX78-CX81</f>
        <v>0</v>
      </c>
      <c r="CY156">
        <f t="shared" si="279"/>
        <v>0</v>
      </c>
      <c r="CZ156">
        <f t="shared" si="279"/>
        <v>0</v>
      </c>
      <c r="DA156">
        <f t="shared" si="279"/>
        <v>0</v>
      </c>
      <c r="DB156">
        <f t="shared" si="279"/>
        <v>0</v>
      </c>
      <c r="DC156">
        <f t="shared" si="279"/>
        <v>0</v>
      </c>
      <c r="DD156">
        <f t="shared" si="279"/>
        <v>0</v>
      </c>
      <c r="DE156">
        <f t="shared" si="279"/>
        <v>0</v>
      </c>
      <c r="DF156">
        <f t="shared" si="279"/>
        <v>0</v>
      </c>
      <c r="DG156">
        <f t="shared" si="279"/>
        <v>0</v>
      </c>
      <c r="DH156">
        <f t="shared" si="279"/>
        <v>0</v>
      </c>
      <c r="DI156">
        <f t="shared" si="279"/>
        <v>0</v>
      </c>
      <c r="DJ156">
        <f t="shared" si="279"/>
        <v>0</v>
      </c>
      <c r="DK156">
        <f t="shared" si="279"/>
        <v>0</v>
      </c>
      <c r="DL156">
        <f t="shared" si="279"/>
        <v>0</v>
      </c>
      <c r="DM156">
        <f t="shared" si="279"/>
        <v>0</v>
      </c>
      <c r="DN156">
        <f t="shared" si="279"/>
        <v>0</v>
      </c>
      <c r="DO156">
        <f t="shared" si="279"/>
        <v>0</v>
      </c>
      <c r="DP156">
        <f t="shared" si="279"/>
        <v>0</v>
      </c>
      <c r="DQ156">
        <f t="shared" si="279"/>
        <v>0</v>
      </c>
      <c r="DR156">
        <f t="shared" si="279"/>
        <v>0</v>
      </c>
      <c r="DS156">
        <f t="shared" si="279"/>
        <v>0</v>
      </c>
      <c r="DT156">
        <f t="shared" si="279"/>
        <v>0</v>
      </c>
      <c r="DU156">
        <f t="shared" si="279"/>
        <v>0</v>
      </c>
      <c r="DV156">
        <f t="shared" si="279"/>
        <v>0</v>
      </c>
    </row>
    <row r="157">
      <c r="A157" t="s">
        <v>1590</v>
      </c>
      <c r="B157" t="s">
        <v>1321</v>
      </c>
      <c r="C157" t="s">
        <v>1591</v>
      </c>
      <c r="F157" t="n">
        <f t="shared" ref="F157:AK157" si="280">F144-(F139-F140-F141-F142-F143)</f>
        <v>0</v>
      </c>
      <c r="G157">
        <f t="shared" si="280"/>
        <v>0</v>
      </c>
      <c r="H157">
        <f t="shared" si="280"/>
        <v>0</v>
      </c>
      <c r="I157">
        <f t="shared" si="280"/>
        <v>0</v>
      </c>
      <c r="J157">
        <f t="shared" si="280"/>
        <v>0</v>
      </c>
      <c r="K157">
        <f t="shared" si="280"/>
        <v>0</v>
      </c>
      <c r="L157">
        <f t="shared" si="280"/>
        <v>0</v>
      </c>
      <c r="M157">
        <f t="shared" si="280"/>
        <v>0</v>
      </c>
      <c r="N157">
        <f t="shared" si="280"/>
        <v>0</v>
      </c>
      <c r="O157">
        <f t="shared" si="280"/>
        <v>0</v>
      </c>
      <c r="P157">
        <f t="shared" si="280"/>
        <v>0</v>
      </c>
      <c r="Q157">
        <f t="shared" si="280"/>
        <v>0</v>
      </c>
      <c r="R157">
        <f t="shared" si="280"/>
        <v>0</v>
      </c>
      <c r="S157">
        <f t="shared" si="280"/>
        <v>0</v>
      </c>
      <c r="T157">
        <f t="shared" si="280"/>
        <v>0</v>
      </c>
      <c r="U157">
        <f t="shared" si="280"/>
        <v>0</v>
      </c>
      <c r="V157">
        <f t="shared" si="280"/>
        <v>0</v>
      </c>
      <c r="W157">
        <f t="shared" si="280"/>
        <v>0</v>
      </c>
      <c r="X157">
        <f t="shared" si="280"/>
        <v>0</v>
      </c>
      <c r="Y157">
        <f t="shared" si="280"/>
        <v>0</v>
      </c>
      <c r="Z157">
        <f t="shared" si="280"/>
        <v>0</v>
      </c>
      <c r="AA157">
        <f t="shared" si="280"/>
        <v>0</v>
      </c>
      <c r="AB157">
        <f t="shared" si="280"/>
        <v>0</v>
      </c>
      <c r="AC157">
        <f t="shared" si="280"/>
        <v>0</v>
      </c>
      <c r="AD157">
        <f t="shared" si="280"/>
        <v>0</v>
      </c>
      <c r="AE157">
        <f t="shared" si="280"/>
        <v>0</v>
      </c>
      <c r="AF157">
        <f t="shared" si="280"/>
        <v>0</v>
      </c>
      <c r="AG157">
        <f t="shared" si="280"/>
        <v>0</v>
      </c>
      <c r="AH157">
        <f t="shared" si="280"/>
        <v>0</v>
      </c>
      <c r="AI157">
        <f t="shared" si="280"/>
        <v>0</v>
      </c>
      <c r="AJ157">
        <f t="shared" si="280"/>
        <v>0</v>
      </c>
      <c r="AK157">
        <f t="shared" si="280"/>
        <v>0</v>
      </c>
      <c r="AL157" t="n">
        <f t="shared" ref="AL157:BQ157" si="281">AL144-(AL139-AL140-AL141-AL142-AL143)</f>
        <v>0</v>
      </c>
      <c r="AM157">
        <f t="shared" si="281"/>
        <v>0</v>
      </c>
      <c r="AN157">
        <f t="shared" si="281"/>
        <v>0</v>
      </c>
      <c r="AO157">
        <f t="shared" si="281"/>
        <v>0</v>
      </c>
      <c r="AP157">
        <f t="shared" si="281"/>
        <v>0</v>
      </c>
      <c r="AQ157">
        <f t="shared" si="281"/>
        <v>0</v>
      </c>
      <c r="AR157">
        <f t="shared" si="281"/>
        <v>0</v>
      </c>
      <c r="AS157">
        <f t="shared" si="281"/>
        <v>0</v>
      </c>
      <c r="AT157">
        <f t="shared" si="281"/>
        <v>0</v>
      </c>
      <c r="AU157">
        <f t="shared" si="281"/>
        <v>0</v>
      </c>
      <c r="AV157">
        <f t="shared" si="281"/>
        <v>0</v>
      </c>
      <c r="AW157">
        <f t="shared" si="281"/>
        <v>0</v>
      </c>
      <c r="AX157">
        <f t="shared" si="281"/>
        <v>0</v>
      </c>
      <c r="AY157">
        <f t="shared" si="281"/>
        <v>0</v>
      </c>
      <c r="AZ157">
        <f t="shared" si="281"/>
        <v>0</v>
      </c>
      <c r="BA157">
        <f t="shared" si="281"/>
        <v>0</v>
      </c>
      <c r="BB157">
        <f t="shared" si="281"/>
        <v>0</v>
      </c>
      <c r="BC157">
        <f t="shared" si="281"/>
        <v>0</v>
      </c>
      <c r="BD157">
        <f t="shared" si="281"/>
        <v>0</v>
      </c>
      <c r="BE157">
        <f t="shared" si="281"/>
        <v>0</v>
      </c>
      <c r="BF157">
        <f t="shared" si="281"/>
        <v>0</v>
      </c>
      <c r="BG157">
        <f t="shared" si="281"/>
        <v>0</v>
      </c>
      <c r="BH157">
        <f t="shared" si="281"/>
        <v>0</v>
      </c>
      <c r="BI157">
        <f t="shared" si="281"/>
        <v>0</v>
      </c>
      <c r="BJ157">
        <f t="shared" si="281"/>
        <v>0</v>
      </c>
      <c r="BK157">
        <f t="shared" si="281"/>
        <v>0</v>
      </c>
      <c r="BL157">
        <f t="shared" si="281"/>
        <v>0</v>
      </c>
      <c r="BM157">
        <f t="shared" si="281"/>
        <v>0</v>
      </c>
      <c r="BN157">
        <f t="shared" si="281"/>
        <v>0</v>
      </c>
      <c r="BO157">
        <f t="shared" si="281"/>
        <v>0</v>
      </c>
      <c r="BP157">
        <f t="shared" si="281"/>
        <v>0</v>
      </c>
      <c r="BQ157">
        <f t="shared" si="281"/>
        <v>0</v>
      </c>
      <c r="BR157" t="n">
        <f t="shared" ref="BR157:CW157" si="282">BR144-(BR139-BR140-BR141-BR142-BR143)</f>
        <v>0</v>
      </c>
      <c r="BS157">
        <f t="shared" si="282"/>
        <v>0</v>
      </c>
      <c r="BT157">
        <f t="shared" si="282"/>
        <v>0</v>
      </c>
      <c r="BU157">
        <f t="shared" si="282"/>
        <v>0</v>
      </c>
      <c r="BV157">
        <f t="shared" si="282"/>
        <v>0</v>
      </c>
      <c r="BW157">
        <f t="shared" si="282"/>
        <v>0</v>
      </c>
      <c r="BX157">
        <f t="shared" si="282"/>
        <v>0</v>
      </c>
      <c r="BY157">
        <f t="shared" si="282"/>
        <v>0</v>
      </c>
      <c r="BZ157">
        <f t="shared" si="282"/>
        <v>0</v>
      </c>
      <c r="CA157">
        <f t="shared" si="282"/>
        <v>0</v>
      </c>
      <c r="CB157">
        <f t="shared" si="282"/>
        <v>0</v>
      </c>
      <c r="CC157">
        <f t="shared" si="282"/>
        <v>0</v>
      </c>
      <c r="CD157">
        <f t="shared" si="282"/>
        <v>0</v>
      </c>
      <c r="CE157">
        <f t="shared" si="282"/>
        <v>0</v>
      </c>
      <c r="CF157">
        <f t="shared" si="282"/>
        <v>0</v>
      </c>
      <c r="CG157">
        <f t="shared" si="282"/>
        <v>0</v>
      </c>
      <c r="CH157">
        <f t="shared" si="282"/>
        <v>0</v>
      </c>
      <c r="CI157">
        <f t="shared" si="282"/>
        <v>0</v>
      </c>
      <c r="CJ157">
        <f t="shared" si="282"/>
        <v>0</v>
      </c>
      <c r="CK157">
        <f t="shared" si="282"/>
        <v>0</v>
      </c>
      <c r="CL157">
        <f t="shared" si="282"/>
        <v>0</v>
      </c>
      <c r="CM157">
        <f t="shared" si="282"/>
        <v>0</v>
      </c>
      <c r="CN157">
        <f t="shared" si="282"/>
        <v>0</v>
      </c>
      <c r="CO157">
        <f t="shared" si="282"/>
        <v>0</v>
      </c>
      <c r="CP157">
        <f t="shared" si="282"/>
        <v>0</v>
      </c>
      <c r="CQ157">
        <f t="shared" si="282"/>
        <v>0</v>
      </c>
      <c r="CR157">
        <f t="shared" si="282"/>
        <v>0</v>
      </c>
      <c r="CS157">
        <f t="shared" si="282"/>
        <v>0</v>
      </c>
      <c r="CT157">
        <f t="shared" si="282"/>
        <v>0</v>
      </c>
      <c r="CU157">
        <f t="shared" si="282"/>
        <v>0</v>
      </c>
      <c r="CV157">
        <f t="shared" si="282"/>
        <v>0</v>
      </c>
      <c r="CW157">
        <f t="shared" si="282"/>
        <v>0</v>
      </c>
      <c r="CX157" t="n">
        <f t="shared" ref="CX157:DV157" si="283">CX144-(CX139-CX140-CX141-CX142-CX143)</f>
        <v>0</v>
      </c>
      <c r="CY157">
        <f t="shared" si="283"/>
        <v>0</v>
      </c>
      <c r="CZ157">
        <f t="shared" si="283"/>
        <v>0</v>
      </c>
      <c r="DA157">
        <f t="shared" si="283"/>
        <v>0</v>
      </c>
      <c r="DB157">
        <f t="shared" si="283"/>
        <v>0</v>
      </c>
      <c r="DC157">
        <f t="shared" si="283"/>
        <v>0</v>
      </c>
      <c r="DD157">
        <f t="shared" si="283"/>
        <v>0</v>
      </c>
      <c r="DE157">
        <f t="shared" si="283"/>
        <v>0</v>
      </c>
      <c r="DF157">
        <f t="shared" si="283"/>
        <v>0</v>
      </c>
      <c r="DG157">
        <f t="shared" si="283"/>
        <v>0</v>
      </c>
      <c r="DH157">
        <f t="shared" si="283"/>
        <v>0</v>
      </c>
      <c r="DI157">
        <f t="shared" si="283"/>
        <v>0</v>
      </c>
      <c r="DJ157">
        <f t="shared" si="283"/>
        <v>0</v>
      </c>
      <c r="DK157">
        <f t="shared" si="283"/>
        <v>0</v>
      </c>
      <c r="DL157">
        <f t="shared" si="283"/>
        <v>0</v>
      </c>
      <c r="DM157">
        <f t="shared" si="283"/>
        <v>0</v>
      </c>
      <c r="DN157">
        <f t="shared" si="283"/>
        <v>0</v>
      </c>
      <c r="DO157">
        <f t="shared" si="283"/>
        <v>0</v>
      </c>
      <c r="DP157">
        <f t="shared" si="283"/>
        <v>0</v>
      </c>
      <c r="DQ157">
        <f t="shared" si="283"/>
        <v>0</v>
      </c>
      <c r="DR157">
        <f t="shared" si="283"/>
        <v>0</v>
      </c>
      <c r="DS157">
        <f t="shared" si="283"/>
        <v>0</v>
      </c>
      <c r="DT157">
        <f t="shared" si="283"/>
        <v>0</v>
      </c>
      <c r="DU157">
        <f t="shared" si="283"/>
        <v>0</v>
      </c>
      <c r="DV157">
        <f t="shared" si="283"/>
        <v>0</v>
      </c>
    </row>
    <row r="158" ht="22" customHeight="1">
      <c r="A158" s="704" t="s">
        <v>1592</v>
      </c>
      <c r="B158" s="699"/>
      <c r="C158" s="699"/>
      <c r="D158" s="699"/>
      <c r="E158" s="699"/>
      <c r="F158" s="699"/>
      <c r="G158" s="699"/>
      <c r="H158" s="699"/>
      <c r="I158" s="699"/>
      <c r="J158" s="699"/>
      <c r="K158" s="699"/>
      <c r="L158" s="699"/>
      <c r="M158" s="699"/>
      <c r="N158" s="699"/>
      <c r="O158" s="699"/>
      <c r="P158" s="699"/>
      <c r="Q158" s="699"/>
      <c r="R158" s="699"/>
    </row>
    <row r="159" ht="15" customHeight="1">
      <c r="A159" s="311" t="s">
        <v>1593</v>
      </c>
      <c r="B159" s="694" t="str">
        <f>IF(COUNTIF($F$98:$DV$98,"&gt;0.01")+COUNTIF($F$98:$DV$98,"&lt;-0.01")=0,"OK","EXCEPTION: construction roll-forward")</f>
        <v>OK</v>
      </c>
      <c r="C159" s="699"/>
      <c r="D159" s="699"/>
      <c r="E159" s="702" t="s">
        <v>1594</v>
      </c>
      <c r="F159" s="703"/>
      <c r="G159" s="703"/>
      <c r="H159" s="703"/>
      <c r="I159" s="703"/>
      <c r="J159" s="703"/>
      <c r="K159" s="703"/>
      <c r="L159" s="703"/>
      <c r="M159" s="703"/>
      <c r="N159" s="703"/>
      <c r="O159" s="703"/>
      <c r="P159" s="703"/>
      <c r="Q159" s="703"/>
      <c r="R159" s="703"/>
    </row>
    <row r="160" ht="15" customHeight="1">
      <c r="A160" s="311" t="s">
        <v>1595</v>
      </c>
      <c r="B160" s="706" t="str">
        <f>IF(SUMPRODUCT(--($F$92:$DV$92&gt;$F$93:$DV$93+0.01))=0,"OK","EXCEPTION: closing construction debt exceeds commitment")</f>
        <v>OK</v>
      </c>
      <c r="C160" s="699"/>
      <c r="D160" s="699"/>
      <c r="E160" s="702" t="s">
        <v>1596</v>
      </c>
      <c r="F160" s="703"/>
      <c r="G160" s="703"/>
      <c r="H160" s="703"/>
      <c r="I160" s="703"/>
      <c r="J160" s="703"/>
      <c r="K160" s="703"/>
      <c r="L160" s="703"/>
      <c r="M160" s="703"/>
      <c r="N160" s="703"/>
      <c r="O160" s="703"/>
      <c r="P160" s="703"/>
      <c r="Q160" s="703"/>
      <c r="R160" s="703"/>
    </row>
    <row r="161" ht="15" customHeight="1">
      <c r="A161" s="311" t="s">
        <v>1363</v>
      </c>
      <c r="B161" s="694" t="str">
        <f>IF(MAX($F$110:$DV$110)&lt;=$B$24+0.01,"OK","EXCEPTION: working-capital limit exceeded")</f>
        <v>OK</v>
      </c>
      <c r="C161" s="699"/>
      <c r="D161" s="699"/>
      <c r="E161" s="702" t="s">
        <v>1597</v>
      </c>
      <c r="F161" s="703"/>
      <c r="G161" s="703"/>
      <c r="H161" s="703"/>
      <c r="I161" s="703"/>
      <c r="J161" s="703"/>
      <c r="K161" s="703"/>
      <c r="L161" s="703"/>
      <c r="M161" s="703"/>
      <c r="N161" s="703"/>
      <c r="O161" s="703"/>
      <c r="P161" s="703"/>
      <c r="Q161" s="703"/>
      <c r="R161" s="703"/>
    </row>
    <row r="162" ht="15" customHeight="1">
      <c r="A162" s="311" t="s">
        <v>1598</v>
      </c>
      <c r="B162" s="694" t="str">
        <f>IF(COUNTIF($F$156:$DV$156,"&gt;0.01")+COUNTIF($F$156:$DV$156,"&lt;-0.01")=0,"OK","EXCEPTION: eligible use double funded")</f>
        <v>OK</v>
      </c>
      <c r="C162" s="699"/>
      <c r="D162" s="699"/>
      <c r="E162" s="702" t="s">
        <v>1599</v>
      </c>
      <c r="F162" s="703"/>
      <c r="G162" s="703"/>
      <c r="H162" s="703"/>
      <c r="I162" s="703"/>
      <c r="J162" s="703"/>
      <c r="K162" s="703"/>
      <c r="L162" s="703"/>
      <c r="M162" s="703"/>
      <c r="N162" s="703"/>
      <c r="O162" s="703"/>
      <c r="P162" s="703"/>
      <c r="Q162" s="703"/>
      <c r="R162" s="703"/>
    </row>
    <row r="163" ht="15" customHeight="1">
      <c r="A163" s="311" t="s">
        <v>1600</v>
      </c>
      <c r="B163" s="694" t="str">
        <f>IF(ABS(SUM($F$77:$DV$77)-SUM($F$78:$DV$78)-SUM($F$81:$DV$81))&lt;0.01,"OK","EXCEPTION: debt-funded uses do not reconcile")</f>
        <v>OK</v>
      </c>
      <c r="C163" s="699"/>
      <c r="D163" s="699"/>
      <c r="E163" s="702" t="s">
        <v>1601</v>
      </c>
      <c r="F163" s="703"/>
      <c r="G163" s="703"/>
      <c r="H163" s="703"/>
      <c r="I163" s="703"/>
      <c r="J163" s="703"/>
      <c r="K163" s="703"/>
      <c r="L163" s="703"/>
      <c r="M163" s="703"/>
      <c r="N163" s="703"/>
      <c r="O163" s="703"/>
      <c r="P163" s="703"/>
      <c r="Q163" s="703"/>
      <c r="R163" s="703"/>
    </row>
    <row r="164" ht="15" customHeight="1">
      <c r="A164" s="311" t="s">
        <v>1602</v>
      </c>
      <c r="B164" s="694" t="str">
        <f>IF(AND(ABS($K$10-SUM($F$82:$DV$82))&lt;0.01,COUNTIF($F$175:$DV$175,"&gt;0.01")+COUNTIF($F$175:$DV$175,"&lt;-0.01")=0),"OK","EXCEPTION: capitalised interest / uses")</f>
        <v>OK</v>
      </c>
      <c r="C164" s="699"/>
      <c r="D164" s="699"/>
      <c r="E164" s="702" t="s">
        <v>1603</v>
      </c>
      <c r="F164" s="703"/>
      <c r="G164" s="703"/>
      <c r="H164" s="703"/>
      <c r="I164" s="703"/>
      <c r="J164" s="703"/>
      <c r="K164" s="703"/>
      <c r="L164" s="703"/>
      <c r="M164" s="703"/>
      <c r="N164" s="703"/>
      <c r="O164" s="703"/>
      <c r="P164" s="703"/>
      <c r="Q164" s="703"/>
      <c r="R164" s="703"/>
    </row>
    <row r="165" ht="15" customHeight="1">
      <c r="A165" s="311" t="s">
        <v>1604</v>
      </c>
      <c r="B165" s="694" t="str">
        <f>IF(ABS(SUM($F$120:$DV$120,$F$121:$DV$121)-SUM($F$90:$DV$90,$F$119:$DV$119)-SUMPRODUCT($F$107:$DV$107,$F$69:$DV$69))&lt;0.01,"OK","EXCEPTION: refinancing proceeds")</f>
        <v>OK</v>
      </c>
      <c r="C165" s="699"/>
      <c r="D165" s="699"/>
      <c r="E165" s="702" t="s">
        <v>1605</v>
      </c>
      <c r="F165" s="703"/>
      <c r="G165" s="703"/>
      <c r="H165" s="703"/>
      <c r="I165" s="703"/>
      <c r="J165" s="703"/>
      <c r="K165" s="703"/>
      <c r="L165" s="703"/>
      <c r="M165" s="703"/>
      <c r="N165" s="703"/>
      <c r="O165" s="703"/>
      <c r="P165" s="703"/>
      <c r="Q165" s="703"/>
      <c r="R165" s="703"/>
    </row>
    <row r="166" ht="15" customHeight="1">
      <c r="A166" s="311" t="s">
        <v>1606</v>
      </c>
      <c r="B166" s="694" t="str">
        <f>IF(SUMPRODUCT(--($F$64:$DV$64&lt;$B$35),$F$120:$DV$120)=0,"OK","EXCEPTION: early term-debt activation")</f>
        <v>OK</v>
      </c>
      <c r="C166" s="699"/>
      <c r="D166" s="699"/>
      <c r="E166" s="702" t="s">
        <v>1607</v>
      </c>
      <c r="F166" s="703"/>
      <c r="G166" s="703"/>
      <c r="H166" s="703"/>
      <c r="I166" s="703"/>
      <c r="J166" s="703"/>
      <c r="K166" s="703"/>
      <c r="L166" s="703"/>
      <c r="M166" s="703"/>
      <c r="N166" s="703"/>
      <c r="O166" s="703"/>
      <c r="P166" s="703"/>
      <c r="Q166" s="703"/>
      <c r="R166" s="703"/>
    </row>
    <row r="167" ht="15" customHeight="1">
      <c r="A167" s="311" t="s">
        <v>1608</v>
      </c>
      <c r="B167" s="694" t="str">
        <f>IF(COUNTIF($F$157:$DV$157,"&gt;0.01")+COUNTIF($F$157:$DV$157,"&lt;-0.01")=0,"OK","EXCEPTION: CFADS linkage")</f>
        <v>OK</v>
      </c>
      <c r="C167" s="699"/>
      <c r="D167" s="699"/>
      <c r="E167" s="702" t="s">
        <v>1609</v>
      </c>
      <c r="F167" s="703"/>
      <c r="G167" s="703"/>
      <c r="H167" s="703"/>
      <c r="I167" s="703"/>
      <c r="J167" s="703"/>
      <c r="K167" s="703"/>
      <c r="L167" s="703"/>
      <c r="M167" s="703"/>
      <c r="N167" s="703"/>
      <c r="O167" s="703"/>
      <c r="P167" s="703"/>
      <c r="Q167" s="703"/>
      <c r="R167" s="703"/>
    </row>
    <row r="168" ht="15" customHeight="1">
      <c r="A168" s="311" t="s">
        <v>1610</v>
      </c>
      <c r="B168" s="694" t="str">
        <f>IF(MIN($F$153:$DV$153)&gt;=$B$27-0.01,"OK","EXCEPTION: minimum cash")</f>
        <v>OK</v>
      </c>
      <c r="C168" s="699"/>
      <c r="D168" s="699"/>
      <c r="E168" s="702" t="s">
        <v>1611</v>
      </c>
      <c r="F168" s="703"/>
      <c r="G168" s="703"/>
      <c r="H168" s="703"/>
      <c r="I168" s="703"/>
      <c r="J168" s="703"/>
      <c r="K168" s="703"/>
      <c r="L168" s="703"/>
      <c r="M168" s="703"/>
      <c r="N168" s="703"/>
      <c r="O168" s="703"/>
      <c r="P168" s="703"/>
      <c r="Q168" s="703"/>
      <c r="R168" s="703"/>
    </row>
    <row r="169" ht="15" customHeight="1">
      <c r="A169" s="311" t="s">
        <v>1612</v>
      </c>
      <c r="B169" s="694" t="str">
        <f>IF(AND(ABS($K$14-IF(SUM($F$77:$DV$77)=0,0,MAX($F$92:$DV$92)/SUM($F$77:$DV$77)))&lt;0.0000001,ABS($K$15-MAX($F$134:$DV$134))&lt;0.0000001),"OK","EXCEPTION: LTC / LTV definition")</f>
        <v>OK</v>
      </c>
      <c r="C169" s="699"/>
      <c r="D169" s="699"/>
      <c r="E169" s="702" t="s">
        <v>1613</v>
      </c>
      <c r="F169" s="703"/>
      <c r="G169" s="703"/>
      <c r="H169" s="703"/>
      <c r="I169" s="703"/>
      <c r="J169" s="703"/>
      <c r="K169" s="703"/>
      <c r="L169" s="703"/>
      <c r="M169" s="703"/>
      <c r="N169" s="703"/>
      <c r="O169" s="703"/>
      <c r="P169" s="703"/>
      <c r="Q169" s="703"/>
      <c r="R169" s="703"/>
    </row>
    <row r="170" ht="15" customHeight="1">
      <c r="A170" s="311" t="s">
        <v>1614</v>
      </c>
      <c r="B170" s="694" t="str">
        <f>IF(SUMPRODUCT(--($F$154:$DV$154="BLOCKED"),$F$152:$DV$152)=0,"OK","EXCEPTION: distribution during breach")</f>
        <v>OK</v>
      </c>
      <c r="C170" s="699"/>
      <c r="D170" s="699"/>
      <c r="E170" s="702" t="s">
        <v>1615</v>
      </c>
      <c r="F170" s="703"/>
      <c r="G170" s="703"/>
      <c r="H170" s="703"/>
      <c r="I170" s="703"/>
      <c r="J170" s="703"/>
      <c r="K170" s="703"/>
      <c r="L170" s="703"/>
      <c r="M170" s="703"/>
      <c r="N170" s="703"/>
      <c r="O170" s="703"/>
      <c r="P170" s="703"/>
      <c r="Q170" s="703"/>
      <c r="R170" s="703"/>
    </row>
    <row r="171" ht="15" customHeight="1">
      <c r="A171" s="311" t="s">
        <v>1076</v>
      </c>
      <c r="B171" s="706" t="str">
        <f>IF(SUMPRODUCT(--ISERROR($E$61:$DV$157))=0,"OK","EXCEPTION: debt calculation chain")</f>
        <v>OK</v>
      </c>
      <c r="C171" s="699" t="s">
        <v>1616</v>
      </c>
      <c r="D171" s="699"/>
      <c r="E171" s="702" t="s">
        <v>1617</v>
      </c>
      <c r="F171" s="703"/>
      <c r="G171" s="703"/>
      <c r="H171" s="703"/>
      <c r="I171" s="703"/>
      <c r="J171" s="703"/>
      <c r="K171" s="703"/>
      <c r="L171" s="703"/>
      <c r="M171" s="703"/>
      <c r="N171" s="703"/>
      <c r="O171" s="703"/>
      <c r="P171" s="703"/>
      <c r="Q171" s="703"/>
      <c r="R171" s="703"/>
    </row>
    <row r="172" ht="15" customHeight="1">
      <c r="A172" s="311" t="s">
        <v>1078</v>
      </c>
      <c r="B172" s="706" t="s">
        <v>1093</v>
      </c>
      <c r="C172" s="699" t="s">
        <v>1618</v>
      </c>
      <c r="D172" s="699"/>
      <c r="E172" s="702" t="s">
        <v>1619</v>
      </c>
      <c r="F172" s="703"/>
      <c r="G172" s="703"/>
      <c r="H172" s="703"/>
      <c r="I172" s="703"/>
      <c r="J172" s="703"/>
      <c r="K172" s="703"/>
      <c r="L172" s="703"/>
      <c r="M172" s="703"/>
      <c r="N172" s="703"/>
      <c r="O172" s="703"/>
      <c r="P172" s="703"/>
      <c r="Q172" s="703"/>
      <c r="R172" s="703"/>
    </row>
    <row r="173" ht="15" customHeight="1">
      <c r="A173" s="311" t="s">
        <v>1620</v>
      </c>
      <c r="B173" s="694" t="str">
        <f>IF(SUMPRODUCT(--ISERROR($F$63:$DV$155))=0,"OK","EXCEPTION: formula error in debt schedule")</f>
        <v>OK</v>
      </c>
      <c r="C173" s="699"/>
      <c r="D173" s="699"/>
      <c r="E173" s="702" t="s">
        <v>1621</v>
      </c>
      <c r="F173" s="703"/>
      <c r="G173" s="703"/>
      <c r="H173" s="703"/>
      <c r="I173" s="703"/>
      <c r="J173" s="703"/>
      <c r="K173" s="703"/>
      <c r="L173" s="703"/>
      <c r="M173" s="703"/>
      <c r="N173" s="703"/>
      <c r="O173" s="703"/>
      <c r="P173" s="703"/>
      <c r="Q173" s="703"/>
      <c r="R173" s="703"/>
    </row>
    <row r="174">
      <c r="A174" t="s">
        <v>1622</v>
      </c>
      <c r="B174" t="str">
        <f>IF(MIN($F$133:$DV$133)&lt;0,"BREACH: negative debt yield","OK")</f>
        <v>OK</v>
      </c>
      <c r="C174" t="s">
        <v>1623</v>
      </c>
    </row>
    <row r="175">
      <c r="A175" t="s">
        <v>1624</v>
      </c>
      <c r="B175" t="s">
        <v>1321</v>
      </c>
      <c r="C175" t="s">
        <v>1625</v>
      </c>
      <c r="F175" t="n">
        <f t="shared" ref="F175:AK175" si="284">F77-F75-F76-F87-IF(F188&gt;0,F188,0)</f>
        <v>0</v>
      </c>
      <c r="G175">
        <f t="shared" si="284"/>
        <v>0</v>
      </c>
      <c r="H175">
        <f t="shared" si="284"/>
        <v>0</v>
      </c>
      <c r="I175">
        <f t="shared" si="284"/>
        <v>0</v>
      </c>
      <c r="J175">
        <f t="shared" si="284"/>
        <v>0</v>
      </c>
      <c r="K175">
        <f t="shared" si="284"/>
        <v>0</v>
      </c>
      <c r="L175">
        <f t="shared" si="284"/>
        <v>0</v>
      </c>
      <c r="M175">
        <f t="shared" si="284"/>
        <v>0</v>
      </c>
      <c r="N175">
        <f t="shared" si="284"/>
        <v>0</v>
      </c>
      <c r="O175">
        <f t="shared" si="284"/>
        <v>-3.4924596548080444E-10</v>
      </c>
      <c r="P175">
        <f t="shared" si="284"/>
        <v>8.149072527885437E-10</v>
      </c>
      <c r="Q175">
        <f t="shared" si="284"/>
        <v>0</v>
      </c>
      <c r="R175">
        <f t="shared" si="284"/>
        <v>0</v>
      </c>
      <c r="S175">
        <f t="shared" si="284"/>
        <v>-6.9849193096160889E-10</v>
      </c>
      <c r="T175">
        <f t="shared" si="284"/>
        <v>-6.9849193096160889E-10</v>
      </c>
      <c r="U175">
        <f t="shared" si="284"/>
        <v>9.3132257461547852E-10</v>
      </c>
      <c r="V175">
        <f t="shared" si="284"/>
        <v>9.3132257461547852E-10</v>
      </c>
      <c r="W175">
        <f t="shared" si="284"/>
        <v>1.3969838619232178E-9</v>
      </c>
      <c r="X175">
        <f t="shared" si="284"/>
        <v>-1.6298145055770874E-9</v>
      </c>
      <c r="Y175">
        <f t="shared" si="284"/>
        <v>0</v>
      </c>
      <c r="Z175">
        <f t="shared" si="284"/>
        <v>0</v>
      </c>
      <c r="AA175">
        <f t="shared" si="284"/>
        <v>0</v>
      </c>
      <c r="AB175">
        <f t="shared" si="284"/>
        <v>0</v>
      </c>
      <c r="AC175">
        <f t="shared" si="284"/>
        <v>0</v>
      </c>
      <c r="AD175">
        <f t="shared" si="284"/>
        <v>0</v>
      </c>
      <c r="AE175">
        <f t="shared" si="284"/>
        <v>0</v>
      </c>
      <c r="AF175">
        <f t="shared" si="284"/>
        <v>0</v>
      </c>
      <c r="AG175">
        <f t="shared" si="284"/>
        <v>0</v>
      </c>
      <c r="AH175">
        <f t="shared" si="284"/>
        <v>0</v>
      </c>
      <c r="AI175">
        <f t="shared" si="284"/>
        <v>0</v>
      </c>
      <c r="AJ175">
        <f t="shared" si="284"/>
        <v>0</v>
      </c>
      <c r="AK175">
        <f t="shared" si="284"/>
        <v>0</v>
      </c>
      <c r="AL175" t="n">
        <f t="shared" ref="AL175:BQ175" si="285">AL77-AL75-AL76-AL87-IF(AL188&gt;0,AL188,0)</f>
        <v>0</v>
      </c>
      <c r="AM175">
        <f t="shared" si="285"/>
        <v>0</v>
      </c>
      <c r="AN175">
        <f t="shared" si="285"/>
        <v>0</v>
      </c>
      <c r="AO175">
        <f t="shared" si="285"/>
        <v>0</v>
      </c>
      <c r="AP175">
        <f t="shared" si="285"/>
        <v>0</v>
      </c>
      <c r="AQ175">
        <f t="shared" si="285"/>
        <v>0</v>
      </c>
      <c r="AR175">
        <f t="shared" si="285"/>
        <v>0</v>
      </c>
      <c r="AS175">
        <f t="shared" si="285"/>
        <v>0</v>
      </c>
      <c r="AT175">
        <f t="shared" si="285"/>
        <v>0</v>
      </c>
      <c r="AU175">
        <f t="shared" si="285"/>
        <v>0</v>
      </c>
      <c r="AV175">
        <f t="shared" si="285"/>
        <v>0</v>
      </c>
      <c r="AW175">
        <f t="shared" si="285"/>
        <v>0</v>
      </c>
      <c r="AX175">
        <f t="shared" si="285"/>
        <v>0</v>
      </c>
      <c r="AY175">
        <f t="shared" si="285"/>
        <v>0</v>
      </c>
      <c r="AZ175">
        <f t="shared" si="285"/>
        <v>0</v>
      </c>
      <c r="BA175">
        <f t="shared" si="285"/>
        <v>0</v>
      </c>
      <c r="BB175">
        <f t="shared" si="285"/>
        <v>0</v>
      </c>
      <c r="BC175">
        <f t="shared" si="285"/>
        <v>0</v>
      </c>
      <c r="BD175">
        <f t="shared" si="285"/>
        <v>0</v>
      </c>
      <c r="BE175">
        <f t="shared" si="285"/>
        <v>0</v>
      </c>
      <c r="BF175">
        <f t="shared" si="285"/>
        <v>0</v>
      </c>
      <c r="BG175">
        <f t="shared" si="285"/>
        <v>0</v>
      </c>
      <c r="BH175">
        <f t="shared" si="285"/>
        <v>0</v>
      </c>
      <c r="BI175">
        <f t="shared" si="285"/>
        <v>0</v>
      </c>
      <c r="BJ175">
        <f t="shared" si="285"/>
        <v>0</v>
      </c>
      <c r="BK175">
        <f t="shared" si="285"/>
        <v>0</v>
      </c>
      <c r="BL175">
        <f t="shared" si="285"/>
        <v>0</v>
      </c>
      <c r="BM175">
        <f t="shared" si="285"/>
        <v>0</v>
      </c>
      <c r="BN175">
        <f t="shared" si="285"/>
        <v>0</v>
      </c>
      <c r="BO175">
        <f t="shared" si="285"/>
        <v>0</v>
      </c>
      <c r="BP175">
        <f t="shared" si="285"/>
        <v>0</v>
      </c>
      <c r="BQ175">
        <f t="shared" si="285"/>
        <v>0</v>
      </c>
      <c r="BR175" t="n">
        <f t="shared" ref="BR175:CW175" si="286">BR77-BR75-BR76-BR87-IF(BR188&gt;0,BR188,0)</f>
        <v>0</v>
      </c>
      <c r="BS175">
        <f t="shared" si="286"/>
        <v>0</v>
      </c>
      <c r="BT175">
        <f t="shared" si="286"/>
        <v>0</v>
      </c>
      <c r="BU175">
        <f t="shared" si="286"/>
        <v>0</v>
      </c>
      <c r="BV175">
        <f t="shared" si="286"/>
        <v>0</v>
      </c>
      <c r="BW175">
        <f t="shared" si="286"/>
        <v>0</v>
      </c>
      <c r="BX175">
        <f t="shared" si="286"/>
        <v>0</v>
      </c>
      <c r="BY175">
        <f t="shared" si="286"/>
        <v>0</v>
      </c>
      <c r="BZ175">
        <f t="shared" si="286"/>
        <v>0</v>
      </c>
      <c r="CA175">
        <f t="shared" si="286"/>
        <v>0</v>
      </c>
      <c r="CB175">
        <f t="shared" si="286"/>
        <v>0</v>
      </c>
      <c r="CC175">
        <f t="shared" si="286"/>
        <v>0</v>
      </c>
      <c r="CD175">
        <f t="shared" si="286"/>
        <v>0</v>
      </c>
      <c r="CE175">
        <f t="shared" si="286"/>
        <v>0</v>
      </c>
      <c r="CF175">
        <f t="shared" si="286"/>
        <v>0</v>
      </c>
      <c r="CG175">
        <f t="shared" si="286"/>
        <v>0</v>
      </c>
      <c r="CH175">
        <f t="shared" si="286"/>
        <v>0</v>
      </c>
      <c r="CI175">
        <f t="shared" si="286"/>
        <v>0</v>
      </c>
      <c r="CJ175">
        <f t="shared" si="286"/>
        <v>0</v>
      </c>
      <c r="CK175">
        <f t="shared" si="286"/>
        <v>0</v>
      </c>
      <c r="CL175">
        <f t="shared" si="286"/>
        <v>0</v>
      </c>
      <c r="CM175">
        <f t="shared" si="286"/>
        <v>0</v>
      </c>
      <c r="CN175">
        <f t="shared" si="286"/>
        <v>0</v>
      </c>
      <c r="CO175">
        <f t="shared" si="286"/>
        <v>0</v>
      </c>
      <c r="CP175">
        <f t="shared" si="286"/>
        <v>0</v>
      </c>
      <c r="CQ175">
        <f t="shared" si="286"/>
        <v>0</v>
      </c>
      <c r="CR175">
        <f t="shared" si="286"/>
        <v>0</v>
      </c>
      <c r="CS175">
        <f t="shared" si="286"/>
        <v>0</v>
      </c>
      <c r="CT175">
        <f t="shared" si="286"/>
        <v>0</v>
      </c>
      <c r="CU175">
        <f t="shared" si="286"/>
        <v>0</v>
      </c>
      <c r="CV175">
        <f t="shared" si="286"/>
        <v>0</v>
      </c>
      <c r="CW175">
        <f t="shared" si="286"/>
        <v>0</v>
      </c>
      <c r="CX175" t="n">
        <f t="shared" ref="CX175:DV175" si="287">CX77-CX75-CX76-CX87-IF(CX188&gt;0,CX188,0)</f>
        <v>0</v>
      </c>
      <c r="CY175">
        <f t="shared" si="287"/>
        <v>0</v>
      </c>
      <c r="CZ175">
        <f t="shared" si="287"/>
        <v>0</v>
      </c>
      <c r="DA175">
        <f t="shared" si="287"/>
        <v>0</v>
      </c>
      <c r="DB175">
        <f t="shared" si="287"/>
        <v>0</v>
      </c>
      <c r="DC175">
        <f t="shared" si="287"/>
        <v>0</v>
      </c>
      <c r="DD175">
        <f t="shared" si="287"/>
        <v>0</v>
      </c>
      <c r="DE175">
        <f t="shared" si="287"/>
        <v>0</v>
      </c>
      <c r="DF175">
        <f t="shared" si="287"/>
        <v>0</v>
      </c>
      <c r="DG175">
        <f t="shared" si="287"/>
        <v>0</v>
      </c>
      <c r="DH175">
        <f t="shared" si="287"/>
        <v>0</v>
      </c>
      <c r="DI175">
        <f t="shared" si="287"/>
        <v>0</v>
      </c>
      <c r="DJ175">
        <f t="shared" si="287"/>
        <v>0</v>
      </c>
      <c r="DK175">
        <f t="shared" si="287"/>
        <v>0</v>
      </c>
      <c r="DL175">
        <f t="shared" si="287"/>
        <v>0</v>
      </c>
      <c r="DM175">
        <f t="shared" si="287"/>
        <v>0</v>
      </c>
      <c r="DN175">
        <f t="shared" si="287"/>
        <v>0</v>
      </c>
      <c r="DO175">
        <f t="shared" si="287"/>
        <v>0</v>
      </c>
      <c r="DP175">
        <f t="shared" si="287"/>
        <v>0</v>
      </c>
      <c r="DQ175">
        <f t="shared" si="287"/>
        <v>0</v>
      </c>
      <c r="DR175">
        <f t="shared" si="287"/>
        <v>0</v>
      </c>
      <c r="DS175">
        <f t="shared" si="287"/>
        <v>0</v>
      </c>
      <c r="DT175">
        <f t="shared" si="287"/>
        <v>0</v>
      </c>
      <c r="DU175">
        <f t="shared" si="287"/>
        <v>0</v>
      </c>
      <c r="DV175">
        <f t="shared" si="287"/>
        <v>0</v>
      </c>
    </row>
    <row r="176" ht="22" customHeight="1">
      <c r="A176" s="704" t="s">
        <v>1626</v>
      </c>
      <c r="B176" s="699"/>
      <c r="C176" s="699"/>
      <c r="D176" s="699"/>
      <c r="E176" s="699"/>
      <c r="F176" s="699"/>
      <c r="G176" s="699"/>
      <c r="H176" s="699"/>
      <c r="J176" s="704" t="s">
        <v>1627</v>
      </c>
      <c r="K176" s="699"/>
      <c r="L176" s="699"/>
      <c r="M176" s="699"/>
      <c r="N176" s="699"/>
      <c r="O176" s="699"/>
      <c r="P176" s="699"/>
      <c r="Q176" s="699"/>
      <c r="R176" s="699"/>
    </row>
    <row r="177" ht="15" customHeight="1">
      <c r="A177" s="310" t="s">
        <v>1628</v>
      </c>
      <c r="B177" s="317">
        <v>-5.0000000000000001E-3</v>
      </c>
      <c r="C177" s="317">
        <v>0</v>
      </c>
      <c r="D177" s="317">
        <v>0.01</v>
      </c>
      <c r="E177" s="317">
        <v>0.02</v>
      </c>
      <c r="F177" s="317">
        <v>0.03</v>
      </c>
      <c r="J177" s="310" t="s">
        <v>1629</v>
      </c>
      <c r="K177" s="317">
        <v>0.75</v>
      </c>
      <c r="L177" s="317">
        <v>0.875</v>
      </c>
      <c r="M177" s="317">
        <v>1</v>
      </c>
      <c r="N177" s="317">
        <v>1.125</v>
      </c>
      <c r="O177" s="317">
        <v>1.25</v>
      </c>
    </row>
    <row r="178" ht="15" customHeight="1">
      <c r="A178" s="321">
        <v>0</v>
      </c>
      <c r="B178" s="313" t="n">
        <f>MIN($B$9,$B$9/2*MAX(0,$B$12+$B$13+B$177)*MAX(0,Underwriting!$E$57+$A178)/12)</f>
        <v>18844134.807807006</v>
      </c>
      <c r="C178" s="313" t="n">
        <f>MIN($B$9,$B$9/2*MAX(0,$B$12+$B$13+C$177)*MAX(0,Underwriting!$E$57+$A178)/12)</f>
        <v>20414479.375124257</v>
      </c>
      <c r="D178" s="313" t="n">
        <f>MIN($B$9,$B$9/2*MAX(0,$B$12+$B$13+D$177)*MAX(0,Underwriting!$E$57+$A178)/12)</f>
        <v>23555168.50975875</v>
      </c>
      <c r="E178" s="313" t="n">
        <f>MIN($B$9,$B$9/2*MAX(0,$B$12+$B$13+E$177)*MAX(0,Underwriting!$E$57+$A178)/12)</f>
        <v>26695857.644393254</v>
      </c>
      <c r="F178" s="313" t="n">
        <f>MIN($B$9,$B$9/2*MAX(0,$B$12+$B$13+F$177)*MAX(0,Underwriting!$E$57+$A178)/12)</f>
        <v>29836546.779027756</v>
      </c>
      <c r="J178" s="317">
        <v>0.75</v>
      </c>
      <c r="K178" s="313" t="n">
        <f>MAX(0,$K$7+$B$24+($K$7+$B$24)*$B$47-MIN($B$37*K$177,'VALUATION &amp; RETURNS'!$DA$8*1000000*$J178*$B$38))</f>
        <v>53825013.420856744</v>
      </c>
      <c r="L178" s="313" t="n">
        <f>MAX(0,$K$7+$B$24+($K$7+$B$24)*$B$47-MIN($B$37*L$177,'VALUATION &amp; RETURNS'!$DA$8*1000000*$J178*$B$38))</f>
        <v>27388236.1932936</v>
      </c>
      <c r="M178" s="313" t="n">
        <f>MAX(0,$K$7+$B$24+($K$7+$B$24)*$B$47-MIN($B$37*M$177,'VALUATION &amp; RETURNS'!$DA$8*1000000*$J178*$B$38))</f>
        <v>951458.9657304585</v>
      </c>
      <c r="N178" s="313" t="n">
        <f>MAX(0,$K$7+$B$24+($K$7+$B$24)*$B$47-MIN($B$37*N$177,'VALUATION &amp; RETURNS'!$DA$8*1000000*$J178*$B$38))</f>
        <v>0</v>
      </c>
      <c r="O178" s="313" t="n">
        <f>MAX(0,$K$7+$B$24+($K$7+$B$24)*$B$47-MIN($B$37*O$177,'VALUATION &amp; RETURNS'!$DA$8*1000000*$J178*$B$38))</f>
        <v>0</v>
      </c>
    </row>
    <row r="179" ht="15" customHeight="1">
      <c r="A179" s="321">
        <v>3</v>
      </c>
      <c r="B179" s="313" t="n">
        <f>MIN($B$9,$B$9/2*MAX(0,$B$12+$B$13+B$177)*MAX(0,Underwriting!$E$57+$A179)/12)</f>
        <v>20414479.375124257</v>
      </c>
      <c r="C179" s="313" t="n">
        <f>MIN($B$9,$B$9/2*MAX(0,$B$12+$B$13+C$177)*MAX(0,Underwriting!$E$57+$A179)/12)</f>
        <v>22115685.98971794</v>
      </c>
      <c r="D179" s="313" t="n">
        <f>MIN($B$9,$B$9/2*MAX(0,$B$12+$B$13+D$177)*MAX(0,Underwriting!$E$57+$A179)/12)</f>
        <v>25518099.218905315</v>
      </c>
      <c r="E179" s="313" t="n">
        <f>MIN($B$9,$B$9/2*MAX(0,$B$12+$B$13+E$177)*MAX(0,Underwriting!$E$57+$A179)/12)</f>
        <v>28920512.448092695</v>
      </c>
      <c r="F179" s="313" t="n">
        <f>MIN($B$9,$B$9/2*MAX(0,$B$12+$B$13+F$177)*MAX(0,Underwriting!$E$57+$A179)/12)</f>
        <v>32322925.67728007</v>
      </c>
      <c r="J179" s="317">
        <v>0.875</v>
      </c>
      <c r="K179" s="313" t="n">
        <f>MAX(0,$K$7+$B$24+($K$7+$B$24)*$B$47-MIN($B$37*K$177,'VALUATION &amp; RETURNS'!$DA$8*1000000*$J179*$B$38))</f>
        <v>53825013.420856744</v>
      </c>
      <c r="L179" s="313" t="n">
        <f>MAX(0,$K$7+$B$24+($K$7+$B$24)*$B$47-MIN($B$37*L$177,'VALUATION &amp; RETURNS'!$DA$8*1000000*$J179*$B$38))</f>
        <v>27388236.1932936</v>
      </c>
      <c r="M179" s="313" t="n">
        <f>MAX(0,$K$7+$B$24+($K$7+$B$24)*$B$47-MIN($B$37*M$177,'VALUATION &amp; RETURNS'!$DA$8*1000000*$J179*$B$38))</f>
        <v>951458.9657304585</v>
      </c>
      <c r="N179" s="313" t="n">
        <f>MAX(0,$K$7+$B$24+($K$7+$B$24)*$B$47-MIN($B$37*N$177,'VALUATION &amp; RETURNS'!$DA$8*1000000*$J179*$B$38))</f>
        <v>0</v>
      </c>
      <c r="O179" s="313" t="n">
        <f>MAX(0,$K$7+$B$24+($K$7+$B$24)*$B$47-MIN($B$37*O$177,'VALUATION &amp; RETURNS'!$DA$8*1000000*$J179*$B$38))</f>
        <v>0</v>
      </c>
    </row>
    <row r="180" ht="15" customHeight="1">
      <c r="A180" s="321">
        <v>6</v>
      </c>
      <c r="B180" s="313" t="n">
        <f>MIN($B$9,$B$9/2*MAX(0,$B$12+$B$13+B$177)*MAX(0,Underwriting!$E$57+$A180)/12)</f>
        <v>21984823.942441504</v>
      </c>
      <c r="C180" s="313" t="n">
        <f>MIN($B$9,$B$9/2*MAX(0,$B$12+$B$13+C$177)*MAX(0,Underwriting!$E$57+$A180)/12)</f>
        <v>23816892.60431163</v>
      </c>
      <c r="D180" s="313" t="n">
        <f>MIN($B$9,$B$9/2*MAX(0,$B$12+$B$13+D$177)*MAX(0,Underwriting!$E$57+$A180)/12)</f>
        <v>27481029.928051878</v>
      </c>
      <c r="E180" s="313" t="n">
        <f>MIN($B$9,$B$9/2*MAX(0,$B$12+$B$13+E$177)*MAX(0,Underwriting!$E$57+$A180)/12)</f>
        <v>31145167.251792133</v>
      </c>
      <c r="F180" s="313" t="n">
        <f>MIN($B$9,$B$9/2*MAX(0,$B$12+$B$13+F$177)*MAX(0,Underwriting!$E$57+$A180)/12)</f>
        <v>34809304.575532384</v>
      </c>
      <c r="J180" s="317">
        <v>1</v>
      </c>
      <c r="K180" s="313" t="n">
        <f>MAX(0,$K$7+$B$24+($K$7+$B$24)*$B$47-MIN($B$37*K$177,'VALUATION &amp; RETURNS'!$DA$8*1000000*$J180*$B$38))</f>
        <v>53825013.420856744</v>
      </c>
      <c r="L180" s="313" t="n">
        <f>MAX(0,$K$7+$B$24+($K$7+$B$24)*$B$47-MIN($B$37*L$177,'VALUATION &amp; RETURNS'!$DA$8*1000000*$J180*$B$38))</f>
        <v>27388236.1932936</v>
      </c>
      <c r="M180" s="313" t="n">
        <f>MAX(0,$K$7+$B$24+($K$7+$B$24)*$B$47-MIN($B$37*M$177,'VALUATION &amp; RETURNS'!$DA$8*1000000*$J180*$B$38))</f>
        <v>951458.9657304585</v>
      </c>
      <c r="N180" s="313" t="n">
        <f>MAX(0,$K$7+$B$24+($K$7+$B$24)*$B$47-MIN($B$37*N$177,'VALUATION &amp; RETURNS'!$DA$8*1000000*$J180*$B$38))</f>
        <v>0</v>
      </c>
      <c r="O180" s="313" t="n">
        <f>MAX(0,$K$7+$B$24+($K$7+$B$24)*$B$47-MIN($B$37*O$177,'VALUATION &amp; RETURNS'!$DA$8*1000000*$J180*$B$38))</f>
        <v>0</v>
      </c>
    </row>
    <row r="181" ht="15" customHeight="1">
      <c r="A181" s="321">
        <v>9</v>
      </c>
      <c r="B181" s="313" t="n">
        <f>MIN($B$9,$B$9/2*MAX(0,$B$12+$B$13+B$177)*MAX(0,Underwriting!$E$57+$A181)/12)</f>
        <v>23555168.509758756</v>
      </c>
      <c r="C181" s="313" t="n">
        <f>MIN($B$9,$B$9/2*MAX(0,$B$12+$B$13+C$177)*MAX(0,Underwriting!$E$57+$A181)/12)</f>
        <v>25518099.21890532</v>
      </c>
      <c r="D181" s="313" t="n">
        <f>MIN($B$9,$B$9/2*MAX(0,$B$12+$B$13+D$177)*MAX(0,Underwriting!$E$57+$A181)/12)</f>
        <v>29443960.637198444</v>
      </c>
      <c r="E181" s="313" t="n">
        <f>MIN($B$9,$B$9/2*MAX(0,$B$12+$B$13+E$177)*MAX(0,Underwriting!$E$57+$A181)/12)</f>
        <v>33369822.05549157</v>
      </c>
      <c r="F181" s="313" t="n">
        <f>MIN($B$9,$B$9/2*MAX(0,$B$12+$B$13+F$177)*MAX(0,Underwriting!$E$57+$A181)/12)</f>
        <v>37295683.47378469</v>
      </c>
      <c r="J181" s="317">
        <v>1.125</v>
      </c>
      <c r="K181" s="313" t="n">
        <f>MAX(0,$K$7+$B$24+($K$7+$B$24)*$B$47-MIN($B$37*K$177,'VALUATION &amp; RETURNS'!$DA$8*1000000*$J181*$B$38))</f>
        <v>53825013.420856744</v>
      </c>
      <c r="L181" s="313" t="n">
        <f>MAX(0,$K$7+$B$24+($K$7+$B$24)*$B$47-MIN($B$37*L$177,'VALUATION &amp; RETURNS'!$DA$8*1000000*$J181*$B$38))</f>
        <v>27388236.1932936</v>
      </c>
      <c r="M181" s="313" t="n">
        <f>MAX(0,$K$7+$B$24+($K$7+$B$24)*$B$47-MIN($B$37*M$177,'VALUATION &amp; RETURNS'!$DA$8*1000000*$J181*$B$38))</f>
        <v>951458.9657304585</v>
      </c>
      <c r="N181" s="313" t="n">
        <f>MAX(0,$K$7+$B$24+($K$7+$B$24)*$B$47-MIN($B$37*N$177,'VALUATION &amp; RETURNS'!$DA$8*1000000*$J181*$B$38))</f>
        <v>0</v>
      </c>
      <c r="O181" s="313" t="n">
        <f>MAX(0,$K$7+$B$24+($K$7+$B$24)*$B$47-MIN($B$37*O$177,'VALUATION &amp; RETURNS'!$DA$8*1000000*$J181*$B$38))</f>
        <v>0</v>
      </c>
    </row>
    <row r="182" ht="15" customHeight="1">
      <c r="A182" s="321">
        <v>12</v>
      </c>
      <c r="B182" s="313" t="n">
        <f>MIN($B$9,$B$9/2*MAX(0,$B$12+$B$13+B$177)*MAX(0,Underwriting!$E$57+$A182)/12)</f>
        <v>25125513.077076007</v>
      </c>
      <c r="C182" s="313" t="n">
        <f>MIN($B$9,$B$9/2*MAX(0,$B$12+$B$13+C$177)*MAX(0,Underwriting!$E$57+$A182)/12)</f>
        <v>27219305.833499003</v>
      </c>
      <c r="D182" s="313" t="n">
        <f>MIN($B$9,$B$9/2*MAX(0,$B$12+$B$13+D$177)*MAX(0,Underwriting!$E$57+$A182)/12)</f>
        <v>31406891.346345004</v>
      </c>
      <c r="E182" s="313" t="n">
        <f>MIN($B$9,$B$9/2*MAX(0,$B$12+$B$13+E$177)*MAX(0,Underwriting!$E$57+$A182)/12)</f>
        <v>35594476.85919101</v>
      </c>
      <c r="F182" s="313" t="n">
        <f>MIN($B$9,$B$9/2*MAX(0,$B$12+$B$13+F$177)*MAX(0,Underwriting!$E$57+$A182)/12)</f>
        <v>39782062.37203701</v>
      </c>
      <c r="J182" s="317">
        <v>1.25</v>
      </c>
      <c r="K182" s="313" t="n">
        <f>MAX(0,$K$7+$B$24+($K$7+$B$24)*$B$47-MIN($B$37*K$177,'VALUATION &amp; RETURNS'!$DA$8*1000000*$J182*$B$38))</f>
        <v>53825013.420856744</v>
      </c>
      <c r="L182" s="313" t="n">
        <f>MAX(0,$K$7+$B$24+($K$7+$B$24)*$B$47-MIN($B$37*L$177,'VALUATION &amp; RETURNS'!$DA$8*1000000*$J182*$B$38))</f>
        <v>27388236.1932936</v>
      </c>
      <c r="M182" s="313" t="n">
        <f>MAX(0,$K$7+$B$24+($K$7+$B$24)*$B$47-MIN($B$37*M$177,'VALUATION &amp; RETURNS'!$DA$8*1000000*$J182*$B$38))</f>
        <v>951458.9657304585</v>
      </c>
      <c r="N182" s="313" t="n">
        <f>MAX(0,$K$7+$B$24+($K$7+$B$24)*$B$47-MIN($B$37*N$177,'VALUATION &amp; RETURNS'!$DA$8*1000000*$J182*$B$38))</f>
        <v>0</v>
      </c>
      <c r="O182" s="313" t="n">
        <f>MAX(0,$K$7+$B$24+($K$7+$B$24)*$B$47-MIN($B$37*O$177,'VALUATION &amp; RETURNS'!$DA$8*1000000*$J182*$B$38))</f>
        <v>0</v>
      </c>
    </row>
    <row r="183" ht="15" customHeight="1">
      <c r="A183" s="705" t="s">
        <v>1630</v>
      </c>
      <c r="B183" s="699"/>
      <c r="C183" s="699"/>
      <c r="D183" s="699"/>
      <c r="E183" s="699"/>
      <c r="F183" s="699"/>
      <c r="G183" s="699"/>
      <c r="H183" s="699"/>
      <c r="J183" s="705" t="s">
        <v>1631</v>
      </c>
      <c r="K183" s="699"/>
      <c r="L183" s="699"/>
      <c r="M183" s="699"/>
      <c r="N183" s="699"/>
      <c r="O183" s="699"/>
      <c r="P183" s="699"/>
      <c r="Q183" s="699"/>
      <c r="R183" s="699"/>
    </row>
    <row r="185">
      <c r="A185" s="704" t="s">
        <v>1632</v>
      </c>
      <c r="B185" s="699"/>
      <c r="C185" s="699"/>
      <c r="D185" s="699"/>
      <c r="E185" s="699"/>
      <c r="F185" s="699"/>
      <c r="G185" s="699"/>
      <c r="H185" s="699"/>
      <c r="J185" s="704"/>
      <c r="K185" s="699"/>
      <c r="L185" s="699"/>
      <c r="M185" s="699"/>
      <c r="N185" s="699"/>
      <c r="O185" s="699"/>
      <c r="P185" s="699"/>
      <c r="Q185" s="699"/>
      <c r="R185" s="699"/>
    </row>
    <row r="186" ht="15" customHeight="1">
      <c r="A186" s="310" t="s">
        <v>1633</v>
      </c>
      <c r="B186" s="317" t="s">
        <v>1321</v>
      </c>
      <c r="C186" s="317" t="s">
        <v>1634</v>
      </c>
      <c r="D186" s="317"/>
      <c r="E186" s="317"/>
      <c r="F186" s="604" t="n">
        <f>F$75*PROJECTS!$AP$197*PROJECTS!$AP$196</f>
        <v>0</v>
      </c>
      <c r="G186" s="605" t="n">
        <f>G$75*PROJECTS!$AP$197*PROJECTS!$AP$196</f>
        <v>0</v>
      </c>
      <c r="H186" s="605" t="n">
        <f>H$75*PROJECTS!$AP$197*PROJECTS!$AP$196</f>
        <v>13625.405868172702</v>
      </c>
      <c r="I186" s="605" t="n">
        <f>I$75*PROJECTS!$AP$197*PROJECTS!$AP$196</f>
        <v>44612.05233199367</v>
      </c>
      <c r="J186" s="606" t="n">
        <f>J$75*PROJECTS!$AP$197*PROJECTS!$AP$196</f>
        <v>87542.99875541404</v>
      </c>
      <c r="K186" s="604" t="n">
        <f>K$75*PROJECTS!$AP$197*PROJECTS!$AP$196</f>
        <v>145209.67773195182</v>
      </c>
      <c r="L186" s="604" t="n">
        <f>L$75*PROJECTS!$AP$197*PROJECTS!$AP$196</f>
        <v>220254.21360235137</v>
      </c>
      <c r="M186" s="604" t="n">
        <f>M$75*PROJECTS!$AP$197*PROJECTS!$AP$196</f>
        <v>314780.8089983817</v>
      </c>
      <c r="N186" s="604" t="n">
        <f>N$75*PROJECTS!$AP$197*PROJECTS!$AP$196</f>
        <v>429893.14060364687</v>
      </c>
      <c r="O186" s="604" t="n">
        <f>O$75*PROJECTS!$AP$197*PROJECTS!$AP$196</f>
        <v>565213.0921267051</v>
      </c>
      <c r="P186" s="605" t="n">
        <f>P$75*PROJECTS!$AP$197*PROJECTS!$AP$196</f>
        <v>718460.1570665365</v>
      </c>
      <c r="Q186" s="605" t="n">
        <f>Q$75*PROJECTS!$AP$197*PROJECTS!$AP$196</f>
        <v>885184.4484391867</v>
      </c>
      <c r="R186" s="605" t="n">
        <f>R$75*PROJECTS!$AP$197*PROJECTS!$AP$196</f>
        <v>1058742.4910396242</v>
      </c>
      <c r="S186" s="605" t="n">
        <f>S$75*PROJECTS!$AP$197*PROJECTS!$AP$196</f>
        <v>1230579.7210179986</v>
      </c>
      <c r="T186" s="605" t="n">
        <f>T$75*PROJECTS!$AP$197*PROJECTS!$AP$196</f>
        <v>1390837.7185646803</v>
      </c>
      <c r="U186" s="605" t="n">
        <f>U$75*PROJECTS!$AP$197*PROJECTS!$AP$196</f>
        <v>1529244.4846410453</v>
      </c>
      <c r="V186" s="605" t="n">
        <f>V$75*PROJECTS!$AP$197*PROJECTS!$AP$196</f>
        <v>1636184.6454457059</v>
      </c>
      <c r="W186" s="605" t="n">
        <f>W$75*PROJECTS!$AP$197*PROJECTS!$AP$196</f>
        <v>1703798.0973747247</v>
      </c>
      <c r="X186" s="605" t="n">
        <f>X$75*PROJECTS!$AP$197*PROJECTS!$AP$196</f>
        <v>1726933.7825216271</v>
      </c>
      <c r="Y186" s="605" t="n">
        <f>Y$75*PROJECTS!$AP$197*PROJECTS!$AP$196</f>
        <v>1703798.097374726</v>
      </c>
      <c r="Z186" s="605" t="n">
        <f>Z$75*PROJECTS!$AP$197*PROJECTS!$AP$196</f>
        <v>1636184.6454457028</v>
      </c>
      <c r="AA186" s="605" t="n">
        <f>AA$75*PROJECTS!$AP$197*PROJECTS!$AP$196</f>
        <v>1529244.4846410484</v>
      </c>
      <c r="AB186" s="605" t="n">
        <f>AB$75*PROJECTS!$AP$197*PROJECTS!$AP$196</f>
        <v>1390837.7185646782</v>
      </c>
      <c r="AC186" s="605" t="n">
        <f>AC$75*PROJECTS!$AP$197*PROJECTS!$AP$196</f>
        <v>1230579.7210179986</v>
      </c>
      <c r="AD186" s="605" t="n">
        <f>AD$75*PROJECTS!$AP$197*PROJECTS!$AP$196</f>
        <v>1058742.4910396263</v>
      </c>
      <c r="AE186" s="605" t="n">
        <f>AE$75*PROJECTS!$AP$197*PROJECTS!$AP$196</f>
        <v>885184.4484391845</v>
      </c>
      <c r="AF186" s="605" t="n">
        <f>AF$75*PROJECTS!$AP$197*PROJECTS!$AP$196</f>
        <v>718460.1570665365</v>
      </c>
      <c r="AG186" s="605" t="n">
        <f>AG$75*PROJECTS!$AP$197*PROJECTS!$AP$196</f>
        <v>565213.0921267071</v>
      </c>
      <c r="AH186" s="605" t="n">
        <f>AH$75*PROJECTS!$AP$197*PROJECTS!$AP$196</f>
        <v>429893.1406036455</v>
      </c>
      <c r="AI186" s="605" t="n">
        <f>AI$75*PROJECTS!$AP$197*PROJECTS!$AP$196</f>
        <v>314780.8089983818</v>
      </c>
      <c r="AJ186" s="605" t="n">
        <f>AJ$75*PROJECTS!$AP$197*PROJECTS!$AP$196</f>
        <v>220254.21360235248</v>
      </c>
      <c r="AK186" s="605" t="n">
        <f>AK$75*PROJECTS!$AP$197*PROJECTS!$AP$196</f>
        <v>145209.6777319506</v>
      </c>
      <c r="AL186" s="605" t="n">
        <f>AL$75*PROJECTS!$AP$197*PROJECTS!$AP$196</f>
        <v>87542.99875541453</v>
      </c>
      <c r="AM186" s="605" t="n">
        <f>AM$75*PROJECTS!$AP$197*PROJECTS!$AP$196</f>
        <v>44612.05233199214</v>
      </c>
      <c r="AN186" s="605" t="n">
        <f>AN$75*PROJECTS!$AP$197*PROJECTS!$AP$196</f>
        <v>13625.405868174492</v>
      </c>
      <c r="AO186" s="605" t="n">
        <f>AO$75*PROJECTS!$AP$197*PROJECTS!$AP$196</f>
        <v>0</v>
      </c>
      <c r="AP186" s="605" t="n">
        <f>AP$75*PROJECTS!$AP$197*PROJECTS!$AP$196</f>
        <v>0</v>
      </c>
      <c r="AQ186" s="605" t="n">
        <f>AQ$75*PROJECTS!$AP$197*PROJECTS!$AP$196</f>
        <v>0</v>
      </c>
      <c r="AR186" s="605" t="n">
        <f>AR$75*PROJECTS!$AP$197*PROJECTS!$AP$196</f>
        <v>0</v>
      </c>
      <c r="AS186" s="605" t="n">
        <f>AS$75*PROJECTS!$AP$197*PROJECTS!$AP$196</f>
        <v>0</v>
      </c>
      <c r="AT186" s="605" t="n">
        <f>AT$75*PROJECTS!$AP$197*PROJECTS!$AP$196</f>
        <v>0</v>
      </c>
      <c r="AU186" s="605" t="n">
        <f>AU$75*PROJECTS!$AP$197*PROJECTS!$AP$196</f>
        <v>0</v>
      </c>
      <c r="AV186" s="605" t="n">
        <f>AV$75*PROJECTS!$AP$197*PROJECTS!$AP$196</f>
        <v>0</v>
      </c>
      <c r="AW186" s="605" t="n">
        <f>AW$75*PROJECTS!$AP$197*PROJECTS!$AP$196</f>
        <v>0</v>
      </c>
      <c r="AX186" s="605" t="n">
        <f>AX$75*PROJECTS!$AP$197*PROJECTS!$AP$196</f>
        <v>0</v>
      </c>
      <c r="AY186" s="605" t="n">
        <f>AY$75*PROJECTS!$AP$197*PROJECTS!$AP$196</f>
        <v>0</v>
      </c>
      <c r="AZ186" s="605" t="n">
        <f>AZ$75*PROJECTS!$AP$197*PROJECTS!$AP$196</f>
        <v>0</v>
      </c>
      <c r="BA186" s="605" t="n">
        <f>BA$75*PROJECTS!$AP$197*PROJECTS!$AP$196</f>
        <v>0</v>
      </c>
      <c r="BB186" s="605" t="n">
        <f>BB$75*PROJECTS!$AP$197*PROJECTS!$AP$196</f>
        <v>0</v>
      </c>
      <c r="BC186" s="605" t="n">
        <f>BC$75*PROJECTS!$AP$197*PROJECTS!$AP$196</f>
        <v>0</v>
      </c>
      <c r="BD186" s="605" t="n">
        <f>BD$75*PROJECTS!$AP$197*PROJECTS!$AP$196</f>
        <v>0</v>
      </c>
      <c r="BE186" s="605" t="n">
        <f>BE$75*PROJECTS!$AP$197*PROJECTS!$AP$196</f>
        <v>0</v>
      </c>
      <c r="BF186" s="605" t="n">
        <f>BF$75*PROJECTS!$AP$197*PROJECTS!$AP$196</f>
        <v>0</v>
      </c>
      <c r="BG186" s="605" t="n">
        <f>BG$75*PROJECTS!$AP$197*PROJECTS!$AP$196</f>
        <v>0</v>
      </c>
      <c r="BH186" s="605" t="n">
        <f>BH$75*PROJECTS!$AP$197*PROJECTS!$AP$196</f>
        <v>0</v>
      </c>
      <c r="BI186" s="605" t="n">
        <f>BI$75*PROJECTS!$AP$197*PROJECTS!$AP$196</f>
        <v>0</v>
      </c>
      <c r="BJ186" s="605" t="n">
        <f>BJ$75*PROJECTS!$AP$197*PROJECTS!$AP$196</f>
        <v>0</v>
      </c>
      <c r="BK186" s="605" t="n">
        <f>BK$75*PROJECTS!$AP$197*PROJECTS!$AP$196</f>
        <v>0</v>
      </c>
      <c r="BL186" s="605" t="n">
        <f>BL$75*PROJECTS!$AP$197*PROJECTS!$AP$196</f>
        <v>0</v>
      </c>
      <c r="BM186" s="605" t="n">
        <f>BM$75*PROJECTS!$AP$197*PROJECTS!$AP$196</f>
        <v>0</v>
      </c>
      <c r="BN186" s="605" t="n">
        <f>BN$75*PROJECTS!$AP$197*PROJECTS!$AP$196</f>
        <v>0</v>
      </c>
      <c r="BO186" s="605" t="n">
        <f>BO$75*PROJECTS!$AP$197*PROJECTS!$AP$196</f>
        <v>0</v>
      </c>
      <c r="BP186" s="605" t="n">
        <f>BP$75*PROJECTS!$AP$197*PROJECTS!$AP$196</f>
        <v>0</v>
      </c>
      <c r="BQ186" s="605" t="n">
        <f>BQ$75*PROJECTS!$AP$197*PROJECTS!$AP$196</f>
        <v>0</v>
      </c>
      <c r="BR186" s="605" t="n">
        <f>BR$75*PROJECTS!$AP$197*PROJECTS!$AP$196</f>
        <v>0</v>
      </c>
      <c r="BS186" s="605" t="n">
        <f>BS$75*PROJECTS!$AP$197*PROJECTS!$AP$196</f>
        <v>0</v>
      </c>
      <c r="BT186" s="605" t="n">
        <f>BT$75*PROJECTS!$AP$197*PROJECTS!$AP$196</f>
        <v>0</v>
      </c>
      <c r="BU186" s="605" t="n">
        <f>BU$75*PROJECTS!$AP$197*PROJECTS!$AP$196</f>
        <v>0</v>
      </c>
      <c r="BV186" s="605" t="n">
        <f>BV$75*PROJECTS!$AP$197*PROJECTS!$AP$196</f>
        <v>0</v>
      </c>
      <c r="BW186" s="605" t="n">
        <f>BW$75*PROJECTS!$AP$197*PROJECTS!$AP$196</f>
        <v>0</v>
      </c>
      <c r="BX186" s="605" t="n">
        <f>BX$75*PROJECTS!$AP$197*PROJECTS!$AP$196</f>
        <v>0</v>
      </c>
      <c r="BY186" s="605" t="n">
        <f>BY$75*PROJECTS!$AP$197*PROJECTS!$AP$196</f>
        <v>0</v>
      </c>
      <c r="BZ186" s="605" t="n">
        <f>BZ$75*PROJECTS!$AP$197*PROJECTS!$AP$196</f>
        <v>0</v>
      </c>
      <c r="CA186" s="605" t="n">
        <f>CA$75*PROJECTS!$AP$197*PROJECTS!$AP$196</f>
        <v>0</v>
      </c>
      <c r="CB186" s="605" t="n">
        <f>CB$75*PROJECTS!$AP$197*PROJECTS!$AP$196</f>
        <v>0</v>
      </c>
      <c r="CC186" s="605" t="n">
        <f>CC$75*PROJECTS!$AP$197*PROJECTS!$AP$196</f>
        <v>0</v>
      </c>
      <c r="CD186" s="605" t="n">
        <f>CD$75*PROJECTS!$AP$197*PROJECTS!$AP$196</f>
        <v>0</v>
      </c>
      <c r="CE186" s="605" t="n">
        <f>CE$75*PROJECTS!$AP$197*PROJECTS!$AP$196</f>
        <v>0</v>
      </c>
      <c r="CF186" s="605" t="n">
        <f>CF$75*PROJECTS!$AP$197*PROJECTS!$AP$196</f>
        <v>0</v>
      </c>
      <c r="CG186" s="605" t="n">
        <f>CG$75*PROJECTS!$AP$197*PROJECTS!$AP$196</f>
        <v>0</v>
      </c>
      <c r="CH186" s="605" t="n">
        <f>CH$75*PROJECTS!$AP$197*PROJECTS!$AP$196</f>
        <v>0</v>
      </c>
      <c r="CI186" s="605" t="n">
        <f>CI$75*PROJECTS!$AP$197*PROJECTS!$AP$196</f>
        <v>0</v>
      </c>
      <c r="CJ186" s="605" t="n">
        <f>CJ$75*PROJECTS!$AP$197*PROJECTS!$AP$196</f>
        <v>0</v>
      </c>
      <c r="CK186" s="605" t="n">
        <f>CK$75*PROJECTS!$AP$197*PROJECTS!$AP$196</f>
        <v>0</v>
      </c>
      <c r="CL186" s="605" t="n">
        <f>CL$75*PROJECTS!$AP$197*PROJECTS!$AP$196</f>
        <v>0</v>
      </c>
      <c r="CM186" s="605" t="n">
        <f>CM$75*PROJECTS!$AP$197*PROJECTS!$AP$196</f>
        <v>0</v>
      </c>
      <c r="CN186" s="605" t="n">
        <f>CN$75*PROJECTS!$AP$197*PROJECTS!$AP$196</f>
        <v>0</v>
      </c>
      <c r="CO186" s="605" t="n">
        <f>CO$75*PROJECTS!$AP$197*PROJECTS!$AP$196</f>
        <v>0</v>
      </c>
      <c r="CP186" s="605" t="n">
        <f>CP$75*PROJECTS!$AP$197*PROJECTS!$AP$196</f>
        <v>0</v>
      </c>
      <c r="CQ186" s="605" t="n">
        <f>CQ$75*PROJECTS!$AP$197*PROJECTS!$AP$196</f>
        <v>0</v>
      </c>
      <c r="CR186" s="605" t="n">
        <f>CR$75*PROJECTS!$AP$197*PROJECTS!$AP$196</f>
        <v>0</v>
      </c>
      <c r="CS186" s="605" t="n">
        <f>CS$75*PROJECTS!$AP$197*PROJECTS!$AP$196</f>
        <v>0</v>
      </c>
      <c r="CT186" s="605" t="n">
        <f>CT$75*PROJECTS!$AP$197*PROJECTS!$AP$196</f>
        <v>0</v>
      </c>
      <c r="CU186" s="605" t="n">
        <f>CU$75*PROJECTS!$AP$197*PROJECTS!$AP$196</f>
        <v>0</v>
      </c>
      <c r="CV186" s="605" t="n">
        <f>CV$75*PROJECTS!$AP$197*PROJECTS!$AP$196</f>
        <v>0</v>
      </c>
      <c r="CW186" s="605" t="n">
        <f>CW$75*PROJECTS!$AP$197*PROJECTS!$AP$196</f>
        <v>0</v>
      </c>
      <c r="CX186" s="605" t="n">
        <f>CX$75*PROJECTS!$AP$197*PROJECTS!$AP$196</f>
        <v>0</v>
      </c>
      <c r="CY186" s="605" t="n">
        <f>CY$75*PROJECTS!$AP$197*PROJECTS!$AP$196</f>
        <v>0</v>
      </c>
      <c r="CZ186" s="605" t="n">
        <f>CZ$75*PROJECTS!$AP$197*PROJECTS!$AP$196</f>
        <v>0</v>
      </c>
      <c r="DA186" s="605" t="n">
        <f>DA$75*PROJECTS!$AP$197*PROJECTS!$AP$196</f>
        <v>0</v>
      </c>
      <c r="DB186" s="605" t="n">
        <f>DB$75*PROJECTS!$AP$197*PROJECTS!$AP$196</f>
        <v>0</v>
      </c>
      <c r="DC186" s="605" t="n">
        <f>DC$75*PROJECTS!$AP$197*PROJECTS!$AP$196</f>
        <v>0</v>
      </c>
      <c r="DD186" s="605" t="n">
        <f>DD$75*PROJECTS!$AP$197*PROJECTS!$AP$196</f>
        <v>0</v>
      </c>
      <c r="DE186" s="605" t="n">
        <f>DE$75*PROJECTS!$AP$197*PROJECTS!$AP$196</f>
        <v>0</v>
      </c>
      <c r="DF186" s="605" t="n">
        <f>DF$75*PROJECTS!$AP$197*PROJECTS!$AP$196</f>
        <v>0</v>
      </c>
      <c r="DG186" s="605" t="n">
        <f>DG$75*PROJECTS!$AP$197*PROJECTS!$AP$196</f>
        <v>0</v>
      </c>
      <c r="DH186" s="605" t="n">
        <f>DH$75*PROJECTS!$AP$197*PROJECTS!$AP$196</f>
        <v>0</v>
      </c>
      <c r="DI186" s="605" t="n">
        <f>DI$75*PROJECTS!$AP$197*PROJECTS!$AP$196</f>
        <v>0</v>
      </c>
      <c r="DJ186" s="605" t="n">
        <f>DJ$75*PROJECTS!$AP$197*PROJECTS!$AP$196</f>
        <v>0</v>
      </c>
      <c r="DK186" s="605" t="n">
        <f>DK$75*PROJECTS!$AP$197*PROJECTS!$AP$196</f>
        <v>0</v>
      </c>
      <c r="DL186" s="605" t="n">
        <f>DL$75*PROJECTS!$AP$197*PROJECTS!$AP$196</f>
        <v>0</v>
      </c>
      <c r="DM186" s="605" t="n">
        <f>DM$75*PROJECTS!$AP$197*PROJECTS!$AP$196</f>
        <v>0</v>
      </c>
      <c r="DN186" s="605" t="n">
        <f>DN$75*PROJECTS!$AP$197*PROJECTS!$AP$196</f>
        <v>0</v>
      </c>
      <c r="DO186" s="605" t="n">
        <f>DO$75*PROJECTS!$AP$197*PROJECTS!$AP$196</f>
        <v>0</v>
      </c>
      <c r="DP186" s="605" t="n">
        <f>DP$75*PROJECTS!$AP$197*PROJECTS!$AP$196</f>
        <v>0</v>
      </c>
      <c r="DQ186" s="605" t="n">
        <f>DQ$75*PROJECTS!$AP$197*PROJECTS!$AP$196</f>
        <v>0</v>
      </c>
      <c r="DR186" s="605" t="n">
        <f>DR$75*PROJECTS!$AP$197*PROJECTS!$AP$196</f>
        <v>0</v>
      </c>
      <c r="DS186" s="605" t="n">
        <f>DS$75*PROJECTS!$AP$197*PROJECTS!$AP$196</f>
        <v>0</v>
      </c>
      <c r="DT186" s="605" t="n">
        <f>DT$75*PROJECTS!$AP$197*PROJECTS!$AP$196</f>
        <v>0</v>
      </c>
      <c r="DU186" s="605" t="n">
        <f>DU$75*PROJECTS!$AP$197*PROJECTS!$AP$196</f>
        <v>0</v>
      </c>
      <c r="DV186" s="605" t="n">
        <f>DV$75*PROJECTS!$AP$197*PROJECTS!$AP$196</f>
        <v>0</v>
      </c>
    </row>
    <row r="187" ht="15" customHeight="1">
      <c r="A187" s="310" t="s">
        <v>1635</v>
      </c>
      <c r="B187" s="317" t="s">
        <v>1321</v>
      </c>
      <c r="C187" s="317" t="s">
        <v>1636</v>
      </c>
      <c r="D187" s="317"/>
      <c r="E187" s="317"/>
      <c r="F187" s="604" t="n">
        <f>0</f>
        <v>0</v>
      </c>
      <c r="G187" s="605" t="n">
        <f>0</f>
        <v>0</v>
      </c>
      <c r="H187" s="605" t="n">
        <f t="shared" ref="H187:AM187" si="288">F$186</f>
        <v>0</v>
      </c>
      <c r="I187" s="605">
        <f t="shared" si="288"/>
        <v>0</v>
      </c>
      <c r="J187" s="606">
        <f t="shared" si="288"/>
        <v>13625.405868172702</v>
      </c>
      <c r="K187" s="604">
        <f t="shared" si="288"/>
        <v>44612.052331993669</v>
      </c>
      <c r="L187" s="604">
        <f t="shared" si="288"/>
        <v>87542.998755414039</v>
      </c>
      <c r="M187" s="604">
        <f t="shared" si="288"/>
        <v>145209.67773195182</v>
      </c>
      <c r="N187" s="604">
        <f t="shared" si="288"/>
        <v>220254.21360235137</v>
      </c>
      <c r="O187" s="604">
        <f t="shared" si="288"/>
        <v>314780.80899838172</v>
      </c>
      <c r="P187" s="605">
        <f t="shared" si="288"/>
        <v>429893.14060364687</v>
      </c>
      <c r="Q187" s="605">
        <f t="shared" si="288"/>
        <v>565213.0921267051</v>
      </c>
      <c r="R187" s="605">
        <f t="shared" si="288"/>
        <v>718460.15706653649</v>
      </c>
      <c r="S187" s="605">
        <f t="shared" si="288"/>
        <v>885184.44843918667</v>
      </c>
      <c r="T187" s="605">
        <f t="shared" si="288"/>
        <v>1058742.4910396242</v>
      </c>
      <c r="U187" s="605">
        <f t="shared" si="288"/>
        <v>1230579.7210179986</v>
      </c>
      <c r="V187" s="605">
        <f t="shared" si="288"/>
        <v>1390837.7185646803</v>
      </c>
      <c r="W187" s="605">
        <f t="shared" si="288"/>
        <v>1529244.4846410453</v>
      </c>
      <c r="X187" s="605">
        <f t="shared" si="288"/>
        <v>1636184.6454457059</v>
      </c>
      <c r="Y187" s="605">
        <f t="shared" si="288"/>
        <v>1703798.0973747247</v>
      </c>
      <c r="Z187" s="605">
        <f t="shared" si="288"/>
        <v>1726933.7825216271</v>
      </c>
      <c r="AA187" s="605">
        <f t="shared" si="288"/>
        <v>1703798.0973747261</v>
      </c>
      <c r="AB187" s="605">
        <f t="shared" si="288"/>
        <v>1636184.6454457028</v>
      </c>
      <c r="AC187" s="605">
        <f t="shared" si="288"/>
        <v>1529244.4846410484</v>
      </c>
      <c r="AD187" s="605">
        <f t="shared" si="288"/>
        <v>1390837.7185646782</v>
      </c>
      <c r="AE187" s="605">
        <f t="shared" si="288"/>
        <v>1230579.7210179986</v>
      </c>
      <c r="AF187" s="605">
        <f t="shared" si="288"/>
        <v>1058742.4910396263</v>
      </c>
      <c r="AG187" s="605">
        <f t="shared" si="288"/>
        <v>885184.44843918446</v>
      </c>
      <c r="AH187" s="605">
        <f t="shared" si="288"/>
        <v>718460.15706653649</v>
      </c>
      <c r="AI187" s="605">
        <f t="shared" si="288"/>
        <v>565213.09212670708</v>
      </c>
      <c r="AJ187" s="605">
        <f t="shared" si="288"/>
        <v>429893.14060364547</v>
      </c>
      <c r="AK187" s="605">
        <f t="shared" si="288"/>
        <v>314780.80899838178</v>
      </c>
      <c r="AL187" s="605">
        <f t="shared" si="288"/>
        <v>220254.21360235248</v>
      </c>
      <c r="AM187" s="605">
        <f t="shared" si="288"/>
        <v>145209.67773195059</v>
      </c>
      <c r="AN187" s="605" t="n">
        <f t="shared" ref="AN187:BS187" si="289">AL$186</f>
        <v>87542.99875541453</v>
      </c>
      <c r="AO187" s="605">
        <f t="shared" si="289"/>
        <v>44612.052331992141</v>
      </c>
      <c r="AP187" s="605">
        <f t="shared" si="289"/>
        <v>13625.405868174492</v>
      </c>
      <c r="AQ187" s="605">
        <f t="shared" si="289"/>
        <v>0</v>
      </c>
      <c r="AR187" s="605">
        <f t="shared" si="289"/>
        <v>0</v>
      </c>
      <c r="AS187" s="605">
        <f t="shared" si="289"/>
        <v>0</v>
      </c>
      <c r="AT187" s="605">
        <f t="shared" si="289"/>
        <v>0</v>
      </c>
      <c r="AU187" s="605">
        <f t="shared" si="289"/>
        <v>0</v>
      </c>
      <c r="AV187" s="605">
        <f t="shared" si="289"/>
        <v>0</v>
      </c>
      <c r="AW187" s="605">
        <f t="shared" si="289"/>
        <v>0</v>
      </c>
      <c r="AX187" s="605">
        <f t="shared" si="289"/>
        <v>0</v>
      </c>
      <c r="AY187" s="605">
        <f t="shared" si="289"/>
        <v>0</v>
      </c>
      <c r="AZ187" s="605">
        <f t="shared" si="289"/>
        <v>0</v>
      </c>
      <c r="BA187" s="605">
        <f t="shared" si="289"/>
        <v>0</v>
      </c>
      <c r="BB187" s="605">
        <f t="shared" si="289"/>
        <v>0</v>
      </c>
      <c r="BC187" s="605">
        <f t="shared" si="289"/>
        <v>0</v>
      </c>
      <c r="BD187" s="605">
        <f t="shared" si="289"/>
        <v>0</v>
      </c>
      <c r="BE187" s="605">
        <f t="shared" si="289"/>
        <v>0</v>
      </c>
      <c r="BF187" s="605">
        <f t="shared" si="289"/>
        <v>0</v>
      </c>
      <c r="BG187" s="605">
        <f t="shared" si="289"/>
        <v>0</v>
      </c>
      <c r="BH187" s="605">
        <f t="shared" si="289"/>
        <v>0</v>
      </c>
      <c r="BI187" s="605">
        <f t="shared" si="289"/>
        <v>0</v>
      </c>
      <c r="BJ187" s="605">
        <f t="shared" si="289"/>
        <v>0</v>
      </c>
      <c r="BK187" s="605">
        <f t="shared" si="289"/>
        <v>0</v>
      </c>
      <c r="BL187" s="605">
        <f t="shared" si="289"/>
        <v>0</v>
      </c>
      <c r="BM187" s="605">
        <f t="shared" si="289"/>
        <v>0</v>
      </c>
      <c r="BN187" s="605">
        <f t="shared" si="289"/>
        <v>0</v>
      </c>
      <c r="BO187" s="605">
        <f t="shared" si="289"/>
        <v>0</v>
      </c>
      <c r="BP187" s="605">
        <f t="shared" si="289"/>
        <v>0</v>
      </c>
      <c r="BQ187" s="605">
        <f t="shared" si="289"/>
        <v>0</v>
      </c>
      <c r="BR187" s="605">
        <f t="shared" si="289"/>
        <v>0</v>
      </c>
      <c r="BS187" s="605">
        <f t="shared" si="289"/>
        <v>0</v>
      </c>
      <c r="BT187" s="605" t="n">
        <f t="shared" ref="BT187:CY187" si="290">BR$186</f>
        <v>0</v>
      </c>
      <c r="BU187" s="605">
        <f t="shared" si="290"/>
        <v>0</v>
      </c>
      <c r="BV187" s="605">
        <f t="shared" si="290"/>
        <v>0</v>
      </c>
      <c r="BW187" s="605">
        <f t="shared" si="290"/>
        <v>0</v>
      </c>
      <c r="BX187" s="605">
        <f t="shared" si="290"/>
        <v>0</v>
      </c>
      <c r="BY187" s="605">
        <f t="shared" si="290"/>
        <v>0</v>
      </c>
      <c r="BZ187" s="605">
        <f t="shared" si="290"/>
        <v>0</v>
      </c>
      <c r="CA187" s="605">
        <f t="shared" si="290"/>
        <v>0</v>
      </c>
      <c r="CB187" s="605">
        <f t="shared" si="290"/>
        <v>0</v>
      </c>
      <c r="CC187" s="605">
        <f t="shared" si="290"/>
        <v>0</v>
      </c>
      <c r="CD187" s="605">
        <f t="shared" si="290"/>
        <v>0</v>
      </c>
      <c r="CE187" s="605">
        <f t="shared" si="290"/>
        <v>0</v>
      </c>
      <c r="CF187" s="605">
        <f t="shared" si="290"/>
        <v>0</v>
      </c>
      <c r="CG187" s="605">
        <f t="shared" si="290"/>
        <v>0</v>
      </c>
      <c r="CH187" s="605">
        <f t="shared" si="290"/>
        <v>0</v>
      </c>
      <c r="CI187" s="605">
        <f t="shared" si="290"/>
        <v>0</v>
      </c>
      <c r="CJ187" s="605">
        <f t="shared" si="290"/>
        <v>0</v>
      </c>
      <c r="CK187" s="605">
        <f t="shared" si="290"/>
        <v>0</v>
      </c>
      <c r="CL187" s="605">
        <f t="shared" si="290"/>
        <v>0</v>
      </c>
      <c r="CM187" s="605">
        <f t="shared" si="290"/>
        <v>0</v>
      </c>
      <c r="CN187" s="605">
        <f t="shared" si="290"/>
        <v>0</v>
      </c>
      <c r="CO187" s="605">
        <f t="shared" si="290"/>
        <v>0</v>
      </c>
      <c r="CP187" s="605">
        <f t="shared" si="290"/>
        <v>0</v>
      </c>
      <c r="CQ187" s="605">
        <f t="shared" si="290"/>
        <v>0</v>
      </c>
      <c r="CR187" s="605">
        <f t="shared" si="290"/>
        <v>0</v>
      </c>
      <c r="CS187" s="605">
        <f t="shared" si="290"/>
        <v>0</v>
      </c>
      <c r="CT187" s="605">
        <f t="shared" si="290"/>
        <v>0</v>
      </c>
      <c r="CU187" s="605">
        <f t="shared" si="290"/>
        <v>0</v>
      </c>
      <c r="CV187" s="605">
        <f t="shared" si="290"/>
        <v>0</v>
      </c>
      <c r="CW187" s="605">
        <f t="shared" si="290"/>
        <v>0</v>
      </c>
      <c r="CX187" s="605">
        <f t="shared" si="290"/>
        <v>0</v>
      </c>
      <c r="CY187" s="605">
        <f t="shared" si="290"/>
        <v>0</v>
      </c>
      <c r="CZ187" s="605" t="n">
        <f t="shared" ref="CZ187:DV187" si="291">CX$186</f>
        <v>0</v>
      </c>
      <c r="DA187" s="605">
        <f t="shared" si="291"/>
        <v>0</v>
      </c>
      <c r="DB187" s="605">
        <f t="shared" si="291"/>
        <v>0</v>
      </c>
      <c r="DC187" s="605">
        <f t="shared" si="291"/>
        <v>0</v>
      </c>
      <c r="DD187" s="605">
        <f t="shared" si="291"/>
        <v>0</v>
      </c>
      <c r="DE187" s="605">
        <f t="shared" si="291"/>
        <v>0</v>
      </c>
      <c r="DF187" s="605">
        <f t="shared" si="291"/>
        <v>0</v>
      </c>
      <c r="DG187" s="605">
        <f t="shared" si="291"/>
        <v>0</v>
      </c>
      <c r="DH187" s="605">
        <f t="shared" si="291"/>
        <v>0</v>
      </c>
      <c r="DI187" s="605">
        <f t="shared" si="291"/>
        <v>0</v>
      </c>
      <c r="DJ187" s="605">
        <f t="shared" si="291"/>
        <v>0</v>
      </c>
      <c r="DK187" s="605">
        <f t="shared" si="291"/>
        <v>0</v>
      </c>
      <c r="DL187" s="605">
        <f t="shared" si="291"/>
        <v>0</v>
      </c>
      <c r="DM187" s="605">
        <f t="shared" si="291"/>
        <v>0</v>
      </c>
      <c r="DN187" s="605">
        <f t="shared" si="291"/>
        <v>0</v>
      </c>
      <c r="DO187" s="605">
        <f t="shared" si="291"/>
        <v>0</v>
      </c>
      <c r="DP187" s="605">
        <f t="shared" si="291"/>
        <v>0</v>
      </c>
      <c r="DQ187" s="605">
        <f t="shared" si="291"/>
        <v>0</v>
      </c>
      <c r="DR187" s="605">
        <f t="shared" si="291"/>
        <v>0</v>
      </c>
      <c r="DS187" s="605">
        <f t="shared" si="291"/>
        <v>0</v>
      </c>
      <c r="DT187" s="605">
        <f t="shared" si="291"/>
        <v>0</v>
      </c>
      <c r="DU187" s="605">
        <f t="shared" si="291"/>
        <v>0</v>
      </c>
      <c r="DV187" s="605">
        <f t="shared" si="291"/>
        <v>0</v>
      </c>
    </row>
    <row r="188" ht="15" customHeight="1">
      <c r="A188" s="310" t="s">
        <v>1637</v>
      </c>
      <c r="B188" s="317" t="s">
        <v>1321</v>
      </c>
      <c r="C188" s="317" t="s">
        <v>1638</v>
      </c>
      <c r="D188" s="317"/>
      <c r="E188" s="317"/>
      <c r="F188" s="604" t="n">
        <f t="shared" ref="F188:AK188" si="292">F$186-F$187</f>
        <v>0</v>
      </c>
      <c r="G188" s="605">
        <f t="shared" si="292"/>
        <v>0</v>
      </c>
      <c r="H188" s="605">
        <f t="shared" si="292"/>
        <v>-6949158.0265457649</v>
      </c>
      <c r="I188" s="605">
        <f t="shared" si="292"/>
        <v>44612.052331993669</v>
      </c>
      <c r="J188" s="606">
        <f t="shared" si="292"/>
        <v>73917.592887241335</v>
      </c>
      <c r="K188" s="604">
        <f t="shared" si="292"/>
        <v>100597.62539995814</v>
      </c>
      <c r="L188" s="604">
        <f t="shared" si="292"/>
        <v>132711.21484693734</v>
      </c>
      <c r="M188" s="604">
        <f t="shared" si="292"/>
        <v>169571.1312664299</v>
      </c>
      <c r="N188" s="604">
        <f t="shared" si="292"/>
        <v>209638.92700129549</v>
      </c>
      <c r="O188" s="604">
        <f t="shared" si="292"/>
        <v>250432.28312832338</v>
      </c>
      <c r="P188" s="605">
        <f t="shared" si="292"/>
        <v>288567.01646288962</v>
      </c>
      <c r="Q188" s="605">
        <f t="shared" si="292"/>
        <v>319971.35631248157</v>
      </c>
      <c r="R188" s="605">
        <f t="shared" si="292"/>
        <v>340282.33397308772</v>
      </c>
      <c r="S188" s="605">
        <f t="shared" si="292"/>
        <v>345395.27257881197</v>
      </c>
      <c r="T188" s="605">
        <f t="shared" si="292"/>
        <v>332095.22752505611</v>
      </c>
      <c r="U188" s="605">
        <f t="shared" si="292"/>
        <v>298664.76362304669</v>
      </c>
      <c r="V188" s="605">
        <f t="shared" si="292"/>
        <v>245346.92688102555</v>
      </c>
      <c r="W188" s="605">
        <f t="shared" si="292"/>
        <v>174553.61273367936</v>
      </c>
      <c r="X188" s="605">
        <f t="shared" si="292"/>
        <v>90749.137075921288</v>
      </c>
      <c r="Y188" s="605">
        <f t="shared" si="292"/>
        <v>0</v>
      </c>
      <c r="Z188" s="605">
        <f t="shared" si="292"/>
        <v>-90749.137075924315</v>
      </c>
      <c r="AA188" s="605">
        <f t="shared" si="292"/>
        <v>-174553.61273367773</v>
      </c>
      <c r="AB188" s="605">
        <f t="shared" si="292"/>
        <v>-245346.92688102461</v>
      </c>
      <c r="AC188" s="605">
        <f t="shared" si="292"/>
        <v>-298664.76362304972</v>
      </c>
      <c r="AD188" s="605">
        <f t="shared" si="292"/>
        <v>-332095.22752505192</v>
      </c>
      <c r="AE188" s="605">
        <f t="shared" si="292"/>
        <v>-345395.27257881418</v>
      </c>
      <c r="AF188" s="605">
        <f t="shared" si="292"/>
        <v>-340282.33397308982</v>
      </c>
      <c r="AG188" s="605">
        <f t="shared" si="292"/>
        <v>-319971.35631247738</v>
      </c>
      <c r="AH188" s="605">
        <f t="shared" si="292"/>
        <v>-288567.01646289101</v>
      </c>
      <c r="AI188" s="605">
        <f t="shared" si="292"/>
        <v>-250432.2831283253</v>
      </c>
      <c r="AJ188" s="605">
        <f t="shared" si="292"/>
        <v>-209638.92700129299</v>
      </c>
      <c r="AK188" s="605">
        <f t="shared" si="292"/>
        <v>-169571.13126643118</v>
      </c>
      <c r="AL188" s="605" t="n">
        <f t="shared" ref="AL188:BQ188" si="293">AL$186-AL$187</f>
        <v>-132711.21484693795</v>
      </c>
      <c r="AM188" s="605">
        <f t="shared" si="293"/>
        <v>-100597.62539995846</v>
      </c>
      <c r="AN188" s="605">
        <f t="shared" si="293"/>
        <v>-73917.59288724004</v>
      </c>
      <c r="AO188" s="605">
        <f t="shared" si="293"/>
        <v>-44612.052331992141</v>
      </c>
      <c r="AP188" s="605">
        <f t="shared" si="293"/>
        <v>-13625.405868174492</v>
      </c>
      <c r="AQ188" s="605">
        <f t="shared" si="293"/>
        <v>0</v>
      </c>
      <c r="AR188" s="605">
        <f t="shared" si="293"/>
        <v>0</v>
      </c>
      <c r="AS188" s="605">
        <f t="shared" si="293"/>
        <v>0</v>
      </c>
      <c r="AT188" s="605">
        <f t="shared" si="293"/>
        <v>0</v>
      </c>
      <c r="AU188" s="605">
        <f t="shared" si="293"/>
        <v>0</v>
      </c>
      <c r="AV188" s="605">
        <f t="shared" si="293"/>
        <v>0</v>
      </c>
      <c r="AW188" s="605">
        <f t="shared" si="293"/>
        <v>0</v>
      </c>
      <c r="AX188" s="605">
        <f t="shared" si="293"/>
        <v>0</v>
      </c>
      <c r="AY188" s="605">
        <f t="shared" si="293"/>
        <v>0</v>
      </c>
      <c r="AZ188" s="605">
        <f t="shared" si="293"/>
        <v>0</v>
      </c>
      <c r="BA188" s="605">
        <f t="shared" si="293"/>
        <v>0</v>
      </c>
      <c r="BB188" s="605">
        <f t="shared" si="293"/>
        <v>0</v>
      </c>
      <c r="BC188" s="605">
        <f t="shared" si="293"/>
        <v>0</v>
      </c>
      <c r="BD188" s="605">
        <f t="shared" si="293"/>
        <v>0</v>
      </c>
      <c r="BE188" s="605">
        <f t="shared" si="293"/>
        <v>0</v>
      </c>
      <c r="BF188" s="605">
        <f t="shared" si="293"/>
        <v>0</v>
      </c>
      <c r="BG188" s="605">
        <f t="shared" si="293"/>
        <v>0</v>
      </c>
      <c r="BH188" s="605">
        <f t="shared" si="293"/>
        <v>0</v>
      </c>
      <c r="BI188" s="605">
        <f t="shared" si="293"/>
        <v>0</v>
      </c>
      <c r="BJ188" s="605">
        <f t="shared" si="293"/>
        <v>0</v>
      </c>
      <c r="BK188" s="605">
        <f t="shared" si="293"/>
        <v>0</v>
      </c>
      <c r="BL188" s="605">
        <f t="shared" si="293"/>
        <v>0</v>
      </c>
      <c r="BM188" s="605">
        <f t="shared" si="293"/>
        <v>0</v>
      </c>
      <c r="BN188" s="605">
        <f t="shared" si="293"/>
        <v>0</v>
      </c>
      <c r="BO188" s="605">
        <f t="shared" si="293"/>
        <v>0</v>
      </c>
      <c r="BP188" s="605">
        <f t="shared" si="293"/>
        <v>0</v>
      </c>
      <c r="BQ188" s="605">
        <f t="shared" si="293"/>
        <v>0</v>
      </c>
      <c r="BR188" s="605" t="n">
        <f t="shared" ref="BR188:CW188" si="294">BR$186-BR$187</f>
        <v>0</v>
      </c>
      <c r="BS188" s="605">
        <f t="shared" si="294"/>
        <v>0</v>
      </c>
      <c r="BT188" s="605">
        <f t="shared" si="294"/>
        <v>0</v>
      </c>
      <c r="BU188" s="605">
        <f t="shared" si="294"/>
        <v>0</v>
      </c>
      <c r="BV188" s="605">
        <f t="shared" si="294"/>
        <v>0</v>
      </c>
      <c r="BW188" s="605">
        <f t="shared" si="294"/>
        <v>0</v>
      </c>
      <c r="BX188" s="605">
        <f t="shared" si="294"/>
        <v>0</v>
      </c>
      <c r="BY188" s="605">
        <f t="shared" si="294"/>
        <v>0</v>
      </c>
      <c r="BZ188" s="605">
        <f t="shared" si="294"/>
        <v>0</v>
      </c>
      <c r="CA188" s="605">
        <f t="shared" si="294"/>
        <v>0</v>
      </c>
      <c r="CB188" s="605">
        <f t="shared" si="294"/>
        <v>0</v>
      </c>
      <c r="CC188" s="605">
        <f t="shared" si="294"/>
        <v>0</v>
      </c>
      <c r="CD188" s="605">
        <f t="shared" si="294"/>
        <v>0</v>
      </c>
      <c r="CE188" s="605">
        <f t="shared" si="294"/>
        <v>0</v>
      </c>
      <c r="CF188" s="605">
        <f t="shared" si="294"/>
        <v>0</v>
      </c>
      <c r="CG188" s="605">
        <f t="shared" si="294"/>
        <v>0</v>
      </c>
      <c r="CH188" s="605">
        <f t="shared" si="294"/>
        <v>0</v>
      </c>
      <c r="CI188" s="605">
        <f t="shared" si="294"/>
        <v>0</v>
      </c>
      <c r="CJ188" s="605">
        <f t="shared" si="294"/>
        <v>0</v>
      </c>
      <c r="CK188" s="605">
        <f t="shared" si="294"/>
        <v>0</v>
      </c>
      <c r="CL188" s="605">
        <f t="shared" si="294"/>
        <v>0</v>
      </c>
      <c r="CM188" s="605">
        <f t="shared" si="294"/>
        <v>0</v>
      </c>
      <c r="CN188" s="605">
        <f t="shared" si="294"/>
        <v>0</v>
      </c>
      <c r="CO188" s="605">
        <f t="shared" si="294"/>
        <v>0</v>
      </c>
      <c r="CP188" s="605">
        <f t="shared" si="294"/>
        <v>0</v>
      </c>
      <c r="CQ188" s="605">
        <f t="shared" si="294"/>
        <v>0</v>
      </c>
      <c r="CR188" s="605">
        <f t="shared" si="294"/>
        <v>0</v>
      </c>
      <c r="CS188" s="605">
        <f t="shared" si="294"/>
        <v>0</v>
      </c>
      <c r="CT188" s="605">
        <f t="shared" si="294"/>
        <v>0</v>
      </c>
      <c r="CU188" s="605">
        <f t="shared" si="294"/>
        <v>0</v>
      </c>
      <c r="CV188" s="605">
        <f t="shared" si="294"/>
        <v>0</v>
      </c>
      <c r="CW188" s="605">
        <f t="shared" si="294"/>
        <v>0</v>
      </c>
      <c r="CX188" s="605" t="n">
        <f t="shared" ref="CX188:DV188" si="295">CX$186-CX$187</f>
        <v>0</v>
      </c>
      <c r="CY188" s="605">
        <f t="shared" si="295"/>
        <v>0</v>
      </c>
      <c r="CZ188" s="605">
        <f t="shared" si="295"/>
        <v>0</v>
      </c>
      <c r="DA188" s="605">
        <f t="shared" si="295"/>
        <v>0</v>
      </c>
      <c r="DB188" s="605">
        <f t="shared" si="295"/>
        <v>0</v>
      </c>
      <c r="DC188" s="605">
        <f t="shared" si="295"/>
        <v>0</v>
      </c>
      <c r="DD188" s="605">
        <f t="shared" si="295"/>
        <v>0</v>
      </c>
      <c r="DE188" s="605">
        <f t="shared" si="295"/>
        <v>0</v>
      </c>
      <c r="DF188" s="605">
        <f t="shared" si="295"/>
        <v>0</v>
      </c>
      <c r="DG188" s="605">
        <f t="shared" si="295"/>
        <v>0</v>
      </c>
      <c r="DH188" s="605">
        <f t="shared" si="295"/>
        <v>0</v>
      </c>
      <c r="DI188" s="605">
        <f t="shared" si="295"/>
        <v>0</v>
      </c>
      <c r="DJ188" s="605">
        <f t="shared" si="295"/>
        <v>0</v>
      </c>
      <c r="DK188" s="605">
        <f t="shared" si="295"/>
        <v>0</v>
      </c>
      <c r="DL188" s="605">
        <f t="shared" si="295"/>
        <v>0</v>
      </c>
      <c r="DM188" s="605">
        <f t="shared" si="295"/>
        <v>0</v>
      </c>
      <c r="DN188" s="605">
        <f t="shared" si="295"/>
        <v>0</v>
      </c>
      <c r="DO188" s="605">
        <f t="shared" si="295"/>
        <v>0</v>
      </c>
      <c r="DP188" s="605">
        <f t="shared" si="295"/>
        <v>0</v>
      </c>
      <c r="DQ188" s="605">
        <f t="shared" si="295"/>
        <v>0</v>
      </c>
      <c r="DR188" s="605">
        <f t="shared" si="295"/>
        <v>0</v>
      </c>
      <c r="DS188" s="605">
        <f t="shared" si="295"/>
        <v>0</v>
      </c>
      <c r="DT188" s="605">
        <f t="shared" si="295"/>
        <v>0</v>
      </c>
      <c r="DU188" s="605">
        <f t="shared" si="295"/>
        <v>0</v>
      </c>
      <c r="DV188" s="605">
        <f t="shared" si="295"/>
        <v>0</v>
      </c>
    </row>
    <row r="189" ht="15" customHeight="1">
      <c r="A189" s="310" t="s">
        <v>1639</v>
      </c>
      <c r="B189" s="317" t="s">
        <v>1321</v>
      </c>
      <c r="C189" s="317" t="s">
        <v>1640</v>
      </c>
      <c r="D189" s="317"/>
      <c r="E189" s="317">
        <v>0</v>
      </c>
      <c r="F189" s="604" t="n">
        <f>0</f>
        <v>0</v>
      </c>
      <c r="G189" s="605" t="n">
        <f t="shared" ref="G189:AL189" si="296">F$192</f>
        <v>0</v>
      </c>
      <c r="H189" s="605">
        <f t="shared" si="296"/>
        <v>546.86800519294479</v>
      </c>
      <c r="I189" s="605">
        <f t="shared" si="296"/>
        <v>1094.048870474724</v>
      </c>
      <c r="J189" s="606">
        <f t="shared" si="296"/>
        <v>1626.5020351359494</v>
      </c>
      <c r="K189" s="604">
        <f t="shared" si="296"/>
        <v>2179.6430718433044</v>
      </c>
      <c r="L189" s="604">
        <f t="shared" si="296"/>
        <v>2717.8959863474579</v>
      </c>
      <c r="M189" s="604">
        <f t="shared" si="296"/>
        <v>117615.95175159514</v>
      </c>
      <c r="N189" s="604">
        <f t="shared" si="296"/>
        <v>0</v>
      </c>
      <c r="O189" s="604">
        <f t="shared" si="296"/>
        <v>0</v>
      </c>
      <c r="P189" s="605">
        <f t="shared" si="296"/>
        <v>0</v>
      </c>
      <c r="Q189" s="605">
        <f t="shared" si="296"/>
        <v>0</v>
      </c>
      <c r="R189" s="605">
        <f t="shared" si="296"/>
        <v>0</v>
      </c>
      <c r="S189" s="605">
        <f t="shared" si="296"/>
        <v>0</v>
      </c>
      <c r="T189" s="605">
        <f t="shared" si="296"/>
        <v>0</v>
      </c>
      <c r="U189" s="605">
        <f t="shared" si="296"/>
        <v>0</v>
      </c>
      <c r="V189" s="605">
        <f t="shared" si="296"/>
        <v>0</v>
      </c>
      <c r="W189" s="605">
        <f t="shared" si="296"/>
        <v>0</v>
      </c>
      <c r="X189" s="605">
        <f t="shared" si="296"/>
        <v>0</v>
      </c>
      <c r="Y189" s="605">
        <f t="shared" si="296"/>
        <v>0</v>
      </c>
      <c r="Z189" s="605">
        <f t="shared" si="296"/>
        <v>0</v>
      </c>
      <c r="AA189" s="605">
        <f t="shared" si="296"/>
        <v>0</v>
      </c>
      <c r="AB189" s="605">
        <f t="shared" si="296"/>
        <v>0</v>
      </c>
      <c r="AC189" s="605">
        <f t="shared" si="296"/>
        <v>0</v>
      </c>
      <c r="AD189" s="605">
        <f t="shared" si="296"/>
        <v>0</v>
      </c>
      <c r="AE189" s="605">
        <f t="shared" si="296"/>
        <v>0</v>
      </c>
      <c r="AF189" s="605">
        <f t="shared" si="296"/>
        <v>0</v>
      </c>
      <c r="AG189" s="605">
        <f t="shared" si="296"/>
        <v>0</v>
      </c>
      <c r="AH189" s="605">
        <f t="shared" si="296"/>
        <v>0</v>
      </c>
      <c r="AI189" s="605">
        <f t="shared" si="296"/>
        <v>0</v>
      </c>
      <c r="AJ189" s="605">
        <f t="shared" si="296"/>
        <v>0</v>
      </c>
      <c r="AK189" s="605">
        <f t="shared" si="296"/>
        <v>0</v>
      </c>
      <c r="AL189" s="605">
        <f t="shared" si="296"/>
        <v>0</v>
      </c>
      <c r="AM189" s="605" t="n">
        <f t="shared" ref="AM189:BR189" si="297">AL$192</f>
        <v>0</v>
      </c>
      <c r="AN189" s="605">
        <f t="shared" si="297"/>
        <v>0</v>
      </c>
      <c r="AO189" s="605">
        <f t="shared" si="297"/>
        <v>0</v>
      </c>
      <c r="AP189" s="605">
        <f t="shared" si="297"/>
        <v>0</v>
      </c>
      <c r="AQ189" s="605">
        <f t="shared" si="297"/>
        <v>0</v>
      </c>
      <c r="AR189" s="605">
        <f t="shared" si="297"/>
        <v>0</v>
      </c>
      <c r="AS189" s="605">
        <f t="shared" si="297"/>
        <v>0</v>
      </c>
      <c r="AT189" s="605">
        <f t="shared" si="297"/>
        <v>0</v>
      </c>
      <c r="AU189" s="605">
        <f t="shared" si="297"/>
        <v>0</v>
      </c>
      <c r="AV189" s="605">
        <f t="shared" si="297"/>
        <v>0</v>
      </c>
      <c r="AW189" s="605">
        <f t="shared" si="297"/>
        <v>0</v>
      </c>
      <c r="AX189" s="605">
        <f t="shared" si="297"/>
        <v>0</v>
      </c>
      <c r="AY189" s="605">
        <f t="shared" si="297"/>
        <v>0</v>
      </c>
      <c r="AZ189" s="605">
        <f t="shared" si="297"/>
        <v>0</v>
      </c>
      <c r="BA189" s="605">
        <f t="shared" si="297"/>
        <v>0</v>
      </c>
      <c r="BB189" s="605">
        <f t="shared" si="297"/>
        <v>0</v>
      </c>
      <c r="BC189" s="605">
        <f t="shared" si="297"/>
        <v>0</v>
      </c>
      <c r="BD189" s="605">
        <f t="shared" si="297"/>
        <v>0</v>
      </c>
      <c r="BE189" s="605">
        <f t="shared" si="297"/>
        <v>0</v>
      </c>
      <c r="BF189" s="605">
        <f t="shared" si="297"/>
        <v>0</v>
      </c>
      <c r="BG189" s="605">
        <f t="shared" si="297"/>
        <v>0</v>
      </c>
      <c r="BH189" s="605">
        <f t="shared" si="297"/>
        <v>0</v>
      </c>
      <c r="BI189" s="605">
        <f t="shared" si="297"/>
        <v>0</v>
      </c>
      <c r="BJ189" s="605">
        <f t="shared" si="297"/>
        <v>0</v>
      </c>
      <c r="BK189" s="605">
        <f t="shared" si="297"/>
        <v>0</v>
      </c>
      <c r="BL189" s="605">
        <f t="shared" si="297"/>
        <v>0</v>
      </c>
      <c r="BM189" s="605">
        <f t="shared" si="297"/>
        <v>0</v>
      </c>
      <c r="BN189" s="605">
        <f t="shared" si="297"/>
        <v>0</v>
      </c>
      <c r="BO189" s="605">
        <f t="shared" si="297"/>
        <v>0</v>
      </c>
      <c r="BP189" s="605">
        <f t="shared" si="297"/>
        <v>0</v>
      </c>
      <c r="BQ189" s="605">
        <f t="shared" si="297"/>
        <v>0</v>
      </c>
      <c r="BR189" s="605">
        <f t="shared" si="297"/>
        <v>0</v>
      </c>
      <c r="BS189" s="605" t="n">
        <f t="shared" ref="BS189:CX189" si="298">BR$192</f>
        <v>0</v>
      </c>
      <c r="BT189" s="605">
        <f t="shared" si="298"/>
        <v>0</v>
      </c>
      <c r="BU189" s="605">
        <f t="shared" si="298"/>
        <v>0</v>
      </c>
      <c r="BV189" s="605">
        <f t="shared" si="298"/>
        <v>0</v>
      </c>
      <c r="BW189" s="605">
        <f t="shared" si="298"/>
        <v>0</v>
      </c>
      <c r="BX189" s="605">
        <f t="shared" si="298"/>
        <v>0</v>
      </c>
      <c r="BY189" s="605">
        <f t="shared" si="298"/>
        <v>0</v>
      </c>
      <c r="BZ189" s="605">
        <f t="shared" si="298"/>
        <v>0</v>
      </c>
      <c r="CA189" s="605">
        <f t="shared" si="298"/>
        <v>0</v>
      </c>
      <c r="CB189" s="605">
        <f t="shared" si="298"/>
        <v>0</v>
      </c>
      <c r="CC189" s="605">
        <f t="shared" si="298"/>
        <v>0</v>
      </c>
      <c r="CD189" s="605">
        <f t="shared" si="298"/>
        <v>0</v>
      </c>
      <c r="CE189" s="605">
        <f t="shared" si="298"/>
        <v>0</v>
      </c>
      <c r="CF189" s="605">
        <f t="shared" si="298"/>
        <v>0</v>
      </c>
      <c r="CG189" s="605">
        <f t="shared" si="298"/>
        <v>0</v>
      </c>
      <c r="CH189" s="605">
        <f t="shared" si="298"/>
        <v>0</v>
      </c>
      <c r="CI189" s="605">
        <f t="shared" si="298"/>
        <v>0</v>
      </c>
      <c r="CJ189" s="605">
        <f t="shared" si="298"/>
        <v>0</v>
      </c>
      <c r="CK189" s="605">
        <f t="shared" si="298"/>
        <v>0</v>
      </c>
      <c r="CL189" s="605">
        <f t="shared" si="298"/>
        <v>0</v>
      </c>
      <c r="CM189" s="605">
        <f t="shared" si="298"/>
        <v>0</v>
      </c>
      <c r="CN189" s="605">
        <f t="shared" si="298"/>
        <v>0</v>
      </c>
      <c r="CO189" s="605">
        <f t="shared" si="298"/>
        <v>0</v>
      </c>
      <c r="CP189" s="605">
        <f t="shared" si="298"/>
        <v>0</v>
      </c>
      <c r="CQ189" s="605">
        <f t="shared" si="298"/>
        <v>0</v>
      </c>
      <c r="CR189" s="605">
        <f t="shared" si="298"/>
        <v>0</v>
      </c>
      <c r="CS189" s="605">
        <f t="shared" si="298"/>
        <v>0</v>
      </c>
      <c r="CT189" s="605">
        <f t="shared" si="298"/>
        <v>0</v>
      </c>
      <c r="CU189" s="605">
        <f t="shared" si="298"/>
        <v>0</v>
      </c>
      <c r="CV189" s="605">
        <f t="shared" si="298"/>
        <v>0</v>
      </c>
      <c r="CW189" s="605">
        <f t="shared" si="298"/>
        <v>0</v>
      </c>
      <c r="CX189" s="605">
        <f t="shared" si="298"/>
        <v>0</v>
      </c>
      <c r="CY189" s="605" t="n">
        <f t="shared" ref="CY189:DV189" si="299">CX$192</f>
        <v>0</v>
      </c>
      <c r="CZ189" s="605">
        <f t="shared" si="299"/>
        <v>0</v>
      </c>
      <c r="DA189" s="605">
        <f t="shared" si="299"/>
        <v>0</v>
      </c>
      <c r="DB189" s="605">
        <f t="shared" si="299"/>
        <v>0</v>
      </c>
      <c r="DC189" s="605">
        <f t="shared" si="299"/>
        <v>0</v>
      </c>
      <c r="DD189" s="605">
        <f t="shared" si="299"/>
        <v>0</v>
      </c>
      <c r="DE189" s="605">
        <f t="shared" si="299"/>
        <v>0</v>
      </c>
      <c r="DF189" s="605">
        <f t="shared" si="299"/>
        <v>0</v>
      </c>
      <c r="DG189" s="605">
        <f t="shared" si="299"/>
        <v>0</v>
      </c>
      <c r="DH189" s="605">
        <f t="shared" si="299"/>
        <v>0</v>
      </c>
      <c r="DI189" s="605">
        <f t="shared" si="299"/>
        <v>0</v>
      </c>
      <c r="DJ189" s="605">
        <f t="shared" si="299"/>
        <v>0</v>
      </c>
      <c r="DK189" s="605">
        <f t="shared" si="299"/>
        <v>0</v>
      </c>
      <c r="DL189" s="605">
        <f t="shared" si="299"/>
        <v>0</v>
      </c>
      <c r="DM189" s="605">
        <f t="shared" si="299"/>
        <v>0</v>
      </c>
      <c r="DN189" s="605">
        <f t="shared" si="299"/>
        <v>0</v>
      </c>
      <c r="DO189" s="605">
        <f t="shared" si="299"/>
        <v>0</v>
      </c>
      <c r="DP189" s="605">
        <f t="shared" si="299"/>
        <v>0</v>
      </c>
      <c r="DQ189" s="605">
        <f t="shared" si="299"/>
        <v>0</v>
      </c>
      <c r="DR189" s="605">
        <f t="shared" si="299"/>
        <v>0</v>
      </c>
      <c r="DS189" s="605">
        <f t="shared" si="299"/>
        <v>0</v>
      </c>
      <c r="DT189" s="605">
        <f t="shared" si="299"/>
        <v>0</v>
      </c>
      <c r="DU189" s="605">
        <f t="shared" si="299"/>
        <v>0</v>
      </c>
      <c r="DV189" s="605">
        <f t="shared" si="299"/>
        <v>0</v>
      </c>
    </row>
    <row r="190" ht="15" customHeight="1">
      <c r="A190" s="310" t="s">
        <v>1641</v>
      </c>
      <c r="B190" s="317" t="s">
        <v>1321</v>
      </c>
      <c r="C190" s="317" t="s">
        <v>1642</v>
      </c>
      <c r="D190" s="317"/>
      <c r="E190" s="317">
        <v>0</v>
      </c>
      <c r="F190" s="604" t="n">
        <f>F$139-F$140-F$142-F$84-F$108-F$123-IF(F$64&gt;=PROJECTS!$AP$180,Underwriting!$I$49*PROJECTS!$AP$195/12,0)</f>
        <v>2042.483660130719</v>
      </c>
      <c r="G190" s="605" t="n">
        <f>G$139-G$140-G$142-G$84-G$108-G$123-IF(G$64&gt;=PROJECTS!$AP$180,Underwriting!$I$49*PROJECTS!$AP$195/12,0)</f>
        <v>-546.8680051929448</v>
      </c>
      <c r="H190" s="605" t="n">
        <f>H$139-H$140-H$142-H$84-H$108-H$123-IF(H$64&gt;=PROJECTS!$AP$180,Underwriting!$I$49*PROJECTS!$AP$195/12,0)</f>
        <v>-547.1808652817792</v>
      </c>
      <c r="I190" s="605" t="n">
        <f>I$139-I$140-I$142-I$84-I$108-I$123-IF(I$64&gt;=PROJECTS!$AP$180,Underwriting!$I$49*PROJECTS!$AP$195/12,0)</f>
        <v>-532.4531646612254</v>
      </c>
      <c r="J190" s="606" t="n">
        <f>J$139-J$140-J$142-J$84-J$108-J$123-IF(J$64&gt;=PROJECTS!$AP$180,Underwriting!$I$49*PROJECTS!$AP$195/12,0)</f>
        <v>-553.141036707355</v>
      </c>
      <c r="K190" s="604" t="n">
        <f>K$139-K$140-K$142-K$84-K$108-K$123-IF(K$64&gt;=PROJECTS!$AP$180,Underwriting!$I$49*PROJECTS!$AP$195/12,0)</f>
        <v>-538.2529145041535</v>
      </c>
      <c r="L190" s="604" t="n">
        <f>L$139-L$140-L$142-L$84-L$108-L$123-IF(L$64&gt;=PROJECTS!$AP$180,Underwriting!$I$49*PROJECTS!$AP$195/12,0)</f>
        <v>-114898.05576524769</v>
      </c>
      <c r="M190" s="604" t="n">
        <f>M$139-M$140-M$142-M$84-M$108-M$123-IF(M$64&gt;=PROJECTS!$AP$180,Underwriting!$I$49*PROJECTS!$AP$195/12,0)</f>
        <v>584613.5859873437</v>
      </c>
      <c r="N190" s="604" t="n">
        <f>N$139-N$140-N$142-N$84-N$108-N$123-IF(N$64&gt;=PROJECTS!$AP$180,Underwriting!$I$49*PROJECTS!$AP$195/12,0)</f>
        <v>585807.0523423487</v>
      </c>
      <c r="O190" s="604" t="n">
        <f>O$139-O$140-O$142-O$84-O$108-O$123-IF(O$64&gt;=PROJECTS!$AP$180,Underwriting!$I$49*PROJECTS!$AP$195/12,0)</f>
        <v>585807.0523423487</v>
      </c>
      <c r="P190" s="605" t="n">
        <f>P$139-P$140-P$142-P$84-P$108-P$123-IF(P$64&gt;=PROJECTS!$AP$180,Underwriting!$I$49*PROJECTS!$AP$195/12,0)</f>
        <v>585807.0523423487</v>
      </c>
      <c r="Q190" s="605" t="n">
        <f>Q$139-Q$140-Q$142-Q$84-Q$108-Q$123-IF(Q$64&gt;=PROJECTS!$AP$180,Underwriting!$I$49*PROJECTS!$AP$195/12,0)</f>
        <v>585807.0523423487</v>
      </c>
      <c r="R190" s="605" t="n">
        <f>R$139-R$140-R$142-R$84-R$108-R$123-IF(R$64&gt;=PROJECTS!$AP$180,Underwriting!$I$49*PROJECTS!$AP$195/12,0)</f>
        <v>585807.0523423487</v>
      </c>
      <c r="S190" s="605" t="n">
        <f>S$139-S$140-S$142-S$84-S$108-S$123-IF(S$64&gt;=PROJECTS!$AP$180,Underwriting!$I$49*PROJECTS!$AP$195/12,0)</f>
        <v>585807.0523423487</v>
      </c>
      <c r="T190" s="605" t="n">
        <f>T$139-T$140-T$142-T$84-T$108-T$123-IF(T$64&gt;=PROJECTS!$AP$180,Underwriting!$I$49*PROJECTS!$AP$195/12,0)</f>
        <v>585807.0523423487</v>
      </c>
      <c r="U190" s="605" t="n">
        <f>U$139-U$140-U$142-U$84-U$108-U$123-IF(U$64&gt;=PROJECTS!$AP$180,Underwriting!$I$49*PROJECTS!$AP$195/12,0)</f>
        <v>585807.0523423487</v>
      </c>
      <c r="V190" s="605" t="n">
        <f>V$139-V$140-V$142-V$84-V$108-V$123-IF(V$64&gt;=PROJECTS!$AP$180,Underwriting!$I$49*PROJECTS!$AP$195/12,0)</f>
        <v>585807.0523423487</v>
      </c>
      <c r="W190" s="605" t="n">
        <f>W$139-W$140-W$142-W$84-W$108-W$123-IF(W$64&gt;=PROJECTS!$AP$180,Underwriting!$I$49*PROJECTS!$AP$195/12,0)</f>
        <v>585807.0523423487</v>
      </c>
      <c r="X190" s="605" t="n">
        <f>X$139-X$140-X$142-X$84-X$108-X$123-IF(X$64&gt;=PROJECTS!$AP$180,Underwriting!$I$49*PROJECTS!$AP$195/12,0)</f>
        <v>437542.1907916869</v>
      </c>
      <c r="Y190" s="605" t="n">
        <f>Y$139-Y$140-Y$142-Y$84-Y$108-Y$123-IF(Y$64&gt;=PROJECTS!$AP$180,Underwriting!$I$49*PROJECTS!$AP$195/12,0)</f>
        <v>3392805.2241258174</v>
      </c>
      <c r="Z190" s="605" t="n">
        <f>Z$139-Z$140-Z$142-Z$84-Z$108-Z$123-IF(Z$64&gt;=PROJECTS!$AP$180,Underwriting!$I$49*PROJECTS!$AP$195/12,0)</f>
        <v>3310079.458514363</v>
      </c>
      <c r="AA190" s="605" t="n">
        <f>AA$139-AA$140-AA$142-AA$84-AA$108-AA$123-IF(AA$64&gt;=PROJECTS!$AP$180,Underwriting!$I$49*PROJECTS!$AP$195/12,0)</f>
        <v>3165390.7442570347</v>
      </c>
      <c r="AB190" s="605" t="n">
        <f>AB$139-AB$140-AB$142-AB$84-AB$108-AB$123-IF(AB$64&gt;=PROJECTS!$AP$180,Underwriting!$I$49*PROJECTS!$AP$195/12,0)</f>
        <v>3876594.7703400156</v>
      </c>
      <c r="AC190" s="605" t="n">
        <f>AC$139-AC$140-AC$142-AC$84-AC$108-AC$123-IF(AC$64&gt;=PROJECTS!$AP$180,Underwriting!$I$49*PROJECTS!$AP$195/12,0)</f>
        <v>3761813.9337071734</v>
      </c>
      <c r="AD190" s="605" t="n">
        <f>AD$139-AD$140-AD$142-AD$84-AD$108-AD$123-IF(AD$64&gt;=PROJECTS!$AP$180,Underwriting!$I$49*PROJECTS!$AP$195/12,0)</f>
        <v>3712184.541916591</v>
      </c>
      <c r="AE190" s="605" t="n">
        <f>AE$139-AE$140-AE$142-AE$84-AE$108-AE$123-IF(AE$64&gt;=PROJECTS!$AP$180,Underwriting!$I$49*PROJECTS!$AP$195/12,0)</f>
        <v>3921306.7315330934</v>
      </c>
      <c r="AF190" s="605" t="n">
        <f>AF$139-AF$140-AF$142-AF$84-AF$108-AF$123-IF(AF$64&gt;=PROJECTS!$AP$180,Underwriting!$I$49*PROJECTS!$AP$195/12,0)</f>
        <v>3866154.0336679267</v>
      </c>
      <c r="AG190" s="605" t="n">
        <f>AG$139-AG$140-AG$142-AG$84-AG$108-AG$123-IF(AG$64&gt;=PROJECTS!$AP$180,Underwriting!$I$49*PROJECTS!$AP$195/12,0)</f>
        <v>3856815.9701707186</v>
      </c>
      <c r="AH190" s="605" t="n">
        <f>AH$139-AH$140-AH$142-AH$84-AH$108-AH$123-IF(AH$64&gt;=PROJECTS!$AP$180,Underwriting!$I$49*PROJECTS!$AP$195/12,0)</f>
        <v>3977533.544870333</v>
      </c>
      <c r="AI190" s="605" t="n">
        <f>AI$139-AI$140-AI$142-AI$84-AI$108-AI$123-IF(AI$64&gt;=PROJECTS!$AP$180,Underwriting!$I$49*PROJECTS!$AP$195/12,0)</f>
        <v>3995389.634818265</v>
      </c>
      <c r="AJ190" s="605" t="n">
        <f>AJ$139-AJ$140-AJ$142-AJ$84-AJ$108-AJ$123-IF(AJ$64&gt;=PROJECTS!$AP$180,Underwriting!$I$49*PROJECTS!$AP$195/12,0)</f>
        <v>3945786.0611319337</v>
      </c>
      <c r="AK190" s="605" t="n">
        <f>AK$139-AK$140-AK$142-AK$84-AK$108-AK$123-IF(AK$64&gt;=PROJECTS!$AP$180,Underwriting!$I$49*PROJECTS!$AP$195/12,0)</f>
        <v>4492260.020200566</v>
      </c>
      <c r="AL190" s="605" t="n">
        <f>AL$139-AL$140-AL$142-AL$84-AL$108-AL$123-IF(AL$64&gt;=PROJECTS!$AP$180,Underwriting!$I$49*PROJECTS!$AP$195/12,0)</f>
        <v>4600423.369391927</v>
      </c>
      <c r="AM190" s="605" t="n">
        <f>AM$139-AM$140-AM$142-AM$84-AM$108-AM$123-IF(AM$64&gt;=PROJECTS!$AP$180,Underwriting!$I$49*PROJECTS!$AP$195/12,0)</f>
        <v>4485752.395496271</v>
      </c>
      <c r="AN190" s="605" t="n">
        <f>AN$139-AN$140-AN$142-AN$84-AN$108-AN$123-IF(AN$64&gt;=PROJECTS!$AP$180,Underwriting!$I$49*PROJECTS!$AP$195/12,0)</f>
        <v>4647064.627846861</v>
      </c>
      <c r="AO190" s="605" t="n">
        <f>AO$139-AO$140-AO$142-AO$84-AO$108-AO$123-IF(AO$64&gt;=PROJECTS!$AP$180,Underwriting!$I$49*PROJECTS!$AP$195/12,0)</f>
        <v>4443648.278340711</v>
      </c>
      <c r="AP190" s="605" t="n">
        <f>AP$139-AP$140-AP$142-AP$84-AP$108-AP$123-IF(AP$64&gt;=PROJECTS!$AP$180,Underwriting!$I$49*PROJECTS!$AP$195/12,0)</f>
        <v>4376790.245393207</v>
      </c>
      <c r="AQ190" s="605" t="n">
        <f>AQ$139-AQ$140-AQ$142-AQ$84-AQ$108-AQ$123-IF(AQ$64&gt;=PROJECTS!$AP$180,Underwriting!$I$49*PROJECTS!$AP$195/12,0)</f>
        <v>3364764.070784707</v>
      </c>
      <c r="AR190" s="605" t="n">
        <f>AR$139-AR$140-AR$142-AR$84-AR$108-AR$123-IF(AR$64&gt;=PROJECTS!$AP$180,Underwriting!$I$49*PROJECTS!$AP$195/12,0)</f>
        <v>3364764.070784707</v>
      </c>
      <c r="AS190" s="605" t="n">
        <f>AS$139-AS$140-AS$142-AS$84-AS$108-AS$123-IF(AS$64&gt;=PROJECTS!$AP$180,Underwriting!$I$49*PROJECTS!$AP$195/12,0)</f>
        <v>3402048.364662428</v>
      </c>
      <c r="AT190" s="605" t="n">
        <f>AT$139-AT$140-AT$142-AT$84-AT$108-AT$123-IF(AT$64&gt;=PROJECTS!$AP$180,Underwriting!$I$49*PROJECTS!$AP$195/12,0)</f>
        <v>3371083.8468200504</v>
      </c>
      <c r="AU190" s="605" t="n">
        <f>AU$139-AU$140-AU$142-AU$84-AU$108-AU$123-IF(AU$64&gt;=PROJECTS!$AP$180,Underwriting!$I$49*PROJECTS!$AP$195/12,0)</f>
        <v>3408368.140697771</v>
      </c>
      <c r="AV190" s="605" t="n">
        <f>AV$139-AV$140-AV$142-AV$84-AV$108-AV$123-IF(AV$64&gt;=PROJECTS!$AP$180,Underwriting!$I$49*PROJECTS!$AP$195/12,0)</f>
        <v>3371083.8468200504</v>
      </c>
      <c r="AW190" s="605" t="n">
        <f>AW$139-AW$140-AW$142-AW$84-AW$108-AW$123-IF(AW$64&gt;=PROJECTS!$AP$180,Underwriting!$I$49*PROJECTS!$AP$195/12,0)</f>
        <v>3535205.8549025184</v>
      </c>
      <c r="AX190" s="605" t="n">
        <f>AX$139-AX$140-AX$142-AX$84-AX$108-AX$123-IF(AX$64&gt;=PROJECTS!$AP$180,Underwriting!$I$49*PROJECTS!$AP$195/12,0)</f>
        <v>3647058.736535681</v>
      </c>
      <c r="AY190" s="605" t="n">
        <f>AY$139-AY$140-AY$142-AY$84-AY$108-AY$123-IF(AY$64&gt;=PROJECTS!$AP$180,Underwriting!$I$49*PROJECTS!$AP$195/12,0)</f>
        <v>3535205.8549025184</v>
      </c>
      <c r="AZ190" s="605" t="n">
        <f>AZ$139-AZ$140-AZ$142-AZ$84-AZ$108-AZ$123-IF(AZ$64&gt;=PROJECTS!$AP$180,Underwriting!$I$49*PROJECTS!$AP$195/12,0)</f>
        <v>3601630.5654469063</v>
      </c>
      <c r="BA190" s="605" t="n">
        <f>BA$139-BA$140-BA$142-BA$84-BA$108-BA$123-IF(BA$64&gt;=PROJECTS!$AP$180,Underwriting!$I$49*PROJECTS!$AP$195/12,0)</f>
        <v>3564346.2715691854</v>
      </c>
      <c r="BB190" s="605" t="n">
        <f>BB$139-BB$140-BB$142-BB$84-BB$108-BB$123-IF(BB$64&gt;=PROJECTS!$AP$180,Underwriting!$I$49*PROJECTS!$AP$195/12,0)</f>
        <v>3601630.5654469063</v>
      </c>
      <c r="BC190" s="605" t="n">
        <f>BC$139-BC$140-BC$142-BC$84-BC$108-BC$123-IF(BC$64&gt;=PROJECTS!$AP$180,Underwriting!$I$49*PROJECTS!$AP$195/12,0)</f>
        <v>4142550.248426977</v>
      </c>
      <c r="BD190" s="605" t="n">
        <f>BD$139-BD$140-BD$142-BD$84-BD$108-BD$123-IF(BD$64&gt;=PROJECTS!$AP$180,Underwriting!$I$49*PROJECTS!$AP$195/12,0)</f>
        <v>3558864.627771259</v>
      </c>
      <c r="BE190" s="605" t="n">
        <f>BE$139-BE$140-BE$142-BE$84-BE$108-BE$123-IF(BE$64&gt;=PROJECTS!$AP$180,Underwriting!$I$49*PROJECTS!$AP$195/12,0)</f>
        <v>3605444.05562406</v>
      </c>
      <c r="BF190" s="605" t="n">
        <f>BF$139-BF$140-BF$142-BF$84-BF$108-BF$123-IF(BF$64&gt;=PROJECTS!$AP$180,Underwriting!$I$49*PROJECTS!$AP$195/12,0)</f>
        <v>3583703.217133939</v>
      </c>
      <c r="BG190" s="605" t="n">
        <f>BG$139-BG$140-BG$142-BG$84-BG$108-BG$123-IF(BG$64&gt;=PROJECTS!$AP$180,Underwriting!$I$49*PROJECTS!$AP$195/12,0)</f>
        <v>3629727.3223113916</v>
      </c>
      <c r="BH190" s="605" t="n">
        <f>BH$139-BH$140-BH$142-BH$84-BH$108-BH$123-IF(BH$64&gt;=PROJECTS!$AP$180,Underwriting!$I$49*PROJECTS!$AP$195/12,0)</f>
        <v>3602323.352222486</v>
      </c>
      <c r="BI190" s="605" t="n">
        <f>BI$139-BI$140-BI$142-BI$84-BI$108-BI$123-IF(BI$64&gt;=PROJECTS!$AP$180,Underwriting!$I$49*PROJECTS!$AP$195/12,0)</f>
        <v>3760172.2794224503</v>
      </c>
      <c r="BJ190" s="605" t="n">
        <f>BJ$139-BJ$140-BJ$142-BJ$84-BJ$108-BJ$123-IF(BJ$64&gt;=PROJECTS!$AP$180,Underwriting!$I$49*PROJECTS!$AP$195/12,0)</f>
        <v>3877234.844899826</v>
      </c>
      <c r="BK190" s="605" t="n">
        <f>BK$139-BK$140-BK$142-BK$84-BK$108-BK$123-IF(BK$64&gt;=PROJECTS!$AP$180,Underwriting!$I$49*PROJECTS!$AP$195/12,0)</f>
        <v>3779513.7550017987</v>
      </c>
      <c r="BL190" s="605" t="n">
        <f>BL$139-BL$140-BL$142-BL$84-BL$108-BL$123-IF(BL$64&gt;=PROJECTS!$AP$180,Underwriting!$I$49*PROJECTS!$AP$195/12,0)</f>
        <v>3854543.6885898947</v>
      </c>
      <c r="BM190" s="605" t="n">
        <f>BM$139-BM$140-BM$142-BM$84-BM$108-BM$123-IF(BM$64&gt;=PROJECTS!$AP$180,Underwriting!$I$49*PROJECTS!$AP$195/12,0)</f>
        <v>3829091.152621416</v>
      </c>
      <c r="BN190" s="605" t="n">
        <f>BN$139-BN$140-BN$142-BN$84-BN$108-BN$123-IF(BN$64&gt;=PROJECTS!$AP$180,Underwriting!$I$49*PROJECTS!$AP$195/12,0)</f>
        <v>3873427.1009219713</v>
      </c>
      <c r="BO190" s="605" t="n">
        <f>BO$139-BO$140-BO$142-BO$84-BO$108-BO$123-IF(BO$64&gt;=PROJECTS!$AP$180,Underwriting!$I$49*PROJECTS!$AP$195/12,0)</f>
        <v>3854976.226892145</v>
      </c>
      <c r="BP190" s="605" t="n">
        <f>BP$139-BP$140-BP$142-BP$84-BP$108-BP$123-IF(BP$64&gt;=PROJECTS!$AP$180,Underwriting!$I$49*PROJECTS!$AP$195/12,0)</f>
        <v>4912175.002759064</v>
      </c>
      <c r="BQ190" s="605" t="n">
        <f>BQ$139-BQ$140-BQ$142-BQ$84-BQ$108-BQ$123-IF(BQ$64&gt;=PROJECTS!$AP$180,Underwriting!$I$49*PROJECTS!$AP$195/12,0)</f>
        <v>4917566.392005206</v>
      </c>
      <c r="BR190" s="605" t="n">
        <f>BR$139-BR$140-BR$142-BR$84-BR$108-BR$123-IF(BR$64&gt;=PROJECTS!$AP$180,Underwriting!$I$49*PROJECTS!$AP$195/12,0)</f>
        <v>4924096.401067707</v>
      </c>
      <c r="BS190" s="605" t="n">
        <f>BS$139-BS$140-BS$142-BS$84-BS$108-BS$123-IF(BS$64&gt;=PROJECTS!$AP$180,Underwriting!$I$49*PROJECTS!$AP$195/12,0)</f>
        <v>4924096.401067707</v>
      </c>
      <c r="BT190" s="605" t="n">
        <f>BT$139-BT$140-BT$142-BT$84-BT$108-BT$123-IF(BT$64&gt;=PROJECTS!$AP$180,Underwriting!$I$49*PROJECTS!$AP$195/12,0)</f>
        <v>4924096.401067707</v>
      </c>
      <c r="BU190" s="605" t="n">
        <f>BU$139-BU$140-BU$142-BU$84-BU$108-BU$123-IF(BU$64&gt;=PROJECTS!$AP$180,Underwriting!$I$49*PROJECTS!$AP$195/12,0)</f>
        <v>5074678.876937052</v>
      </c>
      <c r="BV190" s="605" t="n">
        <f>BV$139-BV$140-BV$142-BV$84-BV$108-BV$123-IF(BV$64&gt;=PROJECTS!$AP$180,Underwriting!$I$49*PROJECTS!$AP$195/12,0)</f>
        <v>5074678.876937052</v>
      </c>
      <c r="BW190" s="605" t="n">
        <f>BW$139-BW$140-BW$142-BW$84-BW$108-BW$123-IF(BW$64&gt;=PROJECTS!$AP$180,Underwriting!$I$49*PROJECTS!$AP$195/12,0)</f>
        <v>5074678.876937052</v>
      </c>
      <c r="BX190" s="605" t="n">
        <f>BX$139-BX$140-BX$142-BX$84-BX$108-BX$123-IF(BX$64&gt;=PROJECTS!$AP$180,Underwriting!$I$49*PROJECTS!$AP$195/12,0)</f>
        <v>5105894.819780802</v>
      </c>
      <c r="BY190" s="605" t="n">
        <f>BY$139-BY$140-BY$142-BY$84-BY$108-BY$123-IF(BY$64&gt;=PROJECTS!$AP$180,Underwriting!$I$49*PROJECTS!$AP$195/12,0)</f>
        <v>5105894.819780802</v>
      </c>
      <c r="BZ190" s="605" t="n">
        <f>BZ$139-BZ$140-BZ$142-BZ$84-BZ$108-BZ$123-IF(BZ$64&gt;=PROJECTS!$AP$180,Underwriting!$I$49*PROJECTS!$AP$195/12,0)</f>
        <v>5105894.819780802</v>
      </c>
      <c r="CA190" s="605" t="n">
        <f>CA$139-CA$140-CA$142-CA$84-CA$108-CA$123-IF(CA$64&gt;=PROJECTS!$AP$180,Underwriting!$I$49*PROJECTS!$AP$195/12,0)</f>
        <v>5112458.734890807</v>
      </c>
      <c r="CB190" s="605" t="n">
        <f>CB$139-CB$140-CB$142-CB$84-CB$108-CB$123-IF(CB$64&gt;=PROJECTS!$AP$180,Underwriting!$I$49*PROJECTS!$AP$195/12,0)</f>
        <v>5112458.734890807</v>
      </c>
      <c r="CC190" s="605" t="n">
        <f>CC$139-CC$140-CC$142-CC$84-CC$108-CC$123-IF(CC$64&gt;=PROJECTS!$AP$180,Underwriting!$I$49*PROJECTS!$AP$195/12,0)</f>
        <v>5112458.734890807</v>
      </c>
      <c r="CD190" s="605" t="n">
        <f>CD$139-CD$140-CD$142-CD$84-CD$108-CD$123-IF(CD$64&gt;=PROJECTS!$AP$180,Underwriting!$I$49*PROJECTS!$AP$195/12,0)</f>
        <v>5119217.294270495</v>
      </c>
      <c r="CE190" s="605" t="n">
        <f>CE$139-CE$140-CE$142-CE$84-CE$108-CE$123-IF(CE$64&gt;=PROJECTS!$AP$180,Underwriting!$I$49*PROJECTS!$AP$195/12,0)</f>
        <v>5119217.294270495</v>
      </c>
      <c r="CF190" s="605" t="n">
        <f>CF$139-CF$140-CF$142-CF$84-CF$108-CF$123-IF(CF$64&gt;=PROJECTS!$AP$180,Underwriting!$I$49*PROJECTS!$AP$195/12,0)</f>
        <v>5119217.294270495</v>
      </c>
      <c r="CG190" s="605" t="n">
        <f>CG$139-CG$140-CG$142-CG$84-CG$108-CG$123-IF(CG$64&gt;=PROJECTS!$AP$180,Underwriting!$I$49*PROJECTS!$AP$195/12,0)</f>
        <v>5018860.803764435</v>
      </c>
      <c r="CH190" s="605" t="n">
        <f>CH$139-CH$140-CH$142-CH$84-CH$108-CH$123-IF(CH$64&gt;=PROJECTS!$AP$180,Underwriting!$I$49*PROJECTS!$AP$195/12,0)</f>
        <v>5018860.803764435</v>
      </c>
      <c r="CI190" s="605" t="n">
        <f>CI$139-CI$140-CI$142-CI$84-CI$108-CI$123-IF(CI$64&gt;=PROJECTS!$AP$180,Underwriting!$I$49*PROJECTS!$AP$195/12,0)</f>
        <v>5018860.803764435</v>
      </c>
      <c r="CJ190" s="605" t="n">
        <f>CJ$139-CJ$140-CJ$142-CJ$84-CJ$108-CJ$123-IF(CJ$64&gt;=PROJECTS!$AP$180,Underwriting!$I$49*PROJECTS!$AP$195/12,0)</f>
        <v>5051169.304607716</v>
      </c>
      <c r="CK190" s="605" t="n">
        <f>CK$139-CK$140-CK$142-CK$84-CK$108-CK$123-IF(CK$64&gt;=PROJECTS!$AP$180,Underwriting!$I$49*PROJECTS!$AP$195/12,0)</f>
        <v>5051169.304607716</v>
      </c>
      <c r="CL190" s="605" t="n">
        <f>CL$139-CL$140-CL$142-CL$84-CL$108-CL$123-IF(CL$64&gt;=PROJECTS!$AP$180,Underwriting!$I$49*PROJECTS!$AP$195/12,0)</f>
        <v>5051169.304607716</v>
      </c>
      <c r="CM190" s="605" t="n">
        <f>CM$139-CM$140-CM$142-CM$84-CM$108-CM$123-IF(CM$64&gt;=PROJECTS!$AP$180,Underwriting!$I$49*PROJECTS!$AP$195/12,0)</f>
        <v>5057990.614678201</v>
      </c>
      <c r="CN190" s="605" t="n">
        <f>CN$139-CN$140-CN$142-CN$84-CN$108-CN$123-IF(CN$64&gt;=PROJECTS!$AP$180,Underwriting!$I$49*PROJECTS!$AP$195/12,0)</f>
        <v>5057990.614678201</v>
      </c>
      <c r="CO190" s="605" t="n">
        <f>CO$139-CO$140-CO$142-CO$84-CO$108-CO$123-IF(CO$64&gt;=PROJECTS!$AP$180,Underwriting!$I$49*PROJECTS!$AP$195/12,0)</f>
        <v>5057990.614678201</v>
      </c>
      <c r="CP190" s="605" t="n">
        <f>CP$139-CP$140-CP$142-CP$84-CP$108-CP$123-IF(CP$64&gt;=PROJECTS!$AP$180,Underwriting!$I$49*PROJECTS!$AP$195/12,0)</f>
        <v>5064985.723636178</v>
      </c>
      <c r="CQ190" s="605" t="n">
        <f>CQ$139-CQ$140-CQ$142-CQ$84-CQ$108-CQ$123-IF(CQ$64&gt;=PROJECTS!$AP$180,Underwriting!$I$49*PROJECTS!$AP$195/12,0)</f>
        <v>5064985.723636178</v>
      </c>
      <c r="CR190" s="605" t="n">
        <f>CR$139-CR$140-CR$142-CR$84-CR$108-CR$123-IF(CR$64&gt;=PROJECTS!$AP$180,Underwriting!$I$49*PROJECTS!$AP$195/12,0)</f>
        <v>5064985.723636178</v>
      </c>
      <c r="CS190" s="605" t="n">
        <f>CS$139-CS$140-CS$142-CS$84-CS$108-CS$123-IF(CS$64&gt;=PROJECTS!$AP$180,Underwriting!$I$49*PROJECTS!$AP$195/12,0)</f>
        <v>5221574.625289063</v>
      </c>
      <c r="CT190" s="605" t="n">
        <f>CT$139-CT$140-CT$142-CT$84-CT$108-CT$123-IF(CT$64&gt;=PROJECTS!$AP$180,Underwriting!$I$49*PROJECTS!$AP$195/12,0)</f>
        <v>5221574.625289063</v>
      </c>
      <c r="CU190" s="605" t="n">
        <f>CU$139-CU$140-CU$142-CU$84-CU$108-CU$123-IF(CU$64&gt;=PROJECTS!$AP$180,Underwriting!$I$49*PROJECTS!$AP$195/12,0)</f>
        <v>5221574.625289063</v>
      </c>
      <c r="CV190" s="605" t="n">
        <f>CV$139-CV$140-CV$142-CV$84-CV$108-CV$123-IF(CV$64&gt;=PROJECTS!$AP$180,Underwriting!$I$49*PROJECTS!$AP$195/12,0)</f>
        <v>5255013.923661859</v>
      </c>
      <c r="CW190" s="605" t="n">
        <f>CW$139-CW$140-CW$142-CW$84-CW$108-CW$123-IF(CW$64&gt;=PROJECTS!$AP$180,Underwriting!$I$49*PROJECTS!$AP$195/12,0)</f>
        <v>5255013.923661859</v>
      </c>
      <c r="CX190" s="605" t="n">
        <f>CX$139-CX$140-CX$142-CX$84-CX$108-CX$123-IF(CX$64&gt;=PROJECTS!$AP$180,Underwriting!$I$49*PROJECTS!$AP$195/12,0)</f>
        <v>5255013.923661859</v>
      </c>
      <c r="CY190" s="605" t="n">
        <f>CY$139-CY$140-CY$142-CY$84-CY$108-CY$123-IF(CY$64&gt;=PROJECTS!$AP$180,Underwriting!$I$49*PROJECTS!$AP$195/12,0)</f>
        <v>5262102.190675076</v>
      </c>
      <c r="CZ190" s="605" t="n">
        <f>CZ$139-CZ$140-CZ$142-CZ$84-CZ$108-CZ$123-IF(CZ$64&gt;=PROJECTS!$AP$180,Underwriting!$I$49*PROJECTS!$AP$195/12,0)</f>
        <v>5262102.190675076</v>
      </c>
      <c r="DA190" s="605" t="n">
        <f>DA$139-DA$140-DA$142-DA$84-DA$108-DA$123-IF(DA$64&gt;=PROJECTS!$AP$180,Underwriting!$I$49*PROJECTS!$AP$195/12,0)</f>
        <v>5262102.190675076</v>
      </c>
      <c r="DB190" s="605" t="n">
        <f>DB$139-DB$140-DB$142-DB$84-DB$108-DB$123-IF(DB$64&gt;=PROJECTS!$AP$180,Underwriting!$I$49*PROJECTS!$AP$195/12,0)</f>
        <v>5269342.128446582</v>
      </c>
      <c r="DC190" s="605" t="n">
        <f>DC$139-DC$140-DC$142-DC$84-DC$108-DC$123-IF(DC$64&gt;=PROJECTS!$AP$180,Underwriting!$I$49*PROJECTS!$AP$195/12,0)</f>
        <v>5269342.128446582</v>
      </c>
      <c r="DD190" s="605" t="n">
        <f>DD$139-DD$140-DD$142-DD$84-DD$108-DD$123-IF(DD$64&gt;=PROJECTS!$AP$180,Underwriting!$I$49*PROJECTS!$AP$195/12,0)</f>
        <v>5269342.128446582</v>
      </c>
      <c r="DE190" s="605" t="n">
        <f>DE$139-DE$140-DE$142-DE$84-DE$108-DE$123-IF(DE$64&gt;=PROJECTS!$AP$180,Underwriting!$I$49*PROJECTS!$AP$195/12,0)</f>
        <v>5431525.7726295525</v>
      </c>
      <c r="DF190" s="605" t="n">
        <f>DF$139-DF$140-DF$142-DF$84-DF$108-DF$123-IF(DF$64&gt;=PROJECTS!$AP$180,Underwriting!$I$49*PROJECTS!$AP$195/12,0)</f>
        <v>5431525.7726295525</v>
      </c>
      <c r="DG190" s="605" t="n">
        <f>DG$139-DG$140-DG$142-DG$84-DG$108-DG$123-IF(DG$64&gt;=PROJECTS!$AP$180,Underwriting!$I$49*PROJECTS!$AP$195/12,0)</f>
        <v>5431525.7726295525</v>
      </c>
      <c r="DH190" s="605" t="n">
        <f>DH$139-DH$140-DH$142-DH$84-DH$108-DH$123-IF(DH$64&gt;=PROJECTS!$AP$180,Underwriting!$I$49*PROJECTS!$AP$195/12,0)</f>
        <v>5466135.446445396</v>
      </c>
      <c r="DI190" s="605" t="n">
        <f>DI$139-DI$140-DI$142-DI$84-DI$108-DI$123-IF(DI$64&gt;=PROJECTS!$AP$180,Underwriting!$I$49*PROJECTS!$AP$195/12,0)</f>
        <v>5466135.446445396</v>
      </c>
      <c r="DJ190" s="605" t="n">
        <f>DJ$139-DJ$140-DJ$142-DJ$84-DJ$108-DJ$123-IF(DJ$64&gt;=PROJECTS!$AP$180,Underwriting!$I$49*PROJECTS!$AP$195/12,0)</f>
        <v>5466135.446445396</v>
      </c>
      <c r="DK190" s="605" t="n">
        <f>DK$139-DK$140-DK$142-DK$84-DK$108-DK$123-IF(DK$64&gt;=PROJECTS!$AP$180,Underwriting!$I$49*PROJECTS!$AP$195/12,0)</f>
        <v>5473500.578116146</v>
      </c>
      <c r="DL190" s="605" t="n">
        <f>DL$139-DL$140-DL$142-DL$84-DL$108-DL$123-IF(DL$64&gt;=PROJECTS!$AP$180,Underwriting!$I$49*PROJECTS!$AP$195/12,0)</f>
        <v>5473500.578116146</v>
      </c>
      <c r="DM190" s="605" t="n">
        <f>DM$139-DM$140-DM$142-DM$84-DM$108-DM$123-IF(DM$64&gt;=PROJECTS!$AP$180,Underwriting!$I$49*PROJECTS!$AP$195/12,0)</f>
        <v>5473500.578116146</v>
      </c>
      <c r="DN190" s="605" t="n">
        <f>DN$139-DN$140-DN$142-DN$84-DN$108-DN$123-IF(DN$64&gt;=PROJECTS!$AP$180,Underwriting!$I$49*PROJECTS!$AP$195/12,0)</f>
        <v>5480993.9137096545</v>
      </c>
      <c r="DO190" s="605" t="n">
        <f>DO$139-DO$140-DO$142-DO$84-DO$108-DO$123-IF(DO$64&gt;=PROJECTS!$AP$180,Underwriting!$I$49*PROJECTS!$AP$195/12,0)</f>
        <v>5480993.9137096545</v>
      </c>
      <c r="DP190" s="605" t="n">
        <f>DP$139-DP$140-DP$142-DP$84-DP$108-DP$123-IF(DP$64&gt;=PROJECTS!$AP$180,Underwriting!$I$49*PROJECTS!$AP$195/12,0)</f>
        <v>5480993.9137096545</v>
      </c>
      <c r="DQ190" s="605" t="n">
        <f>DQ$139-DQ$140-DQ$142-DQ$84-DQ$108-DQ$123-IF(DQ$64&gt;=PROJECTS!$AP$180,Underwriting!$I$49*PROJECTS!$AP$195/12,0)</f>
        <v>5649021.587882392</v>
      </c>
      <c r="DR190" s="605" t="n">
        <f>DR$139-DR$140-DR$142-DR$84-DR$108-DR$123-IF(DR$64&gt;=PROJECTS!$AP$180,Underwriting!$I$49*PROJECTS!$AP$195/12,0)</f>
        <v>5649021.587882392</v>
      </c>
      <c r="DS190" s="605" t="n">
        <f>DS$139-DS$140-DS$142-DS$84-DS$108-DS$123-IF(DS$64&gt;=PROJECTS!$AP$180,Underwriting!$I$49*PROJECTS!$AP$195/12,0)</f>
        <v>5649021.587882392</v>
      </c>
      <c r="DT190" s="605" t="n">
        <f>DT$139-DT$140-DT$142-DT$84-DT$108-DT$123-IF(DT$64&gt;=PROJECTS!$AP$180,Underwriting!$I$49*PROJECTS!$AP$195/12,0)</f>
        <v>5684842.60028179</v>
      </c>
      <c r="DU190" s="605" t="n">
        <f>DU$139-DU$140-DU$142-DU$84-DU$108-DU$123-IF(DU$64&gt;=PROJECTS!$AP$180,Underwriting!$I$49*PROJECTS!$AP$195/12,0)</f>
        <v>5684842.60028179</v>
      </c>
      <c r="DV190" s="605" t="n">
        <f>DV$139-DV$140-DV$142-DV$84-DV$108-DV$123-IF(DV$64&gt;=PROJECTS!$AP$180,Underwriting!$I$49*PROJECTS!$AP$195/12,0)</f>
        <v>5684842.60028179</v>
      </c>
    </row>
    <row r="191" ht="15" customHeight="1">
      <c r="A191" s="310" t="s">
        <v>1643</v>
      </c>
      <c r="B191" s="317" t="s">
        <v>1321</v>
      </c>
      <c r="C191" s="317" t="s">
        <v>1644</v>
      </c>
      <c r="D191" s="317"/>
      <c r="E191" s="317">
        <v>0</v>
      </c>
      <c r="F191" s="604" t="n">
        <f t="shared" ref="F191:AK191" si="300">MIN(MAX(0,F$190),F$189)</f>
        <v>0</v>
      </c>
      <c r="G191" s="605">
        <f t="shared" si="300"/>
        <v>0</v>
      </c>
      <c r="H191" s="605">
        <f t="shared" si="300"/>
        <v>0</v>
      </c>
      <c r="I191" s="605">
        <f t="shared" si="300"/>
        <v>0</v>
      </c>
      <c r="J191" s="606">
        <f t="shared" si="300"/>
        <v>0</v>
      </c>
      <c r="K191" s="604">
        <f t="shared" si="300"/>
        <v>0</v>
      </c>
      <c r="L191" s="604">
        <f t="shared" si="300"/>
        <v>0</v>
      </c>
      <c r="M191" s="604">
        <f t="shared" si="300"/>
        <v>117615.95175159514</v>
      </c>
      <c r="N191" s="604">
        <f t="shared" si="300"/>
        <v>0</v>
      </c>
      <c r="O191" s="604">
        <f t="shared" si="300"/>
        <v>0</v>
      </c>
      <c r="P191" s="605">
        <f t="shared" si="300"/>
        <v>0</v>
      </c>
      <c r="Q191" s="605">
        <f t="shared" si="300"/>
        <v>0</v>
      </c>
      <c r="R191" s="605">
        <f t="shared" si="300"/>
        <v>0</v>
      </c>
      <c r="S191" s="605">
        <f t="shared" si="300"/>
        <v>0</v>
      </c>
      <c r="T191" s="605">
        <f t="shared" si="300"/>
        <v>0</v>
      </c>
      <c r="U191" s="605">
        <f t="shared" si="300"/>
        <v>0</v>
      </c>
      <c r="V191" s="605">
        <f t="shared" si="300"/>
        <v>0</v>
      </c>
      <c r="W191" s="605">
        <f t="shared" si="300"/>
        <v>0</v>
      </c>
      <c r="X191" s="605">
        <f t="shared" si="300"/>
        <v>0</v>
      </c>
      <c r="Y191" s="605">
        <f t="shared" si="300"/>
        <v>0</v>
      </c>
      <c r="Z191" s="605">
        <f t="shared" si="300"/>
        <v>0</v>
      </c>
      <c r="AA191" s="605">
        <f t="shared" si="300"/>
        <v>0</v>
      </c>
      <c r="AB191" s="605">
        <f t="shared" si="300"/>
        <v>0</v>
      </c>
      <c r="AC191" s="605">
        <f t="shared" si="300"/>
        <v>0</v>
      </c>
      <c r="AD191" s="605">
        <f t="shared" si="300"/>
        <v>0</v>
      </c>
      <c r="AE191" s="605">
        <f t="shared" si="300"/>
        <v>0</v>
      </c>
      <c r="AF191" s="605">
        <f t="shared" si="300"/>
        <v>0</v>
      </c>
      <c r="AG191" s="605">
        <f t="shared" si="300"/>
        <v>0</v>
      </c>
      <c r="AH191" s="605">
        <f t="shared" si="300"/>
        <v>0</v>
      </c>
      <c r="AI191" s="605">
        <f t="shared" si="300"/>
        <v>0</v>
      </c>
      <c r="AJ191" s="605">
        <f t="shared" si="300"/>
        <v>0</v>
      </c>
      <c r="AK191" s="605">
        <f t="shared" si="300"/>
        <v>0</v>
      </c>
      <c r="AL191" s="605" t="n">
        <f t="shared" ref="AL191:BQ191" si="301">MIN(MAX(0,AL$190),AL$189)</f>
        <v>0</v>
      </c>
      <c r="AM191" s="605">
        <f t="shared" si="301"/>
        <v>0</v>
      </c>
      <c r="AN191" s="605">
        <f t="shared" si="301"/>
        <v>0</v>
      </c>
      <c r="AO191" s="605">
        <f t="shared" si="301"/>
        <v>0</v>
      </c>
      <c r="AP191" s="605">
        <f t="shared" si="301"/>
        <v>0</v>
      </c>
      <c r="AQ191" s="605">
        <f t="shared" si="301"/>
        <v>0</v>
      </c>
      <c r="AR191" s="605">
        <f t="shared" si="301"/>
        <v>0</v>
      </c>
      <c r="AS191" s="605">
        <f t="shared" si="301"/>
        <v>0</v>
      </c>
      <c r="AT191" s="605">
        <f t="shared" si="301"/>
        <v>0</v>
      </c>
      <c r="AU191" s="605">
        <f t="shared" si="301"/>
        <v>0</v>
      </c>
      <c r="AV191" s="605">
        <f t="shared" si="301"/>
        <v>0</v>
      </c>
      <c r="AW191" s="605">
        <f t="shared" si="301"/>
        <v>0</v>
      </c>
      <c r="AX191" s="605">
        <f t="shared" si="301"/>
        <v>0</v>
      </c>
      <c r="AY191" s="605">
        <f t="shared" si="301"/>
        <v>0</v>
      </c>
      <c r="AZ191" s="605">
        <f t="shared" si="301"/>
        <v>0</v>
      </c>
      <c r="BA191" s="605">
        <f t="shared" si="301"/>
        <v>0</v>
      </c>
      <c r="BB191" s="605">
        <f t="shared" si="301"/>
        <v>0</v>
      </c>
      <c r="BC191" s="605">
        <f t="shared" si="301"/>
        <v>0</v>
      </c>
      <c r="BD191" s="605">
        <f t="shared" si="301"/>
        <v>0</v>
      </c>
      <c r="BE191" s="605">
        <f t="shared" si="301"/>
        <v>0</v>
      </c>
      <c r="BF191" s="605">
        <f t="shared" si="301"/>
        <v>0</v>
      </c>
      <c r="BG191" s="605">
        <f t="shared" si="301"/>
        <v>0</v>
      </c>
      <c r="BH191" s="605">
        <f t="shared" si="301"/>
        <v>0</v>
      </c>
      <c r="BI191" s="605">
        <f t="shared" si="301"/>
        <v>0</v>
      </c>
      <c r="BJ191" s="605">
        <f t="shared" si="301"/>
        <v>0</v>
      </c>
      <c r="BK191" s="605">
        <f t="shared" si="301"/>
        <v>0</v>
      </c>
      <c r="BL191" s="605">
        <f t="shared" si="301"/>
        <v>0</v>
      </c>
      <c r="BM191" s="605">
        <f t="shared" si="301"/>
        <v>0</v>
      </c>
      <c r="BN191" s="605">
        <f t="shared" si="301"/>
        <v>0</v>
      </c>
      <c r="BO191" s="605">
        <f t="shared" si="301"/>
        <v>0</v>
      </c>
      <c r="BP191" s="605">
        <f t="shared" si="301"/>
        <v>0</v>
      </c>
      <c r="BQ191" s="605">
        <f t="shared" si="301"/>
        <v>0</v>
      </c>
      <c r="BR191" s="605" t="n">
        <f t="shared" ref="BR191:CW191" si="302">MIN(MAX(0,BR$190),BR$189)</f>
        <v>0</v>
      </c>
      <c r="BS191" s="605">
        <f t="shared" si="302"/>
        <v>0</v>
      </c>
      <c r="BT191" s="605">
        <f t="shared" si="302"/>
        <v>0</v>
      </c>
      <c r="BU191" s="605">
        <f t="shared" si="302"/>
        <v>0</v>
      </c>
      <c r="BV191" s="605">
        <f t="shared" si="302"/>
        <v>0</v>
      </c>
      <c r="BW191" s="605">
        <f t="shared" si="302"/>
        <v>0</v>
      </c>
      <c r="BX191" s="605">
        <f t="shared" si="302"/>
        <v>0</v>
      </c>
      <c r="BY191" s="605">
        <f t="shared" si="302"/>
        <v>0</v>
      </c>
      <c r="BZ191" s="605">
        <f t="shared" si="302"/>
        <v>0</v>
      </c>
      <c r="CA191" s="605">
        <f t="shared" si="302"/>
        <v>0</v>
      </c>
      <c r="CB191" s="605">
        <f t="shared" si="302"/>
        <v>0</v>
      </c>
      <c r="CC191" s="605">
        <f t="shared" si="302"/>
        <v>0</v>
      </c>
      <c r="CD191" s="605">
        <f t="shared" si="302"/>
        <v>0</v>
      </c>
      <c r="CE191" s="605">
        <f t="shared" si="302"/>
        <v>0</v>
      </c>
      <c r="CF191" s="605">
        <f t="shared" si="302"/>
        <v>0</v>
      </c>
      <c r="CG191" s="605">
        <f t="shared" si="302"/>
        <v>0</v>
      </c>
      <c r="CH191" s="605">
        <f t="shared" si="302"/>
        <v>0</v>
      </c>
      <c r="CI191" s="605">
        <f t="shared" si="302"/>
        <v>0</v>
      </c>
      <c r="CJ191" s="605">
        <f t="shared" si="302"/>
        <v>0</v>
      </c>
      <c r="CK191" s="605">
        <f t="shared" si="302"/>
        <v>0</v>
      </c>
      <c r="CL191" s="605">
        <f t="shared" si="302"/>
        <v>0</v>
      </c>
      <c r="CM191" s="605">
        <f t="shared" si="302"/>
        <v>0</v>
      </c>
      <c r="CN191" s="605">
        <f t="shared" si="302"/>
        <v>0</v>
      </c>
      <c r="CO191" s="605">
        <f t="shared" si="302"/>
        <v>0</v>
      </c>
      <c r="CP191" s="605">
        <f t="shared" si="302"/>
        <v>0</v>
      </c>
      <c r="CQ191" s="605">
        <f t="shared" si="302"/>
        <v>0</v>
      </c>
      <c r="CR191" s="605">
        <f t="shared" si="302"/>
        <v>0</v>
      </c>
      <c r="CS191" s="605">
        <f t="shared" si="302"/>
        <v>0</v>
      </c>
      <c r="CT191" s="605">
        <f t="shared" si="302"/>
        <v>0</v>
      </c>
      <c r="CU191" s="605">
        <f t="shared" si="302"/>
        <v>0</v>
      </c>
      <c r="CV191" s="605">
        <f t="shared" si="302"/>
        <v>0</v>
      </c>
      <c r="CW191" s="605">
        <f t="shared" si="302"/>
        <v>0</v>
      </c>
      <c r="CX191" s="605" t="n">
        <f t="shared" ref="CX191:DV191" si="303">MIN(MAX(0,CX$190),CX$189)</f>
        <v>0</v>
      </c>
      <c r="CY191" s="605">
        <f t="shared" si="303"/>
        <v>0</v>
      </c>
      <c r="CZ191" s="605">
        <f t="shared" si="303"/>
        <v>0</v>
      </c>
      <c r="DA191" s="605">
        <f t="shared" si="303"/>
        <v>0</v>
      </c>
      <c r="DB191" s="605">
        <f t="shared" si="303"/>
        <v>0</v>
      </c>
      <c r="DC191" s="605">
        <f t="shared" si="303"/>
        <v>0</v>
      </c>
      <c r="DD191" s="605">
        <f t="shared" si="303"/>
        <v>0</v>
      </c>
      <c r="DE191" s="605">
        <f t="shared" si="303"/>
        <v>0</v>
      </c>
      <c r="DF191" s="605">
        <f t="shared" si="303"/>
        <v>0</v>
      </c>
      <c r="DG191" s="605">
        <f t="shared" si="303"/>
        <v>0</v>
      </c>
      <c r="DH191" s="605">
        <f t="shared" si="303"/>
        <v>0</v>
      </c>
      <c r="DI191" s="605">
        <f t="shared" si="303"/>
        <v>0</v>
      </c>
      <c r="DJ191" s="605">
        <f t="shared" si="303"/>
        <v>0</v>
      </c>
      <c r="DK191" s="605">
        <f t="shared" si="303"/>
        <v>0</v>
      </c>
      <c r="DL191" s="605">
        <f t="shared" si="303"/>
        <v>0</v>
      </c>
      <c r="DM191" s="605">
        <f t="shared" si="303"/>
        <v>0</v>
      </c>
      <c r="DN191" s="605">
        <f t="shared" si="303"/>
        <v>0</v>
      </c>
      <c r="DO191" s="605">
        <f t="shared" si="303"/>
        <v>0</v>
      </c>
      <c r="DP191" s="605">
        <f t="shared" si="303"/>
        <v>0</v>
      </c>
      <c r="DQ191" s="605">
        <f t="shared" si="303"/>
        <v>0</v>
      </c>
      <c r="DR191" s="605">
        <f t="shared" si="303"/>
        <v>0</v>
      </c>
      <c r="DS191" s="605">
        <f t="shared" si="303"/>
        <v>0</v>
      </c>
      <c r="DT191" s="605">
        <f t="shared" si="303"/>
        <v>0</v>
      </c>
      <c r="DU191" s="605">
        <f t="shared" si="303"/>
        <v>0</v>
      </c>
      <c r="DV191" s="605">
        <f t="shared" si="303"/>
        <v>0</v>
      </c>
    </row>
    <row r="192" ht="15" customHeight="1">
      <c r="A192" s="310" t="s">
        <v>1645</v>
      </c>
      <c r="B192" s="317" t="s">
        <v>1321</v>
      </c>
      <c r="C192" s="317" t="s">
        <v>1646</v>
      </c>
      <c r="D192" s="317"/>
      <c r="E192" s="317">
        <v>0</v>
      </c>
      <c r="F192" s="604" t="n">
        <f t="shared" ref="F192:AK192" si="304">MAX(0,F$189+MAX(0,-F$190)-F$191)</f>
        <v>0</v>
      </c>
      <c r="G192" s="605">
        <f t="shared" si="304"/>
        <v>546.86800519294479</v>
      </c>
      <c r="H192" s="605">
        <f t="shared" si="304"/>
        <v>1094.048870474724</v>
      </c>
      <c r="I192" s="605">
        <f t="shared" si="304"/>
        <v>1626.5020351359494</v>
      </c>
      <c r="J192" s="606">
        <f t="shared" si="304"/>
        <v>2179.6430718433044</v>
      </c>
      <c r="K192" s="604">
        <f t="shared" si="304"/>
        <v>2717.8959863474579</v>
      </c>
      <c r="L192" s="604">
        <f t="shared" si="304"/>
        <v>117615.95175159514</v>
      </c>
      <c r="M192" s="604">
        <f t="shared" si="304"/>
        <v>0</v>
      </c>
      <c r="N192" s="604">
        <f t="shared" si="304"/>
        <v>0</v>
      </c>
      <c r="O192" s="604">
        <f t="shared" si="304"/>
        <v>0</v>
      </c>
      <c r="P192" s="605">
        <f t="shared" si="304"/>
        <v>0</v>
      </c>
      <c r="Q192" s="605">
        <f t="shared" si="304"/>
        <v>0</v>
      </c>
      <c r="R192" s="605">
        <f t="shared" si="304"/>
        <v>0</v>
      </c>
      <c r="S192" s="605">
        <f t="shared" si="304"/>
        <v>0</v>
      </c>
      <c r="T192" s="605">
        <f t="shared" si="304"/>
        <v>0</v>
      </c>
      <c r="U192" s="605">
        <f t="shared" si="304"/>
        <v>0</v>
      </c>
      <c r="V192" s="605">
        <f t="shared" si="304"/>
        <v>0</v>
      </c>
      <c r="W192" s="605">
        <f t="shared" si="304"/>
        <v>0</v>
      </c>
      <c r="X192" s="605">
        <f t="shared" si="304"/>
        <v>0</v>
      </c>
      <c r="Y192" s="605">
        <f t="shared" si="304"/>
        <v>0</v>
      </c>
      <c r="Z192" s="605">
        <f t="shared" si="304"/>
        <v>0</v>
      </c>
      <c r="AA192" s="605">
        <f t="shared" si="304"/>
        <v>0</v>
      </c>
      <c r="AB192" s="605">
        <f t="shared" si="304"/>
        <v>0</v>
      </c>
      <c r="AC192" s="605">
        <f t="shared" si="304"/>
        <v>0</v>
      </c>
      <c r="AD192" s="605">
        <f t="shared" si="304"/>
        <v>0</v>
      </c>
      <c r="AE192" s="605">
        <f t="shared" si="304"/>
        <v>0</v>
      </c>
      <c r="AF192" s="605">
        <f t="shared" si="304"/>
        <v>0</v>
      </c>
      <c r="AG192" s="605">
        <f t="shared" si="304"/>
        <v>0</v>
      </c>
      <c r="AH192" s="605">
        <f t="shared" si="304"/>
        <v>0</v>
      </c>
      <c r="AI192" s="605">
        <f t="shared" si="304"/>
        <v>0</v>
      </c>
      <c r="AJ192" s="605">
        <f t="shared" si="304"/>
        <v>0</v>
      </c>
      <c r="AK192" s="605">
        <f t="shared" si="304"/>
        <v>0</v>
      </c>
      <c r="AL192" s="605" t="n">
        <f t="shared" ref="AL192:BQ192" si="305">MAX(0,AL$189+MAX(0,-AL$190)-AL$191)</f>
        <v>0</v>
      </c>
      <c r="AM192" s="605">
        <f t="shared" si="305"/>
        <v>0</v>
      </c>
      <c r="AN192" s="605">
        <f t="shared" si="305"/>
        <v>0</v>
      </c>
      <c r="AO192" s="605">
        <f t="shared" si="305"/>
        <v>0</v>
      </c>
      <c r="AP192" s="605">
        <f t="shared" si="305"/>
        <v>0</v>
      </c>
      <c r="AQ192" s="605">
        <f t="shared" si="305"/>
        <v>0</v>
      </c>
      <c r="AR192" s="605">
        <f t="shared" si="305"/>
        <v>0</v>
      </c>
      <c r="AS192" s="605">
        <f t="shared" si="305"/>
        <v>0</v>
      </c>
      <c r="AT192" s="605">
        <f t="shared" si="305"/>
        <v>0</v>
      </c>
      <c r="AU192" s="605">
        <f t="shared" si="305"/>
        <v>0</v>
      </c>
      <c r="AV192" s="605">
        <f t="shared" si="305"/>
        <v>0</v>
      </c>
      <c r="AW192" s="605">
        <f t="shared" si="305"/>
        <v>0</v>
      </c>
      <c r="AX192" s="605">
        <f t="shared" si="305"/>
        <v>0</v>
      </c>
      <c r="AY192" s="605">
        <f t="shared" si="305"/>
        <v>0</v>
      </c>
      <c r="AZ192" s="605">
        <f t="shared" si="305"/>
        <v>0</v>
      </c>
      <c r="BA192" s="605">
        <f t="shared" si="305"/>
        <v>0</v>
      </c>
      <c r="BB192" s="605">
        <f t="shared" si="305"/>
        <v>0</v>
      </c>
      <c r="BC192" s="605">
        <f t="shared" si="305"/>
        <v>0</v>
      </c>
      <c r="BD192" s="605">
        <f t="shared" si="305"/>
        <v>0</v>
      </c>
      <c r="BE192" s="605">
        <f t="shared" si="305"/>
        <v>0</v>
      </c>
      <c r="BF192" s="605">
        <f t="shared" si="305"/>
        <v>0</v>
      </c>
      <c r="BG192" s="605">
        <f t="shared" si="305"/>
        <v>0</v>
      </c>
      <c r="BH192" s="605">
        <f t="shared" si="305"/>
        <v>0</v>
      </c>
      <c r="BI192" s="605">
        <f t="shared" si="305"/>
        <v>0</v>
      </c>
      <c r="BJ192" s="605">
        <f t="shared" si="305"/>
        <v>0</v>
      </c>
      <c r="BK192" s="605">
        <f t="shared" si="305"/>
        <v>0</v>
      </c>
      <c r="BL192" s="605">
        <f t="shared" si="305"/>
        <v>0</v>
      </c>
      <c r="BM192" s="605">
        <f t="shared" si="305"/>
        <v>0</v>
      </c>
      <c r="BN192" s="605">
        <f t="shared" si="305"/>
        <v>0</v>
      </c>
      <c r="BO192" s="605">
        <f t="shared" si="305"/>
        <v>0</v>
      </c>
      <c r="BP192" s="605">
        <f t="shared" si="305"/>
        <v>0</v>
      </c>
      <c r="BQ192" s="605">
        <f t="shared" si="305"/>
        <v>0</v>
      </c>
      <c r="BR192" s="605" t="n">
        <f t="shared" ref="BR192:CW192" si="306">MAX(0,BR$189+MAX(0,-BR$190)-BR$191)</f>
        <v>0</v>
      </c>
      <c r="BS192" s="605">
        <f t="shared" si="306"/>
        <v>0</v>
      </c>
      <c r="BT192" s="605">
        <f t="shared" si="306"/>
        <v>0</v>
      </c>
      <c r="BU192" s="605">
        <f t="shared" si="306"/>
        <v>0</v>
      </c>
      <c r="BV192" s="605">
        <f t="shared" si="306"/>
        <v>0</v>
      </c>
      <c r="BW192" s="605">
        <f t="shared" si="306"/>
        <v>0</v>
      </c>
      <c r="BX192" s="605">
        <f t="shared" si="306"/>
        <v>0</v>
      </c>
      <c r="BY192" s="605">
        <f t="shared" si="306"/>
        <v>0</v>
      </c>
      <c r="BZ192" s="605">
        <f t="shared" si="306"/>
        <v>0</v>
      </c>
      <c r="CA192" s="605">
        <f t="shared" si="306"/>
        <v>0</v>
      </c>
      <c r="CB192" s="605">
        <f t="shared" si="306"/>
        <v>0</v>
      </c>
      <c r="CC192" s="605">
        <f t="shared" si="306"/>
        <v>0</v>
      </c>
      <c r="CD192" s="605">
        <f t="shared" si="306"/>
        <v>0</v>
      </c>
      <c r="CE192" s="605">
        <f t="shared" si="306"/>
        <v>0</v>
      </c>
      <c r="CF192" s="605">
        <f t="shared" si="306"/>
        <v>0</v>
      </c>
      <c r="CG192" s="605">
        <f t="shared" si="306"/>
        <v>0</v>
      </c>
      <c r="CH192" s="605">
        <f t="shared" si="306"/>
        <v>0</v>
      </c>
      <c r="CI192" s="605">
        <f t="shared" si="306"/>
        <v>0</v>
      </c>
      <c r="CJ192" s="605">
        <f t="shared" si="306"/>
        <v>0</v>
      </c>
      <c r="CK192" s="605">
        <f t="shared" si="306"/>
        <v>0</v>
      </c>
      <c r="CL192" s="605">
        <f t="shared" si="306"/>
        <v>0</v>
      </c>
      <c r="CM192" s="605">
        <f t="shared" si="306"/>
        <v>0</v>
      </c>
      <c r="CN192" s="605">
        <f t="shared" si="306"/>
        <v>0</v>
      </c>
      <c r="CO192" s="605">
        <f t="shared" si="306"/>
        <v>0</v>
      </c>
      <c r="CP192" s="605">
        <f t="shared" si="306"/>
        <v>0</v>
      </c>
      <c r="CQ192" s="605">
        <f t="shared" si="306"/>
        <v>0</v>
      </c>
      <c r="CR192" s="605">
        <f t="shared" si="306"/>
        <v>0</v>
      </c>
      <c r="CS192" s="605">
        <f t="shared" si="306"/>
        <v>0</v>
      </c>
      <c r="CT192" s="605">
        <f t="shared" si="306"/>
        <v>0</v>
      </c>
      <c r="CU192" s="605">
        <f t="shared" si="306"/>
        <v>0</v>
      </c>
      <c r="CV192" s="605">
        <f t="shared" si="306"/>
        <v>0</v>
      </c>
      <c r="CW192" s="605">
        <f t="shared" si="306"/>
        <v>0</v>
      </c>
      <c r="CX192" s="605" t="n">
        <f t="shared" ref="CX192:DV192" si="307">MAX(0,CX$189+MAX(0,-CX$190)-CX$191)</f>
        <v>0</v>
      </c>
      <c r="CY192" s="605">
        <f t="shared" si="307"/>
        <v>0</v>
      </c>
      <c r="CZ192" s="605">
        <f t="shared" si="307"/>
        <v>0</v>
      </c>
      <c r="DA192" s="605">
        <f t="shared" si="307"/>
        <v>0</v>
      </c>
      <c r="DB192" s="605">
        <f t="shared" si="307"/>
        <v>0</v>
      </c>
      <c r="DC192" s="605">
        <f t="shared" si="307"/>
        <v>0</v>
      </c>
      <c r="DD192" s="605">
        <f t="shared" si="307"/>
        <v>0</v>
      </c>
      <c r="DE192" s="605">
        <f t="shared" si="307"/>
        <v>0</v>
      </c>
      <c r="DF192" s="605">
        <f t="shared" si="307"/>
        <v>0</v>
      </c>
      <c r="DG192" s="605">
        <f t="shared" si="307"/>
        <v>0</v>
      </c>
      <c r="DH192" s="605">
        <f t="shared" si="307"/>
        <v>0</v>
      </c>
      <c r="DI192" s="605">
        <f t="shared" si="307"/>
        <v>0</v>
      </c>
      <c r="DJ192" s="605">
        <f t="shared" si="307"/>
        <v>0</v>
      </c>
      <c r="DK192" s="605">
        <f t="shared" si="307"/>
        <v>0</v>
      </c>
      <c r="DL192" s="605">
        <f t="shared" si="307"/>
        <v>0</v>
      </c>
      <c r="DM192" s="605">
        <f t="shared" si="307"/>
        <v>0</v>
      </c>
      <c r="DN192" s="605">
        <f t="shared" si="307"/>
        <v>0</v>
      </c>
      <c r="DO192" s="605">
        <f t="shared" si="307"/>
        <v>0</v>
      </c>
      <c r="DP192" s="605">
        <f t="shared" si="307"/>
        <v>0</v>
      </c>
      <c r="DQ192" s="605">
        <f t="shared" si="307"/>
        <v>0</v>
      </c>
      <c r="DR192" s="605">
        <f t="shared" si="307"/>
        <v>0</v>
      </c>
      <c r="DS192" s="605">
        <f t="shared" si="307"/>
        <v>0</v>
      </c>
      <c r="DT192" s="605">
        <f t="shared" si="307"/>
        <v>0</v>
      </c>
      <c r="DU192" s="605">
        <f t="shared" si="307"/>
        <v>0</v>
      </c>
      <c r="DV192" s="605">
        <f t="shared" si="307"/>
        <v>0</v>
      </c>
    </row>
    <row r="193" ht="15" customHeight="1">
      <c r="A193" s="310" t="s">
        <v>1647</v>
      </c>
      <c r="B193" s="317" t="s">
        <v>1321</v>
      </c>
      <c r="C193" s="317" t="s">
        <v>1648</v>
      </c>
      <c r="D193" s="317"/>
      <c r="E193" s="317">
        <v>0</v>
      </c>
      <c r="F193" s="604" t="n">
        <f>MAX(0,F$190-F$191)*PROJECTS!$AP$194</f>
        <v>612.7450980392157</v>
      </c>
      <c r="G193" s="605" t="n">
        <f>MAX(0,G$190-G$191)*PROJECTS!$AP$194</f>
        <v>0</v>
      </c>
      <c r="H193" s="605" t="n">
        <f>MAX(0,H$190-H$191)*PROJECTS!$AP$194</f>
        <v>0</v>
      </c>
      <c r="I193" s="605" t="n">
        <f>MAX(0,I$190-I$191)*PROJECTS!$AP$194</f>
        <v>0</v>
      </c>
      <c r="J193" s="606" t="n">
        <f>MAX(0,J$190-J$191)*PROJECTS!$AP$194</f>
        <v>0</v>
      </c>
      <c r="K193" s="604" t="n">
        <f>MAX(0,K$190-K$191)*PROJECTS!$AP$194</f>
        <v>0</v>
      </c>
      <c r="L193" s="604" t="n">
        <f>MAX(0,L$190-L$191)*PROJECTS!$AP$194</f>
        <v>0</v>
      </c>
      <c r="M193" s="604" t="n">
        <f>MAX(0,M$190-M$191)*PROJECTS!$AP$194</f>
        <v>140099.29027072457</v>
      </c>
      <c r="N193" s="604" t="n">
        <f>MAX(0,N$190-N$191)*PROJECTS!$AP$194</f>
        <v>175742.1157027046</v>
      </c>
      <c r="O193" s="604" t="n">
        <f>MAX(0,O$190-O$191)*PROJECTS!$AP$194</f>
        <v>175742.1157027046</v>
      </c>
      <c r="P193" s="605" t="n">
        <f>MAX(0,P$190-P$191)*PROJECTS!$AP$194</f>
        <v>175742.1157027046</v>
      </c>
      <c r="Q193" s="605" t="n">
        <f>MAX(0,Q$190-Q$191)*PROJECTS!$AP$194</f>
        <v>175742.1157027046</v>
      </c>
      <c r="R193" s="605" t="n">
        <f>MAX(0,R$190-R$191)*PROJECTS!$AP$194</f>
        <v>175742.1157027046</v>
      </c>
      <c r="S193" s="605" t="n">
        <f>MAX(0,S$190-S$191)*PROJECTS!$AP$194</f>
        <v>175742.1157027046</v>
      </c>
      <c r="T193" s="605" t="n">
        <f>MAX(0,T$190-T$191)*PROJECTS!$AP$194</f>
        <v>175742.1157027046</v>
      </c>
      <c r="U193" s="605" t="n">
        <f>MAX(0,U$190-U$191)*PROJECTS!$AP$194</f>
        <v>175742.1157027046</v>
      </c>
      <c r="V193" s="605" t="n">
        <f>MAX(0,V$190-V$191)*PROJECTS!$AP$194</f>
        <v>175742.1157027046</v>
      </c>
      <c r="W193" s="605" t="n">
        <f>MAX(0,W$190-W$191)*PROJECTS!$AP$194</f>
        <v>175742.1157027046</v>
      </c>
      <c r="X193" s="605" t="n">
        <f>MAX(0,X$190-X$191)*PROJECTS!$AP$194</f>
        <v>131262.65723750606</v>
      </c>
      <c r="Y193" s="605" t="n">
        <f>MAX(0,Y$190-Y$191)*PROJECTS!$AP$194</f>
        <v>1017841.5672377452</v>
      </c>
      <c r="Z193" s="605" t="n">
        <f>MAX(0,Z$190-Z$191)*PROJECTS!$AP$194</f>
        <v>993023.8375543088</v>
      </c>
      <c r="AA193" s="605" t="n">
        <f>MAX(0,AA$190-AA$191)*PROJECTS!$AP$194</f>
        <v>949617.2232771104</v>
      </c>
      <c r="AB193" s="605" t="n">
        <f>MAX(0,AB$190-AB$191)*PROJECTS!$AP$194</f>
        <v>1162978.4311020046</v>
      </c>
      <c r="AC193" s="605" t="n">
        <f>MAX(0,AC$190-AC$191)*PROJECTS!$AP$194</f>
        <v>1128544.180112152</v>
      </c>
      <c r="AD193" s="605" t="n">
        <f>MAX(0,AD$190-AD$191)*PROJECTS!$AP$194</f>
        <v>1113655.3625749773</v>
      </c>
      <c r="AE193" s="605" t="n">
        <f>MAX(0,AE$190-AE$191)*PROJECTS!$AP$194</f>
        <v>1176392.019459928</v>
      </c>
      <c r="AF193" s="605" t="n">
        <f>MAX(0,AF$190-AF$191)*PROJECTS!$AP$194</f>
        <v>1159846.210100378</v>
      </c>
      <c r="AG193" s="605" t="n">
        <f>MAX(0,AG$190-AG$191)*PROJECTS!$AP$194</f>
        <v>1157044.7910512155</v>
      </c>
      <c r="AH193" s="605" t="n">
        <f>MAX(0,AH$190-AH$191)*PROJECTS!$AP$194</f>
        <v>1193260.0634610998</v>
      </c>
      <c r="AI193" s="605" t="n">
        <f>MAX(0,AI$190-AI$191)*PROJECTS!$AP$194</f>
        <v>1198616.8904454794</v>
      </c>
      <c r="AJ193" s="605" t="n">
        <f>MAX(0,AJ$190-AJ$191)*PROJECTS!$AP$194</f>
        <v>1183735.81833958</v>
      </c>
      <c r="AK193" s="605" t="n">
        <f>MAX(0,AK$190-AK$191)*PROJECTS!$AP$194</f>
        <v>1347678.0060601698</v>
      </c>
      <c r="AL193" s="605" t="n">
        <f>MAX(0,AL$190-AL$191)*PROJECTS!$AP$194</f>
        <v>1380127.0108175778</v>
      </c>
      <c r="AM193" s="605" t="n">
        <f>MAX(0,AM$190-AM$191)*PROJECTS!$AP$194</f>
        <v>1345725.7186488812</v>
      </c>
      <c r="AN193" s="605" t="n">
        <f>MAX(0,AN$190-AN$191)*PROJECTS!$AP$194</f>
        <v>1394119.3883540584</v>
      </c>
      <c r="AO193" s="605" t="n">
        <f>MAX(0,AO$190-AO$191)*PROJECTS!$AP$194</f>
        <v>1333094.4835022134</v>
      </c>
      <c r="AP193" s="605" t="n">
        <f>MAX(0,AP$190-AP$191)*PROJECTS!$AP$194</f>
        <v>1313037.0736179622</v>
      </c>
      <c r="AQ193" s="605" t="n">
        <f>MAX(0,AQ$190-AQ$191)*PROJECTS!$AP$194</f>
        <v>1009429.221235412</v>
      </c>
      <c r="AR193" s="605" t="n">
        <f>MAX(0,AR$190-AR$191)*PROJECTS!$AP$194</f>
        <v>1009429.221235412</v>
      </c>
      <c r="AS193" s="605" t="n">
        <f>MAX(0,AS$190-AS$191)*PROJECTS!$AP$194</f>
        <v>1020614.5093987284</v>
      </c>
      <c r="AT193" s="605" t="n">
        <f>MAX(0,AT$190-AT$191)*PROJECTS!$AP$194</f>
        <v>1011325.1540460151</v>
      </c>
      <c r="AU193" s="605" t="n">
        <f>MAX(0,AU$190-AU$191)*PROJECTS!$AP$194</f>
        <v>1022510.4422093313</v>
      </c>
      <c r="AV193" s="605" t="n">
        <f>MAX(0,AV$190-AV$191)*PROJECTS!$AP$194</f>
        <v>1011325.1540460151</v>
      </c>
      <c r="AW193" s="605" t="n">
        <f>MAX(0,AW$190-AW$191)*PROJECTS!$AP$194</f>
        <v>1060561.7564707554</v>
      </c>
      <c r="AX193" s="605" t="n">
        <f>MAX(0,AX$190-AX$191)*PROJECTS!$AP$194</f>
        <v>1094117.6209607043</v>
      </c>
      <c r="AY193" s="605" t="n">
        <f>MAX(0,AY$190-AY$191)*PROJECTS!$AP$194</f>
        <v>1060561.7564707554</v>
      </c>
      <c r="AZ193" s="605" t="n">
        <f>MAX(0,AZ$190-AZ$191)*PROJECTS!$AP$194</f>
        <v>1080489.1696340719</v>
      </c>
      <c r="BA193" s="605" t="n">
        <f>MAX(0,BA$190-BA$191)*PROJECTS!$AP$194</f>
        <v>1069303.8814707557</v>
      </c>
      <c r="BB193" s="605" t="n">
        <f>MAX(0,BB$190-BB$191)*PROJECTS!$AP$194</f>
        <v>1080489.1696340719</v>
      </c>
      <c r="BC193" s="605" t="n">
        <f>MAX(0,BC$190-BC$191)*PROJECTS!$AP$194</f>
        <v>1242765.074528093</v>
      </c>
      <c r="BD193" s="605" t="n">
        <f>MAX(0,BD$190-BD$191)*PROJECTS!$AP$194</f>
        <v>1067659.3883313776</v>
      </c>
      <c r="BE193" s="605" t="n">
        <f>MAX(0,BE$190-BE$191)*PROJECTS!$AP$194</f>
        <v>1081633.2166872178</v>
      </c>
      <c r="BF193" s="605" t="n">
        <f>MAX(0,BF$190-BF$191)*PROJECTS!$AP$194</f>
        <v>1075110.9651401816</v>
      </c>
      <c r="BG193" s="605" t="n">
        <f>MAX(0,BG$190-BG$191)*PROJECTS!$AP$194</f>
        <v>1088918.1966934174</v>
      </c>
      <c r="BH193" s="605" t="n">
        <f>MAX(0,BH$190-BH$191)*PROJECTS!$AP$194</f>
        <v>1080697.0056667458</v>
      </c>
      <c r="BI193" s="605" t="n">
        <f>MAX(0,BI$190-BI$191)*PROJECTS!$AP$194</f>
        <v>1128051.683826735</v>
      </c>
      <c r="BJ193" s="605" t="n">
        <f>MAX(0,BJ$190-BJ$191)*PROJECTS!$AP$194</f>
        <v>1163170.453469948</v>
      </c>
      <c r="BK193" s="605" t="n">
        <f>MAX(0,BK$190-BK$191)*PROJECTS!$AP$194</f>
        <v>1133854.1265005395</v>
      </c>
      <c r="BL193" s="605" t="n">
        <f>MAX(0,BL$190-BL$191)*PROJECTS!$AP$194</f>
        <v>1156363.1065769685</v>
      </c>
      <c r="BM193" s="605" t="n">
        <f>MAX(0,BM$190-BM$191)*PROJECTS!$AP$194</f>
        <v>1148727.3457864248</v>
      </c>
      <c r="BN193" s="605" t="n">
        <f>MAX(0,BN$190-BN$191)*PROJECTS!$AP$194</f>
        <v>1162028.1302765913</v>
      </c>
      <c r="BO193" s="605" t="n">
        <f>MAX(0,BO$190-BO$191)*PROJECTS!$AP$194</f>
        <v>1156492.8680676434</v>
      </c>
      <c r="BP193" s="605" t="n">
        <f>MAX(0,BP$190-BP$191)*PROJECTS!$AP$194</f>
        <v>1473652.500827719</v>
      </c>
      <c r="BQ193" s="605" t="n">
        <f>MAX(0,BQ$190-BQ$191)*PROJECTS!$AP$194</f>
        <v>1475269.9176015619</v>
      </c>
      <c r="BR193" s="605" t="n">
        <f>MAX(0,BR$190-BR$191)*PROJECTS!$AP$194</f>
        <v>1477228.920320312</v>
      </c>
      <c r="BS193" s="605" t="n">
        <f>MAX(0,BS$190-BS$191)*PROJECTS!$AP$194</f>
        <v>1477228.920320312</v>
      </c>
      <c r="BT193" s="605" t="n">
        <f>MAX(0,BT$190-BT$191)*PROJECTS!$AP$194</f>
        <v>1477228.920320312</v>
      </c>
      <c r="BU193" s="605" t="n">
        <f>MAX(0,BU$190-BU$191)*PROJECTS!$AP$194</f>
        <v>1522403.6630811156</v>
      </c>
      <c r="BV193" s="605" t="n">
        <f>MAX(0,BV$190-BV$191)*PROJECTS!$AP$194</f>
        <v>1522403.6630811156</v>
      </c>
      <c r="BW193" s="605" t="n">
        <f>MAX(0,BW$190-BW$191)*PROJECTS!$AP$194</f>
        <v>1522403.6630811156</v>
      </c>
      <c r="BX193" s="605" t="n">
        <f>MAX(0,BX$190-BX$191)*PROJECTS!$AP$194</f>
        <v>1531768.4459342407</v>
      </c>
      <c r="BY193" s="605" t="n">
        <f>MAX(0,BY$190-BY$191)*PROJECTS!$AP$194</f>
        <v>1531768.4459342407</v>
      </c>
      <c r="BZ193" s="605" t="n">
        <f>MAX(0,BZ$190-BZ$191)*PROJECTS!$AP$194</f>
        <v>1531768.4459342407</v>
      </c>
      <c r="CA193" s="605" t="n">
        <f>MAX(0,CA$190-CA$191)*PROJECTS!$AP$194</f>
        <v>1533737.620467242</v>
      </c>
      <c r="CB193" s="605" t="n">
        <f>MAX(0,CB$190-CB$191)*PROJECTS!$AP$194</f>
        <v>1533737.620467242</v>
      </c>
      <c r="CC193" s="605" t="n">
        <f>MAX(0,CC$190-CC$191)*PROJECTS!$AP$194</f>
        <v>1533737.620467242</v>
      </c>
      <c r="CD193" s="605" t="n">
        <f>MAX(0,CD$190-CD$191)*PROJECTS!$AP$194</f>
        <v>1535765.1882811484</v>
      </c>
      <c r="CE193" s="605" t="n">
        <f>MAX(0,CE$190-CE$191)*PROJECTS!$AP$194</f>
        <v>1535765.1882811484</v>
      </c>
      <c r="CF193" s="605" t="n">
        <f>MAX(0,CF$190-CF$191)*PROJECTS!$AP$194</f>
        <v>1535765.1882811484</v>
      </c>
      <c r="CG193" s="605" t="n">
        <f>MAX(0,CG$190-CG$191)*PROJECTS!$AP$194</f>
        <v>1505658.2411293306</v>
      </c>
      <c r="CH193" s="605" t="n">
        <f>MAX(0,CH$190-CH$191)*PROJECTS!$AP$194</f>
        <v>1505658.2411293306</v>
      </c>
      <c r="CI193" s="605" t="n">
        <f>MAX(0,CI$190-CI$191)*PROJECTS!$AP$194</f>
        <v>1505658.2411293306</v>
      </c>
      <c r="CJ193" s="605" t="n">
        <f>MAX(0,CJ$190-CJ$191)*PROJECTS!$AP$194</f>
        <v>1515350.7913823149</v>
      </c>
      <c r="CK193" s="605" t="n">
        <f>MAX(0,CK$190-CK$191)*PROJECTS!$AP$194</f>
        <v>1515350.7913823149</v>
      </c>
      <c r="CL193" s="605" t="n">
        <f>MAX(0,CL$190-CL$191)*PROJECTS!$AP$194</f>
        <v>1515350.7913823149</v>
      </c>
      <c r="CM193" s="605" t="n">
        <f>MAX(0,CM$190-CM$191)*PROJECTS!$AP$194</f>
        <v>1517397.1844034602</v>
      </c>
      <c r="CN193" s="605" t="n">
        <f>MAX(0,CN$190-CN$191)*PROJECTS!$AP$194</f>
        <v>1517397.1844034602</v>
      </c>
      <c r="CO193" s="605" t="n">
        <f>MAX(0,CO$190-CO$191)*PROJECTS!$AP$194</f>
        <v>1517397.1844034602</v>
      </c>
      <c r="CP193" s="605" t="n">
        <f>MAX(0,CP$190-CP$191)*PROJECTS!$AP$194</f>
        <v>1519495.7170908535</v>
      </c>
      <c r="CQ193" s="605" t="n">
        <f>MAX(0,CQ$190-CQ$191)*PROJECTS!$AP$194</f>
        <v>1519495.7170908535</v>
      </c>
      <c r="CR193" s="605" t="n">
        <f>MAX(0,CR$190-CR$191)*PROJECTS!$AP$194</f>
        <v>1519495.7170908535</v>
      </c>
      <c r="CS193" s="605" t="n">
        <f>MAX(0,CS$190-CS$191)*PROJECTS!$AP$194</f>
        <v>1566472.387586719</v>
      </c>
      <c r="CT193" s="605" t="n">
        <f>MAX(0,CT$190-CT$191)*PROJECTS!$AP$194</f>
        <v>1566472.387586719</v>
      </c>
      <c r="CU193" s="605" t="n">
        <f>MAX(0,CU$190-CU$191)*PROJECTS!$AP$194</f>
        <v>1566472.387586719</v>
      </c>
      <c r="CV193" s="605" t="n">
        <f>MAX(0,CV$190-CV$191)*PROJECTS!$AP$194</f>
        <v>1576504.1770985576</v>
      </c>
      <c r="CW193" s="605" t="n">
        <f>MAX(0,CW$190-CW$191)*PROJECTS!$AP$194</f>
        <v>1576504.1770985576</v>
      </c>
      <c r="CX193" s="605" t="n">
        <f>MAX(0,CX$190-CX$191)*PROJECTS!$AP$194</f>
        <v>1576504.1770985576</v>
      </c>
      <c r="CY193" s="605" t="n">
        <f>MAX(0,CY$190-CY$191)*PROJECTS!$AP$194</f>
        <v>1578630.6572025227</v>
      </c>
      <c r="CZ193" s="605" t="n">
        <f>MAX(0,CZ$190-CZ$191)*PROJECTS!$AP$194</f>
        <v>1578630.6572025227</v>
      </c>
      <c r="DA193" s="605" t="n">
        <f>MAX(0,DA$190-DA$191)*PROJECTS!$AP$194</f>
        <v>1578630.6572025227</v>
      </c>
      <c r="DB193" s="605" t="n">
        <f>MAX(0,DB$190-DB$191)*PROJECTS!$AP$194</f>
        <v>1580802.6385339745</v>
      </c>
      <c r="DC193" s="605" t="n">
        <f>MAX(0,DC$190-DC$191)*PROJECTS!$AP$194</f>
        <v>1580802.6385339745</v>
      </c>
      <c r="DD193" s="605" t="n">
        <f>MAX(0,DD$190-DD$191)*PROJECTS!$AP$194</f>
        <v>1580802.6385339745</v>
      </c>
      <c r="DE193" s="605" t="n">
        <f>MAX(0,DE$190-DE$191)*PROJECTS!$AP$194</f>
        <v>1629457.7317888658</v>
      </c>
      <c r="DF193" s="605" t="n">
        <f>MAX(0,DF$190-DF$191)*PROJECTS!$AP$194</f>
        <v>1629457.7317888658</v>
      </c>
      <c r="DG193" s="605" t="n">
        <f>MAX(0,DG$190-DG$191)*PROJECTS!$AP$194</f>
        <v>1629457.7317888658</v>
      </c>
      <c r="DH193" s="605" t="n">
        <f>MAX(0,DH$190-DH$191)*PROJECTS!$AP$194</f>
        <v>1639840.633933619</v>
      </c>
      <c r="DI193" s="605" t="n">
        <f>MAX(0,DI$190-DI$191)*PROJECTS!$AP$194</f>
        <v>1639840.633933619</v>
      </c>
      <c r="DJ193" s="605" t="n">
        <f>MAX(0,DJ$190-DJ$191)*PROJECTS!$AP$194</f>
        <v>1639840.633933619</v>
      </c>
      <c r="DK193" s="605" t="n">
        <f>MAX(0,DK$190-DK$191)*PROJECTS!$AP$194</f>
        <v>1642050.1734348438</v>
      </c>
      <c r="DL193" s="605" t="n">
        <f>MAX(0,DL$190-DL$191)*PROJECTS!$AP$194</f>
        <v>1642050.1734348438</v>
      </c>
      <c r="DM193" s="605" t="n">
        <f>MAX(0,DM$190-DM$191)*PROJECTS!$AP$194</f>
        <v>1642050.1734348438</v>
      </c>
      <c r="DN193" s="605" t="n">
        <f>MAX(0,DN$190-DN$191)*PROJECTS!$AP$194</f>
        <v>1644298.1741128962</v>
      </c>
      <c r="DO193" s="605" t="n">
        <f>MAX(0,DO$190-DO$191)*PROJECTS!$AP$194</f>
        <v>1644298.1741128962</v>
      </c>
      <c r="DP193" s="605" t="n">
        <f>MAX(0,DP$190-DP$191)*PROJECTS!$AP$194</f>
        <v>1644298.1741128962</v>
      </c>
      <c r="DQ193" s="605" t="n">
        <f>MAX(0,DQ$190-DQ$191)*PROJECTS!$AP$194</f>
        <v>1694706.4763647176</v>
      </c>
      <c r="DR193" s="605" t="n">
        <f>MAX(0,DR$190-DR$191)*PROJECTS!$AP$194</f>
        <v>1694706.4763647176</v>
      </c>
      <c r="DS193" s="605" t="n">
        <f>MAX(0,DS$190-DS$191)*PROJECTS!$AP$194</f>
        <v>1694706.4763647176</v>
      </c>
      <c r="DT193" s="605" t="n">
        <f>MAX(0,DT$190-DT$191)*PROJECTS!$AP$194</f>
        <v>1705452.7800845369</v>
      </c>
      <c r="DU193" s="605" t="n">
        <f>MAX(0,DU$190-DU$191)*PROJECTS!$AP$194</f>
        <v>1705452.7800845369</v>
      </c>
      <c r="DV193" s="605" t="n">
        <f>MAX(0,DV$190-DV$191)*PROJECTS!$AP$194</f>
        <v>1705452.7800845369</v>
      </c>
    </row>
    <row r="194" ht="15" customHeight="1">
      <c r="A194" s="310" t="s">
        <v>1649</v>
      </c>
      <c r="B194" s="317" t="s">
        <v>1321</v>
      </c>
      <c r="C194" s="317" t="s">
        <v>1650</v>
      </c>
      <c r="D194" s="317"/>
      <c r="E194" s="317">
        <v>0</v>
      </c>
      <c r="F194" s="604" t="n">
        <f>MAX(0,F$139*12*PROJECTS!$AP$199)</f>
        <v>490.1960784313726</v>
      </c>
      <c r="G194" s="605" t="n">
        <f>MAX(0,G$139*12*PROJECTS!$AP$199)</f>
        <v>0</v>
      </c>
      <c r="H194" s="605" t="n">
        <f>MAX(0,H$139*12*PROJECTS!$AP$199)</f>
        <v>0</v>
      </c>
      <c r="I194" s="605" t="n">
        <f>MAX(0,I$139*12*PROJECTS!$AP$199)</f>
        <v>0</v>
      </c>
      <c r="J194" s="606" t="n">
        <f>MAX(0,J$139*12*PROJECTS!$AP$199)</f>
        <v>0</v>
      </c>
      <c r="K194" s="604" t="n">
        <f>MAX(0,K$139*12*PROJECTS!$AP$199)</f>
        <v>0</v>
      </c>
      <c r="L194" s="604" t="n">
        <f>MAX(0,L$139*12*PROJECTS!$AP$199)</f>
        <v>0</v>
      </c>
      <c r="M194" s="604" t="n">
        <f>MAX(0,M$139*12*PROJECTS!$AP$199)</f>
        <v>168035.02607478102</v>
      </c>
      <c r="N194" s="604" t="n">
        <f>MAX(0,N$139*12*PROJECTS!$AP$199)</f>
        <v>168035.02607478102</v>
      </c>
      <c r="O194" s="604" t="n">
        <f>MAX(0,O$139*12*PROJECTS!$AP$199)</f>
        <v>168035.02607478102</v>
      </c>
      <c r="P194" s="605" t="n">
        <f>MAX(0,P$139*12*PROJECTS!$AP$199)</f>
        <v>168035.02607478102</v>
      </c>
      <c r="Q194" s="605" t="n">
        <f>MAX(0,Q$139*12*PROJECTS!$AP$199)</f>
        <v>168035.02607478102</v>
      </c>
      <c r="R194" s="605" t="n">
        <f>MAX(0,R$139*12*PROJECTS!$AP$199)</f>
        <v>168035.02607478102</v>
      </c>
      <c r="S194" s="605" t="n">
        <f>MAX(0,S$139*12*PROJECTS!$AP$199)</f>
        <v>168035.02607478102</v>
      </c>
      <c r="T194" s="605" t="n">
        <f>MAX(0,T$139*12*PROJECTS!$AP$199)</f>
        <v>168035.02607478102</v>
      </c>
      <c r="U194" s="605" t="n">
        <f>MAX(0,U$139*12*PROJECTS!$AP$199)</f>
        <v>168035.02607478102</v>
      </c>
      <c r="V194" s="605" t="n">
        <f>MAX(0,V$139*12*PROJECTS!$AP$199)</f>
        <v>168035.02607478102</v>
      </c>
      <c r="W194" s="605" t="n">
        <f>MAX(0,W$139*12*PROJECTS!$AP$199)</f>
        <v>168035.02607478102</v>
      </c>
      <c r="X194" s="605" t="n">
        <f>MAX(0,X$139*12*PROJECTS!$AP$199)</f>
        <v>168035.02607478102</v>
      </c>
      <c r="Y194" s="605" t="n">
        <f>MAX(0,Y$139*12*PROJECTS!$AP$199)</f>
        <v>901477.3749936046</v>
      </c>
      <c r="Z194" s="605" t="n">
        <f>MAX(0,Z$139*12*PROJECTS!$AP$199)</f>
        <v>901477.3749936046</v>
      </c>
      <c r="AA194" s="605" t="n">
        <f>MAX(0,AA$139*12*PROJECTS!$AP$199)</f>
        <v>901477.3749936046</v>
      </c>
      <c r="AB194" s="605" t="n">
        <f>MAX(0,AB$139*12*PROJECTS!$AP$199)</f>
        <v>1090780.3270443876</v>
      </c>
      <c r="AC194" s="605" t="n">
        <f>MAX(0,AC$139*12*PROJECTS!$AP$199)</f>
        <v>1090780.3270443876</v>
      </c>
      <c r="AD194" s="605" t="n">
        <f>MAX(0,AD$139*12*PROJECTS!$AP$199)</f>
        <v>1090780.3270443876</v>
      </c>
      <c r="AE194" s="605" t="n">
        <f>MAX(0,AE$139*12*PROJECTS!$AP$199)</f>
        <v>1164107.2214325615</v>
      </c>
      <c r="AF194" s="605" t="n">
        <f>MAX(0,AF$139*12*PROJECTS!$AP$199)</f>
        <v>1164107.2214325615</v>
      </c>
      <c r="AG194" s="605" t="n">
        <f>MAX(0,AG$139*12*PROJECTS!$AP$199)</f>
        <v>1164107.2214325615</v>
      </c>
      <c r="AH194" s="605" t="n">
        <f>MAX(0,AH$139*12*PROJECTS!$AP$199)</f>
        <v>1209247.0935725966</v>
      </c>
      <c r="AI194" s="605" t="n">
        <f>MAX(0,AI$139*12*PROJECTS!$AP$199)</f>
        <v>1209247.0935725966</v>
      </c>
      <c r="AJ194" s="605" t="n">
        <f>MAX(0,AJ$139*12*PROJECTS!$AP$199)</f>
        <v>1211072.1696555505</v>
      </c>
      <c r="AK194" s="605" t="n">
        <f>MAX(0,AK$139*12*PROJECTS!$AP$199)</f>
        <v>1343766.114734188</v>
      </c>
      <c r="AL194" s="605" t="n">
        <f>MAX(0,AL$139*12*PROJECTS!$AP$199)</f>
        <v>1343766.114734188</v>
      </c>
      <c r="AM194" s="605" t="n">
        <f>MAX(0,AM$139*12*PROJECTS!$AP$199)</f>
        <v>1343766.114734188</v>
      </c>
      <c r="AN194" s="605" t="n">
        <f>MAX(0,AN$139*12*PROJECTS!$AP$199)</f>
        <v>1373895.523848672</v>
      </c>
      <c r="AO194" s="605" t="n">
        <f>MAX(0,AO$139*12*PROJECTS!$AP$199)</f>
        <v>1373895.523848672</v>
      </c>
      <c r="AP194" s="605" t="n">
        <f>MAX(0,AP$139*12*PROJECTS!$AP$199)</f>
        <v>1373895.523848672</v>
      </c>
      <c r="AQ194" s="605" t="n">
        <f>MAX(0,AQ$139*12*PROJECTS!$AP$199)</f>
        <v>1375715.5238486722</v>
      </c>
      <c r="AR194" s="605" t="n">
        <f>MAX(0,AR$139*12*PROJECTS!$AP$199)</f>
        <v>1375715.5238486722</v>
      </c>
      <c r="AS194" s="605" t="n">
        <f>MAX(0,AS$139*12*PROJECTS!$AP$199)</f>
        <v>1375715.5238486722</v>
      </c>
      <c r="AT194" s="605" t="n">
        <f>MAX(0,AT$139*12*PROJECTS!$AP$199)</f>
        <v>1377232.2700971547</v>
      </c>
      <c r="AU194" s="605" t="n">
        <f>MAX(0,AU$139*12*PROJECTS!$AP$199)</f>
        <v>1377232.2700971547</v>
      </c>
      <c r="AV194" s="605" t="n">
        <f>MAX(0,AV$139*12*PROJECTS!$AP$199)</f>
        <v>1377232.2700971547</v>
      </c>
      <c r="AW194" s="605" t="n">
        <f>MAX(0,AW$139*12*PROJECTS!$AP$199)</f>
        <v>1418068.2351398766</v>
      </c>
      <c r="AX194" s="605" t="n">
        <f>MAX(0,AX$139*12*PROJECTS!$AP$199)</f>
        <v>1418068.2351398766</v>
      </c>
      <c r="AY194" s="605" t="n">
        <f>MAX(0,AY$139*12*PROJECTS!$AP$199)</f>
        <v>1418068.2351398766</v>
      </c>
      <c r="AZ194" s="605" t="n">
        <f>MAX(0,AZ$139*12*PROJECTS!$AP$199)</f>
        <v>1425061.9351398766</v>
      </c>
      <c r="BA194" s="605" t="n">
        <f>MAX(0,BA$139*12*PROJECTS!$AP$199)</f>
        <v>1425061.9351398766</v>
      </c>
      <c r="BB194" s="605" t="n">
        <f>MAX(0,BB$139*12*PROJECTS!$AP$199)</f>
        <v>1425061.9351398766</v>
      </c>
      <c r="BC194" s="605" t="n">
        <f>MAX(0,BC$139*12*PROJECTS!$AP$199)</f>
        <v>1426945.6351398767</v>
      </c>
      <c r="BD194" s="605" t="n">
        <f>MAX(0,BD$139*12*PROJECTS!$AP$199)</f>
        <v>1426945.6351398767</v>
      </c>
      <c r="BE194" s="605" t="n">
        <f>MAX(0,BE$139*12*PROJECTS!$AP$199)</f>
        <v>1426945.6351398767</v>
      </c>
      <c r="BF194" s="605" t="n">
        <f>MAX(0,BF$139*12*PROJECTS!$AP$199)</f>
        <v>1428459.8401398766</v>
      </c>
      <c r="BG194" s="605" t="n">
        <f>MAX(0,BG$139*12*PROJECTS!$AP$199)</f>
        <v>1428459.8401398766</v>
      </c>
      <c r="BH194" s="605" t="n">
        <f>MAX(0,BH$139*12*PROJECTS!$AP$199)</f>
        <v>1428459.8401398766</v>
      </c>
      <c r="BI194" s="605" t="n">
        <f>MAX(0,BI$139*12*PROJECTS!$AP$199)</f>
        <v>1465428.3452313594</v>
      </c>
      <c r="BJ194" s="605" t="n">
        <f>MAX(0,BJ$139*12*PROJECTS!$AP$199)</f>
        <v>1465428.3452313594</v>
      </c>
      <c r="BK194" s="605" t="n">
        <f>MAX(0,BK$139*12*PROJECTS!$AP$199)</f>
        <v>1465428.3452313594</v>
      </c>
      <c r="BL194" s="605" t="n">
        <f>MAX(0,BL$139*12*PROJECTS!$AP$199)</f>
        <v>1472666.8247313593</v>
      </c>
      <c r="BM194" s="605" t="n">
        <f>MAX(0,BM$139*12*PROJECTS!$AP$199)</f>
        <v>1472666.8247313593</v>
      </c>
      <c r="BN194" s="605" t="n">
        <f>MAX(0,BN$139*12*PROJECTS!$AP$199)</f>
        <v>1472666.8247313593</v>
      </c>
      <c r="BO194" s="605" t="n">
        <f>MAX(0,BO$139*12*PROJECTS!$AP$199)</f>
        <v>1474616.4542313593</v>
      </c>
      <c r="BP194" s="605" t="n">
        <f>MAX(0,BP$139*12*PROJECTS!$AP$199)</f>
        <v>1474616.4542313593</v>
      </c>
      <c r="BQ194" s="605" t="n">
        <f>MAX(0,BQ$139*12*PROJECTS!$AP$199)</f>
        <v>1474616.4542313593</v>
      </c>
      <c r="BR194" s="605" t="n">
        <f>MAX(0,BR$139*12*PROJECTS!$AP$199)</f>
        <v>1476183.6564063595</v>
      </c>
      <c r="BS194" s="605" t="n">
        <f>MAX(0,BS$139*12*PROJECTS!$AP$199)</f>
        <v>1476183.6564063595</v>
      </c>
      <c r="BT194" s="605" t="n">
        <f>MAX(0,BT$139*12*PROJECTS!$AP$199)</f>
        <v>1476183.6564063595</v>
      </c>
      <c r="BU194" s="605" t="n">
        <f>MAX(0,BU$139*12*PROJECTS!$AP$199)</f>
        <v>1513660.061513743</v>
      </c>
      <c r="BV194" s="605" t="n">
        <f>MAX(0,BV$139*12*PROJECTS!$AP$199)</f>
        <v>1513660.061513743</v>
      </c>
      <c r="BW194" s="605" t="n">
        <f>MAX(0,BW$139*12*PROJECTS!$AP$199)</f>
        <v>1513660.061513743</v>
      </c>
      <c r="BX194" s="605" t="n">
        <f>MAX(0,BX$139*12*PROJECTS!$AP$199)</f>
        <v>1521151.887796243</v>
      </c>
      <c r="BY194" s="605" t="n">
        <f>MAX(0,BY$139*12*PROJECTS!$AP$199)</f>
        <v>1521151.887796243</v>
      </c>
      <c r="BZ194" s="605" t="n">
        <f>MAX(0,BZ$139*12*PROJECTS!$AP$199)</f>
        <v>1521151.887796243</v>
      </c>
      <c r="CA194" s="605" t="n">
        <f>MAX(0,CA$139*12*PROJECTS!$AP$199)</f>
        <v>1523169.7543287426</v>
      </c>
      <c r="CB194" s="605" t="n">
        <f>MAX(0,CB$139*12*PROJECTS!$AP$199)</f>
        <v>1523169.7543287426</v>
      </c>
      <c r="CC194" s="605" t="n">
        <f>MAX(0,CC$139*12*PROJECTS!$AP$199)</f>
        <v>1523169.7543287426</v>
      </c>
      <c r="CD194" s="605" t="n">
        <f>MAX(0,CD$139*12*PROJECTS!$AP$199)</f>
        <v>1524791.8085798677</v>
      </c>
      <c r="CE194" s="605" t="n">
        <f>MAX(0,CE$139*12*PROJECTS!$AP$199)</f>
        <v>1524791.8085798677</v>
      </c>
      <c r="CF194" s="605" t="n">
        <f>MAX(0,CF$139*12*PROJECTS!$AP$199)</f>
        <v>1524791.8085798677</v>
      </c>
      <c r="CG194" s="605" t="n">
        <f>MAX(0,CG$139*12*PROJECTS!$AP$199)</f>
        <v>1499936.8306150818</v>
      </c>
      <c r="CH194" s="605" t="n">
        <f>MAX(0,CH$139*12*PROJECTS!$AP$199)</f>
        <v>1499936.8306150818</v>
      </c>
      <c r="CI194" s="605" t="n">
        <f>MAX(0,CI$139*12*PROJECTS!$AP$199)</f>
        <v>1499936.8306150818</v>
      </c>
      <c r="CJ194" s="605" t="n">
        <f>MAX(0,CJ$139*12*PROJECTS!$AP$199)</f>
        <v>1507690.8708174694</v>
      </c>
      <c r="CK194" s="605" t="n">
        <f>MAX(0,CK$139*12*PROJECTS!$AP$199)</f>
        <v>1507690.8708174694</v>
      </c>
      <c r="CL194" s="605" t="n">
        <f>MAX(0,CL$139*12*PROJECTS!$AP$199)</f>
        <v>1507690.8708174694</v>
      </c>
      <c r="CM194" s="605" t="n">
        <f>MAX(0,CM$139*12*PROJECTS!$AP$199)</f>
        <v>1509779.3626786065</v>
      </c>
      <c r="CN194" s="605" t="n">
        <f>MAX(0,CN$139*12*PROJECTS!$AP$199)</f>
        <v>1509779.3626786065</v>
      </c>
      <c r="CO194" s="605" t="n">
        <f>MAX(0,CO$139*12*PROJECTS!$AP$199)</f>
        <v>1509779.3626786065</v>
      </c>
      <c r="CP194" s="605" t="n">
        <f>MAX(0,CP$139*12*PROJECTS!$AP$199)</f>
        <v>1511458.1888285212</v>
      </c>
      <c r="CQ194" s="605" t="n">
        <f>MAX(0,CQ$139*12*PROJECTS!$AP$199)</f>
        <v>1511458.1888285212</v>
      </c>
      <c r="CR194" s="605" t="n">
        <f>MAX(0,CR$139*12*PROJECTS!$AP$199)</f>
        <v>1511458.1888285212</v>
      </c>
      <c r="CS194" s="605" t="n">
        <f>MAX(0,CS$139*12*PROJECTS!$AP$199)</f>
        <v>1550430.442290157</v>
      </c>
      <c r="CT194" s="605" t="n">
        <f>MAX(0,CT$139*12*PROJECTS!$AP$199)</f>
        <v>1550430.442290157</v>
      </c>
      <c r="CU194" s="605" t="n">
        <f>MAX(0,CU$139*12*PROJECTS!$AP$199)</f>
        <v>1550430.442290157</v>
      </c>
      <c r="CV194" s="605" t="n">
        <f>MAX(0,CV$139*12*PROJECTS!$AP$199)</f>
        <v>1558455.8738996282</v>
      </c>
      <c r="CW194" s="605" t="n">
        <f>MAX(0,CW$139*12*PROJECTS!$AP$199)</f>
        <v>1558455.8738996282</v>
      </c>
      <c r="CX194" s="605" t="n">
        <f>MAX(0,CX$139*12*PROJECTS!$AP$199)</f>
        <v>1558455.8738996282</v>
      </c>
      <c r="CY194" s="605" t="n">
        <f>MAX(0,CY$139*12*PROJECTS!$AP$199)</f>
        <v>1560617.4629759055</v>
      </c>
      <c r="CZ194" s="605" t="n">
        <f>MAX(0,CZ$139*12*PROJECTS!$AP$199)</f>
        <v>1560617.4629759055</v>
      </c>
      <c r="DA194" s="605" t="n">
        <f>MAX(0,DA$139*12*PROJECTS!$AP$199)</f>
        <v>1560617.4629759055</v>
      </c>
      <c r="DB194" s="605" t="n">
        <f>MAX(0,DB$139*12*PROJECTS!$AP$199)</f>
        <v>1562355.0480410669</v>
      </c>
      <c r="DC194" s="605" t="n">
        <f>MAX(0,DC$139*12*PROJECTS!$AP$199)</f>
        <v>1562355.0480410669</v>
      </c>
      <c r="DD194" s="605" t="n">
        <f>MAX(0,DD$139*12*PROJECTS!$AP$199)</f>
        <v>1562355.0480410669</v>
      </c>
      <c r="DE194" s="605" t="n">
        <f>MAX(0,DE$139*12*PROJECTS!$AP$199)</f>
        <v>1602719.0357258576</v>
      </c>
      <c r="DF194" s="605" t="n">
        <f>MAX(0,DF$139*12*PROJECTS!$AP$199)</f>
        <v>1602719.0357258576</v>
      </c>
      <c r="DG194" s="605" t="n">
        <f>MAX(0,DG$139*12*PROJECTS!$AP$199)</f>
        <v>1602719.0357258576</v>
      </c>
      <c r="DH194" s="605" t="n">
        <f>MAX(0,DH$139*12*PROJECTS!$AP$199)</f>
        <v>1611025.3574416602</v>
      </c>
      <c r="DI194" s="605" t="n">
        <f>MAX(0,DI$139*12*PROJECTS!$AP$199)</f>
        <v>1611025.3574416602</v>
      </c>
      <c r="DJ194" s="605" t="n">
        <f>MAX(0,DJ$139*12*PROJECTS!$AP$199)</f>
        <v>1611025.3574416602</v>
      </c>
      <c r="DK194" s="605" t="n">
        <f>MAX(0,DK$139*12*PROJECTS!$AP$199)</f>
        <v>1613262.6021356073</v>
      </c>
      <c r="DL194" s="605" t="n">
        <f>MAX(0,DL$139*12*PROJECTS!$AP$199)</f>
        <v>1613262.6021356073</v>
      </c>
      <c r="DM194" s="605" t="n">
        <f>MAX(0,DM$139*12*PROJECTS!$AP$199)</f>
        <v>1613262.6021356073</v>
      </c>
      <c r="DN194" s="605" t="n">
        <f>MAX(0,DN$139*12*PROJECTS!$AP$199)</f>
        <v>1615061.0026780493</v>
      </c>
      <c r="DO194" s="605" t="n">
        <f>MAX(0,DO$139*12*PROJECTS!$AP$199)</f>
        <v>1615061.0026780493</v>
      </c>
      <c r="DP194" s="605" t="n">
        <f>MAX(0,DP$139*12*PROJECTS!$AP$199)</f>
        <v>1615061.0026780493</v>
      </c>
      <c r="DQ194" s="605" t="n">
        <f>MAX(0,DQ$139*12*PROJECTS!$AP$199)</f>
        <v>1656878.6982628072</v>
      </c>
      <c r="DR194" s="605" t="n">
        <f>MAX(0,DR$139*12*PROJECTS!$AP$199)</f>
        <v>1656878.6982628072</v>
      </c>
      <c r="DS194" s="605" t="n">
        <f>MAX(0,DS$139*12*PROJECTS!$AP$199)</f>
        <v>1656878.6982628072</v>
      </c>
      <c r="DT194" s="605" t="n">
        <f>MAX(0,DT$139*12*PROJECTS!$AP$199)</f>
        <v>1665475.7412386627</v>
      </c>
      <c r="DU194" s="605" t="n">
        <f>MAX(0,DU$139*12*PROJECTS!$AP$199)</f>
        <v>1665475.7412386627</v>
      </c>
      <c r="DV194" s="605" t="n">
        <f>MAX(0,DV$139*12*PROJECTS!$AP$199)</f>
        <v>1665475.7412386627</v>
      </c>
    </row>
  </sheetData>
  <mergeCells>
    <mergeCell ref="A185:H185"/>
    <mergeCell ref="J185:R185"/>
    <mergeCell ref="A2:K2"/>
    <mergeCell ref="L2:R2"/>
    <mergeCell ref="A4:R4"/>
    <mergeCell ref="A5:G5"/>
    <mergeCell ref="C6:G6"/>
    <mergeCell ref="C7:G7"/>
    <mergeCell ref="C8:G8"/>
    <mergeCell ref="C9:G9"/>
    <mergeCell ref="C10:G10"/>
    <mergeCell ref="J5:R5"/>
    <mergeCell ref="M6:R6"/>
    <mergeCell ref="M7:R7"/>
    <mergeCell ref="M8:R8"/>
    <mergeCell ref="M9:R9"/>
    <mergeCell ref="M10:R10"/>
    <mergeCell ref="C11:G11"/>
    <mergeCell ref="C12:G12"/>
    <mergeCell ref="C13:G13"/>
    <mergeCell ref="C14:G14"/>
    <mergeCell ref="M11:R11"/>
    <mergeCell ref="M12:R12"/>
    <mergeCell ref="M13:R13"/>
    <mergeCell ref="C15:G15"/>
    <mergeCell ref="C16:G16"/>
    <mergeCell ref="C17:G17"/>
    <mergeCell ref="C18:G18"/>
    <mergeCell ref="C19:G19"/>
    <mergeCell ref="C20:G20"/>
    <mergeCell ref="C21:G21"/>
    <mergeCell ref="A23:G23"/>
    <mergeCell ref="C24:G24"/>
    <mergeCell ref="C25:G25"/>
    <mergeCell ref="C26:G26"/>
    <mergeCell ref="C27:G27"/>
    <mergeCell ref="C28:G28"/>
    <mergeCell ref="C29:G29"/>
    <mergeCell ref="C40:G40"/>
    <mergeCell ref="C46:G46"/>
    <mergeCell ref="C47:G47"/>
    <mergeCell ref="C30:G30"/>
    <mergeCell ref="A32:G32"/>
    <mergeCell ref="C33:G33"/>
    <mergeCell ref="C34:G34"/>
    <mergeCell ref="C35:G35"/>
    <mergeCell ref="C36:G36"/>
    <mergeCell ref="C37:G37"/>
    <mergeCell ref="C38:G38"/>
    <mergeCell ref="C39:G39"/>
    <mergeCell ref="C41:G41"/>
    <mergeCell ref="C42:G42"/>
    <mergeCell ref="C43:G43"/>
    <mergeCell ref="C44:G44"/>
    <mergeCell ref="C45:G45"/>
    <mergeCell ref="J35:R35"/>
    <mergeCell ref="M14:R14"/>
    <mergeCell ref="M15:R15"/>
    <mergeCell ref="M16:R16"/>
    <mergeCell ref="M17:R17"/>
    <mergeCell ref="M18:R18"/>
    <mergeCell ref="M19:R19"/>
    <mergeCell ref="M20:R20"/>
    <mergeCell ref="M21:R21"/>
    <mergeCell ref="M22:R22"/>
    <mergeCell ref="M23:R23"/>
    <mergeCell ref="M24:R24"/>
    <mergeCell ref="M25:R25"/>
    <mergeCell ref="M26:R26"/>
    <mergeCell ref="M27:R27"/>
    <mergeCell ref="J29:R29"/>
    <mergeCell ref="C48:G48"/>
    <mergeCell ref="C64:D64"/>
    <mergeCell ref="C65:D65"/>
    <mergeCell ref="C66:D66"/>
    <mergeCell ref="C67:D67"/>
    <mergeCell ref="A60:DV60"/>
    <mergeCell ref="C61:D61"/>
    <mergeCell ref="C63:D63"/>
    <mergeCell ref="C49:G49"/>
    <mergeCell ref="C50:G50"/>
    <mergeCell ref="C51:G51"/>
    <mergeCell ref="C52:G52"/>
    <mergeCell ref="C53:G53"/>
    <mergeCell ref="C68:D68"/>
    <mergeCell ref="C69:D69"/>
    <mergeCell ref="C70:D70"/>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6:D116"/>
    <mergeCell ref="C117:D117"/>
    <mergeCell ref="C118:D118"/>
    <mergeCell ref="C131:D131"/>
    <mergeCell ref="C132:D132"/>
    <mergeCell ref="C119:D119"/>
    <mergeCell ref="C120:D120"/>
    <mergeCell ref="C121:D121"/>
    <mergeCell ref="C122:D122"/>
    <mergeCell ref="C123:D123"/>
    <mergeCell ref="C139:D139"/>
    <mergeCell ref="C140:D140"/>
    <mergeCell ref="C141:D141"/>
    <mergeCell ref="C142:D142"/>
    <mergeCell ref="C143:D143"/>
    <mergeCell ref="A62:DV62"/>
    <mergeCell ref="A72:DV72"/>
    <mergeCell ref="A100:DV100"/>
    <mergeCell ref="A115:DV115"/>
    <mergeCell ref="A138:DV138"/>
    <mergeCell ref="C133:D133"/>
    <mergeCell ref="C134:D134"/>
    <mergeCell ref="C135:D135"/>
    <mergeCell ref="C136:D136"/>
    <mergeCell ref="C124:D124"/>
    <mergeCell ref="C125:D125"/>
    <mergeCell ref="C126:D126"/>
    <mergeCell ref="C127:D127"/>
    <mergeCell ref="C128:D128"/>
    <mergeCell ref="C129:D129"/>
    <mergeCell ref="C130:D130"/>
    <mergeCell ref="A158:R158"/>
    <mergeCell ref="C144:D144"/>
    <mergeCell ref="C145:D145"/>
    <mergeCell ref="C146:D146"/>
    <mergeCell ref="C147:D147"/>
    <mergeCell ref="C148:D148"/>
    <mergeCell ref="C149:D149"/>
    <mergeCell ref="C150:D150"/>
    <mergeCell ref="C151:D151"/>
    <mergeCell ref="C152:D152"/>
    <mergeCell ref="C153:D153"/>
    <mergeCell ref="C154:D154"/>
    <mergeCell ref="C155:D155"/>
    <mergeCell ref="B159:D159"/>
    <mergeCell ref="E159:R159"/>
    <mergeCell ref="B160:D160"/>
    <mergeCell ref="E160:R160"/>
    <mergeCell ref="B161:D161"/>
    <mergeCell ref="E161:R161"/>
    <mergeCell ref="B162:D162"/>
    <mergeCell ref="E162:R162"/>
    <mergeCell ref="B163:D163"/>
    <mergeCell ref="E163:R163"/>
    <mergeCell ref="B164:D164"/>
    <mergeCell ref="E164:R164"/>
    <mergeCell ref="B165:D165"/>
    <mergeCell ref="E165:R165"/>
    <mergeCell ref="B166:D166"/>
    <mergeCell ref="E166:R166"/>
    <mergeCell ref="B167:D167"/>
    <mergeCell ref="E167:R167"/>
    <mergeCell ref="B168:D168"/>
    <mergeCell ref="E168:R168"/>
    <mergeCell ref="A176:H176"/>
    <mergeCell ref="A183:H183"/>
    <mergeCell ref="J176:R176"/>
    <mergeCell ref="J183:R183"/>
    <mergeCell ref="B169:D169"/>
    <mergeCell ref="E169:R169"/>
    <mergeCell ref="B170:D170"/>
    <mergeCell ref="E170:R170"/>
    <mergeCell ref="B171:D171"/>
    <mergeCell ref="E171:R171"/>
    <mergeCell ref="B172:D172"/>
    <mergeCell ref="E172:R172"/>
    <mergeCell ref="B173:D173"/>
    <mergeCell ref="E173:R173"/>
  </mergeCells>
  <dataValidations count="6">
    <dataValidation type="list" showInputMessage="1" showErrorMessage="1" errorTitle="Invalid selection" error="Select an item from the list." promptTitle="Funding selection" prompt="Use the drop-down selection." sqref="B7">
      <formula1>"Equity First,Pro Rata,Debt Last"</formula1>
    </dataValidation>
    <dataValidation type="list" showInputMessage="1" showErrorMessage="1" errorTitle="Invalid selection" error="Select an item from the list." promptTitle="Construction drawstop" prompt="Use the drop-down selection." sqref="B21">
      <formula1>"Yes,No"</formula1>
    </dataValidation>
    <dataValidation type="list" showInputMessage="1" showErrorMessage="1" errorTitle="Invalid selection" error="Select an item from the list." promptTitle="Term-debt trigger" prompt="Use the drop-down selection." sqref="B33">
      <formula1>"Practical Completion,Stabilisation,Manual Date"</formula1>
    </dataValidation>
    <dataValidation type="list" showInputMessage="1" showErrorMessage="1" errorTitle="Invalid selection" error="Select an item from the list." promptTitle="Working-capital refinancing" prompt="Use the drop-down selection." sqref="B36">
      <formula1>"Yes,No"</formula1>
    </dataValidation>
    <dataValidation type="list" showInputMessage="1" showErrorMessage="1" errorTitle="Invalid selection" error="Select an item from the list." promptTitle="Repayment profile" prompt="Use the drop-down selection." sqref="B44">
      <formula1>"Full amortisation,Partial amortisation with bullet,Interest-only followed by amortisation,Sculpted to CFADS"</formula1>
    </dataValidation>
    <dataValidation type="list" showInputMessage="1" showErrorMessage="1" errorTitle="Invalid selection" error="Select an item from the list." promptTitle="Scenario" prompt="Use the drop-down selection." sqref="B6">
      <formula1>"Downside,Base,Upside"</formula1>
    </dataValidation>
  </dataValidations>
  <pageMargins left="0.7" right="0.7" top="0.75" bottom="0.75" header="0.3" footer="0.3"/>
</worksheet>
</file>

<file path=xl/worksheets/sheet10.xml><?xml version="1.0" encoding="utf-8"?>
<worksheet xmlns="http://schemas.openxmlformats.org/spreadsheetml/2006/main">
  <sheetPr>
    <tabColor rgb="FFE6E0C4"/>
  </sheetPr>
  <sheetViews>
    <sheetView showGridLines="0" workbookViewId="0"/>
  </sheetViews>
  <sheetFormatPr defaultRowHeight="14.5"/>
  <cols>
    <col min="1" max="1" width="15" customWidth="1"/>
    <col min="2" max="2" width="38" customWidth="1"/>
    <col min="3" max="3" width="27" customWidth="1"/>
    <col min="4" max="4" width="20" customWidth="1"/>
    <col min="5" max="5" width="22" customWidth="1"/>
    <col min="6" max="7" width="24" customWidth="1"/>
    <col min="8" max="8" width="28" customWidth="1"/>
    <col min="9" max="9" width="20" customWidth="1"/>
    <col min="10" max="10" width="12" customWidth="1"/>
    <col min="11" max="11" width="133.5" customWidth="1"/>
    <col min="12" max="12" width="27" customWidth="1"/>
    <col min="13" max="13" width="48" customWidth="1"/>
  </cols>
  <sheetData>
    <row r="2" ht="26" customHeight="1">
      <c r="A2" s="696" t="s">
        <v>660</v>
      </c>
      <c r="B2" s="699"/>
      <c r="C2" s="699"/>
      <c r="D2" s="699"/>
      <c r="E2" s="699"/>
      <c r="F2" s="699"/>
      <c r="G2" s="699"/>
      <c r="H2" s="699"/>
      <c r="I2" s="699"/>
      <c r="J2" s="699"/>
      <c r="K2" s="699"/>
    </row>
    <row r="4" ht="26" customHeight="1">
      <c r="A4" s="698" t="s">
        <v>1651</v>
      </c>
      <c r="B4" s="699"/>
      <c r="C4" s="699"/>
      <c r="D4" s="699"/>
      <c r="E4" s="699"/>
      <c r="F4" s="699"/>
      <c r="G4" s="699"/>
      <c r="H4" s="699"/>
      <c r="I4" s="699"/>
      <c r="J4" s="699"/>
      <c r="K4" s="699"/>
    </row>
    <row r="5" ht="24" customHeight="1">
      <c r="A5" s="695" t="s">
        <v>1652</v>
      </c>
      <c r="B5" s="699"/>
      <c r="C5" s="699"/>
      <c r="D5" s="699"/>
      <c r="E5" s="699"/>
      <c r="F5" s="699"/>
      <c r="G5" s="699"/>
      <c r="H5" s="699"/>
      <c r="I5" s="699"/>
      <c r="J5" s="699"/>
      <c r="K5" s="699"/>
    </row>
    <row r="6">
      <c r="A6" t="s">
        <v>1653</v>
      </c>
    </row>
    <row r="7" ht="22" customHeight="1">
      <c r="A7" s="310" t="s">
        <v>1654</v>
      </c>
      <c r="B7" s="310" t="s">
        <v>1655</v>
      </c>
      <c r="C7" s="310" t="s">
        <v>1656</v>
      </c>
      <c r="D7" s="310" t="s">
        <v>1657</v>
      </c>
      <c r="E7" s="310" t="s">
        <v>1658</v>
      </c>
      <c r="F7" s="310" t="s">
        <v>1659</v>
      </c>
      <c r="G7" s="310" t="s">
        <v>1660</v>
      </c>
      <c r="H7" s="310" t="s">
        <v>1661</v>
      </c>
      <c r="I7" s="310" t="s">
        <v>612</v>
      </c>
      <c r="J7" s="310" t="s">
        <v>1662</v>
      </c>
      <c r="K7" s="310" t="s">
        <v>1663</v>
      </c>
      <c r="L7" s="679" t="s">
        <v>1664</v>
      </c>
      <c r="M7" s="679" t="s">
        <v>1665</v>
      </c>
    </row>
    <row r="8" ht="28" customHeight="1">
      <c r="A8" s="311" t="s">
        <v>1666</v>
      </c>
      <c r="B8" s="312" t="s">
        <v>1667</v>
      </c>
      <c r="C8" s="312" t="s">
        <v>1668</v>
      </c>
      <c r="D8" s="312" t="s">
        <v>1669</v>
      </c>
      <c r="E8" s="312" t="s">
        <v>1670</v>
      </c>
      <c r="F8" s="312" t="s">
        <v>1671</v>
      </c>
      <c r="G8" s="312" t="s">
        <v>1672</v>
      </c>
      <c r="H8" s="312" t="s">
        <v>1673</v>
      </c>
      <c r="I8" s="312" t="s">
        <v>1674</v>
      </c>
      <c r="J8" s="312" t="s">
        <v>318</v>
      </c>
      <c r="K8" s="312" t="s">
        <v>1675</v>
      </c>
      <c r="L8" s="329" t="s">
        <v>1676</v>
      </c>
      <c r="M8" s="329" t="s">
        <v>1677</v>
      </c>
    </row>
    <row r="9" ht="28" customHeight="1">
      <c r="A9" s="311" t="s">
        <v>1678</v>
      </c>
      <c r="B9" s="312" t="s">
        <v>1679</v>
      </c>
      <c r="C9" s="312" t="s">
        <v>1680</v>
      </c>
      <c r="D9" s="312" t="s">
        <v>1681</v>
      </c>
      <c r="E9" s="312" t="s">
        <v>1682</v>
      </c>
      <c r="F9" s="312" t="s">
        <v>1671</v>
      </c>
      <c r="G9" s="312" t="s">
        <v>1681</v>
      </c>
      <c r="H9" s="312" t="s">
        <v>1673</v>
      </c>
      <c r="I9" s="312" t="s">
        <v>1674</v>
      </c>
      <c r="J9" s="312" t="s">
        <v>318</v>
      </c>
      <c r="K9" s="312" t="s">
        <v>1683</v>
      </c>
      <c r="L9" s="329" t="s">
        <v>1684</v>
      </c>
      <c r="M9" s="329" t="s">
        <v>1677</v>
      </c>
    </row>
    <row r="10" ht="28" customHeight="1">
      <c r="A10" s="311" t="s">
        <v>1685</v>
      </c>
      <c r="B10" s="312" t="s">
        <v>1686</v>
      </c>
      <c r="C10" s="312" t="s">
        <v>1668</v>
      </c>
      <c r="D10" s="312" t="s">
        <v>1687</v>
      </c>
      <c r="E10" s="312" t="s">
        <v>1688</v>
      </c>
      <c r="F10" s="312" t="s">
        <v>1671</v>
      </c>
      <c r="G10" s="312" t="s">
        <v>1689</v>
      </c>
      <c r="H10" s="312" t="s">
        <v>1673</v>
      </c>
      <c r="I10" s="312" t="s">
        <v>1674</v>
      </c>
      <c r="J10" s="312" t="s">
        <v>318</v>
      </c>
      <c r="K10" s="312" t="s">
        <v>1690</v>
      </c>
      <c r="L10" s="329" t="s">
        <v>1676</v>
      </c>
      <c r="M10" s="329" t="s">
        <v>1677</v>
      </c>
    </row>
    <row r="11" ht="28" customHeight="1">
      <c r="A11" s="311" t="s">
        <v>1691</v>
      </c>
      <c r="B11" s="312" t="s">
        <v>1692</v>
      </c>
      <c r="C11" s="312" t="s">
        <v>1668</v>
      </c>
      <c r="D11" s="312" t="s">
        <v>1687</v>
      </c>
      <c r="E11" s="312" t="s">
        <v>1693</v>
      </c>
      <c r="F11" s="312" t="s">
        <v>1671</v>
      </c>
      <c r="G11" s="312" t="s">
        <v>1694</v>
      </c>
      <c r="H11" s="312" t="s">
        <v>1673</v>
      </c>
      <c r="I11" s="312" t="s">
        <v>1674</v>
      </c>
      <c r="J11" s="312" t="s">
        <v>318</v>
      </c>
      <c r="K11" s="312" t="str">
        <v>State is Victoria; source and target are consistent.</v>
      </c>
      <c r="L11" s="329" t="s">
        <v>1676</v>
      </c>
      <c r="M11" s="329" t="s">
        <v>1677</v>
      </c>
    </row>
    <row r="12" ht="28" customHeight="1">
      <c r="A12" s="311" t="s">
        <v>1695</v>
      </c>
      <c r="B12" s="312" t="s">
        <v>1696</v>
      </c>
      <c r="C12" s="312" t="s">
        <v>1680</v>
      </c>
      <c r="D12" s="312" t="s">
        <v>1697</v>
      </c>
      <c r="E12" s="312" t="s">
        <v>1698</v>
      </c>
      <c r="F12" s="312" t="s">
        <v>1671</v>
      </c>
      <c r="G12" s="312" t="s">
        <v>1697</v>
      </c>
      <c r="H12" s="312" t="s">
        <v>1673</v>
      </c>
      <c r="I12" s="312" t="s">
        <v>1674</v>
      </c>
      <c r="J12" s="312" t="s">
        <v>318</v>
      </c>
      <c r="K12" s="312" t="str">
        <v>Country is Australia; retained target input because no conflicting source exists.</v>
      </c>
      <c r="L12" s="329" t="s">
        <v>1684</v>
      </c>
      <c r="M12" s="329" t="s">
        <v>1677</v>
      </c>
    </row>
    <row r="13" ht="28" customHeight="1">
      <c r="A13" s="311" t="s">
        <v>1699</v>
      </c>
      <c r="B13" s="312" t="s">
        <v>1700</v>
      </c>
      <c r="C13" s="312" t="s">
        <v>1668</v>
      </c>
      <c r="D13" s="312" t="s">
        <v>1701</v>
      </c>
      <c r="E13" s="312" t="s">
        <v>1702</v>
      </c>
      <c r="F13" s="312" t="s">
        <v>1671</v>
      </c>
      <c r="G13" s="312" t="s">
        <v>1703</v>
      </c>
      <c r="H13" s="312" t="s">
        <v>1673</v>
      </c>
      <c r="I13" s="312" t="s">
        <v>1674</v>
      </c>
      <c r="J13" s="312" t="s">
        <v>318</v>
      </c>
      <c r="K13" s="312" t="s">
        <v>1704</v>
      </c>
      <c r="L13" s="329" t="s">
        <v>1676</v>
      </c>
      <c r="M13" s="329" t="s">
        <v>1677</v>
      </c>
    </row>
    <row r="14" ht="28" customHeight="1">
      <c r="A14" s="311" t="s">
        <v>1705</v>
      </c>
      <c r="B14" s="312" t="s">
        <v>1706</v>
      </c>
      <c r="C14" s="312" t="s">
        <v>1668</v>
      </c>
      <c r="D14" s="312" t="s">
        <v>1707</v>
      </c>
      <c r="E14" s="312" t="s">
        <v>1708</v>
      </c>
      <c r="F14" s="312" t="s">
        <v>1671</v>
      </c>
      <c r="G14" s="312" t="s">
        <v>1709</v>
      </c>
      <c r="H14" s="312" t="s">
        <v>1710</v>
      </c>
      <c r="I14" s="312" t="s">
        <v>1674</v>
      </c>
      <c r="J14" s="312" t="s">
        <v>1711</v>
      </c>
      <c r="K14" s="312" t="s">
        <v>1712</v>
      </c>
      <c r="L14" s="329" t="s">
        <v>1676</v>
      </c>
      <c r="M14" s="329" t="s">
        <v>1713</v>
      </c>
    </row>
    <row r="15" ht="28" customHeight="1">
      <c r="A15" s="311" t="s">
        <v>1714</v>
      </c>
      <c r="B15" s="312" t="s">
        <v>1715</v>
      </c>
      <c r="C15" s="312" t="s">
        <v>1668</v>
      </c>
      <c r="D15" s="312" t="s">
        <v>1716</v>
      </c>
      <c r="E15" s="312" t="s">
        <v>1717</v>
      </c>
      <c r="F15" s="312" t="s">
        <v>1671</v>
      </c>
      <c r="G15" s="312" t="s">
        <v>1718</v>
      </c>
      <c r="H15" s="312" t="s">
        <v>1719</v>
      </c>
      <c r="I15" s="312" t="s">
        <v>1720</v>
      </c>
      <c r="J15" s="312" t="s">
        <v>1711</v>
      </c>
      <c r="K15" s="312" t="s">
        <v>1721</v>
      </c>
      <c r="L15" s="329" t="s">
        <v>1676</v>
      </c>
      <c r="M15" s="329" t="s">
        <v>1677</v>
      </c>
    </row>
    <row r="16" ht="28" customHeight="1">
      <c r="A16" s="311" t="s">
        <v>1722</v>
      </c>
      <c r="B16" s="312" t="s">
        <v>1723</v>
      </c>
      <c r="C16" s="312" t="s">
        <v>1680</v>
      </c>
      <c r="D16" s="312" t="s">
        <v>1724</v>
      </c>
      <c r="E16" s="315">
        <v>31</v>
      </c>
      <c r="F16" s="312" t="s">
        <v>1671</v>
      </c>
      <c r="G16" s="312" t="s">
        <v>1724</v>
      </c>
      <c r="H16" s="312" t="s">
        <v>1719</v>
      </c>
      <c r="I16" s="312" t="s">
        <v>1720</v>
      </c>
      <c r="J16" s="312" t="s">
        <v>318</v>
      </c>
      <c r="K16" s="312" t="s">
        <v>1725</v>
      </c>
      <c r="L16" s="329" t="s">
        <v>1684</v>
      </c>
      <c r="M16" s="329" t="s">
        <v>1677</v>
      </c>
    </row>
    <row r="17" ht="28" customHeight="1">
      <c r="A17" s="311" t="s">
        <v>1726</v>
      </c>
      <c r="B17" s="312" t="s">
        <v>1727</v>
      </c>
      <c r="C17" s="312" t="s">
        <v>1680</v>
      </c>
      <c r="D17" s="312" t="s">
        <v>1728</v>
      </c>
      <c r="E17" s="312" t="s">
        <v>577</v>
      </c>
      <c r="F17" s="312" t="s">
        <v>1671</v>
      </c>
      <c r="G17" s="312" t="s">
        <v>1728</v>
      </c>
      <c r="H17" s="312" t="s">
        <v>1729</v>
      </c>
      <c r="I17" s="312" t="s">
        <v>1720</v>
      </c>
      <c r="J17" s="312" t="s">
        <v>318</v>
      </c>
      <c r="K17" s="312" t="s">
        <v>1730</v>
      </c>
      <c r="L17" s="329" t="s">
        <v>1684</v>
      </c>
      <c r="M17" s="329" t="s">
        <v>1677</v>
      </c>
    </row>
    <row r="18" ht="28" customHeight="1">
      <c r="A18" s="311" t="s">
        <v>1731</v>
      </c>
      <c r="B18" s="312" t="s">
        <v>1732</v>
      </c>
      <c r="C18" s="312" t="s">
        <v>1668</v>
      </c>
      <c r="D18" s="312" t="s">
        <v>1733</v>
      </c>
      <c r="E18" s="312" t="s">
        <v>1734</v>
      </c>
      <c r="F18" s="312" t="s">
        <v>1735</v>
      </c>
      <c r="G18" s="312" t="s">
        <v>1736</v>
      </c>
      <c r="H18" s="312" t="s">
        <v>1737</v>
      </c>
      <c r="I18" s="312" t="s">
        <v>1674</v>
      </c>
      <c r="J18" s="312" t="s">
        <v>318</v>
      </c>
      <c r="K18" s="312" t="s">
        <v>1738</v>
      </c>
      <c r="L18" s="329" t="s">
        <v>1676</v>
      </c>
      <c r="M18" s="329" t="s">
        <v>1677</v>
      </c>
    </row>
    <row r="19" ht="28" customHeight="1">
      <c r="A19" s="311" t="s">
        <v>1739</v>
      </c>
      <c r="B19" s="312" t="s">
        <v>1740</v>
      </c>
      <c r="C19" s="312" t="s">
        <v>294</v>
      </c>
      <c r="D19" s="312" t="s">
        <v>1741</v>
      </c>
      <c r="E19" s="315">
        <v>34400</v>
      </c>
      <c r="F19" s="312" t="s">
        <v>1671</v>
      </c>
      <c r="G19" s="312" t="s">
        <v>1742</v>
      </c>
      <c r="H19" s="312" t="s">
        <v>1743</v>
      </c>
      <c r="I19" s="312" t="s">
        <v>1674</v>
      </c>
      <c r="J19" s="312" t="s">
        <v>318</v>
      </c>
      <c r="K19" s="312" t="s">
        <v>1744</v>
      </c>
      <c r="L19" s="329" t="s">
        <v>1676</v>
      </c>
      <c r="M19" s="329" t="s">
        <v>1677</v>
      </c>
    </row>
    <row r="20" ht="28" customHeight="1">
      <c r="A20" s="311" t="s">
        <v>1745</v>
      </c>
      <c r="B20" s="312" t="s">
        <v>1746</v>
      </c>
      <c r="C20" s="312" t="s">
        <v>1747</v>
      </c>
      <c r="D20" s="312" t="s">
        <v>1748</v>
      </c>
      <c r="E20" s="315">
        <v>21500</v>
      </c>
      <c r="F20" s="312" t="s">
        <v>1671</v>
      </c>
      <c r="G20" s="312" t="s">
        <v>1749</v>
      </c>
      <c r="H20" s="312" t="s">
        <v>1750</v>
      </c>
      <c r="I20" s="312" t="s">
        <v>1674</v>
      </c>
      <c r="J20" s="312" t="s">
        <v>318</v>
      </c>
      <c r="K20" s="312" t="s">
        <v>1751</v>
      </c>
      <c r="L20" s="329" t="s">
        <v>1676</v>
      </c>
      <c r="M20" s="329" t="s">
        <v>1677</v>
      </c>
    </row>
    <row r="21" ht="28" customHeight="1">
      <c r="A21" s="311" t="s">
        <v>1752</v>
      </c>
      <c r="B21" s="312" t="s">
        <v>1753</v>
      </c>
      <c r="C21" s="312" t="s">
        <v>1747</v>
      </c>
      <c r="D21" s="312" t="s">
        <v>1754</v>
      </c>
      <c r="E21" s="315">
        <v>20000</v>
      </c>
      <c r="F21" s="312" t="s">
        <v>1671</v>
      </c>
      <c r="G21" s="312" t="s">
        <v>1755</v>
      </c>
      <c r="H21" s="312" t="s">
        <v>1750</v>
      </c>
      <c r="I21" s="312" t="s">
        <v>1674</v>
      </c>
      <c r="J21" s="312" t="s">
        <v>318</v>
      </c>
      <c r="K21" s="312" t="s">
        <v>1751</v>
      </c>
      <c r="L21" s="329" t="s">
        <v>1676</v>
      </c>
      <c r="M21" s="329" t="s">
        <v>1677</v>
      </c>
    </row>
    <row r="22" ht="28" customHeight="1">
      <c r="A22" s="311" t="s">
        <v>1756</v>
      </c>
      <c r="B22" s="312" t="s">
        <v>1757</v>
      </c>
      <c r="C22" s="312" t="s">
        <v>1747</v>
      </c>
      <c r="D22" s="312" t="s">
        <v>1758</v>
      </c>
      <c r="E22" s="315">
        <v>6500</v>
      </c>
      <c r="F22" s="312" t="s">
        <v>1671</v>
      </c>
      <c r="G22" s="312" t="s">
        <v>1759</v>
      </c>
      <c r="H22" s="312" t="s">
        <v>1750</v>
      </c>
      <c r="I22" s="312" t="s">
        <v>1674</v>
      </c>
      <c r="J22" s="312" t="s">
        <v>318</v>
      </c>
      <c r="K22" s="312" t="s">
        <v>1751</v>
      </c>
      <c r="L22" s="329" t="s">
        <v>1676</v>
      </c>
      <c r="M22" s="329" t="s">
        <v>1677</v>
      </c>
    </row>
    <row r="23" ht="28" customHeight="1">
      <c r="A23" s="311" t="s">
        <v>1760</v>
      </c>
      <c r="B23" s="312" t="s">
        <v>1761</v>
      </c>
      <c r="C23" s="312" t="s">
        <v>1747</v>
      </c>
      <c r="D23" s="312" t="s">
        <v>1762</v>
      </c>
      <c r="E23" s="315">
        <v>150</v>
      </c>
      <c r="F23" s="312" t="s">
        <v>1671</v>
      </c>
      <c r="G23" s="312" t="s">
        <v>1763</v>
      </c>
      <c r="H23" s="312" t="s">
        <v>1750</v>
      </c>
      <c r="I23" s="312" t="s">
        <v>1674</v>
      </c>
      <c r="J23" s="312" t="s">
        <v>318</v>
      </c>
      <c r="K23" s="312" t="s">
        <v>1751</v>
      </c>
      <c r="L23" s="329" t="s">
        <v>1676</v>
      </c>
      <c r="M23" s="329" t="s">
        <v>1677</v>
      </c>
    </row>
    <row r="24" ht="28" customHeight="1">
      <c r="A24" s="311" t="s">
        <v>1764</v>
      </c>
      <c r="B24" s="312" t="s">
        <v>1765</v>
      </c>
      <c r="C24" s="312" t="s">
        <v>1747</v>
      </c>
      <c r="D24" s="312" t="s">
        <v>1766</v>
      </c>
      <c r="E24" s="315">
        <v>4000</v>
      </c>
      <c r="F24" s="312" t="s">
        <v>1671</v>
      </c>
      <c r="G24" s="312" t="s">
        <v>1767</v>
      </c>
      <c r="H24" s="312" t="s">
        <v>1750</v>
      </c>
      <c r="I24" s="312" t="s">
        <v>1674</v>
      </c>
      <c r="J24" s="312" t="s">
        <v>318</v>
      </c>
      <c r="K24" s="312" t="s">
        <v>1751</v>
      </c>
      <c r="L24" s="329" t="s">
        <v>1676</v>
      </c>
      <c r="M24" s="329" t="s">
        <v>1677</v>
      </c>
    </row>
    <row r="25" ht="28" customHeight="1">
      <c r="A25" s="311" t="s">
        <v>1768</v>
      </c>
      <c r="B25" s="312" t="s">
        <v>1769</v>
      </c>
      <c r="C25" s="312" t="s">
        <v>1747</v>
      </c>
      <c r="D25" s="312" t="s">
        <v>1770</v>
      </c>
      <c r="E25" s="315">
        <v>19500.38</v>
      </c>
      <c r="F25" s="312" t="s">
        <v>1671</v>
      </c>
      <c r="G25" s="312" t="s">
        <v>1771</v>
      </c>
      <c r="H25" s="312" t="s">
        <v>1750</v>
      </c>
      <c r="I25" s="312" t="s">
        <v>1674</v>
      </c>
      <c r="J25" s="312" t="s">
        <v>318</v>
      </c>
      <c r="K25" s="312" t="s">
        <v>1751</v>
      </c>
      <c r="L25" s="329" t="s">
        <v>1676</v>
      </c>
      <c r="M25" s="329" t="s">
        <v>1677</v>
      </c>
    </row>
    <row r="26" ht="28" customHeight="1">
      <c r="A26" s="311" t="s">
        <v>1772</v>
      </c>
      <c r="B26" s="312" t="s">
        <v>1773</v>
      </c>
      <c r="C26" s="312" t="s">
        <v>1747</v>
      </c>
      <c r="D26" s="312" t="s">
        <v>1774</v>
      </c>
      <c r="E26" s="315">
        <v>3800</v>
      </c>
      <c r="F26" s="312" t="s">
        <v>1671</v>
      </c>
      <c r="G26" s="312" t="s">
        <v>1775</v>
      </c>
      <c r="H26" s="312" t="s">
        <v>1750</v>
      </c>
      <c r="I26" s="312" t="s">
        <v>1674</v>
      </c>
      <c r="J26" s="312" t="s">
        <v>318</v>
      </c>
      <c r="K26" s="312" t="s">
        <v>1751</v>
      </c>
      <c r="L26" s="329" t="s">
        <v>1676</v>
      </c>
      <c r="M26" s="329" t="s">
        <v>1677</v>
      </c>
    </row>
    <row r="27" ht="28" customHeight="1">
      <c r="A27" s="311" t="s">
        <v>1776</v>
      </c>
      <c r="B27" s="312" t="s">
        <v>1777</v>
      </c>
      <c r="C27" s="312" t="s">
        <v>1680</v>
      </c>
      <c r="D27" s="312" t="s">
        <v>1778</v>
      </c>
      <c r="E27" s="315">
        <v>2000</v>
      </c>
      <c r="F27" s="312" t="s">
        <v>1671</v>
      </c>
      <c r="G27" s="312" t="s">
        <v>1778</v>
      </c>
      <c r="H27" s="312" t="s">
        <v>1750</v>
      </c>
      <c r="I27" s="312" t="s">
        <v>1674</v>
      </c>
      <c r="J27" s="312" t="s">
        <v>318</v>
      </c>
      <c r="K27" s="312" t="s">
        <v>1779</v>
      </c>
      <c r="L27" s="329" t="s">
        <v>1684</v>
      </c>
      <c r="M27" s="329" t="s">
        <v>1677</v>
      </c>
    </row>
    <row r="28" ht="28" customHeight="1">
      <c r="A28" s="311" t="s">
        <v>1780</v>
      </c>
      <c r="B28" s="312" t="s">
        <v>1781</v>
      </c>
      <c r="C28" s="312" t="s">
        <v>1747</v>
      </c>
      <c r="D28" s="312" t="s">
        <v>1782</v>
      </c>
      <c r="E28" s="315">
        <v>150</v>
      </c>
      <c r="F28" s="312" t="s">
        <v>1671</v>
      </c>
      <c r="G28" s="312" t="s">
        <v>1783</v>
      </c>
      <c r="H28" s="312" t="s">
        <v>1750</v>
      </c>
      <c r="I28" s="312" t="s">
        <v>1674</v>
      </c>
      <c r="J28" s="312" t="s">
        <v>318</v>
      </c>
      <c r="K28" s="312" t="s">
        <v>1751</v>
      </c>
      <c r="L28" s="329" t="s">
        <v>1676</v>
      </c>
      <c r="M28" s="329" t="s">
        <v>1677</v>
      </c>
    </row>
    <row r="29" ht="28" customHeight="1">
      <c r="A29" s="311" t="s">
        <v>1784</v>
      </c>
      <c r="B29" s="312" t="s">
        <v>1785</v>
      </c>
      <c r="C29" s="312" t="s">
        <v>1747</v>
      </c>
      <c r="D29" s="312" t="s">
        <v>1786</v>
      </c>
      <c r="E29" s="315">
        <v>600</v>
      </c>
      <c r="F29" s="312" t="s">
        <v>1671</v>
      </c>
      <c r="G29" s="312" t="s">
        <v>1787</v>
      </c>
      <c r="H29" s="312" t="s">
        <v>1750</v>
      </c>
      <c r="I29" s="312" t="s">
        <v>1674</v>
      </c>
      <c r="J29" s="312" t="s">
        <v>318</v>
      </c>
      <c r="K29" s="312" t="s">
        <v>1751</v>
      </c>
      <c r="L29" s="329" t="s">
        <v>1676</v>
      </c>
      <c r="M29" s="329" t="s">
        <v>1677</v>
      </c>
    </row>
    <row r="30" ht="28" customHeight="1">
      <c r="A30" s="311" t="s">
        <v>1788</v>
      </c>
      <c r="B30" s="312" t="s">
        <v>1789</v>
      </c>
      <c r="C30" s="312" t="s">
        <v>1747</v>
      </c>
      <c r="D30" s="312" t="s">
        <v>1790</v>
      </c>
      <c r="E30" s="315">
        <v>2120</v>
      </c>
      <c r="F30" s="312" t="s">
        <v>1671</v>
      </c>
      <c r="G30" s="312" t="s">
        <v>1791</v>
      </c>
      <c r="H30" s="312" t="s">
        <v>1750</v>
      </c>
      <c r="I30" s="312" t="s">
        <v>1792</v>
      </c>
      <c r="J30" s="312" t="s">
        <v>1711</v>
      </c>
      <c r="K30" s="312" t="s">
        <v>1793</v>
      </c>
      <c r="L30" s="329" t="s">
        <v>1676</v>
      </c>
      <c r="M30" s="329" t="s">
        <v>1677</v>
      </c>
    </row>
    <row r="31" ht="28" customHeight="1">
      <c r="A31" s="311" t="s">
        <v>1794</v>
      </c>
      <c r="B31" s="312" t="s">
        <v>1795</v>
      </c>
      <c r="C31" s="312" t="s">
        <v>1747</v>
      </c>
      <c r="D31" s="312" t="s">
        <v>1796</v>
      </c>
      <c r="E31" s="315">
        <v>150</v>
      </c>
      <c r="F31" s="312" t="s">
        <v>1671</v>
      </c>
      <c r="G31" s="312" t="s">
        <v>1797</v>
      </c>
      <c r="H31" s="312" t="s">
        <v>1750</v>
      </c>
      <c r="I31" s="312" t="s">
        <v>1792</v>
      </c>
      <c r="J31" s="312" t="s">
        <v>1711</v>
      </c>
      <c r="K31" s="312" t="s">
        <v>1798</v>
      </c>
      <c r="L31" s="329" t="s">
        <v>1676</v>
      </c>
      <c r="M31" s="329" t="s">
        <v>1677</v>
      </c>
    </row>
    <row r="32" ht="28" customHeight="1">
      <c r="A32" s="311" t="s">
        <v>1799</v>
      </c>
      <c r="B32" s="312" t="s">
        <v>1800</v>
      </c>
      <c r="C32" s="312" t="s">
        <v>1668</v>
      </c>
      <c r="D32" s="312" t="s">
        <v>1801</v>
      </c>
      <c r="E32" s="315">
        <v>580</v>
      </c>
      <c r="F32" s="312" t="s">
        <v>887</v>
      </c>
      <c r="G32" s="312" t="s">
        <v>887</v>
      </c>
      <c r="H32" s="312" t="s">
        <v>1802</v>
      </c>
      <c r="I32" s="312" t="s">
        <v>1792</v>
      </c>
      <c r="J32" s="312" t="s">
        <v>318</v>
      </c>
      <c r="K32" s="312" t="s">
        <v>1803</v>
      </c>
      <c r="L32" s="329" t="s">
        <v>1676</v>
      </c>
      <c r="M32" s="329" t="s">
        <v>1677</v>
      </c>
    </row>
    <row r="33" ht="28" customHeight="1">
      <c r="A33" s="311" t="s">
        <v>1804</v>
      </c>
      <c r="B33" s="312" t="s">
        <v>1805</v>
      </c>
      <c r="C33" s="312" t="s">
        <v>1668</v>
      </c>
      <c r="D33" s="312" t="s">
        <v>1806</v>
      </c>
      <c r="E33" s="315">
        <v>800</v>
      </c>
      <c r="F33" s="312" t="s">
        <v>887</v>
      </c>
      <c r="G33" s="312" t="s">
        <v>887</v>
      </c>
      <c r="H33" s="312" t="s">
        <v>1802</v>
      </c>
      <c r="I33" s="312" t="s">
        <v>1792</v>
      </c>
      <c r="J33" s="312" t="s">
        <v>318</v>
      </c>
      <c r="K33" s="312" t="s">
        <v>1807</v>
      </c>
      <c r="L33" s="329" t="s">
        <v>1676</v>
      </c>
      <c r="M33" s="329" t="s">
        <v>1677</v>
      </c>
    </row>
    <row r="34" ht="28" customHeight="1">
      <c r="A34" s="311" t="s">
        <v>1808</v>
      </c>
      <c r="B34" s="312" t="s">
        <v>1809</v>
      </c>
      <c r="C34" s="312" t="s">
        <v>1747</v>
      </c>
      <c r="D34" s="312" t="s">
        <v>1810</v>
      </c>
      <c r="E34" s="315">
        <v>90.781481481481507</v>
      </c>
      <c r="F34" s="312" t="s">
        <v>1671</v>
      </c>
      <c r="G34" s="312" t="s">
        <v>1811</v>
      </c>
      <c r="H34" s="312" t="s">
        <v>1812</v>
      </c>
      <c r="I34" s="312" t="s">
        <v>1792</v>
      </c>
      <c r="J34" s="312" t="s">
        <v>1711</v>
      </c>
      <c r="K34" s="312" t="s">
        <v>1813</v>
      </c>
      <c r="L34" s="329" t="s">
        <v>1676</v>
      </c>
      <c r="M34" s="329" t="s">
        <v>1677</v>
      </c>
    </row>
    <row r="35" ht="28" customHeight="1">
      <c r="A35" s="311" t="s">
        <v>1814</v>
      </c>
      <c r="B35" s="312" t="s">
        <v>1815</v>
      </c>
      <c r="C35" s="312" t="s">
        <v>1747</v>
      </c>
      <c r="D35" s="312" t="s">
        <v>1816</v>
      </c>
      <c r="E35" s="315">
        <v>114.2</v>
      </c>
      <c r="F35" s="312" t="s">
        <v>1671</v>
      </c>
      <c r="G35" s="312" t="s">
        <v>1811</v>
      </c>
      <c r="H35" s="312" t="s">
        <v>1812</v>
      </c>
      <c r="I35" s="312" t="s">
        <v>1792</v>
      </c>
      <c r="J35" s="312" t="s">
        <v>1711</v>
      </c>
      <c r="K35" s="312" t="s">
        <v>1813</v>
      </c>
      <c r="L35" s="329" t="s">
        <v>1676</v>
      </c>
      <c r="M35" s="329" t="s">
        <v>1677</v>
      </c>
    </row>
    <row r="36" ht="28" customHeight="1">
      <c r="A36" s="311" t="s">
        <v>1817</v>
      </c>
      <c r="B36" s="312" t="s">
        <v>1818</v>
      </c>
      <c r="C36" s="312" t="s">
        <v>1747</v>
      </c>
      <c r="D36" s="312" t="s">
        <v>1819</v>
      </c>
      <c r="E36" s="315">
        <v>19.761524999999999</v>
      </c>
      <c r="F36" s="312" t="s">
        <v>1671</v>
      </c>
      <c r="G36" s="312" t="s">
        <v>1811</v>
      </c>
      <c r="H36" s="312" t="s">
        <v>1812</v>
      </c>
      <c r="I36" s="312" t="s">
        <v>1792</v>
      </c>
      <c r="J36" s="312" t="s">
        <v>1711</v>
      </c>
      <c r="K36" s="312" t="s">
        <v>1813</v>
      </c>
      <c r="L36" s="329" t="s">
        <v>1676</v>
      </c>
      <c r="M36" s="329" t="s">
        <v>1677</v>
      </c>
    </row>
    <row r="37" ht="28" customHeight="1">
      <c r="A37" s="311" t="s">
        <v>1820</v>
      </c>
      <c r="B37" s="312" t="s">
        <v>1821</v>
      </c>
      <c r="C37" s="312" t="s">
        <v>1747</v>
      </c>
      <c r="D37" s="312" t="s">
        <v>1822</v>
      </c>
      <c r="E37" s="315">
        <v>1.35</v>
      </c>
      <c r="F37" s="312" t="s">
        <v>1671</v>
      </c>
      <c r="G37" s="312" t="s">
        <v>1811</v>
      </c>
      <c r="H37" s="312" t="s">
        <v>1812</v>
      </c>
      <c r="I37" s="312" t="s">
        <v>1792</v>
      </c>
      <c r="J37" s="312" t="s">
        <v>1711</v>
      </c>
      <c r="K37" s="312" t="s">
        <v>1813</v>
      </c>
      <c r="L37" s="329" t="s">
        <v>1676</v>
      </c>
      <c r="M37" s="329" t="s">
        <v>1677</v>
      </c>
    </row>
    <row r="38" ht="28" customHeight="1">
      <c r="A38" s="311" t="s">
        <v>1823</v>
      </c>
      <c r="B38" s="312" t="s">
        <v>1824</v>
      </c>
      <c r="C38" s="312" t="s">
        <v>1747</v>
      </c>
      <c r="D38" s="312" t="s">
        <v>1825</v>
      </c>
      <c r="E38" s="315">
        <v>14.5</v>
      </c>
      <c r="F38" s="312" t="s">
        <v>1671</v>
      </c>
      <c r="G38" s="312" t="s">
        <v>1811</v>
      </c>
      <c r="H38" s="312" t="s">
        <v>1812</v>
      </c>
      <c r="I38" s="312" t="s">
        <v>1792</v>
      </c>
      <c r="J38" s="312" t="s">
        <v>1711</v>
      </c>
      <c r="K38" s="312" t="s">
        <v>1813</v>
      </c>
      <c r="L38" s="329" t="s">
        <v>1676</v>
      </c>
      <c r="M38" s="329" t="s">
        <v>1677</v>
      </c>
    </row>
    <row r="39" ht="28" customHeight="1">
      <c r="A39" s="311" t="s">
        <v>1826</v>
      </c>
      <c r="B39" s="312" t="s">
        <v>1827</v>
      </c>
      <c r="C39" s="312" t="s">
        <v>1747</v>
      </c>
      <c r="D39" s="312" t="s">
        <v>1828</v>
      </c>
      <c r="E39" s="315">
        <v>30.22</v>
      </c>
      <c r="F39" s="312" t="s">
        <v>1671</v>
      </c>
      <c r="G39" s="312" t="s">
        <v>1811</v>
      </c>
      <c r="H39" s="312" t="s">
        <v>1812</v>
      </c>
      <c r="I39" s="312" t="s">
        <v>1792</v>
      </c>
      <c r="J39" s="312" t="s">
        <v>1711</v>
      </c>
      <c r="K39" s="312" t="s">
        <v>1813</v>
      </c>
      <c r="L39" s="329" t="s">
        <v>1676</v>
      </c>
      <c r="M39" s="329" t="s">
        <v>1677</v>
      </c>
    </row>
    <row r="40" ht="28" customHeight="1">
      <c r="A40" s="311" t="s">
        <v>1829</v>
      </c>
      <c r="B40" s="312" t="s">
        <v>1830</v>
      </c>
      <c r="C40" s="312" t="s">
        <v>1747</v>
      </c>
      <c r="D40" s="312" t="s">
        <v>1831</v>
      </c>
      <c r="E40" s="315">
        <v>13</v>
      </c>
      <c r="F40" s="312" t="s">
        <v>1671</v>
      </c>
      <c r="G40" s="312" t="s">
        <v>1811</v>
      </c>
      <c r="H40" s="312" t="s">
        <v>1812</v>
      </c>
      <c r="I40" s="312" t="s">
        <v>1792</v>
      </c>
      <c r="J40" s="312" t="s">
        <v>1711</v>
      </c>
      <c r="K40" s="312" t="s">
        <v>1813</v>
      </c>
      <c r="L40" s="329" t="s">
        <v>1676</v>
      </c>
      <c r="M40" s="329" t="s">
        <v>1677</v>
      </c>
    </row>
    <row r="41" ht="28" customHeight="1">
      <c r="A41" s="311" t="s">
        <v>1832</v>
      </c>
      <c r="B41" s="312" t="s">
        <v>1833</v>
      </c>
      <c r="C41" s="312" t="s">
        <v>1747</v>
      </c>
      <c r="D41" s="312" t="s">
        <v>1834</v>
      </c>
      <c r="E41" s="315">
        <v>0.5</v>
      </c>
      <c r="F41" s="312" t="s">
        <v>1671</v>
      </c>
      <c r="G41" s="312" t="s">
        <v>1811</v>
      </c>
      <c r="H41" s="312" t="s">
        <v>1812</v>
      </c>
      <c r="I41" s="312" t="s">
        <v>1792</v>
      </c>
      <c r="J41" s="312" t="s">
        <v>1711</v>
      </c>
      <c r="K41" s="312" t="s">
        <v>1813</v>
      </c>
      <c r="L41" s="329" t="s">
        <v>1676</v>
      </c>
      <c r="M41" s="329" t="s">
        <v>1677</v>
      </c>
    </row>
    <row r="42" ht="28" customHeight="1">
      <c r="A42" s="311" t="s">
        <v>1835</v>
      </c>
      <c r="B42" s="312" t="s">
        <v>1836</v>
      </c>
      <c r="C42" s="312" t="s">
        <v>1747</v>
      </c>
      <c r="D42" s="312" t="s">
        <v>1837</v>
      </c>
      <c r="E42" s="315">
        <v>0.223</v>
      </c>
      <c r="F42" s="312" t="s">
        <v>1671</v>
      </c>
      <c r="G42" s="312" t="s">
        <v>1811</v>
      </c>
      <c r="H42" s="312" t="s">
        <v>1812</v>
      </c>
      <c r="I42" s="312" t="s">
        <v>1792</v>
      </c>
      <c r="J42" s="312" t="s">
        <v>1711</v>
      </c>
      <c r="K42" s="312" t="s">
        <v>1813</v>
      </c>
      <c r="L42" s="329" t="s">
        <v>1676</v>
      </c>
      <c r="M42" s="329" t="s">
        <v>1677</v>
      </c>
    </row>
    <row r="43" ht="28" customHeight="1">
      <c r="A43" s="311" t="s">
        <v>1838</v>
      </c>
      <c r="B43" s="312" t="s">
        <v>1839</v>
      </c>
      <c r="C43" s="312" t="s">
        <v>1747</v>
      </c>
      <c r="D43" s="312" t="s">
        <v>1840</v>
      </c>
      <c r="E43" s="315">
        <v>1.5</v>
      </c>
      <c r="F43" s="312" t="s">
        <v>1671</v>
      </c>
      <c r="G43" s="312" t="s">
        <v>1811</v>
      </c>
      <c r="H43" s="312" t="s">
        <v>1812</v>
      </c>
      <c r="I43" s="312" t="s">
        <v>1792</v>
      </c>
      <c r="J43" s="312" t="s">
        <v>1711</v>
      </c>
      <c r="K43" s="312" t="s">
        <v>1813</v>
      </c>
      <c r="L43" s="329" t="s">
        <v>1676</v>
      </c>
      <c r="M43" s="329" t="s">
        <v>1677</v>
      </c>
    </row>
    <row r="44" ht="28" customHeight="1">
      <c r="A44" s="311" t="s">
        <v>1841</v>
      </c>
      <c r="B44" s="312" t="s">
        <v>1842</v>
      </c>
      <c r="C44" s="312" t="s">
        <v>1747</v>
      </c>
      <c r="D44" s="312" t="s">
        <v>1843</v>
      </c>
      <c r="E44" s="315">
        <v>0.41699999999999998</v>
      </c>
      <c r="F44" s="312" t="s">
        <v>1671</v>
      </c>
      <c r="G44" s="312" t="s">
        <v>1811</v>
      </c>
      <c r="H44" s="312" t="s">
        <v>1812</v>
      </c>
      <c r="I44" s="312" t="s">
        <v>1792</v>
      </c>
      <c r="J44" s="312" t="s">
        <v>1711</v>
      </c>
      <c r="K44" s="312" t="s">
        <v>1813</v>
      </c>
      <c r="L44" s="329" t="s">
        <v>1676</v>
      </c>
      <c r="M44" s="329" t="s">
        <v>1677</v>
      </c>
    </row>
    <row r="45" ht="28" customHeight="1">
      <c r="A45" s="311" t="s">
        <v>1844</v>
      </c>
      <c r="B45" s="312" t="s">
        <v>1845</v>
      </c>
      <c r="C45" s="312" t="s">
        <v>1747</v>
      </c>
      <c r="D45" s="312" t="s">
        <v>1846</v>
      </c>
      <c r="E45" s="315">
        <v>0.8</v>
      </c>
      <c r="F45" s="312" t="s">
        <v>1671</v>
      </c>
      <c r="G45" s="312" t="s">
        <v>1811</v>
      </c>
      <c r="H45" s="312" t="s">
        <v>1812</v>
      </c>
      <c r="I45" s="312" t="s">
        <v>1792</v>
      </c>
      <c r="J45" s="312" t="s">
        <v>1711</v>
      </c>
      <c r="K45" s="312" t="s">
        <v>1813</v>
      </c>
      <c r="L45" s="329" t="s">
        <v>1676</v>
      </c>
      <c r="M45" s="329" t="s">
        <v>1677</v>
      </c>
    </row>
    <row r="46" ht="28" customHeight="1">
      <c r="A46" s="311" t="s">
        <v>1847</v>
      </c>
      <c r="B46" s="312" t="s">
        <v>1848</v>
      </c>
      <c r="C46" s="312" t="s">
        <v>1747</v>
      </c>
      <c r="D46" s="312" t="s">
        <v>1849</v>
      </c>
      <c r="E46" s="315">
        <v>6</v>
      </c>
      <c r="F46" s="312" t="s">
        <v>1671</v>
      </c>
      <c r="G46" s="312" t="s">
        <v>1811</v>
      </c>
      <c r="H46" s="312" t="s">
        <v>1812</v>
      </c>
      <c r="I46" s="312" t="s">
        <v>1792</v>
      </c>
      <c r="J46" s="312" t="s">
        <v>1711</v>
      </c>
      <c r="K46" s="312" t="s">
        <v>1813</v>
      </c>
      <c r="L46" s="329" t="s">
        <v>1676</v>
      </c>
      <c r="M46" s="329" t="s">
        <v>1677</v>
      </c>
    </row>
    <row r="47" ht="28" customHeight="1">
      <c r="A47" s="311" t="s">
        <v>1850</v>
      </c>
      <c r="B47" s="312" t="s">
        <v>1851</v>
      </c>
      <c r="C47" s="312" t="s">
        <v>1747</v>
      </c>
      <c r="D47" s="312" t="s">
        <v>1852</v>
      </c>
      <c r="E47" s="315">
        <v>2</v>
      </c>
      <c r="F47" s="312" t="s">
        <v>1671</v>
      </c>
      <c r="G47" s="312" t="s">
        <v>1811</v>
      </c>
      <c r="H47" s="312" t="s">
        <v>1812</v>
      </c>
      <c r="I47" s="312" t="s">
        <v>1792</v>
      </c>
      <c r="J47" s="312" t="s">
        <v>1711</v>
      </c>
      <c r="K47" s="312" t="s">
        <v>1813</v>
      </c>
      <c r="L47" s="329" t="s">
        <v>1676</v>
      </c>
      <c r="M47" s="329" t="s">
        <v>1677</v>
      </c>
    </row>
    <row r="48" ht="28" customHeight="1">
      <c r="A48" s="311" t="s">
        <v>1853</v>
      </c>
      <c r="B48" s="312" t="s">
        <v>1854</v>
      </c>
      <c r="C48" s="312" t="s">
        <v>1747</v>
      </c>
      <c r="D48" s="312" t="s">
        <v>1855</v>
      </c>
      <c r="E48" s="315">
        <v>2.1</v>
      </c>
      <c r="F48" s="312" t="s">
        <v>1671</v>
      </c>
      <c r="G48" s="312" t="s">
        <v>1811</v>
      </c>
      <c r="H48" s="312" t="s">
        <v>1812</v>
      </c>
      <c r="I48" s="312" t="s">
        <v>1792</v>
      </c>
      <c r="J48" s="312" t="s">
        <v>1711</v>
      </c>
      <c r="K48" s="312" t="s">
        <v>1813</v>
      </c>
      <c r="L48" s="329" t="s">
        <v>1676</v>
      </c>
      <c r="M48" s="329" t="s">
        <v>1677</v>
      </c>
    </row>
    <row r="49" ht="28" customHeight="1">
      <c r="A49" s="311" t="s">
        <v>1856</v>
      </c>
      <c r="B49" s="312" t="s">
        <v>1857</v>
      </c>
      <c r="C49" s="312" t="s">
        <v>1747</v>
      </c>
      <c r="D49" s="312" t="s">
        <v>1858</v>
      </c>
      <c r="E49" s="315">
        <v>12</v>
      </c>
      <c r="F49" s="312" t="s">
        <v>1671</v>
      </c>
      <c r="G49" s="312" t="s">
        <v>1811</v>
      </c>
      <c r="H49" s="312" t="s">
        <v>1812</v>
      </c>
      <c r="I49" s="312" t="s">
        <v>1792</v>
      </c>
      <c r="J49" s="312" t="s">
        <v>1711</v>
      </c>
      <c r="K49" s="312" t="s">
        <v>1813</v>
      </c>
      <c r="L49" s="329" t="s">
        <v>1676</v>
      </c>
      <c r="M49" s="329" t="s">
        <v>1677</v>
      </c>
    </row>
    <row r="50" ht="28" customHeight="1">
      <c r="A50" s="311" t="s">
        <v>1859</v>
      </c>
      <c r="B50" s="312" t="s">
        <v>1860</v>
      </c>
      <c r="C50" s="312" t="s">
        <v>1747</v>
      </c>
      <c r="D50" s="312" t="s">
        <v>1861</v>
      </c>
      <c r="E50" s="315">
        <v>15.07</v>
      </c>
      <c r="F50" s="312" t="s">
        <v>1671</v>
      </c>
      <c r="G50" s="312" t="s">
        <v>1811</v>
      </c>
      <c r="H50" s="312" t="s">
        <v>1812</v>
      </c>
      <c r="I50" s="312" t="s">
        <v>1792</v>
      </c>
      <c r="J50" s="312" t="s">
        <v>1711</v>
      </c>
      <c r="K50" s="312" t="s">
        <v>1813</v>
      </c>
      <c r="L50" s="329" t="s">
        <v>1676</v>
      </c>
      <c r="M50" s="329" t="s">
        <v>1677</v>
      </c>
    </row>
    <row r="51" ht="28" customHeight="1">
      <c r="A51" s="311" t="s">
        <v>1862</v>
      </c>
      <c r="B51" s="312" t="s">
        <v>1863</v>
      </c>
      <c r="C51" s="312" t="s">
        <v>1747</v>
      </c>
      <c r="D51" s="312" t="s">
        <v>1864</v>
      </c>
      <c r="E51" s="315">
        <v>18</v>
      </c>
      <c r="F51" s="312" t="s">
        <v>1671</v>
      </c>
      <c r="G51" s="312" t="s">
        <v>1811</v>
      </c>
      <c r="H51" s="312" t="s">
        <v>1812</v>
      </c>
      <c r="I51" s="312" t="s">
        <v>1792</v>
      </c>
      <c r="J51" s="312" t="s">
        <v>1711</v>
      </c>
      <c r="K51" s="312" t="s">
        <v>1813</v>
      </c>
      <c r="L51" s="329" t="s">
        <v>1676</v>
      </c>
      <c r="M51" s="329" t="s">
        <v>1677</v>
      </c>
    </row>
    <row r="52" ht="28" customHeight="1">
      <c r="A52" s="311" t="s">
        <v>1865</v>
      </c>
      <c r="B52" s="312" t="s">
        <v>1866</v>
      </c>
      <c r="C52" s="312" t="s">
        <v>1747</v>
      </c>
      <c r="D52" s="312" t="s">
        <v>1867</v>
      </c>
      <c r="E52" s="315">
        <v>342.42300648148102</v>
      </c>
      <c r="F52" s="312" t="s">
        <v>887</v>
      </c>
      <c r="G52" s="312" t="s">
        <v>887</v>
      </c>
      <c r="H52" s="312" t="s">
        <v>1802</v>
      </c>
      <c r="I52" s="312" t="s">
        <v>1792</v>
      </c>
      <c r="J52" s="312" t="s">
        <v>318</v>
      </c>
      <c r="K52" s="312" t="s">
        <v>1868</v>
      </c>
      <c r="L52" s="329" t="s">
        <v>1676</v>
      </c>
      <c r="M52" s="329" t="s">
        <v>1677</v>
      </c>
    </row>
    <row r="53" ht="28" customHeight="1">
      <c r="A53" s="311" t="s">
        <v>1869</v>
      </c>
      <c r="B53" s="312" t="s">
        <v>1870</v>
      </c>
      <c r="C53" s="312" t="s">
        <v>1747</v>
      </c>
      <c r="D53" s="312" t="s">
        <v>1871</v>
      </c>
      <c r="E53" s="315">
        <v>91.57</v>
      </c>
      <c r="F53" s="312" t="s">
        <v>1671</v>
      </c>
      <c r="G53" s="312" t="s">
        <v>1872</v>
      </c>
      <c r="H53" s="312" t="s">
        <v>1873</v>
      </c>
      <c r="I53" s="312" t="s">
        <v>1792</v>
      </c>
      <c r="J53" s="312" t="s">
        <v>1711</v>
      </c>
      <c r="K53" s="312" t="s">
        <v>1874</v>
      </c>
      <c r="L53" s="329" t="s">
        <v>1676</v>
      </c>
      <c r="M53" s="329" t="s">
        <v>1677</v>
      </c>
    </row>
    <row r="54" ht="28" customHeight="1">
      <c r="A54" s="311" t="s">
        <v>1875</v>
      </c>
      <c r="B54" s="312" t="s">
        <v>1876</v>
      </c>
      <c r="C54" s="312" t="s">
        <v>1747</v>
      </c>
      <c r="D54" s="312" t="s">
        <v>1877</v>
      </c>
      <c r="E54" s="315">
        <v>22.113628680000001</v>
      </c>
      <c r="F54" s="312" t="s">
        <v>887</v>
      </c>
      <c r="G54" s="312" t="s">
        <v>887</v>
      </c>
      <c r="H54" s="312" t="s">
        <v>1802</v>
      </c>
      <c r="I54" s="312" t="s">
        <v>1792</v>
      </c>
      <c r="J54" s="312" t="s">
        <v>318</v>
      </c>
      <c r="K54" s="312" t="s">
        <v>1878</v>
      </c>
      <c r="L54" s="329" t="s">
        <v>1676</v>
      </c>
      <c r="M54" s="329" t="s">
        <v>1677</v>
      </c>
    </row>
    <row r="55" ht="28" customHeight="1">
      <c r="A55" s="311" t="s">
        <v>1879</v>
      </c>
      <c r="B55" s="312" t="s">
        <v>1880</v>
      </c>
      <c r="C55" s="312" t="s">
        <v>1747</v>
      </c>
      <c r="D55" s="312" t="s">
        <v>1881</v>
      </c>
      <c r="E55" s="315">
        <v>-8</v>
      </c>
      <c r="F55" s="312" t="s">
        <v>887</v>
      </c>
      <c r="G55" s="312" t="s">
        <v>887</v>
      </c>
      <c r="H55" s="312" t="s">
        <v>1802</v>
      </c>
      <c r="I55" s="312" t="s">
        <v>1792</v>
      </c>
      <c r="J55" s="312" t="s">
        <v>318</v>
      </c>
      <c r="K55" s="312" t="s">
        <v>1878</v>
      </c>
      <c r="L55" s="329" t="s">
        <v>1676</v>
      </c>
      <c r="M55" s="329" t="s">
        <v>1677</v>
      </c>
    </row>
    <row r="56" ht="28" customHeight="1">
      <c r="A56" s="311" t="s">
        <v>1882</v>
      </c>
      <c r="B56" s="312" t="s">
        <v>1883</v>
      </c>
      <c r="C56" s="312" t="s">
        <v>1747</v>
      </c>
      <c r="D56" s="312" t="s">
        <v>1884</v>
      </c>
      <c r="E56" s="315">
        <v>-5</v>
      </c>
      <c r="F56" s="312" t="s">
        <v>887</v>
      </c>
      <c r="G56" s="312" t="s">
        <v>887</v>
      </c>
      <c r="H56" s="312" t="s">
        <v>1802</v>
      </c>
      <c r="I56" s="312" t="s">
        <v>1792</v>
      </c>
      <c r="J56" s="312" t="s">
        <v>318</v>
      </c>
      <c r="K56" s="312" t="s">
        <v>1878</v>
      </c>
      <c r="L56" s="329" t="s">
        <v>1676</v>
      </c>
      <c r="M56" s="329" t="s">
        <v>1677</v>
      </c>
    </row>
    <row r="57" ht="28" customHeight="1">
      <c r="A57" s="311" t="s">
        <v>1885</v>
      </c>
      <c r="B57" s="312" t="s">
        <v>1886</v>
      </c>
      <c r="C57" s="312" t="s">
        <v>1747</v>
      </c>
      <c r="D57" s="312" t="s">
        <v>1887</v>
      </c>
      <c r="E57" s="315">
        <v>439.18030927207798</v>
      </c>
      <c r="F57" s="312" t="s">
        <v>1671</v>
      </c>
      <c r="G57" s="312" t="s">
        <v>1888</v>
      </c>
      <c r="H57" s="312" t="s">
        <v>1812</v>
      </c>
      <c r="I57" s="312" t="s">
        <v>1792</v>
      </c>
      <c r="J57" s="312" t="s">
        <v>1711</v>
      </c>
      <c r="K57" s="312" t="s">
        <v>1889</v>
      </c>
      <c r="L57" s="329" t="s">
        <v>1676</v>
      </c>
      <c r="M57" s="329" t="s">
        <v>1677</v>
      </c>
    </row>
    <row r="58" ht="28" customHeight="1">
      <c r="A58" s="311" t="s">
        <v>1890</v>
      </c>
      <c r="B58" s="312" t="s">
        <v>1891</v>
      </c>
      <c r="C58" s="312" t="s">
        <v>1668</v>
      </c>
      <c r="D58" s="312" t="s">
        <v>1892</v>
      </c>
      <c r="E58" s="315">
        <v>462.75</v>
      </c>
      <c r="F58" s="312" t="s">
        <v>887</v>
      </c>
      <c r="G58" s="312" t="s">
        <v>887</v>
      </c>
      <c r="H58" s="312" t="s">
        <v>1802</v>
      </c>
      <c r="I58" s="312" t="s">
        <v>1893</v>
      </c>
      <c r="J58" s="312" t="s">
        <v>1711</v>
      </c>
      <c r="K58" s="312" t="s">
        <v>1894</v>
      </c>
      <c r="L58" s="329" t="s">
        <v>1676</v>
      </c>
      <c r="M58" s="329" t="s">
        <v>1895</v>
      </c>
    </row>
    <row r="59" ht="28" customHeight="1">
      <c r="A59" s="311" t="s">
        <v>1896</v>
      </c>
      <c r="B59" s="312" t="s">
        <v>1897</v>
      </c>
      <c r="C59" s="312" t="s">
        <v>1680</v>
      </c>
      <c r="D59" s="312" t="s">
        <v>1888</v>
      </c>
      <c r="E59" s="315">
        <v>17.934665307141099</v>
      </c>
      <c r="F59" s="312" t="s">
        <v>1671</v>
      </c>
      <c r="G59" s="312" t="s">
        <v>1888</v>
      </c>
      <c r="H59" s="312" t="s">
        <v>1719</v>
      </c>
      <c r="I59" s="312" t="s">
        <v>1792</v>
      </c>
      <c r="J59" s="312" t="s">
        <v>318</v>
      </c>
      <c r="K59" s="312" t="s">
        <v>1898</v>
      </c>
      <c r="L59" s="329" t="s">
        <v>1684</v>
      </c>
      <c r="M59" s="329" t="s">
        <v>1677</v>
      </c>
    </row>
    <row r="60" ht="28" customHeight="1">
      <c r="A60" s="311" t="s">
        <v>1899</v>
      </c>
      <c r="B60" s="312" t="s">
        <v>1900</v>
      </c>
      <c r="C60" s="312" t="s">
        <v>1680</v>
      </c>
      <c r="D60" s="312" t="s">
        <v>1872</v>
      </c>
      <c r="E60" s="315">
        <v>3000000</v>
      </c>
      <c r="F60" s="312" t="s">
        <v>1671</v>
      </c>
      <c r="G60" s="312" t="s">
        <v>1872</v>
      </c>
      <c r="H60" s="312" t="s">
        <v>1673</v>
      </c>
      <c r="I60" s="312" t="s">
        <v>1792</v>
      </c>
      <c r="J60" s="312" t="s">
        <v>1711</v>
      </c>
      <c r="K60" s="312" t="s">
        <v>1901</v>
      </c>
      <c r="L60" s="329" t="s">
        <v>1684</v>
      </c>
      <c r="M60" s="329" t="s">
        <v>1677</v>
      </c>
    </row>
    <row r="61" ht="28" customHeight="1">
      <c r="A61" s="311" t="s">
        <v>1902</v>
      </c>
      <c r="B61" s="312" t="s">
        <v>1903</v>
      </c>
      <c r="C61" s="312" t="s">
        <v>1668</v>
      </c>
      <c r="D61" s="312" t="s">
        <v>1904</v>
      </c>
      <c r="E61" s="315">
        <v>0.03</v>
      </c>
      <c r="F61" s="312" t="s">
        <v>887</v>
      </c>
      <c r="G61" s="312" t="s">
        <v>887</v>
      </c>
      <c r="H61" s="312" t="s">
        <v>1802</v>
      </c>
      <c r="I61" s="312" t="s">
        <v>1792</v>
      </c>
      <c r="J61" s="312" t="s">
        <v>318</v>
      </c>
      <c r="K61" s="312" t="s">
        <v>1905</v>
      </c>
      <c r="L61" s="329" t="s">
        <v>1676</v>
      </c>
      <c r="M61" s="329" t="s">
        <v>1906</v>
      </c>
    </row>
    <row r="62" ht="28" customHeight="1">
      <c r="A62" s="311" t="s">
        <v>1907</v>
      </c>
      <c r="B62" s="312" t="s">
        <v>1908</v>
      </c>
      <c r="C62" s="312" t="s">
        <v>294</v>
      </c>
      <c r="D62" s="312" t="s">
        <v>1909</v>
      </c>
      <c r="E62" s="312" t="s">
        <v>1910</v>
      </c>
      <c r="F62" s="312" t="s">
        <v>887</v>
      </c>
      <c r="G62" s="312" t="s">
        <v>887</v>
      </c>
      <c r="H62" s="312" t="s">
        <v>1802</v>
      </c>
      <c r="I62" s="312" t="s">
        <v>1792</v>
      </c>
      <c r="J62" s="312" t="s">
        <v>318</v>
      </c>
      <c r="K62" s="312" t="s">
        <v>1905</v>
      </c>
      <c r="L62" s="329" t="s">
        <v>1676</v>
      </c>
      <c r="M62" s="329" t="s">
        <v>1906</v>
      </c>
    </row>
    <row r="63" ht="28" customHeight="1">
      <c r="A63" s="311" t="s">
        <v>1911</v>
      </c>
      <c r="B63" s="312" t="s">
        <v>1912</v>
      </c>
      <c r="C63" s="312" t="s">
        <v>1668</v>
      </c>
      <c r="D63" s="312" t="s">
        <v>1913</v>
      </c>
      <c r="E63" s="312" t="s">
        <v>1914</v>
      </c>
      <c r="F63" s="312" t="s">
        <v>887</v>
      </c>
      <c r="G63" s="312" t="s">
        <v>887</v>
      </c>
      <c r="H63" s="312" t="s">
        <v>1802</v>
      </c>
      <c r="I63" s="312" t="s">
        <v>1792</v>
      </c>
      <c r="J63" s="312" t="s">
        <v>318</v>
      </c>
      <c r="K63" s="312" t="s">
        <v>1905</v>
      </c>
      <c r="L63" s="329" t="s">
        <v>1676</v>
      </c>
      <c r="M63" s="329" t="s">
        <v>1906</v>
      </c>
    </row>
    <row r="64" ht="28" customHeight="1">
      <c r="A64" s="311" t="s">
        <v>1915</v>
      </c>
      <c r="B64" s="312" t="s">
        <v>1916</v>
      </c>
      <c r="C64" s="312" t="s">
        <v>1668</v>
      </c>
      <c r="D64" s="312" t="s">
        <v>1917</v>
      </c>
      <c r="E64" s="315">
        <v>0.3</v>
      </c>
      <c r="F64" s="312" t="s">
        <v>1918</v>
      </c>
      <c r="G64" s="312" t="s">
        <v>1919</v>
      </c>
      <c r="H64" s="312" t="s">
        <v>1920</v>
      </c>
      <c r="I64" s="312" t="s">
        <v>1921</v>
      </c>
      <c r="J64" s="312" t="s">
        <v>318</v>
      </c>
      <c r="K64" s="312" t="s">
        <v>1922</v>
      </c>
      <c r="L64" s="329" t="s">
        <v>1676</v>
      </c>
      <c r="M64" s="329" t="s">
        <v>1906</v>
      </c>
    </row>
    <row r="65" ht="28" customHeight="1">
      <c r="A65" s="311" t="s">
        <v>1923</v>
      </c>
      <c r="B65" s="312" t="s">
        <v>1924</v>
      </c>
      <c r="C65" s="312" t="s">
        <v>1747</v>
      </c>
      <c r="D65" s="312" t="s">
        <v>1925</v>
      </c>
      <c r="E65" s="315">
        <v>48.830200368285801</v>
      </c>
      <c r="F65" s="312" t="s">
        <v>1671</v>
      </c>
      <c r="G65" s="312" t="s">
        <v>1926</v>
      </c>
      <c r="H65" s="312" t="s">
        <v>1927</v>
      </c>
      <c r="I65" s="312" t="s">
        <v>1792</v>
      </c>
      <c r="J65" s="312" t="s">
        <v>1711</v>
      </c>
      <c r="K65" s="312" t="s">
        <v>1928</v>
      </c>
      <c r="L65" s="329" t="s">
        <v>1676</v>
      </c>
      <c r="M65" s="329" t="s">
        <v>1906</v>
      </c>
    </row>
    <row r="66" ht="28" customHeight="1">
      <c r="A66" s="311" t="s">
        <v>1929</v>
      </c>
      <c r="B66" s="312" t="s">
        <v>1930</v>
      </c>
      <c r="C66" s="312" t="s">
        <v>1680</v>
      </c>
      <c r="D66" s="312" t="s">
        <v>1931</v>
      </c>
      <c r="E66" s="315">
        <v>17.326543745620199</v>
      </c>
      <c r="F66" s="312" t="s">
        <v>1671</v>
      </c>
      <c r="G66" s="312" t="s">
        <v>1931</v>
      </c>
      <c r="H66" s="312" t="s">
        <v>1719</v>
      </c>
      <c r="I66" s="312" t="s">
        <v>1792</v>
      </c>
      <c r="J66" s="312" t="s">
        <v>318</v>
      </c>
      <c r="K66" s="312" t="s">
        <v>1905</v>
      </c>
      <c r="L66" s="329" t="s">
        <v>1684</v>
      </c>
      <c r="M66" s="329" t="s">
        <v>1906</v>
      </c>
    </row>
    <row r="67" ht="28" customHeight="1">
      <c r="A67" s="311" t="s">
        <v>1932</v>
      </c>
      <c r="B67" s="312" t="s">
        <v>1933</v>
      </c>
      <c r="C67" s="312" t="s">
        <v>1680</v>
      </c>
      <c r="D67" s="312" t="s">
        <v>1934</v>
      </c>
      <c r="E67" s="315">
        <v>16.37</v>
      </c>
      <c r="F67" s="312" t="s">
        <v>1671</v>
      </c>
      <c r="G67" s="312" t="s">
        <v>1934</v>
      </c>
      <c r="H67" s="312" t="s">
        <v>1719</v>
      </c>
      <c r="I67" s="312" t="s">
        <v>1792</v>
      </c>
      <c r="J67" s="312" t="s">
        <v>318</v>
      </c>
      <c r="K67" s="312" t="s">
        <v>1905</v>
      </c>
      <c r="L67" s="329" t="s">
        <v>1684</v>
      </c>
      <c r="M67" s="329" t="s">
        <v>1906</v>
      </c>
    </row>
    <row r="68" ht="28" customHeight="1">
      <c r="A68" s="311" t="s">
        <v>1935</v>
      </c>
      <c r="B68" s="312" t="s">
        <v>1936</v>
      </c>
      <c r="C68" s="312" t="s">
        <v>1668</v>
      </c>
      <c r="D68" s="312" t="s">
        <v>1937</v>
      </c>
      <c r="E68" s="315">
        <v>3.5000000000000003E-2</v>
      </c>
      <c r="F68" s="312" t="s">
        <v>1671</v>
      </c>
      <c r="G68" s="312" t="s">
        <v>1938</v>
      </c>
      <c r="H68" s="312" t="s">
        <v>1939</v>
      </c>
      <c r="I68" s="312" t="s">
        <v>1674</v>
      </c>
      <c r="J68" s="312" t="s">
        <v>318</v>
      </c>
      <c r="K68" s="312" t="s">
        <v>1940</v>
      </c>
      <c r="L68" s="329" t="s">
        <v>1676</v>
      </c>
      <c r="M68" s="329" t="s">
        <v>1677</v>
      </c>
    </row>
    <row r="69" ht="28" customHeight="1">
      <c r="A69" s="311" t="s">
        <v>1941</v>
      </c>
      <c r="B69" s="312" t="s">
        <v>1942</v>
      </c>
      <c r="C69" s="312" t="s">
        <v>1680</v>
      </c>
      <c r="D69" s="312" t="s">
        <v>1943</v>
      </c>
      <c r="E69" s="315">
        <v>400</v>
      </c>
      <c r="F69" s="312" t="s">
        <v>1671</v>
      </c>
      <c r="G69" s="312" t="s">
        <v>1943</v>
      </c>
      <c r="H69" s="312" t="s">
        <v>1673</v>
      </c>
      <c r="I69" s="312" t="s">
        <v>1674</v>
      </c>
      <c r="J69" s="312" t="s">
        <v>318</v>
      </c>
      <c r="K69" s="312" t="s">
        <v>1944</v>
      </c>
      <c r="L69" s="329" t="s">
        <v>1684</v>
      </c>
      <c r="M69" s="329" t="s">
        <v>1677</v>
      </c>
    </row>
    <row r="70" ht="28" customHeight="1">
      <c r="A70" s="311" t="s">
        <v>1945</v>
      </c>
      <c r="B70" s="312" t="s">
        <v>1946</v>
      </c>
      <c r="C70" s="312" t="s">
        <v>1680</v>
      </c>
      <c r="D70" s="312" t="s">
        <v>1947</v>
      </c>
      <c r="E70" s="315">
        <v>0</v>
      </c>
      <c r="F70" s="312" t="s">
        <v>1671</v>
      </c>
      <c r="G70" s="312" t="s">
        <v>1947</v>
      </c>
      <c r="H70" s="312" t="s">
        <v>1673</v>
      </c>
      <c r="I70" s="312" t="s">
        <v>1674</v>
      </c>
      <c r="J70" s="312" t="s">
        <v>318</v>
      </c>
      <c r="K70" s="312" t="s">
        <v>1944</v>
      </c>
      <c r="L70" s="329" t="s">
        <v>1684</v>
      </c>
      <c r="M70" s="329" t="s">
        <v>1677</v>
      </c>
    </row>
    <row r="71" ht="28" customHeight="1">
      <c r="A71" s="311" t="s">
        <v>1948</v>
      </c>
      <c r="B71" s="312" t="s">
        <v>1949</v>
      </c>
      <c r="C71" s="312" t="s">
        <v>1680</v>
      </c>
      <c r="D71" s="312" t="s">
        <v>1950</v>
      </c>
      <c r="E71" s="315">
        <v>400</v>
      </c>
      <c r="F71" s="312" t="s">
        <v>1671</v>
      </c>
      <c r="G71" s="312" t="s">
        <v>1950</v>
      </c>
      <c r="H71" s="312" t="s">
        <v>1673</v>
      </c>
      <c r="I71" s="312" t="s">
        <v>1674</v>
      </c>
      <c r="J71" s="312" t="s">
        <v>318</v>
      </c>
      <c r="K71" s="312" t="s">
        <v>1944</v>
      </c>
      <c r="L71" s="329" t="s">
        <v>1684</v>
      </c>
      <c r="M71" s="329" t="s">
        <v>1677</v>
      </c>
    </row>
    <row r="72" ht="28" customHeight="1">
      <c r="A72" s="311" t="s">
        <v>1951</v>
      </c>
      <c r="B72" s="312" t="s">
        <v>1952</v>
      </c>
      <c r="C72" s="312" t="s">
        <v>1680</v>
      </c>
      <c r="D72" s="312" t="s">
        <v>1953</v>
      </c>
      <c r="E72" s="315">
        <v>600</v>
      </c>
      <c r="F72" s="312" t="s">
        <v>1671</v>
      </c>
      <c r="G72" s="312" t="s">
        <v>1953</v>
      </c>
      <c r="H72" s="312" t="s">
        <v>1673</v>
      </c>
      <c r="I72" s="312" t="s">
        <v>1674</v>
      </c>
      <c r="J72" s="312" t="s">
        <v>318</v>
      </c>
      <c r="K72" s="312" t="s">
        <v>1944</v>
      </c>
      <c r="L72" s="329" t="s">
        <v>1684</v>
      </c>
      <c r="M72" s="329" t="s">
        <v>1677</v>
      </c>
    </row>
    <row r="73" ht="28" customHeight="1">
      <c r="A73" s="311" t="s">
        <v>1954</v>
      </c>
      <c r="B73" s="312" t="s">
        <v>1955</v>
      </c>
      <c r="C73" s="312" t="s">
        <v>1680</v>
      </c>
      <c r="D73" s="312" t="s">
        <v>1956</v>
      </c>
      <c r="E73" s="315">
        <v>500</v>
      </c>
      <c r="F73" s="312" t="s">
        <v>1671</v>
      </c>
      <c r="G73" s="312" t="s">
        <v>1956</v>
      </c>
      <c r="H73" s="312" t="s">
        <v>1673</v>
      </c>
      <c r="I73" s="312" t="s">
        <v>1674</v>
      </c>
      <c r="J73" s="312" t="s">
        <v>318</v>
      </c>
      <c r="K73" s="312" t="s">
        <v>1944</v>
      </c>
      <c r="L73" s="329" t="s">
        <v>1684</v>
      </c>
      <c r="M73" s="329" t="s">
        <v>1677</v>
      </c>
    </row>
    <row r="74" ht="28" customHeight="1">
      <c r="A74" s="311" t="s">
        <v>1957</v>
      </c>
      <c r="B74" s="312" t="s">
        <v>1958</v>
      </c>
      <c r="C74" s="312" t="s">
        <v>1680</v>
      </c>
      <c r="D74" s="312" t="s">
        <v>1959</v>
      </c>
      <c r="E74" s="315">
        <v>0</v>
      </c>
      <c r="F74" s="312" t="s">
        <v>1671</v>
      </c>
      <c r="G74" s="312" t="s">
        <v>1959</v>
      </c>
      <c r="H74" s="312" t="s">
        <v>1673</v>
      </c>
      <c r="I74" s="312" t="s">
        <v>1674</v>
      </c>
      <c r="J74" s="312" t="s">
        <v>318</v>
      </c>
      <c r="K74" s="312" t="s">
        <v>1944</v>
      </c>
      <c r="L74" s="329" t="s">
        <v>1684</v>
      </c>
      <c r="M74" s="329" t="s">
        <v>1677</v>
      </c>
    </row>
    <row r="75" ht="28" customHeight="1">
      <c r="A75" s="311" t="s">
        <v>1960</v>
      </c>
      <c r="B75" s="312" t="s">
        <v>1961</v>
      </c>
      <c r="C75" s="312" t="s">
        <v>1680</v>
      </c>
      <c r="D75" s="312" t="s">
        <v>1962</v>
      </c>
      <c r="E75" s="315">
        <v>500</v>
      </c>
      <c r="F75" s="312" t="s">
        <v>1671</v>
      </c>
      <c r="G75" s="312" t="s">
        <v>1962</v>
      </c>
      <c r="H75" s="312" t="s">
        <v>1673</v>
      </c>
      <c r="I75" s="312" t="s">
        <v>1674</v>
      </c>
      <c r="J75" s="312" t="s">
        <v>318</v>
      </c>
      <c r="K75" s="312" t="s">
        <v>1944</v>
      </c>
      <c r="L75" s="329" t="s">
        <v>1684</v>
      </c>
      <c r="M75" s="329" t="s">
        <v>1677</v>
      </c>
    </row>
    <row r="76" ht="28" customHeight="1">
      <c r="A76" s="311" t="s">
        <v>1963</v>
      </c>
      <c r="B76" s="312" t="s">
        <v>1964</v>
      </c>
      <c r="C76" s="312" t="s">
        <v>1680</v>
      </c>
      <c r="D76" s="312" t="s">
        <v>1965</v>
      </c>
      <c r="E76" s="315">
        <v>500</v>
      </c>
      <c r="F76" s="312" t="s">
        <v>1671</v>
      </c>
      <c r="G76" s="312" t="s">
        <v>1965</v>
      </c>
      <c r="H76" s="312" t="s">
        <v>1673</v>
      </c>
      <c r="I76" s="312" t="s">
        <v>1674</v>
      </c>
      <c r="J76" s="312" t="s">
        <v>318</v>
      </c>
      <c r="K76" s="312" t="s">
        <v>1944</v>
      </c>
      <c r="L76" s="329" t="s">
        <v>1684</v>
      </c>
      <c r="M76" s="329" t="s">
        <v>1677</v>
      </c>
    </row>
    <row r="77" ht="28" customHeight="1">
      <c r="A77" s="311" t="s">
        <v>1966</v>
      </c>
      <c r="B77" s="312" t="s">
        <v>1967</v>
      </c>
      <c r="C77" s="312" t="s">
        <v>1680</v>
      </c>
      <c r="D77" s="312" t="s">
        <v>1968</v>
      </c>
      <c r="E77" s="315">
        <v>600</v>
      </c>
      <c r="F77" s="312" t="s">
        <v>1671</v>
      </c>
      <c r="G77" s="312" t="s">
        <v>1968</v>
      </c>
      <c r="H77" s="312" t="s">
        <v>1673</v>
      </c>
      <c r="I77" s="312" t="s">
        <v>1674</v>
      </c>
      <c r="J77" s="312" t="s">
        <v>318</v>
      </c>
      <c r="K77" s="312" t="s">
        <v>1944</v>
      </c>
      <c r="L77" s="329" t="s">
        <v>1684</v>
      </c>
      <c r="M77" s="329" t="s">
        <v>1677</v>
      </c>
    </row>
    <row r="78" ht="28" customHeight="1">
      <c r="A78" s="311" t="s">
        <v>1969</v>
      </c>
      <c r="B78" s="312" t="s">
        <v>1970</v>
      </c>
      <c r="C78" s="312" t="s">
        <v>1680</v>
      </c>
      <c r="D78" s="312" t="s">
        <v>1971</v>
      </c>
      <c r="E78" s="315">
        <v>0</v>
      </c>
      <c r="F78" s="312" t="s">
        <v>1671</v>
      </c>
      <c r="G78" s="312" t="s">
        <v>1971</v>
      </c>
      <c r="H78" s="312" t="s">
        <v>1673</v>
      </c>
      <c r="I78" s="312" t="s">
        <v>1674</v>
      </c>
      <c r="J78" s="312" t="s">
        <v>318</v>
      </c>
      <c r="K78" s="312" t="s">
        <v>1944</v>
      </c>
      <c r="L78" s="329" t="s">
        <v>1684</v>
      </c>
      <c r="M78" s="329" t="s">
        <v>1677</v>
      </c>
    </row>
    <row r="79" ht="28" customHeight="1">
      <c r="A79" s="311" t="s">
        <v>1972</v>
      </c>
      <c r="B79" s="312" t="s">
        <v>1973</v>
      </c>
      <c r="C79" s="312" t="s">
        <v>1680</v>
      </c>
      <c r="D79" s="312" t="s">
        <v>1974</v>
      </c>
      <c r="E79" s="315">
        <v>0</v>
      </c>
      <c r="F79" s="312" t="s">
        <v>1671</v>
      </c>
      <c r="G79" s="312" t="s">
        <v>1974</v>
      </c>
      <c r="H79" s="312" t="s">
        <v>1673</v>
      </c>
      <c r="I79" s="312" t="s">
        <v>1674</v>
      </c>
      <c r="J79" s="312" t="s">
        <v>318</v>
      </c>
      <c r="K79" s="312" t="s">
        <v>1944</v>
      </c>
      <c r="L79" s="329" t="s">
        <v>1684</v>
      </c>
      <c r="M79" s="329" t="s">
        <v>1677</v>
      </c>
    </row>
    <row r="80" ht="28" customHeight="1">
      <c r="A80" s="311" t="s">
        <v>1975</v>
      </c>
      <c r="B80" s="312" t="s">
        <v>1976</v>
      </c>
      <c r="C80" s="312" t="s">
        <v>1680</v>
      </c>
      <c r="D80" s="312" t="s">
        <v>1977</v>
      </c>
      <c r="E80" s="315">
        <v>0</v>
      </c>
      <c r="F80" s="312" t="s">
        <v>1671</v>
      </c>
      <c r="G80" s="312" t="s">
        <v>1977</v>
      </c>
      <c r="H80" s="312" t="s">
        <v>1673</v>
      </c>
      <c r="I80" s="312" t="s">
        <v>1674</v>
      </c>
      <c r="J80" s="312" t="s">
        <v>318</v>
      </c>
      <c r="K80" s="312" t="s">
        <v>1944</v>
      </c>
      <c r="L80" s="329" t="s">
        <v>1684</v>
      </c>
      <c r="M80" s="329" t="s">
        <v>1677</v>
      </c>
    </row>
    <row r="81" ht="28" customHeight="1">
      <c r="A81" s="311" t="s">
        <v>1978</v>
      </c>
      <c r="B81" s="312" t="s">
        <v>1979</v>
      </c>
      <c r="C81" s="312" t="s">
        <v>1680</v>
      </c>
      <c r="D81" s="312" t="s">
        <v>1980</v>
      </c>
      <c r="E81" s="315">
        <v>0.5</v>
      </c>
      <c r="F81" s="312" t="s">
        <v>1671</v>
      </c>
      <c r="G81" s="312" t="s">
        <v>1980</v>
      </c>
      <c r="H81" s="312" t="s">
        <v>1939</v>
      </c>
      <c r="I81" s="312" t="s">
        <v>1674</v>
      </c>
      <c r="J81" s="312" t="s">
        <v>318</v>
      </c>
      <c r="K81" s="312" t="s">
        <v>1981</v>
      </c>
      <c r="L81" s="329" t="s">
        <v>1684</v>
      </c>
      <c r="M81" s="329" t="s">
        <v>1982</v>
      </c>
    </row>
    <row r="82" ht="28" customHeight="1">
      <c r="A82" s="311" t="s">
        <v>1983</v>
      </c>
      <c r="B82" s="312" t="s">
        <v>1984</v>
      </c>
      <c r="C82" s="312" t="s">
        <v>294</v>
      </c>
      <c r="D82" s="312" t="s">
        <v>1985</v>
      </c>
      <c r="E82" s="312" t="s">
        <v>1986</v>
      </c>
      <c r="F82" s="312" t="s">
        <v>1987</v>
      </c>
      <c r="G82" s="312" t="s">
        <v>1988</v>
      </c>
      <c r="H82" s="312" t="s">
        <v>1939</v>
      </c>
      <c r="I82" s="312" t="s">
        <v>1674</v>
      </c>
      <c r="J82" s="312" t="s">
        <v>1711</v>
      </c>
      <c r="K82" s="312" t="s">
        <v>1989</v>
      </c>
      <c r="L82" s="329" t="s">
        <v>1676</v>
      </c>
      <c r="M82" s="329" t="s">
        <v>1982</v>
      </c>
    </row>
    <row r="83" ht="28" customHeight="1">
      <c r="A83" s="311" t="s">
        <v>1990</v>
      </c>
      <c r="B83" s="312" t="s">
        <v>1991</v>
      </c>
      <c r="C83" s="312" t="s">
        <v>1680</v>
      </c>
      <c r="D83" s="312" t="s">
        <v>1992</v>
      </c>
      <c r="E83" s="315">
        <v>6.5000000000000002E-2</v>
      </c>
      <c r="F83" s="312" t="s">
        <v>1987</v>
      </c>
      <c r="G83" s="312" t="s">
        <v>1993</v>
      </c>
      <c r="H83" s="312" t="s">
        <v>1939</v>
      </c>
      <c r="I83" s="312" t="s">
        <v>1674</v>
      </c>
      <c r="J83" s="312" t="s">
        <v>318</v>
      </c>
      <c r="K83" s="312" t="str">
        <v>Term-debt all-in interest rate is a provisional management case pending an executed lender term sheet.</v>
      </c>
      <c r="L83" s="329" t="s">
        <v>1684</v>
      </c>
      <c r="M83" s="329" t="s">
        <v>1982</v>
      </c>
    </row>
    <row r="84" ht="28" customHeight="1">
      <c r="A84" s="311" t="s">
        <v>1994</v>
      </c>
      <c r="B84" s="312" t="s">
        <v>1995</v>
      </c>
      <c r="C84" s="312" t="s">
        <v>1680</v>
      </c>
      <c r="D84" s="312" t="s">
        <v>1996</v>
      </c>
      <c r="E84" s="315">
        <v>0.01</v>
      </c>
      <c r="F84" s="312" t="s">
        <v>1987</v>
      </c>
      <c r="G84" s="312" t="s">
        <v>1997</v>
      </c>
      <c r="H84" s="312" t="s">
        <v>1939</v>
      </c>
      <c r="I84" s="312" t="s">
        <v>1674</v>
      </c>
      <c r="J84" s="312" t="s">
        <v>318</v>
      </c>
      <c r="K84" s="312" t="str">
        <v>The source facility description is retained for traceability; executed construction-facility terms remain required.</v>
      </c>
      <c r="L84" s="329" t="s">
        <v>1684</v>
      </c>
      <c r="M84" s="329" t="s">
        <v>1982</v>
      </c>
    </row>
    <row r="85" ht="28" customHeight="1">
      <c r="A85" s="311" t="s">
        <v>1998</v>
      </c>
      <c r="B85" s="312" t="s">
        <v>1999</v>
      </c>
      <c r="C85" s="312" t="s">
        <v>2000</v>
      </c>
      <c r="D85" s="312" t="s">
        <v>2001</v>
      </c>
      <c r="E85" s="312" t="s">
        <v>2002</v>
      </c>
      <c r="F85" s="312" t="s">
        <v>1918</v>
      </c>
      <c r="G85" s="312" t="s">
        <v>2001</v>
      </c>
      <c r="H85" s="312" t="s">
        <v>1673</v>
      </c>
      <c r="I85" s="312" t="s">
        <v>1921</v>
      </c>
      <c r="J85" s="312" t="s">
        <v>318</v>
      </c>
      <c r="K85" s="312" t="s">
        <v>2003</v>
      </c>
      <c r="L85" s="329" t="s">
        <v>1684</v>
      </c>
      <c r="M85" s="329" t="s">
        <v>1982</v>
      </c>
    </row>
    <row r="86" ht="28" customHeight="1">
      <c r="A86" s="311" t="s">
        <v>2004</v>
      </c>
      <c r="B86" s="312" t="s">
        <v>2005</v>
      </c>
      <c r="C86" s="312" t="s">
        <v>2000</v>
      </c>
      <c r="D86" s="312" t="s">
        <v>2006</v>
      </c>
      <c r="E86" s="315">
        <v>0.65</v>
      </c>
      <c r="F86" s="312" t="s">
        <v>1918</v>
      </c>
      <c r="G86" s="312" t="s">
        <v>2006</v>
      </c>
      <c r="H86" s="312" t="s">
        <v>1673</v>
      </c>
      <c r="I86" s="312" t="s">
        <v>1921</v>
      </c>
      <c r="J86" s="312" t="s">
        <v>318</v>
      </c>
      <c r="K86" s="312" t="s">
        <v>2007</v>
      </c>
      <c r="L86" s="329" t="s">
        <v>1684</v>
      </c>
      <c r="M86" s="329" t="s">
        <v>1982</v>
      </c>
    </row>
    <row r="87" ht="28" customHeight="1">
      <c r="A87" s="311" t="s">
        <v>2008</v>
      </c>
      <c r="B87" s="312" t="s">
        <v>2009</v>
      </c>
      <c r="C87" s="312" t="s">
        <v>2000</v>
      </c>
      <c r="D87" s="312" t="s">
        <v>2010</v>
      </c>
      <c r="E87" s="315">
        <v>0</v>
      </c>
      <c r="F87" s="312" t="s">
        <v>1918</v>
      </c>
      <c r="G87" s="312" t="s">
        <v>2010</v>
      </c>
      <c r="H87" s="312" t="s">
        <v>1673</v>
      </c>
      <c r="I87" s="312" t="s">
        <v>1921</v>
      </c>
      <c r="J87" s="312" t="s">
        <v>318</v>
      </c>
      <c r="K87" s="312" t="s">
        <v>2011</v>
      </c>
      <c r="L87" s="329" t="s">
        <v>1684</v>
      </c>
      <c r="M87" s="329" t="s">
        <v>1982</v>
      </c>
    </row>
    <row r="88" ht="28" customHeight="1">
      <c r="A88" s="311" t="s">
        <v>2012</v>
      </c>
      <c r="B88" s="312" t="s">
        <v>2013</v>
      </c>
      <c r="C88" s="312" t="s">
        <v>2000</v>
      </c>
      <c r="D88" s="312" t="s">
        <v>2014</v>
      </c>
      <c r="E88" s="315">
        <v>0</v>
      </c>
      <c r="F88" s="312" t="s">
        <v>1918</v>
      </c>
      <c r="G88" s="312" t="s">
        <v>2014</v>
      </c>
      <c r="H88" s="312" t="s">
        <v>1673</v>
      </c>
      <c r="I88" s="312" t="s">
        <v>1921</v>
      </c>
      <c r="J88" s="312" t="s">
        <v>318</v>
      </c>
      <c r="K88" s="312" t="s">
        <v>2007</v>
      </c>
      <c r="L88" s="329" t="s">
        <v>1684</v>
      </c>
      <c r="M88" s="329" t="s">
        <v>1982</v>
      </c>
    </row>
    <row r="89" ht="28" customHeight="1">
      <c r="A89" s="311" t="s">
        <v>2015</v>
      </c>
      <c r="B89" s="312" t="s">
        <v>2016</v>
      </c>
      <c r="C89" s="312" t="s">
        <v>2000</v>
      </c>
      <c r="D89" s="312" t="s">
        <v>2017</v>
      </c>
      <c r="E89" s="315">
        <v>0</v>
      </c>
      <c r="F89" s="312" t="s">
        <v>1918</v>
      </c>
      <c r="G89" s="312" t="s">
        <v>2017</v>
      </c>
      <c r="H89" s="312" t="s">
        <v>1673</v>
      </c>
      <c r="I89" s="312" t="s">
        <v>1921</v>
      </c>
      <c r="J89" s="312" t="s">
        <v>318</v>
      </c>
      <c r="K89" s="312" t="s">
        <v>2007</v>
      </c>
      <c r="L89" s="329" t="s">
        <v>1684</v>
      </c>
      <c r="M89" s="329" t="s">
        <v>1982</v>
      </c>
    </row>
    <row r="90" ht="28" customHeight="1">
      <c r="A90" s="311" t="s">
        <v>2018</v>
      </c>
      <c r="B90" s="312" t="s">
        <v>2019</v>
      </c>
      <c r="C90" s="312" t="s">
        <v>2000</v>
      </c>
      <c r="D90" s="312" t="s">
        <v>2020</v>
      </c>
      <c r="E90" s="315">
        <v>365</v>
      </c>
      <c r="F90" s="312" t="s">
        <v>1918</v>
      </c>
      <c r="G90" s="312" t="s">
        <v>2020</v>
      </c>
      <c r="H90" s="312" t="s">
        <v>1673</v>
      </c>
      <c r="I90" s="312" t="s">
        <v>1921</v>
      </c>
      <c r="J90" s="312" t="s">
        <v>318</v>
      </c>
      <c r="K90" s="312" t="s">
        <v>2007</v>
      </c>
      <c r="L90" s="329" t="s">
        <v>1684</v>
      </c>
      <c r="M90" s="329" t="s">
        <v>1982</v>
      </c>
    </row>
    <row r="91" ht="28" customHeight="1">
      <c r="A91" s="311" t="s">
        <v>2021</v>
      </c>
      <c r="B91" s="312" t="s">
        <v>2022</v>
      </c>
      <c r="C91" s="312" t="s">
        <v>2000</v>
      </c>
      <c r="D91" s="312" t="s">
        <v>2023</v>
      </c>
      <c r="E91" s="312" t="s">
        <v>205</v>
      </c>
      <c r="F91" s="312" t="s">
        <v>1918</v>
      </c>
      <c r="G91" s="312" t="s">
        <v>2023</v>
      </c>
      <c r="H91" s="312" t="s">
        <v>1673</v>
      </c>
      <c r="I91" s="312" t="s">
        <v>1921</v>
      </c>
      <c r="J91" s="312" t="s">
        <v>318</v>
      </c>
      <c r="K91" s="312" t="s">
        <v>2007</v>
      </c>
      <c r="L91" s="329" t="s">
        <v>1684</v>
      </c>
      <c r="M91" s="329" t="s">
        <v>1982</v>
      </c>
    </row>
    <row r="92" ht="28" customHeight="1">
      <c r="A92" s="311" t="s">
        <v>2024</v>
      </c>
      <c r="B92" s="312" t="s">
        <v>2025</v>
      </c>
      <c r="C92" s="312" t="s">
        <v>2000</v>
      </c>
      <c r="D92" s="312" t="s">
        <v>2026</v>
      </c>
      <c r="E92" s="315">
        <v>0</v>
      </c>
      <c r="F92" s="312" t="s">
        <v>1918</v>
      </c>
      <c r="G92" s="312" t="s">
        <v>2026</v>
      </c>
      <c r="H92" s="312" t="s">
        <v>1673</v>
      </c>
      <c r="I92" s="312" t="s">
        <v>1921</v>
      </c>
      <c r="J92" s="312" t="s">
        <v>318</v>
      </c>
      <c r="K92" s="312" t="s">
        <v>2007</v>
      </c>
      <c r="L92" s="329" t="s">
        <v>1684</v>
      </c>
      <c r="M92" s="329" t="s">
        <v>1982</v>
      </c>
    </row>
    <row r="93" ht="28" customHeight="1">
      <c r="A93" s="311" t="s">
        <v>2027</v>
      </c>
      <c r="B93" s="312" t="s">
        <v>2028</v>
      </c>
      <c r="C93" s="312" t="s">
        <v>2000</v>
      </c>
      <c r="D93" s="312" t="s">
        <v>2029</v>
      </c>
      <c r="E93" s="315">
        <v>100000</v>
      </c>
      <c r="F93" s="312" t="s">
        <v>1918</v>
      </c>
      <c r="G93" s="312" t="s">
        <v>2029</v>
      </c>
      <c r="H93" s="312" t="s">
        <v>1673</v>
      </c>
      <c r="I93" s="312" t="s">
        <v>1921</v>
      </c>
      <c r="J93" s="312" t="s">
        <v>318</v>
      </c>
      <c r="K93" s="312" t="s">
        <v>2007</v>
      </c>
      <c r="L93" s="329" t="s">
        <v>1684</v>
      </c>
      <c r="M93" s="329" t="s">
        <v>1982</v>
      </c>
    </row>
    <row r="94" ht="28" customHeight="1">
      <c r="A94" s="311" t="s">
        <v>2030</v>
      </c>
      <c r="B94" s="312" t="s">
        <v>2031</v>
      </c>
      <c r="C94" s="312" t="s">
        <v>2000</v>
      </c>
      <c r="D94" s="312" t="s">
        <v>2032</v>
      </c>
      <c r="E94" s="315">
        <v>0</v>
      </c>
      <c r="F94" s="312" t="s">
        <v>1918</v>
      </c>
      <c r="G94" s="312" t="s">
        <v>2032</v>
      </c>
      <c r="H94" s="312" t="s">
        <v>1673</v>
      </c>
      <c r="I94" s="312" t="s">
        <v>1921</v>
      </c>
      <c r="J94" s="312" t="s">
        <v>318</v>
      </c>
      <c r="K94" s="312" t="s">
        <v>2007</v>
      </c>
      <c r="L94" s="329" t="s">
        <v>1684</v>
      </c>
      <c r="M94" s="329" t="s">
        <v>1982</v>
      </c>
    </row>
    <row r="95" ht="28" customHeight="1">
      <c r="A95" s="311" t="s">
        <v>2033</v>
      </c>
      <c r="B95" s="312" t="s">
        <v>2034</v>
      </c>
      <c r="C95" s="312" t="s">
        <v>2000</v>
      </c>
      <c r="D95" s="312" t="s">
        <v>2035</v>
      </c>
      <c r="E95" s="312" t="s">
        <v>2036</v>
      </c>
      <c r="F95" s="312" t="s">
        <v>1918</v>
      </c>
      <c r="G95" s="312" t="s">
        <v>2035</v>
      </c>
      <c r="H95" s="312" t="s">
        <v>1673</v>
      </c>
      <c r="I95" s="312" t="s">
        <v>1921</v>
      </c>
      <c r="J95" s="312" t="s">
        <v>318</v>
      </c>
      <c r="K95" s="312" t="s">
        <v>2007</v>
      </c>
      <c r="L95" s="329" t="s">
        <v>1684</v>
      </c>
      <c r="M95" s="329" t="s">
        <v>1982</v>
      </c>
    </row>
    <row r="96" ht="28" customHeight="1">
      <c r="A96" s="311" t="s">
        <v>2037</v>
      </c>
      <c r="B96" s="312" t="s">
        <v>2038</v>
      </c>
      <c r="C96" s="312" t="s">
        <v>2000</v>
      </c>
      <c r="D96" s="312" t="s">
        <v>2039</v>
      </c>
      <c r="E96" s="312" t="s">
        <v>205</v>
      </c>
      <c r="F96" s="312" t="s">
        <v>1918</v>
      </c>
      <c r="G96" s="312" t="s">
        <v>2039</v>
      </c>
      <c r="H96" s="312" t="s">
        <v>1673</v>
      </c>
      <c r="I96" s="312" t="s">
        <v>1921</v>
      </c>
      <c r="J96" s="312" t="s">
        <v>318</v>
      </c>
      <c r="K96" s="312" t="s">
        <v>2007</v>
      </c>
      <c r="L96" s="329" t="s">
        <v>1684</v>
      </c>
      <c r="M96" s="329" t="s">
        <v>1982</v>
      </c>
    </row>
    <row r="97" ht="28" customHeight="1">
      <c r="A97" s="311" t="s">
        <v>2040</v>
      </c>
      <c r="B97" s="312" t="s">
        <v>2041</v>
      </c>
      <c r="C97" s="312" t="s">
        <v>2000</v>
      </c>
      <c r="D97" s="312" t="s">
        <v>2042</v>
      </c>
      <c r="E97" s="315">
        <v>0.65</v>
      </c>
      <c r="F97" s="312" t="s">
        <v>1918</v>
      </c>
      <c r="G97" s="312" t="s">
        <v>2042</v>
      </c>
      <c r="H97" s="312" t="s">
        <v>1673</v>
      </c>
      <c r="I97" s="312" t="s">
        <v>1921</v>
      </c>
      <c r="J97" s="312" t="s">
        <v>318</v>
      </c>
      <c r="K97" s="312" t="s">
        <v>2007</v>
      </c>
      <c r="L97" s="329" t="s">
        <v>1684</v>
      </c>
      <c r="M97" s="329" t="s">
        <v>1982</v>
      </c>
    </row>
    <row r="98" ht="28" customHeight="1">
      <c r="A98" s="311" t="s">
        <v>2043</v>
      </c>
      <c r="B98" s="312" t="s">
        <v>2044</v>
      </c>
      <c r="C98" s="312" t="s">
        <v>2000</v>
      </c>
      <c r="D98" s="312" t="s">
        <v>2045</v>
      </c>
      <c r="E98" s="315">
        <v>5</v>
      </c>
      <c r="F98" s="312" t="s">
        <v>1918</v>
      </c>
      <c r="G98" s="312" t="s">
        <v>2045</v>
      </c>
      <c r="H98" s="312" t="s">
        <v>1673</v>
      </c>
      <c r="I98" s="312" t="s">
        <v>1921</v>
      </c>
      <c r="J98" s="312" t="s">
        <v>318</v>
      </c>
      <c r="K98" s="312" t="s">
        <v>2007</v>
      </c>
      <c r="L98" s="329" t="s">
        <v>1684</v>
      </c>
      <c r="M98" s="329" t="s">
        <v>1982</v>
      </c>
    </row>
    <row r="99" ht="28" customHeight="1">
      <c r="A99" s="311" t="s">
        <v>2046</v>
      </c>
      <c r="B99" s="312" t="s">
        <v>2047</v>
      </c>
      <c r="C99" s="312" t="s">
        <v>2000</v>
      </c>
      <c r="D99" s="312" t="s">
        <v>2048</v>
      </c>
      <c r="E99" s="315">
        <v>12</v>
      </c>
      <c r="F99" s="312" t="s">
        <v>1918</v>
      </c>
      <c r="G99" s="312" t="s">
        <v>2048</v>
      </c>
      <c r="H99" s="312" t="s">
        <v>1673</v>
      </c>
      <c r="I99" s="312" t="s">
        <v>1921</v>
      </c>
      <c r="J99" s="312" t="s">
        <v>318</v>
      </c>
      <c r="K99" s="312" t="s">
        <v>2007</v>
      </c>
      <c r="L99" s="329" t="s">
        <v>1684</v>
      </c>
      <c r="M99" s="329" t="s">
        <v>1982</v>
      </c>
    </row>
    <row r="100" ht="28" customHeight="1">
      <c r="A100" s="311" t="s">
        <v>2049</v>
      </c>
      <c r="B100" s="312" t="s">
        <v>2050</v>
      </c>
      <c r="C100" s="312" t="s">
        <v>2000</v>
      </c>
      <c r="D100" s="312" t="s">
        <v>2051</v>
      </c>
      <c r="E100" s="312" t="s">
        <v>2052</v>
      </c>
      <c r="F100" s="312" t="s">
        <v>1918</v>
      </c>
      <c r="G100" s="312" t="s">
        <v>2051</v>
      </c>
      <c r="H100" s="312" t="s">
        <v>1673</v>
      </c>
      <c r="I100" s="312" t="s">
        <v>1921</v>
      </c>
      <c r="J100" s="312" t="s">
        <v>318</v>
      </c>
      <c r="K100" s="312" t="s">
        <v>2007</v>
      </c>
      <c r="L100" s="329" t="s">
        <v>1684</v>
      </c>
      <c r="M100" s="329" t="s">
        <v>1982</v>
      </c>
    </row>
    <row r="101" ht="28" customHeight="1">
      <c r="A101" s="311" t="s">
        <v>2053</v>
      </c>
      <c r="B101" s="312" t="s">
        <v>2054</v>
      </c>
      <c r="C101" s="312" t="s">
        <v>2000</v>
      </c>
      <c r="D101" s="312" t="s">
        <v>2055</v>
      </c>
      <c r="E101" s="315">
        <v>0.5</v>
      </c>
      <c r="F101" s="312" t="s">
        <v>1918</v>
      </c>
      <c r="G101" s="312" t="s">
        <v>2055</v>
      </c>
      <c r="H101" s="312" t="s">
        <v>1673</v>
      </c>
      <c r="I101" s="312" t="s">
        <v>1921</v>
      </c>
      <c r="J101" s="312" t="s">
        <v>318</v>
      </c>
      <c r="K101" s="312" t="s">
        <v>2007</v>
      </c>
      <c r="L101" s="329" t="s">
        <v>1684</v>
      </c>
      <c r="M101" s="329" t="s">
        <v>1982</v>
      </c>
    </row>
    <row r="102" ht="28" customHeight="1">
      <c r="A102" s="311" t="s">
        <v>2056</v>
      </c>
      <c r="B102" s="312" t="s">
        <v>2057</v>
      </c>
      <c r="C102" s="312" t="s">
        <v>2000</v>
      </c>
      <c r="D102" s="312" t="s">
        <v>2058</v>
      </c>
      <c r="E102" s="315">
        <v>0.5</v>
      </c>
      <c r="F102" s="312" t="s">
        <v>1918</v>
      </c>
      <c r="G102" s="312" t="s">
        <v>2058</v>
      </c>
      <c r="H102" s="312" t="s">
        <v>1673</v>
      </c>
      <c r="I102" s="312" t="s">
        <v>1921</v>
      </c>
      <c r="J102" s="312" t="s">
        <v>318</v>
      </c>
      <c r="K102" s="312" t="s">
        <v>2007</v>
      </c>
      <c r="L102" s="329" t="s">
        <v>1684</v>
      </c>
      <c r="M102" s="329" t="s">
        <v>1982</v>
      </c>
    </row>
    <row r="103" ht="28" customHeight="1">
      <c r="A103" s="311" t="s">
        <v>2059</v>
      </c>
      <c r="B103" s="312" t="s">
        <v>2060</v>
      </c>
      <c r="C103" s="312" t="s">
        <v>2000</v>
      </c>
      <c r="D103" s="312" t="s">
        <v>2061</v>
      </c>
      <c r="E103" s="315">
        <v>1.25</v>
      </c>
      <c r="F103" s="312" t="s">
        <v>1918</v>
      </c>
      <c r="G103" s="312" t="s">
        <v>2061</v>
      </c>
      <c r="H103" s="312" t="s">
        <v>1673</v>
      </c>
      <c r="I103" s="312" t="s">
        <v>1921</v>
      </c>
      <c r="J103" s="312" t="s">
        <v>318</v>
      </c>
      <c r="K103" s="312" t="s">
        <v>2007</v>
      </c>
      <c r="L103" s="329" t="s">
        <v>1684</v>
      </c>
      <c r="M103" s="329" t="s">
        <v>1982</v>
      </c>
    </row>
    <row r="104" ht="28" customHeight="1">
      <c r="A104" s="311" t="s">
        <v>2062</v>
      </c>
      <c r="B104" s="312" t="s">
        <v>2063</v>
      </c>
      <c r="C104" s="312" t="s">
        <v>2000</v>
      </c>
      <c r="D104" s="312" t="s">
        <v>2064</v>
      </c>
      <c r="E104" s="315">
        <v>1.5</v>
      </c>
      <c r="F104" s="312" t="s">
        <v>1918</v>
      </c>
      <c r="G104" s="312" t="s">
        <v>2064</v>
      </c>
      <c r="H104" s="312" t="s">
        <v>1673</v>
      </c>
      <c r="I104" s="312" t="s">
        <v>1921</v>
      </c>
      <c r="J104" s="312" t="s">
        <v>318</v>
      </c>
      <c r="K104" s="312" t="s">
        <v>2007</v>
      </c>
      <c r="L104" s="329" t="s">
        <v>1684</v>
      </c>
      <c r="M104" s="329" t="s">
        <v>1982</v>
      </c>
    </row>
    <row r="105" ht="28" customHeight="1">
      <c r="A105" s="311" t="s">
        <v>2065</v>
      </c>
      <c r="B105" s="312" t="s">
        <v>2066</v>
      </c>
      <c r="C105" s="312" t="s">
        <v>2000</v>
      </c>
      <c r="D105" s="312" t="s">
        <v>2067</v>
      </c>
      <c r="E105" s="315">
        <v>0.08</v>
      </c>
      <c r="F105" s="312" t="s">
        <v>1918</v>
      </c>
      <c r="G105" s="312" t="s">
        <v>2067</v>
      </c>
      <c r="H105" s="312" t="s">
        <v>1673</v>
      </c>
      <c r="I105" s="312" t="s">
        <v>1921</v>
      </c>
      <c r="J105" s="312" t="s">
        <v>318</v>
      </c>
      <c r="K105" s="312" t="s">
        <v>2007</v>
      </c>
      <c r="L105" s="329" t="s">
        <v>1684</v>
      </c>
      <c r="M105" s="329" t="s">
        <v>1982</v>
      </c>
    </row>
    <row r="106" ht="28" customHeight="1">
      <c r="A106" s="311" t="s">
        <v>2068</v>
      </c>
      <c r="B106" s="312" t="s">
        <v>2069</v>
      </c>
      <c r="C106" s="312" t="s">
        <v>2000</v>
      </c>
      <c r="D106" s="312" t="s">
        <v>2070</v>
      </c>
      <c r="E106" s="315">
        <v>0</v>
      </c>
      <c r="F106" s="312" t="s">
        <v>1918</v>
      </c>
      <c r="G106" s="312" t="s">
        <v>2070</v>
      </c>
      <c r="H106" s="312" t="s">
        <v>1673</v>
      </c>
      <c r="I106" s="312" t="s">
        <v>1921</v>
      </c>
      <c r="J106" s="312" t="s">
        <v>318</v>
      </c>
      <c r="K106" s="312" t="s">
        <v>2007</v>
      </c>
      <c r="L106" s="329" t="s">
        <v>1684</v>
      </c>
      <c r="M106" s="329" t="s">
        <v>1982</v>
      </c>
    </row>
    <row r="107" ht="28" customHeight="1">
      <c r="A107" s="311" t="s">
        <v>2071</v>
      </c>
      <c r="B107" s="312" t="s">
        <v>2072</v>
      </c>
      <c r="C107" s="312" t="s">
        <v>2073</v>
      </c>
      <c r="D107" s="312" t="s">
        <v>2074</v>
      </c>
      <c r="E107" s="312" t="s">
        <v>2075</v>
      </c>
      <c r="F107" s="312" t="s">
        <v>1671</v>
      </c>
      <c r="G107" s="312" t="s">
        <v>2076</v>
      </c>
      <c r="H107" s="312" t="s">
        <v>2077</v>
      </c>
      <c r="I107" s="312" t="s">
        <v>2078</v>
      </c>
      <c r="J107" s="312" t="s">
        <v>1711</v>
      </c>
      <c r="K107" s="312" t="s">
        <v>2079</v>
      </c>
      <c r="L107" s="329" t="s">
        <v>2073</v>
      </c>
      <c r="M107" s="329" t="s">
        <v>1982</v>
      </c>
    </row>
    <row r="108" ht="28" customHeight="1">
      <c r="A108" s="311" t="s">
        <v>2080</v>
      </c>
      <c r="B108" s="312" t="s">
        <v>2081</v>
      </c>
      <c r="C108" s="312" t="s">
        <v>2073</v>
      </c>
      <c r="D108" s="312" t="s">
        <v>2082</v>
      </c>
      <c r="E108" s="312" t="s">
        <v>2083</v>
      </c>
      <c r="F108" s="312" t="s">
        <v>1671</v>
      </c>
      <c r="G108" s="312" t="s">
        <v>2084</v>
      </c>
      <c r="H108" s="312" t="s">
        <v>2085</v>
      </c>
      <c r="I108" s="312" t="s">
        <v>2078</v>
      </c>
      <c r="J108" s="312" t="s">
        <v>1711</v>
      </c>
      <c r="K108" s="312" t="s">
        <v>2086</v>
      </c>
      <c r="L108" s="329" t="s">
        <v>2073</v>
      </c>
      <c r="M108" s="329" t="s">
        <v>1677</v>
      </c>
    </row>
    <row r="109" ht="28" customHeight="1">
      <c r="A109" s="311" t="s">
        <v>2087</v>
      </c>
      <c r="B109" s="312" t="s">
        <v>2088</v>
      </c>
      <c r="C109" s="312" t="s">
        <v>294</v>
      </c>
      <c r="D109" s="312" t="s">
        <v>2048</v>
      </c>
      <c r="E109" s="315">
        <v>6.5000000000000002E-2</v>
      </c>
      <c r="F109" s="312" t="s">
        <v>1671</v>
      </c>
      <c r="G109" s="312" t="s">
        <v>2089</v>
      </c>
      <c r="H109" s="312" t="s">
        <v>1673</v>
      </c>
      <c r="I109" s="312" t="s">
        <v>1674</v>
      </c>
      <c r="J109" s="312" t="s">
        <v>318</v>
      </c>
      <c r="K109" s="312" t="str">
        <v>Current market capitalisation rate is the live management valuation input; independent market evidence remains required.</v>
      </c>
      <c r="L109" s="329" t="s">
        <v>1676</v>
      </c>
      <c r="M109" s="329" t="s">
        <v>2090</v>
      </c>
    </row>
    <row r="110" ht="28" customHeight="1">
      <c r="A110" s="311" t="s">
        <v>2091</v>
      </c>
      <c r="B110" s="312" t="s">
        <v>2092</v>
      </c>
      <c r="C110" s="312" t="s">
        <v>2093</v>
      </c>
      <c r="D110" s="312" t="s">
        <v>2094</v>
      </c>
      <c r="E110" s="312" t="s">
        <v>2095</v>
      </c>
      <c r="F110" s="312" t="s">
        <v>1671</v>
      </c>
      <c r="G110" s="312" t="s">
        <v>2096</v>
      </c>
      <c r="H110" s="312" t="s">
        <v>1673</v>
      </c>
      <c r="I110" s="312" t="s">
        <v>1921</v>
      </c>
      <c r="J110" s="312" t="s">
        <v>2097</v>
      </c>
      <c r="K110" s="312" t="s">
        <v>2098</v>
      </c>
      <c r="L110" s="329" t="s">
        <v>2093</v>
      </c>
      <c r="M110" s="329" t="s">
        <v>2099</v>
      </c>
    </row>
    <row r="111" ht="28" customHeight="1">
      <c r="A111" s="311" t="s">
        <v>2100</v>
      </c>
      <c r="B111" s="312" t="s">
        <v>2101</v>
      </c>
      <c r="C111" s="312" t="s">
        <v>1668</v>
      </c>
      <c r="D111" s="312" t="s">
        <v>2102</v>
      </c>
      <c r="E111" s="315">
        <v>0.02</v>
      </c>
      <c r="F111" s="312" t="s">
        <v>1671</v>
      </c>
      <c r="G111" s="312" t="s">
        <v>2103</v>
      </c>
      <c r="H111" s="312" t="s">
        <v>1673</v>
      </c>
      <c r="I111" s="312" t="s">
        <v>1674</v>
      </c>
      <c r="J111" s="312" t="s">
        <v>318</v>
      </c>
      <c r="K111" s="312" t="str">
        <v>Selling-cost rate is a provisional management assumption pending transaction and valuation advice.</v>
      </c>
      <c r="L111" s="329" t="s">
        <v>1676</v>
      </c>
      <c r="M111" s="329" t="s">
        <v>2090</v>
      </c>
    </row>
    <row r="112" ht="28" customHeight="1">
      <c r="A112" s="311" t="s">
        <v>2104</v>
      </c>
      <c r="B112" s="312" t="s">
        <v>2105</v>
      </c>
      <c r="C112" s="312" t="s">
        <v>2093</v>
      </c>
      <c r="D112" s="312" t="s">
        <v>2106</v>
      </c>
      <c r="E112" s="312" t="s">
        <v>2107</v>
      </c>
      <c r="F112" s="312" t="s">
        <v>2108</v>
      </c>
      <c r="G112" s="312" t="s">
        <v>2109</v>
      </c>
      <c r="H112" s="312" t="s">
        <v>2110</v>
      </c>
      <c r="I112" s="312" t="s">
        <v>1921</v>
      </c>
      <c r="J112" s="312" t="s">
        <v>2097</v>
      </c>
      <c r="K112" s="312" t="s">
        <v>2111</v>
      </c>
      <c r="L112" s="329" t="s">
        <v>2093</v>
      </c>
      <c r="M112" s="329" t="s">
        <v>2099</v>
      </c>
    </row>
    <row r="113" ht="28" customHeight="1">
      <c r="A113" s="311" t="s">
        <v>2112</v>
      </c>
      <c r="B113" s="312" t="s">
        <v>2113</v>
      </c>
      <c r="C113" s="312" t="s">
        <v>2114</v>
      </c>
      <c r="D113" s="312" t="s">
        <v>2115</v>
      </c>
      <c r="E113" s="315">
        <v>0.2</v>
      </c>
      <c r="F113" s="312" t="s">
        <v>2108</v>
      </c>
      <c r="G113" s="312" t="s">
        <v>2115</v>
      </c>
      <c r="H113" s="312" t="s">
        <v>1673</v>
      </c>
      <c r="I113" s="312" t="s">
        <v>1921</v>
      </c>
      <c r="J113" s="312" t="s">
        <v>318</v>
      </c>
      <c r="K113" s="312" t="s">
        <v>2116</v>
      </c>
      <c r="L113" s="329" t="s">
        <v>1684</v>
      </c>
      <c r="M113" s="329" t="s">
        <v>2090</v>
      </c>
    </row>
    <row r="114" ht="28" customHeight="1">
      <c r="A114" s="311" t="s">
        <v>2117</v>
      </c>
      <c r="B114" s="312" t="s">
        <v>2118</v>
      </c>
      <c r="C114" s="312" t="s">
        <v>2114</v>
      </c>
      <c r="D114" s="312" t="s">
        <v>2119</v>
      </c>
      <c r="E114" s="315">
        <v>0.2</v>
      </c>
      <c r="F114" s="312" t="s">
        <v>2108</v>
      </c>
      <c r="G114" s="312" t="s">
        <v>2119</v>
      </c>
      <c r="H114" s="312" t="s">
        <v>1673</v>
      </c>
      <c r="I114" s="312" t="s">
        <v>1921</v>
      </c>
      <c r="J114" s="312" t="s">
        <v>318</v>
      </c>
      <c r="K114" s="312" t="s">
        <v>2116</v>
      </c>
      <c r="L114" s="329" t="s">
        <v>1684</v>
      </c>
      <c r="M114" s="329" t="s">
        <v>2090</v>
      </c>
    </row>
    <row r="115" ht="28" customHeight="1">
      <c r="A115" s="311" t="s">
        <v>2120</v>
      </c>
      <c r="B115" s="312" t="s">
        <v>2121</v>
      </c>
      <c r="C115" s="312" t="s">
        <v>2114</v>
      </c>
      <c r="D115" s="312" t="s">
        <v>2006</v>
      </c>
      <c r="E115" s="315">
        <v>8</v>
      </c>
      <c r="F115" s="312" t="s">
        <v>2108</v>
      </c>
      <c r="G115" s="312" t="s">
        <v>2006</v>
      </c>
      <c r="H115" s="312" t="s">
        <v>1673</v>
      </c>
      <c r="I115" s="312" t="s">
        <v>1921</v>
      </c>
      <c r="J115" s="312" t="s">
        <v>318</v>
      </c>
      <c r="K115" s="312" t="s">
        <v>2116</v>
      </c>
      <c r="L115" s="329" t="s">
        <v>1684</v>
      </c>
      <c r="M115" s="329" t="s">
        <v>2090</v>
      </c>
    </row>
    <row r="116" ht="28" customHeight="1">
      <c r="A116" s="311" t="s">
        <v>2122</v>
      </c>
      <c r="B116" s="312" t="s">
        <v>2123</v>
      </c>
      <c r="C116" s="312" t="s">
        <v>2114</v>
      </c>
      <c r="D116" s="312" t="s">
        <v>2010</v>
      </c>
      <c r="E116" s="315">
        <v>0</v>
      </c>
      <c r="F116" s="312" t="s">
        <v>2108</v>
      </c>
      <c r="G116" s="312" t="s">
        <v>2010</v>
      </c>
      <c r="H116" s="312" t="s">
        <v>1673</v>
      </c>
      <c r="I116" s="312" t="s">
        <v>1921</v>
      </c>
      <c r="J116" s="312" t="s">
        <v>318</v>
      </c>
      <c r="K116" s="312" t="s">
        <v>2116</v>
      </c>
      <c r="L116" s="329" t="s">
        <v>1684</v>
      </c>
      <c r="M116" s="329" t="s">
        <v>2090</v>
      </c>
    </row>
    <row r="117" ht="28" customHeight="1">
      <c r="A117" s="311" t="s">
        <v>2124</v>
      </c>
      <c r="B117" s="312" t="s">
        <v>2125</v>
      </c>
      <c r="C117" s="312" t="s">
        <v>2114</v>
      </c>
      <c r="D117" s="312" t="s">
        <v>2126</v>
      </c>
      <c r="E117" s="315">
        <v>1</v>
      </c>
      <c r="F117" s="312" t="s">
        <v>2108</v>
      </c>
      <c r="G117" s="312" t="s">
        <v>2126</v>
      </c>
      <c r="H117" s="312" t="s">
        <v>1673</v>
      </c>
      <c r="I117" s="312" t="s">
        <v>1921</v>
      </c>
      <c r="J117" s="312" t="s">
        <v>318</v>
      </c>
      <c r="K117" s="312" t="s">
        <v>2116</v>
      </c>
      <c r="L117" s="329" t="s">
        <v>1684</v>
      </c>
      <c r="M117" s="329" t="s">
        <v>2090</v>
      </c>
    </row>
    <row r="118" ht="28" customHeight="1">
      <c r="A118" s="311" t="s">
        <v>2127</v>
      </c>
      <c r="B118" s="312" t="s">
        <v>2128</v>
      </c>
      <c r="C118" s="312" t="s">
        <v>2114</v>
      </c>
      <c r="D118" s="312" t="s">
        <v>2014</v>
      </c>
      <c r="E118" s="315">
        <v>0</v>
      </c>
      <c r="F118" s="312" t="s">
        <v>2108</v>
      </c>
      <c r="G118" s="312" t="s">
        <v>2014</v>
      </c>
      <c r="H118" s="312" t="s">
        <v>1673</v>
      </c>
      <c r="I118" s="312" t="s">
        <v>1921</v>
      </c>
      <c r="J118" s="312" t="s">
        <v>318</v>
      </c>
      <c r="K118" s="312" t="s">
        <v>2116</v>
      </c>
      <c r="L118" s="329" t="s">
        <v>1684</v>
      </c>
      <c r="M118" s="329" t="s">
        <v>2090</v>
      </c>
    </row>
    <row r="119" ht="28" customHeight="1">
      <c r="A119" s="311" t="s">
        <v>2129</v>
      </c>
      <c r="B119" s="312" t="s">
        <v>2130</v>
      </c>
      <c r="C119" s="312" t="s">
        <v>2114</v>
      </c>
      <c r="D119" s="312" t="s">
        <v>2131</v>
      </c>
      <c r="E119" s="315">
        <v>0</v>
      </c>
      <c r="F119" s="312" t="s">
        <v>2108</v>
      </c>
      <c r="G119" s="312" t="s">
        <v>2131</v>
      </c>
      <c r="H119" s="312" t="s">
        <v>1673</v>
      </c>
      <c r="I119" s="312" t="s">
        <v>1921</v>
      </c>
      <c r="J119" s="312" t="s">
        <v>318</v>
      </c>
      <c r="K119" s="312" t="s">
        <v>2116</v>
      </c>
      <c r="L119" s="329" t="s">
        <v>1684</v>
      </c>
      <c r="M119" s="329" t="s">
        <v>2090</v>
      </c>
    </row>
    <row r="120" ht="28" customHeight="1">
      <c r="A120" s="311" t="s">
        <v>2132</v>
      </c>
      <c r="B120" s="312" t="s">
        <v>2133</v>
      </c>
      <c r="C120" s="312" t="s">
        <v>1680</v>
      </c>
      <c r="D120" s="312" t="s">
        <v>2134</v>
      </c>
      <c r="E120" s="312" t="s">
        <v>2135</v>
      </c>
      <c r="F120" s="312" t="s">
        <v>1671</v>
      </c>
      <c r="G120" s="312" t="s">
        <v>2134</v>
      </c>
      <c r="H120" s="312" t="s">
        <v>1673</v>
      </c>
      <c r="I120" s="312" t="s">
        <v>2136</v>
      </c>
      <c r="J120" s="312" t="s">
        <v>318</v>
      </c>
      <c r="K120" s="312" t="s">
        <v>2137</v>
      </c>
      <c r="L120" s="329" t="s">
        <v>1684</v>
      </c>
      <c r="M120" s="329" t="s">
        <v>2138</v>
      </c>
    </row>
    <row r="121" ht="28" customHeight="1">
      <c r="A121" s="311" t="s">
        <v>2139</v>
      </c>
      <c r="B121" s="312" t="s">
        <v>2140</v>
      </c>
      <c r="C121" s="312" t="s">
        <v>1680</v>
      </c>
      <c r="D121" s="312" t="s">
        <v>2141</v>
      </c>
      <c r="E121" s="312" t="s">
        <v>2142</v>
      </c>
      <c r="F121" s="312" t="s">
        <v>1671</v>
      </c>
      <c r="G121" s="312" t="s">
        <v>2141</v>
      </c>
      <c r="H121" s="312" t="s">
        <v>1673</v>
      </c>
      <c r="I121" s="312" t="s">
        <v>2136</v>
      </c>
      <c r="J121" s="312" t="s">
        <v>318</v>
      </c>
      <c r="K121" s="312" t="s">
        <v>2137</v>
      </c>
      <c r="L121" s="329" t="s">
        <v>1684</v>
      </c>
      <c r="M121" s="329" t="s">
        <v>2138</v>
      </c>
    </row>
    <row r="122" ht="28" customHeight="1">
      <c r="A122" s="311" t="s">
        <v>2143</v>
      </c>
      <c r="B122" s="312" t="s">
        <v>2144</v>
      </c>
      <c r="C122" s="312" t="s">
        <v>1680</v>
      </c>
      <c r="D122" s="312" t="s">
        <v>2145</v>
      </c>
      <c r="E122" s="315">
        <v>0.05</v>
      </c>
      <c r="F122" s="312" t="s">
        <v>1671</v>
      </c>
      <c r="G122" s="312" t="s">
        <v>2145</v>
      </c>
      <c r="H122" s="312" t="s">
        <v>1673</v>
      </c>
      <c r="I122" s="312" t="s">
        <v>2136</v>
      </c>
      <c r="J122" s="312" t="s">
        <v>318</v>
      </c>
      <c r="K122" s="312" t="s">
        <v>2146</v>
      </c>
      <c r="L122" s="329" t="s">
        <v>1684</v>
      </c>
      <c r="M122" s="329" t="s">
        <v>2138</v>
      </c>
    </row>
    <row r="123" ht="28" customHeight="1">
      <c r="A123" s="311" t="s">
        <v>2147</v>
      </c>
      <c r="B123" s="312" t="s">
        <v>2148</v>
      </c>
      <c r="C123" s="312" t="s">
        <v>1680</v>
      </c>
      <c r="D123" s="312" t="s">
        <v>2149</v>
      </c>
      <c r="E123" s="315">
        <v>0.95</v>
      </c>
      <c r="F123" s="312" t="s">
        <v>1671</v>
      </c>
      <c r="G123" s="312" t="s">
        <v>2149</v>
      </c>
      <c r="H123" s="312" t="s">
        <v>1719</v>
      </c>
      <c r="I123" s="312" t="s">
        <v>2136</v>
      </c>
      <c r="J123" s="312" t="s">
        <v>318</v>
      </c>
      <c r="K123" s="312" t="s">
        <v>2150</v>
      </c>
      <c r="L123" s="329" t="s">
        <v>1684</v>
      </c>
      <c r="M123" s="329" t="s">
        <v>2138</v>
      </c>
    </row>
    <row r="124" ht="28" customHeight="1">
      <c r="A124" s="311" t="s">
        <v>2151</v>
      </c>
      <c r="B124" s="312" t="s">
        <v>2152</v>
      </c>
      <c r="C124" s="312" t="s">
        <v>1680</v>
      </c>
      <c r="D124" s="312" t="s">
        <v>2153</v>
      </c>
      <c r="E124" s="315">
        <v>0.09</v>
      </c>
      <c r="F124" s="312" t="s">
        <v>1671</v>
      </c>
      <c r="G124" s="312" t="s">
        <v>2153</v>
      </c>
      <c r="H124" s="312" t="s">
        <v>1673</v>
      </c>
      <c r="I124" s="312" t="s">
        <v>2136</v>
      </c>
      <c r="J124" s="312" t="s">
        <v>318</v>
      </c>
      <c r="K124" s="312" t="s">
        <v>2154</v>
      </c>
      <c r="L124" s="329" t="s">
        <v>1684</v>
      </c>
      <c r="M124" s="329" t="s">
        <v>2138</v>
      </c>
    </row>
    <row r="125" ht="28" customHeight="1">
      <c r="A125" s="311" t="s">
        <v>2155</v>
      </c>
      <c r="B125" s="312" t="s">
        <v>2156</v>
      </c>
      <c r="C125" s="312" t="s">
        <v>1680</v>
      </c>
      <c r="D125" s="312" t="s">
        <v>2157</v>
      </c>
      <c r="E125" s="315">
        <v>0.12</v>
      </c>
      <c r="F125" s="312" t="s">
        <v>1671</v>
      </c>
      <c r="G125" s="312" t="s">
        <v>2157</v>
      </c>
      <c r="H125" s="312" t="s">
        <v>1673</v>
      </c>
      <c r="I125" s="312" t="s">
        <v>2136</v>
      </c>
      <c r="J125" s="312" t="s">
        <v>318</v>
      </c>
      <c r="K125" s="312" t="s">
        <v>2154</v>
      </c>
      <c r="L125" s="329" t="s">
        <v>1684</v>
      </c>
      <c r="M125" s="329" t="s">
        <v>2138</v>
      </c>
    </row>
    <row r="126" ht="28" customHeight="1">
      <c r="A126" s="311" t="s">
        <v>2158</v>
      </c>
      <c r="B126" s="312" t="s">
        <v>2159</v>
      </c>
      <c r="C126" s="312" t="s">
        <v>1680</v>
      </c>
      <c r="D126" s="312" t="s">
        <v>2160</v>
      </c>
      <c r="E126" s="315">
        <v>0.15</v>
      </c>
      <c r="F126" s="312" t="s">
        <v>1671</v>
      </c>
      <c r="G126" s="312" t="s">
        <v>2160</v>
      </c>
      <c r="H126" s="312" t="s">
        <v>1673</v>
      </c>
      <c r="I126" s="312" t="s">
        <v>2136</v>
      </c>
      <c r="J126" s="312" t="s">
        <v>318</v>
      </c>
      <c r="K126" s="312" t="s">
        <v>2154</v>
      </c>
      <c r="L126" s="329" t="s">
        <v>1684</v>
      </c>
      <c r="M126" s="329" t="s">
        <v>2138</v>
      </c>
    </row>
    <row r="127" ht="28" customHeight="1">
      <c r="A127" s="311" t="s">
        <v>2161</v>
      </c>
      <c r="B127" s="312" t="s">
        <v>2162</v>
      </c>
      <c r="C127" s="312" t="s">
        <v>1680</v>
      </c>
      <c r="D127" s="312" t="s">
        <v>2163</v>
      </c>
      <c r="E127" s="315">
        <v>0.15</v>
      </c>
      <c r="F127" s="312" t="s">
        <v>1671</v>
      </c>
      <c r="G127" s="312" t="s">
        <v>2163</v>
      </c>
      <c r="H127" s="312" t="s">
        <v>1673</v>
      </c>
      <c r="I127" s="312" t="s">
        <v>2136</v>
      </c>
      <c r="J127" s="312" t="s">
        <v>318</v>
      </c>
      <c r="K127" s="312" t="s">
        <v>2154</v>
      </c>
      <c r="L127" s="329" t="s">
        <v>1684</v>
      </c>
      <c r="M127" s="329" t="s">
        <v>2138</v>
      </c>
    </row>
    <row r="128" ht="28" customHeight="1">
      <c r="A128" s="311" t="s">
        <v>2164</v>
      </c>
      <c r="B128" s="312" t="s">
        <v>2165</v>
      </c>
      <c r="C128" s="312" t="s">
        <v>1680</v>
      </c>
      <c r="D128" s="312" t="s">
        <v>2166</v>
      </c>
      <c r="E128" s="315">
        <v>0.3</v>
      </c>
      <c r="F128" s="312" t="s">
        <v>1671</v>
      </c>
      <c r="G128" s="312" t="s">
        <v>2166</v>
      </c>
      <c r="H128" s="312" t="s">
        <v>1719</v>
      </c>
      <c r="I128" s="312" t="s">
        <v>2136</v>
      </c>
      <c r="J128" s="312" t="s">
        <v>318</v>
      </c>
      <c r="K128" s="312" t="s">
        <v>2154</v>
      </c>
      <c r="L128" s="329" t="s">
        <v>1684</v>
      </c>
      <c r="M128" s="329" t="s">
        <v>2138</v>
      </c>
    </row>
    <row r="129" ht="28" customHeight="1">
      <c r="A129" s="311" t="s">
        <v>2167</v>
      </c>
      <c r="B129" s="312" t="s">
        <v>2168</v>
      </c>
      <c r="C129" s="312" t="s">
        <v>1680</v>
      </c>
      <c r="D129" s="312" t="s">
        <v>2169</v>
      </c>
      <c r="E129" s="315">
        <v>0.4</v>
      </c>
      <c r="F129" s="312" t="s">
        <v>1671</v>
      </c>
      <c r="G129" s="312" t="s">
        <v>2169</v>
      </c>
      <c r="H129" s="312" t="s">
        <v>1719</v>
      </c>
      <c r="I129" s="312" t="s">
        <v>2136</v>
      </c>
      <c r="J129" s="312" t="s">
        <v>318</v>
      </c>
      <c r="K129" s="312" t="s">
        <v>2154</v>
      </c>
      <c r="L129" s="329" t="s">
        <v>1684</v>
      </c>
      <c r="M129" s="329" t="s">
        <v>2138</v>
      </c>
    </row>
    <row r="130" ht="28" customHeight="1">
      <c r="A130" s="311" t="s">
        <v>2170</v>
      </c>
      <c r="B130" s="312" t="s">
        <v>2171</v>
      </c>
      <c r="C130" s="312" t="s">
        <v>1747</v>
      </c>
      <c r="D130" s="312" t="s">
        <v>1791</v>
      </c>
      <c r="E130" s="315">
        <v>15.000999999999999</v>
      </c>
      <c r="F130" s="312" t="s">
        <v>1671</v>
      </c>
      <c r="G130" s="312" t="s">
        <v>2172</v>
      </c>
      <c r="H130" s="312" t="s">
        <v>1802</v>
      </c>
      <c r="I130" s="312" t="s">
        <v>1921</v>
      </c>
      <c r="J130" s="312" t="s">
        <v>318</v>
      </c>
      <c r="K130" s="312" t="s">
        <v>2173</v>
      </c>
      <c r="L130" s="329" t="s">
        <v>1676</v>
      </c>
      <c r="M130" s="329" t="s">
        <v>2138</v>
      </c>
    </row>
    <row r="131" ht="28" customHeight="1">
      <c r="A131" s="311" t="s">
        <v>2174</v>
      </c>
      <c r="B131" s="312" t="s">
        <v>2175</v>
      </c>
      <c r="C131" s="312" t="s">
        <v>1747</v>
      </c>
      <c r="D131" s="312" t="s">
        <v>1797</v>
      </c>
      <c r="E131" s="315">
        <v>10</v>
      </c>
      <c r="F131" s="312" t="s">
        <v>1671</v>
      </c>
      <c r="G131" s="312" t="s">
        <v>2172</v>
      </c>
      <c r="H131" s="312" t="s">
        <v>1802</v>
      </c>
      <c r="I131" s="312" t="s">
        <v>1921</v>
      </c>
      <c r="J131" s="312" t="s">
        <v>318</v>
      </c>
      <c r="K131" s="312" t="s">
        <v>2173</v>
      </c>
      <c r="L131" s="329" t="s">
        <v>1676</v>
      </c>
      <c r="M131" s="329" t="s">
        <v>2138</v>
      </c>
    </row>
    <row r="132" ht="28" customHeight="1">
      <c r="A132" s="311" t="s">
        <v>2176</v>
      </c>
      <c r="B132" s="312" t="s">
        <v>2177</v>
      </c>
      <c r="C132" s="312" t="s">
        <v>1747</v>
      </c>
      <c r="D132" s="312" t="s">
        <v>2178</v>
      </c>
      <c r="E132" s="315">
        <v>5</v>
      </c>
      <c r="F132" s="312" t="s">
        <v>1671</v>
      </c>
      <c r="G132" s="312" t="s">
        <v>2172</v>
      </c>
      <c r="H132" s="312" t="s">
        <v>1802</v>
      </c>
      <c r="I132" s="312" t="s">
        <v>1921</v>
      </c>
      <c r="J132" s="312" t="s">
        <v>318</v>
      </c>
      <c r="K132" s="312" t="s">
        <v>2173</v>
      </c>
      <c r="L132" s="329" t="s">
        <v>1676</v>
      </c>
      <c r="M132" s="329" t="s">
        <v>2138</v>
      </c>
    </row>
    <row r="133" ht="28" customHeight="1">
      <c r="A133" s="311" t="s">
        <v>2179</v>
      </c>
      <c r="B133" s="312" t="s">
        <v>2180</v>
      </c>
      <c r="C133" s="312" t="s">
        <v>1747</v>
      </c>
      <c r="D133" s="312" t="s">
        <v>2181</v>
      </c>
      <c r="E133" s="315">
        <v>2</v>
      </c>
      <c r="F133" s="312" t="s">
        <v>1671</v>
      </c>
      <c r="G133" s="312" t="s">
        <v>2172</v>
      </c>
      <c r="H133" s="312" t="s">
        <v>1802</v>
      </c>
      <c r="I133" s="312" t="s">
        <v>1921</v>
      </c>
      <c r="J133" s="312" t="s">
        <v>318</v>
      </c>
      <c r="K133" s="312" t="s">
        <v>2173</v>
      </c>
      <c r="L133" s="329" t="s">
        <v>1676</v>
      </c>
      <c r="M133" s="329" t="s">
        <v>2138</v>
      </c>
    </row>
    <row r="134" ht="28" customHeight="1">
      <c r="A134" s="311" t="s">
        <v>2182</v>
      </c>
      <c r="B134" s="312" t="s">
        <v>2183</v>
      </c>
      <c r="C134" s="312" t="s">
        <v>1747</v>
      </c>
      <c r="D134" s="312" t="s">
        <v>2184</v>
      </c>
      <c r="E134" s="315">
        <v>1</v>
      </c>
      <c r="F134" s="312" t="s">
        <v>1671</v>
      </c>
      <c r="G134" s="312" t="s">
        <v>2172</v>
      </c>
      <c r="H134" s="312" t="s">
        <v>1802</v>
      </c>
      <c r="I134" s="312" t="s">
        <v>1921</v>
      </c>
      <c r="J134" s="312" t="s">
        <v>318</v>
      </c>
      <c r="K134" s="312" t="s">
        <v>2173</v>
      </c>
      <c r="L134" s="329" t="s">
        <v>1676</v>
      </c>
      <c r="M134" s="329" t="s">
        <v>2138</v>
      </c>
    </row>
    <row r="135" ht="28" customHeight="1">
      <c r="A135" s="311" t="s">
        <v>2185</v>
      </c>
      <c r="B135" s="312" t="s">
        <v>2186</v>
      </c>
      <c r="C135" s="312" t="s">
        <v>1747</v>
      </c>
      <c r="D135" s="312" t="s">
        <v>2187</v>
      </c>
      <c r="E135" s="315">
        <v>0.83</v>
      </c>
      <c r="F135" s="312" t="s">
        <v>1671</v>
      </c>
      <c r="G135" s="312" t="s">
        <v>2172</v>
      </c>
      <c r="H135" s="312" t="s">
        <v>1802</v>
      </c>
      <c r="I135" s="312" t="s">
        <v>1921</v>
      </c>
      <c r="J135" s="312" t="s">
        <v>318</v>
      </c>
      <c r="K135" s="312" t="s">
        <v>2173</v>
      </c>
      <c r="L135" s="329" t="s">
        <v>1676</v>
      </c>
      <c r="M135" s="329" t="s">
        <v>2138</v>
      </c>
    </row>
    <row r="136" ht="28" customHeight="1">
      <c r="A136" s="311" t="s">
        <v>2188</v>
      </c>
      <c r="B136" s="312" t="s">
        <v>2189</v>
      </c>
      <c r="C136" s="312" t="s">
        <v>1747</v>
      </c>
      <c r="D136" s="312" t="s">
        <v>2190</v>
      </c>
      <c r="E136" s="315">
        <v>50</v>
      </c>
      <c r="F136" s="312" t="s">
        <v>1671</v>
      </c>
      <c r="G136" s="312" t="s">
        <v>2172</v>
      </c>
      <c r="H136" s="312" t="s">
        <v>1802</v>
      </c>
      <c r="I136" s="312" t="s">
        <v>1921</v>
      </c>
      <c r="J136" s="312" t="s">
        <v>318</v>
      </c>
      <c r="K136" s="312" t="s">
        <v>2173</v>
      </c>
      <c r="L136" s="329" t="s">
        <v>1676</v>
      </c>
      <c r="M136" s="329" t="s">
        <v>2138</v>
      </c>
    </row>
    <row r="137" ht="28" customHeight="1">
      <c r="A137" s="311" t="s">
        <v>2191</v>
      </c>
      <c r="B137" s="312" t="s">
        <v>2192</v>
      </c>
      <c r="C137" s="312" t="s">
        <v>1747</v>
      </c>
      <c r="D137" s="312" t="s">
        <v>2193</v>
      </c>
      <c r="E137" s="315">
        <v>125.5482756423</v>
      </c>
      <c r="F137" s="312" t="s">
        <v>1671</v>
      </c>
      <c r="G137" s="312" t="s">
        <v>2172</v>
      </c>
      <c r="H137" s="312" t="s">
        <v>1802</v>
      </c>
      <c r="I137" s="312" t="s">
        <v>1921</v>
      </c>
      <c r="J137" s="312" t="s">
        <v>318</v>
      </c>
      <c r="K137" s="312" t="s">
        <v>2173</v>
      </c>
      <c r="L137" s="329" t="s">
        <v>1676</v>
      </c>
      <c r="M137" s="329" t="s">
        <v>2138</v>
      </c>
    </row>
    <row r="138">
      <c r="L138" s="329"/>
      <c r="M138" s="329"/>
    </row>
    <row r="139">
      <c r="L139" s="329"/>
      <c r="M139" s="329"/>
    </row>
    <row r="140" ht="22" customHeight="1">
      <c r="A140" s="692" t="s">
        <v>2194</v>
      </c>
      <c r="B140" s="699"/>
      <c r="C140" s="699"/>
      <c r="D140" s="699"/>
      <c r="E140" s="699"/>
      <c r="F140" s="699"/>
      <c r="G140" s="699"/>
      <c r="H140" s="699"/>
      <c r="I140" s="699"/>
      <c r="J140" s="699"/>
      <c r="K140" s="699"/>
      <c r="L140" s="329"/>
      <c r="M140" s="329" t="s">
        <v>1677</v>
      </c>
    </row>
    <row r="141" ht="24" customHeight="1">
      <c r="A141" s="310" t="s">
        <v>2195</v>
      </c>
      <c r="B141" s="310" t="s">
        <v>626</v>
      </c>
      <c r="C141" s="310" t="s">
        <v>2196</v>
      </c>
      <c r="D141" s="310" t="s">
        <v>1655</v>
      </c>
      <c r="E141" s="310" t="s">
        <v>2197</v>
      </c>
      <c r="F141" s="310" t="s">
        <v>2198</v>
      </c>
      <c r="G141" s="310" t="s">
        <v>612</v>
      </c>
      <c r="L141" s="329" t="s">
        <v>2196</v>
      </c>
      <c r="M141" s="329"/>
    </row>
    <row r="142" ht="58" customHeight="1">
      <c r="A142" s="327" t="s">
        <v>2199</v>
      </c>
      <c r="B142" s="312" t="s">
        <v>2200</v>
      </c>
      <c r="C142" s="312" t="s">
        <v>2201</v>
      </c>
      <c r="D142" s="312" t="s">
        <v>2202</v>
      </c>
      <c r="E142" s="312" t="s">
        <v>2203</v>
      </c>
      <c r="F142" s="312" t="s">
        <v>2204</v>
      </c>
      <c r="G142" s="312" t="s">
        <v>2205</v>
      </c>
      <c r="H142" s="329"/>
      <c r="I142" s="329"/>
      <c r="J142" s="329"/>
      <c r="K142" s="329"/>
      <c r="L142" s="329" t="s">
        <v>2206</v>
      </c>
      <c r="M142" s="329" t="s">
        <v>1677</v>
      </c>
    </row>
    <row r="143" ht="58" customHeight="1">
      <c r="A143" s="327" t="s">
        <v>2207</v>
      </c>
      <c r="B143" s="312" t="s">
        <v>2208</v>
      </c>
      <c r="C143" s="312" t="s">
        <v>2201</v>
      </c>
      <c r="D143" s="312" t="s">
        <v>2209</v>
      </c>
      <c r="E143" s="312" t="s">
        <v>2210</v>
      </c>
      <c r="F143" s="312" t="s">
        <v>2211</v>
      </c>
      <c r="G143" s="312" t="s">
        <v>2205</v>
      </c>
      <c r="H143" s="329"/>
      <c r="I143" s="329"/>
      <c r="J143" s="329"/>
      <c r="K143" s="329"/>
      <c r="L143" s="329" t="s">
        <v>2206</v>
      </c>
      <c r="M143" s="329" t="s">
        <v>1677</v>
      </c>
    </row>
    <row r="144" ht="58" customHeight="1">
      <c r="A144" s="327" t="s">
        <v>2212</v>
      </c>
      <c r="B144" s="312" t="s">
        <v>2213</v>
      </c>
      <c r="C144" s="312" t="s">
        <v>2201</v>
      </c>
      <c r="D144" s="312" t="s">
        <v>2214</v>
      </c>
      <c r="E144" s="312" t="s">
        <v>2215</v>
      </c>
      <c r="F144" s="312" t="s">
        <v>2216</v>
      </c>
      <c r="G144" s="312" t="s">
        <v>2205</v>
      </c>
      <c r="H144" s="329"/>
      <c r="I144" s="329"/>
      <c r="J144" s="329"/>
      <c r="K144" s="329"/>
      <c r="L144" s="329" t="s">
        <v>2206</v>
      </c>
      <c r="M144" s="329" t="s">
        <v>1677</v>
      </c>
    </row>
    <row r="145" ht="58" customHeight="1">
      <c r="A145" s="327" t="s">
        <v>2217</v>
      </c>
      <c r="B145" s="312" t="s">
        <v>2218</v>
      </c>
      <c r="C145" s="312" t="s">
        <v>2201</v>
      </c>
      <c r="D145" s="312" t="s">
        <v>2219</v>
      </c>
      <c r="E145" s="312" t="s">
        <v>2220</v>
      </c>
      <c r="F145" s="312" t="s">
        <v>2221</v>
      </c>
      <c r="G145" s="312" t="s">
        <v>2205</v>
      </c>
      <c r="H145" s="329"/>
      <c r="I145" s="329"/>
      <c r="J145" s="329"/>
      <c r="K145" s="329"/>
      <c r="L145" s="329" t="s">
        <v>2206</v>
      </c>
      <c r="M145" s="329" t="s">
        <v>1677</v>
      </c>
    </row>
    <row r="146" ht="58" customHeight="1">
      <c r="A146" s="327" t="s">
        <v>2222</v>
      </c>
      <c r="B146" s="312" t="s">
        <v>2223</v>
      </c>
      <c r="C146" s="312" t="s">
        <v>2201</v>
      </c>
      <c r="D146" s="312" t="s">
        <v>2224</v>
      </c>
      <c r="E146" s="312" t="s">
        <v>2225</v>
      </c>
      <c r="F146" s="312" t="s">
        <v>2226</v>
      </c>
      <c r="G146" s="312" t="s">
        <v>2205</v>
      </c>
      <c r="H146" s="329"/>
      <c r="I146" s="329"/>
      <c r="J146" s="329"/>
      <c r="K146" s="329"/>
      <c r="L146" s="329" t="s">
        <v>2206</v>
      </c>
      <c r="M146" s="329" t="s">
        <v>1677</v>
      </c>
    </row>
    <row r="147" ht="58" customHeight="1">
      <c r="A147" s="327" t="s">
        <v>2227</v>
      </c>
      <c r="B147" s="312" t="s">
        <v>2228</v>
      </c>
      <c r="C147" s="312" t="s">
        <v>2201</v>
      </c>
      <c r="D147" s="312" t="s">
        <v>2229</v>
      </c>
      <c r="E147" s="312" t="s">
        <v>2230</v>
      </c>
      <c r="F147" s="312" t="s">
        <v>2231</v>
      </c>
      <c r="G147" s="312" t="s">
        <v>2232</v>
      </c>
      <c r="H147" s="329"/>
      <c r="I147" s="329"/>
      <c r="J147" s="329"/>
      <c r="K147" s="329"/>
      <c r="L147" s="329" t="s">
        <v>2206</v>
      </c>
      <c r="M147" s="329" t="s">
        <v>1677</v>
      </c>
    </row>
    <row r="148" ht="58" customHeight="1">
      <c r="A148" s="327" t="s">
        <v>2233</v>
      </c>
      <c r="B148" s="312" t="s">
        <v>2234</v>
      </c>
      <c r="C148" s="312" t="s">
        <v>2201</v>
      </c>
      <c r="D148" s="312" t="s">
        <v>2235</v>
      </c>
      <c r="E148" s="312" t="s">
        <v>2236</v>
      </c>
      <c r="F148" s="312" t="s">
        <v>2237</v>
      </c>
      <c r="G148" s="312" t="s">
        <v>2205</v>
      </c>
      <c r="H148" s="329"/>
      <c r="I148" s="329"/>
      <c r="J148" s="329"/>
      <c r="K148" s="329"/>
      <c r="L148" s="329" t="s">
        <v>2206</v>
      </c>
      <c r="M148" s="329" t="s">
        <v>1677</v>
      </c>
    </row>
    <row r="149" ht="58" customHeight="1">
      <c r="A149" s="327" t="s">
        <v>2238</v>
      </c>
      <c r="B149" s="312" t="s">
        <v>2239</v>
      </c>
      <c r="C149" s="312" t="s">
        <v>2201</v>
      </c>
      <c r="D149" s="312" t="s">
        <v>2240</v>
      </c>
      <c r="E149" s="312" t="s">
        <v>2241</v>
      </c>
      <c r="F149" s="312" t="s">
        <v>2242</v>
      </c>
      <c r="G149" s="312" t="s">
        <v>2232</v>
      </c>
      <c r="H149" s="329"/>
      <c r="I149" s="329"/>
      <c r="J149" s="329"/>
      <c r="K149" s="329"/>
      <c r="L149" s="329" t="s">
        <v>2206</v>
      </c>
      <c r="M149" s="329" t="s">
        <v>1677</v>
      </c>
    </row>
    <row r="150" ht="58" customHeight="1">
      <c r="A150" s="327" t="s">
        <v>2243</v>
      </c>
      <c r="B150" s="312" t="s">
        <v>2244</v>
      </c>
      <c r="C150" s="312" t="s">
        <v>2245</v>
      </c>
      <c r="D150" s="312" t="s">
        <v>2246</v>
      </c>
      <c r="E150" s="312" t="s">
        <v>2247</v>
      </c>
      <c r="F150" s="312" t="s">
        <v>2248</v>
      </c>
      <c r="G150" s="312" t="s">
        <v>2249</v>
      </c>
      <c r="H150" s="329"/>
      <c r="I150" s="329"/>
      <c r="J150" s="329"/>
      <c r="K150" s="329"/>
      <c r="L150" s="329" t="s">
        <v>2206</v>
      </c>
      <c r="M150" s="329" t="s">
        <v>1677</v>
      </c>
    </row>
    <row r="151" ht="58" customHeight="1">
      <c r="A151" s="327" t="s">
        <v>2250</v>
      </c>
      <c r="B151" s="312" t="s">
        <v>2251</v>
      </c>
      <c r="C151" s="312" t="s">
        <v>2201</v>
      </c>
      <c r="D151" s="312" t="s">
        <v>2252</v>
      </c>
      <c r="E151" s="312" t="s">
        <v>2253</v>
      </c>
      <c r="F151" s="312" t="s">
        <v>2254</v>
      </c>
      <c r="G151" s="312" t="s">
        <v>2232</v>
      </c>
      <c r="H151" s="329"/>
      <c r="I151" s="329"/>
      <c r="J151" s="329"/>
      <c r="K151" s="329"/>
      <c r="L151" s="329" t="s">
        <v>2206</v>
      </c>
      <c r="M151" s="329" t="s">
        <v>1677</v>
      </c>
    </row>
    <row r="152">
      <c r="A152" s="329"/>
      <c r="B152" s="329"/>
      <c r="C152" s="329"/>
      <c r="D152" s="329"/>
      <c r="E152" s="329"/>
      <c r="F152" s="329"/>
      <c r="G152" s="329"/>
      <c r="H152" s="329"/>
      <c r="I152" s="329"/>
      <c r="J152" s="329"/>
      <c r="K152" s="329"/>
      <c r="L152" s="329"/>
      <c r="M152" s="329"/>
    </row>
    <row r="153" ht="22" customHeight="1">
      <c r="A153" s="694" t="s">
        <v>2255</v>
      </c>
      <c r="B153" s="710"/>
      <c r="C153" s="710"/>
      <c r="D153" s="710"/>
      <c r="E153" s="710"/>
      <c r="F153" s="710"/>
      <c r="G153" s="710"/>
      <c r="H153" s="710"/>
      <c r="I153" s="710"/>
      <c r="J153" s="710"/>
      <c r="K153" s="710"/>
      <c r="L153" s="329"/>
      <c r="M153" s="329" t="s">
        <v>1677</v>
      </c>
    </row>
    <row r="154" ht="24" customHeight="1">
      <c r="A154" s="310" t="s">
        <v>2256</v>
      </c>
      <c r="B154" s="310" t="s">
        <v>1056</v>
      </c>
      <c r="C154" s="310" t="s">
        <v>1057</v>
      </c>
      <c r="D154" s="310" t="s">
        <v>1663</v>
      </c>
      <c r="E154" s="329"/>
      <c r="F154" s="329"/>
      <c r="G154" s="329"/>
      <c r="H154" s="329"/>
      <c r="I154" s="329"/>
      <c r="J154" s="329"/>
      <c r="K154" s="329"/>
      <c r="L154" s="329" t="s">
        <v>1057</v>
      </c>
      <c r="M154" s="329" t="s">
        <v>1677</v>
      </c>
    </row>
    <row r="155" ht="32" customHeight="1">
      <c r="A155" s="327" t="s">
        <v>2257</v>
      </c>
      <c r="B155" s="312" t="s">
        <v>2258</v>
      </c>
      <c r="C155" s="327" t="str">
        <f>IF(ABS(SUM(PROJECTS!AP34:AP51)-PROJECTS!AP52)&lt;0.0001,"OK","EXCEPTION: source component capex does not reconcile")</f>
        <v>OK</v>
      </c>
      <c r="D155" s="695" t="s">
        <v>2259</v>
      </c>
      <c r="E155" s="710"/>
      <c r="F155" s="710"/>
      <c r="G155" s="710"/>
      <c r="H155" s="710"/>
      <c r="I155" s="710"/>
      <c r="J155" s="710"/>
      <c r="K155" s="710"/>
      <c r="L155" s="329" t="s">
        <v>2206</v>
      </c>
      <c r="M155" s="329" t="s">
        <v>1677</v>
      </c>
    </row>
    <row r="156" ht="32" customHeight="1">
      <c r="A156" s="327" t="s">
        <v>2260</v>
      </c>
      <c r="B156" s="312" t="s">
        <v>2261</v>
      </c>
      <c r="C156" s="327" t="str">
        <f>IF(ABS(Underwriting!I196-Underwriting!I49)&lt;1,"OK","EXCEPTION: target capex timing does not equal cost before carry")</f>
        <v>EXCEPTION: target capex timing does not equal cost before carry</v>
      </c>
      <c r="D156" s="695" t="s">
        <v>2262</v>
      </c>
      <c r="E156" s="710"/>
      <c r="F156" s="710"/>
      <c r="G156" s="710"/>
      <c r="H156" s="710"/>
      <c r="I156" s="710"/>
      <c r="J156" s="710"/>
      <c r="K156" s="710"/>
      <c r="L156" s="329" t="s">
        <v>2206</v>
      </c>
      <c r="M156" s="329" t="s">
        <v>1677</v>
      </c>
    </row>
    <row r="157" ht="32" customHeight="1">
      <c r="A157" s="327" t="s">
        <v>2263</v>
      </c>
      <c r="B157" s="312" t="s">
        <v>2264</v>
      </c>
      <c r="C157" s="327" t="str">
        <f>IF(ABS(SUM(Underwriting!I93:I104)-Underwriting!I105)&lt;1,"OK","EXCEPTION: component revenue does not reconcile")</f>
        <v>OK</v>
      </c>
      <c r="D157" s="695" t="s">
        <v>2265</v>
      </c>
      <c r="E157" s="710"/>
      <c r="F157" s="710"/>
      <c r="G157" s="710"/>
      <c r="H157" s="710"/>
      <c r="I157" s="710"/>
      <c r="J157" s="710"/>
      <c r="K157" s="710"/>
      <c r="L157" s="329" t="s">
        <v>2206</v>
      </c>
      <c r="M157" s="329" t="s">
        <v>1677</v>
      </c>
    </row>
    <row r="158" ht="32" customHeight="1">
      <c r="A158" s="327" t="s">
        <v>2266</v>
      </c>
      <c r="B158" s="312" t="s">
        <v>2267</v>
      </c>
      <c r="C158" s="327" t="str">
        <f>IF(ABS(SUM(Underwriting!I134:I137)-Underwriting!I138)&lt;1,"OK","EXCEPTION: operating expenses do not reconcile")</f>
        <v>OK</v>
      </c>
      <c r="D158" s="695" t="s">
        <v>2268</v>
      </c>
      <c r="E158" s="710"/>
      <c r="F158" s="710"/>
      <c r="G158" s="710"/>
      <c r="H158" s="710"/>
      <c r="I158" s="710"/>
      <c r="J158" s="710"/>
      <c r="K158" s="710"/>
      <c r="L158" s="329" t="s">
        <v>2206</v>
      </c>
      <c r="M158" s="329" t="s">
        <v>1677</v>
      </c>
    </row>
    <row r="159" ht="32" customHeight="1">
      <c r="A159" s="327" t="s">
        <v>2269</v>
      </c>
      <c r="B159" s="312" t="s">
        <v>2270</v>
      </c>
      <c r="C159" s="327" t="str">
        <f>IF(ABS(Underwriting!I140-(Underwriting!I130-Underwriting!I138))&lt;1,"OK","EXCEPTION: NOI does not reconcile")</f>
        <v>OK</v>
      </c>
      <c r="D159" s="695" t="s">
        <v>2271</v>
      </c>
      <c r="E159" s="710"/>
      <c r="F159" s="710"/>
      <c r="G159" s="710"/>
      <c r="H159" s="710"/>
      <c r="I159" s="710"/>
      <c r="J159" s="710"/>
      <c r="K159" s="710"/>
      <c r="L159" s="329" t="s">
        <v>2206</v>
      </c>
      <c r="M159" s="329" t="s">
        <v>1677</v>
      </c>
    </row>
    <row r="160" ht="32" customHeight="1">
      <c r="A160" s="327" t="s">
        <v>2272</v>
      </c>
      <c r="B160" s="312" t="s">
        <v>2273</v>
      </c>
      <c r="C160" s="327" t="str">
        <f>IF(AND(Underwriting!E13&lt;DEBT!B18,DEBT!B18&lt;=DEBT!B35),"OK","EXCEPTION: programme dates are not logical")</f>
        <v>OK</v>
      </c>
      <c r="D160" s="695" t="s">
        <v>2274</v>
      </c>
      <c r="E160" s="710"/>
      <c r="F160" s="710"/>
      <c r="G160" s="710"/>
      <c r="H160" s="710"/>
      <c r="I160" s="710"/>
      <c r="J160" s="710"/>
      <c r="K160" s="710"/>
      <c r="L160" s="329" t="s">
        <v>2206</v>
      </c>
      <c r="M160" s="329" t="s">
        <v>1677</v>
      </c>
    </row>
    <row r="161" ht="32" customHeight="1">
      <c r="A161" s="327" t="s">
        <v>2275</v>
      </c>
      <c r="B161" s="312" t="s">
        <v>2276</v>
      </c>
      <c r="C161" s="327" t="str">
        <f>IF(ABS(SUMPRODUCT(Underwriting!E93:E104,Underwriting!H93:H104)-Underwriting!I105)&lt;1,"OK","EXCEPTION: lease inputs do not reconcile")</f>
        <v>OK</v>
      </c>
      <c r="D161" s="695" t="s">
        <v>2277</v>
      </c>
      <c r="E161" s="710"/>
      <c r="F161" s="710"/>
      <c r="G161" s="710"/>
      <c r="H161" s="710"/>
      <c r="I161" s="710"/>
      <c r="J161" s="710"/>
      <c r="K161" s="710"/>
      <c r="L161" s="329" t="s">
        <v>2206</v>
      </c>
      <c r="M161" s="329" t="s">
        <v>1677</v>
      </c>
    </row>
    <row r="162" ht="32" customHeight="1">
      <c r="A162" s="327" t="s">
        <v>2278</v>
      </c>
      <c r="B162" s="312" t="s">
        <v>2279</v>
      </c>
      <c r="C162" s="327" t="str">
        <f>IF(AND(ABS(Underwriting!E65-DEBT!B13)&lt;0.000001,ABS(Underwriting!E81-DEBT!B40)&lt;0.000001,ABS(Underwriting!C61-DEBT!B10)&lt;0.000001),"OK","EXCEPTION: debt assumptions do not reconcile")</f>
        <v>OK</v>
      </c>
      <c r="D162" s="695" t="s">
        <v>2280</v>
      </c>
      <c r="E162" s="710"/>
      <c r="F162" s="710"/>
      <c r="G162" s="710"/>
      <c r="H162" s="710"/>
      <c r="I162" s="710"/>
      <c r="J162" s="710"/>
      <c r="K162" s="710"/>
      <c r="L162" s="329" t="s">
        <v>2206</v>
      </c>
      <c r="M162" s="329" t="s">
        <v>1677</v>
      </c>
    </row>
    <row r="163" ht="32" customHeight="1">
      <c r="A163" s="327" t="s">
        <v>2281</v>
      </c>
      <c r="B163" s="312" t="s">
        <v>2282</v>
      </c>
      <c r="C163" s="327" t="str">
        <f>IF(AND(ABS(Underwriting!I161-PROJECTS!AP109)&lt;0.000001,ABS(Underwriting!I162-PROJECTS!AP110)&lt;0.000001,ABS(Underwriting!I163-PROJECTS!AP111)&lt;0.000001),"OK","EXCEPTION: valuation assumptions do not reconcile")</f>
        <v>OK</v>
      </c>
      <c r="D163" s="695" t="s">
        <v>2283</v>
      </c>
      <c r="E163" s="710"/>
      <c r="F163" s="710"/>
      <c r="G163" s="710"/>
      <c r="H163" s="710"/>
      <c r="I163" s="710"/>
      <c r="J163" s="710"/>
      <c r="K163" s="710"/>
      <c r="L163" s="329" t="s">
        <v>2206</v>
      </c>
      <c r="M163" s="329" t="s">
        <v>1677</v>
      </c>
    </row>
    <row r="164" ht="32" customHeight="1">
      <c r="A164" s="327" t="s">
        <v>2284</v>
      </c>
      <c r="B164" s="312" t="s">
        <v>1064</v>
      </c>
      <c r="C164" s="327" t="str">
        <f>IF(AND(ABS(SUM('VALUATION &amp; RETURNS'!$H$26:$H$33)-1)&lt;0.000001,ABS('FUNDING &amp; CAP TABLE'!$F$18-1)&lt;0.000001),"OK","EXCEPTION: investor ownership")</f>
        <v>OK</v>
      </c>
      <c r="D164" s="695" t="s">
        <v>2285</v>
      </c>
      <c r="E164" s="710"/>
      <c r="F164" s="710"/>
      <c r="G164" s="710"/>
      <c r="H164" s="710"/>
      <c r="I164" s="710"/>
      <c r="J164" s="710"/>
      <c r="K164" s="710"/>
      <c r="L164" s="329" t="s">
        <v>2206</v>
      </c>
      <c r="M164" s="329" t="s">
        <v>1677</v>
      </c>
    </row>
    <row r="165" ht="32" customHeight="1">
      <c r="A165" s="327" t="s">
        <v>2286</v>
      </c>
      <c r="B165" s="312" t="s">
        <v>2287</v>
      </c>
      <c r="C165" s="327" t="str">
        <f>IF(ABS(Underwriting!E17*4046.8564224-PROJECTS!AP19)&lt;0.1,"OK","EXCEPTION: site-area conversion mismatch")</f>
        <v>OK</v>
      </c>
      <c r="D165" s="695" t="s">
        <v>2288</v>
      </c>
      <c r="E165" s="710"/>
      <c r="F165" s="710"/>
      <c r="G165" s="710"/>
      <c r="H165" s="710"/>
      <c r="I165" s="710"/>
      <c r="J165" s="710"/>
      <c r="K165" s="710"/>
      <c r="L165" s="329" t="s">
        <v>2206</v>
      </c>
      <c r="M165" s="329" t="s">
        <v>1677</v>
      </c>
    </row>
    <row r="166" ht="32" customHeight="1">
      <c r="A166" s="327" t="s">
        <v>2289</v>
      </c>
      <c r="B166" s="312" t="s">
        <v>2290</v>
      </c>
      <c r="C166" s="575" t="str">
        <f>IF(AND(ABS(Underwriting!$I$27-PROJECTS!$AP$171*1000000)&lt;0.01,ABS(Underwriting!$I$34-PROJECTS!$AP$177*1000000)&lt;0.01,ABS(Underwriting!$I$125-(PROJECTS!$N$27*1000000-SUM(Underwriting!$I$105,Underwriting!$I$120,Underwriting!$I$123:$I$124)))&lt;0.01,ABS(DEBT!$B$9-PROJECTS!$AP$167*1000000)&lt;0.01,ABS('VALUATION &amp; RETURNS'!$D$26-'FUNDING &amp; CAP TABLE'!$C$9)&lt;0.0001),"OK","EXCEPTION: revised source driver is not formula linked")</f>
        <v>OK</v>
      </c>
      <c r="D166" s="695" t="s">
        <v>2291</v>
      </c>
      <c r="E166" s="710"/>
      <c r="F166" s="710"/>
      <c r="G166" s="710"/>
      <c r="H166" s="710"/>
      <c r="I166" s="710"/>
      <c r="J166" s="710"/>
      <c r="K166" s="710"/>
      <c r="L166" s="329" t="s">
        <v>2206</v>
      </c>
      <c r="M166" s="329" t="s">
        <v>1677</v>
      </c>
    </row>
    <row r="167" ht="32" customHeight="1">
      <c r="A167" s="327" t="s">
        <v>2292</v>
      </c>
      <c r="B167" s="312" t="s">
        <v>2293</v>
      </c>
      <c r="C167" s="590" t="str">
        <f>IF(COUNTIF($I$8:$I$352,"Conflict")=0,"OK","EXCEPTION: unresolved source conflicts remain")</f>
        <v>OK</v>
      </c>
      <c r="D167" s="695" t="s">
        <v>2294</v>
      </c>
      <c r="E167" s="710"/>
      <c r="F167" s="710"/>
      <c r="G167" s="710"/>
      <c r="H167" s="710"/>
      <c r="I167" s="710"/>
      <c r="J167" s="710"/>
      <c r="K167" s="710"/>
      <c r="L167" s="329" t="s">
        <v>2206</v>
      </c>
      <c r="M167" s="329" t="s">
        <v>1677</v>
      </c>
    </row>
    <row r="168" ht="32" customHeight="1">
      <c r="A168" s="327" t="s">
        <v>2295</v>
      </c>
      <c r="B168" s="312" t="s">
        <v>1078</v>
      </c>
      <c r="C168" s="590" t="s">
        <v>1093</v>
      </c>
      <c r="D168" s="695" t="s">
        <v>2296</v>
      </c>
      <c r="E168" s="710"/>
      <c r="F168" s="710"/>
      <c r="G168" s="710"/>
      <c r="H168" s="710"/>
      <c r="I168" s="710"/>
      <c r="J168" s="710"/>
      <c r="K168" s="710"/>
      <c r="L168" s="329" t="s">
        <v>2206</v>
      </c>
      <c r="M168" s="329" t="s">
        <v>1677</v>
      </c>
    </row>
    <row r="169" ht="32" customHeight="1">
      <c r="A169" s="327" t="s">
        <v>2297</v>
      </c>
      <c r="B169" s="312" t="s">
        <v>2298</v>
      </c>
      <c r="C169" s="590" t="str">
        <f>IF(AND('VALUATION &amp; RETURNS'!$CR$118="OK",DEBT!$B$171="OK"),"OK","EXCEPTION: circular-reference / calculation-chain QA")</f>
        <v>OK</v>
      </c>
      <c r="D169" s="695" t="s">
        <v>2299</v>
      </c>
      <c r="E169" s="710"/>
      <c r="F169" s="710"/>
      <c r="G169" s="710"/>
      <c r="H169" s="710"/>
      <c r="I169" s="710"/>
      <c r="J169" s="710"/>
      <c r="K169" s="710"/>
      <c r="L169" s="329" t="s">
        <v>2206</v>
      </c>
      <c r="M169" s="329" t="s">
        <v>1677</v>
      </c>
    </row>
    <row r="170" ht="32" customHeight="1">
      <c r="A170" s="327" t="s">
        <v>2300</v>
      </c>
      <c r="B170" s="312" t="s">
        <v>2301</v>
      </c>
      <c r="C170" s="575" t="str" cm="1">
        <f t="array" ref="C170">IF(SUMPRODUCT(--ISERROR(Summary!$A$1:$AE$86))+SUMPRODUCT(--ISERROR(Underwriting!$A$1:$PI$327))+SUMPRODUCT(--ISERROR('Annual Cash Flow'!$B$1:$EI$137))+SUMPRODUCT(--ISERROR('Tenant Report'!$B$1:$DR$92))+SUMPRODUCT(--ISERROR(Data!$B$2:$AK$46))+SUMPRODUCT(--ISERROR('Financial Statements'!$B$1:$X$94))+SUMPRODUCT(--ISERROR('VALUATION &amp; RETURNS'!$A$1:$GC$160))+SUMPRODUCT(--ISERROR(DEBT!$A$2:$DV$194))+SUMPRODUCT(--ISERROR(PROJECTS!$AJ$2:$AW$257))+SUMPRODUCT(--ISERROR('DATA MAP'!$A$2:$K$169))+SUMPRODUCT(--ISERROR('DATA MAP'!$A$171:$K$352))+SUMPRODUCT(--ISERROR('INVESTOR REPORT'!$A$1:$S$250))+SUMPRODUCT(--ISERROR('FUNDING &amp; CAP TABLE'!$A$1:$I$200))+SUMPRODUCT(--ISERROR(PROJECTS!$A$1:$AI$298))=0,"OK","EXCEPTION: one or more Excel error values exist")</f>
        <v>OK</v>
      </c>
      <c r="D170" s="695" t="str">
        <v>Whole-workbook formula-error scan covers all 14 live worksheets, including PROJECTS ARCHIVE and OPERATING FORECAST.</v>
      </c>
      <c r="E170" s="710"/>
      <c r="F170" s="710"/>
      <c r="G170" s="710"/>
      <c r="H170" s="710"/>
      <c r="I170" s="710"/>
      <c r="J170" s="710"/>
      <c r="K170" s="710"/>
      <c r="L170" s="329" t="s">
        <v>2206</v>
      </c>
      <c r="M170" s="329" t="s">
        <v>1677</v>
      </c>
    </row>
    <row r="171" ht="32" customHeight="1">
      <c r="A171" s="327" t="s">
        <v>2302</v>
      </c>
      <c r="B171" s="312" t="s">
        <v>2303</v>
      </c>
      <c r="C171" s="590" t="str">
        <f>IF(ABS(PROJECTS!$AP$162-Underwriting!$I$57/1000000)&lt;0.000001,"OK","EXCEPTION: data-book funding does not reconcile to live model")</f>
        <v>OK</v>
      </c>
      <c r="D171" s="695" t="s">
        <v>2304</v>
      </c>
      <c r="E171" s="710"/>
      <c r="F171" s="710"/>
      <c r="G171" s="710"/>
      <c r="H171" s="710"/>
      <c r="I171" s="710"/>
      <c r="J171" s="710"/>
      <c r="K171" s="710"/>
      <c r="L171" s="329" t="s">
        <v>2206</v>
      </c>
      <c r="M171" s="329" t="s">
        <v>1677</v>
      </c>
    </row>
    <row r="172" ht="87">
      <c r="A172" s="329" t="s">
        <v>2305</v>
      </c>
      <c r="B172" s="329" t="s">
        <v>2306</v>
      </c>
      <c r="C172" s="329" t="str">
        <f>IF(AND(COUNTIF($I$324:$I$352,"")=0,COUNTIF(PROJECTS!$AO$8:$AW$257,760)=0,COUNTIF(PROJECTS!$AS$138:$AS$218,"")=0),"OK","EXCEPTION: source coverage, placeholder values or source alignment is incomplete")</f>
        <v>OK</v>
      </c>
      <c r="D172" s="329" t="s">
        <v>2307</v>
      </c>
      <c r="E172" s="329"/>
      <c r="F172" s="329"/>
      <c r="G172" s="329"/>
      <c r="H172" s="329"/>
      <c r="I172" s="329"/>
      <c r="J172" s="329"/>
      <c r="K172" s="329"/>
      <c r="L172" s="329" t="s">
        <v>2206</v>
      </c>
      <c r="M172" s="329" t="s">
        <v>1677</v>
      </c>
    </row>
    <row r="173" ht="145">
      <c r="A173" s="597" t="s">
        <v>2308</v>
      </c>
      <c r="B173" s="598"/>
      <c r="C173" s="598" t="str">
        <f>IF(OR('VALUATION &amp; RETURNS'!$CR$121&lt;&gt;"OK",'VALUATION &amp; RETURNS'!$CR$122&lt;&gt;"OK"),"TECHNICALLY RECONCILED — OWNER DECISIONS OUTSTANDING","INVESTOR READY")</f>
        <v>TECHNICALLY RECONCILED — OWNER DECISIONS OUTSTANDING</v>
      </c>
      <c r="D173" s="598" t="str">
        <v>Technical architecture and migration controls are complete. The known balance-sheet failure and external lender, investor, tax, valuation, QS, lease, programme and PBSA-classification decisions remain explicitly outstanding.</v>
      </c>
      <c r="E173" s="329"/>
      <c r="F173" s="329"/>
      <c r="G173" s="329"/>
      <c r="H173" s="329"/>
      <c r="I173" s="329"/>
      <c r="J173" s="329"/>
      <c r="K173" s="329"/>
      <c r="L173" s="329" t="s">
        <v>2309</v>
      </c>
      <c r="M173" s="329" t="s">
        <v>1677</v>
      </c>
    </row>
    <row r="174">
      <c r="A174" s="329"/>
      <c r="B174" s="329"/>
      <c r="C174" s="329"/>
      <c r="D174" s="329"/>
      <c r="E174" s="329"/>
      <c r="F174" s="329"/>
      <c r="G174" s="329"/>
      <c r="H174" s="329"/>
      <c r="I174" s="329"/>
      <c r="J174" s="329"/>
      <c r="K174" s="329"/>
      <c r="L174" s="329"/>
      <c r="M174" s="329"/>
    </row>
    <row r="175">
      <c r="A175" s="694" t="s">
        <v>2310</v>
      </c>
      <c r="B175" s="710"/>
      <c r="C175" s="710"/>
      <c r="D175" s="710"/>
      <c r="E175" s="710"/>
      <c r="F175" s="710"/>
      <c r="G175" s="710"/>
      <c r="H175" s="710"/>
      <c r="I175" s="710"/>
      <c r="J175" s="710"/>
      <c r="K175" s="710"/>
      <c r="L175" s="329"/>
      <c r="M175" s="329" t="s">
        <v>1677</v>
      </c>
    </row>
    <row r="176" ht="45" customHeight="1">
      <c r="A176" s="310" t="s">
        <v>2311</v>
      </c>
      <c r="B176" s="310" t="s">
        <v>2312</v>
      </c>
      <c r="C176" s="591" t="str">
        <f>IF(AND('VALUATION &amp; RETURNS'!$CR$133&gt;0,'VALUATION &amp; RETURNS'!$CR$145&lt;&gt;Underwriting!$I$15,'VALUATION &amp; RETURNS'!$CR$159="OK",'VALUATION &amp; RETURNS'!$CR$160="OK"),"OK","EXCEPTION: independent Build &amp; Hold strategy is incomplete")</f>
        <v>OK</v>
      </c>
      <c r="D176" s="310" t="s">
        <v>2313</v>
      </c>
      <c r="E176" s="329"/>
      <c r="F176" s="329"/>
      <c r="G176" s="329"/>
      <c r="H176" s="329"/>
      <c r="I176" s="329"/>
      <c r="J176" s="329"/>
      <c r="K176" s="329"/>
      <c r="L176" s="329" t="s">
        <v>2206</v>
      </c>
      <c r="M176" s="329" t="s">
        <v>1677</v>
      </c>
    </row>
    <row r="177" ht="45" customHeight="1">
      <c r="A177" s="310" t="s">
        <v>2314</v>
      </c>
      <c r="B177" s="310" t="s">
        <v>2315</v>
      </c>
      <c r="C177" s="591" t="str">
        <f>IF(MIN(DEBT!O37:O39)&gt;=DEBT!B48-0.0001,"OK","EXCEPTION: one or more scenario debt cases fails minimum DSCR")</f>
        <v>OK</v>
      </c>
      <c r="D177" s="310" t="s">
        <v>2316</v>
      </c>
      <c r="E177" s="329"/>
      <c r="F177" s="329"/>
      <c r="G177" s="329"/>
      <c r="H177" s="329"/>
      <c r="I177" s="329"/>
      <c r="J177" s="329"/>
      <c r="K177" s="329"/>
      <c r="L177" s="329" t="s">
        <v>2206</v>
      </c>
      <c r="M177" s="329" t="s">
        <v>1677</v>
      </c>
    </row>
    <row r="178" ht="203">
      <c r="A178" s="329"/>
      <c r="B178" s="329"/>
      <c r="C178" s="329"/>
      <c r="D178" s="329" t="s">
        <v>2317</v>
      </c>
      <c r="E178" s="329" t="s">
        <v>2318</v>
      </c>
      <c r="F178" s="329" t="s">
        <v>2319</v>
      </c>
      <c r="G178" s="329" t="s">
        <v>2320</v>
      </c>
      <c r="H178" s="329"/>
      <c r="I178" s="329"/>
      <c r="J178" s="329"/>
      <c r="K178" s="329"/>
      <c r="L178" s="329"/>
      <c r="M178" s="329"/>
    </row>
    <row r="179">
      <c r="A179" s="694" t="s">
        <v>2321</v>
      </c>
      <c r="B179" s="710"/>
      <c r="C179" s="710"/>
      <c r="D179" s="710"/>
      <c r="E179" s="710"/>
      <c r="F179" s="710"/>
      <c r="G179" s="710"/>
      <c r="H179" s="710"/>
      <c r="I179" s="710"/>
      <c r="J179" s="710"/>
      <c r="K179" s="710"/>
      <c r="L179" s="329"/>
      <c r="M179" s="329" t="s">
        <v>1677</v>
      </c>
    </row>
    <row r="180" ht="27">
      <c r="A180" s="310" t="s">
        <v>2322</v>
      </c>
      <c r="B180" s="310" t="s">
        <v>626</v>
      </c>
      <c r="C180" s="310" t="s">
        <v>2196</v>
      </c>
      <c r="D180" s="310" t="s">
        <v>2323</v>
      </c>
      <c r="E180" s="310" t="s">
        <v>2324</v>
      </c>
      <c r="F180" s="310" t="s">
        <v>2325</v>
      </c>
      <c r="G180" s="310" t="s">
        <v>612</v>
      </c>
      <c r="H180" s="329"/>
      <c r="I180" s="329"/>
      <c r="J180" s="329"/>
      <c r="K180" s="329"/>
      <c r="L180" s="329" t="s">
        <v>2196</v>
      </c>
      <c r="M180" s="329" t="s">
        <v>1677</v>
      </c>
    </row>
    <row r="181" ht="75" customHeight="1">
      <c r="A181" s="327" t="s">
        <v>2326</v>
      </c>
      <c r="B181" s="312" t="s">
        <v>2327</v>
      </c>
      <c r="C181" s="327" t="s">
        <v>2201</v>
      </c>
      <c r="D181" s="695" t="s">
        <v>2328</v>
      </c>
      <c r="E181" s="710"/>
      <c r="F181" s="710"/>
      <c r="G181" s="710" t="s">
        <v>2205</v>
      </c>
      <c r="H181" s="329"/>
      <c r="I181" s="329"/>
      <c r="J181" s="329"/>
      <c r="K181" s="329"/>
      <c r="L181" s="329" t="s">
        <v>2206</v>
      </c>
      <c r="M181" s="329" t="s">
        <v>1677</v>
      </c>
    </row>
    <row r="182" ht="75" customHeight="1">
      <c r="A182" s="327" t="s">
        <v>2329</v>
      </c>
      <c r="B182" s="312" t="s">
        <v>2330</v>
      </c>
      <c r="C182" s="327" t="s">
        <v>2201</v>
      </c>
      <c r="D182" s="695" t="s">
        <v>2331</v>
      </c>
      <c r="E182" s="710" t="s">
        <v>2332</v>
      </c>
      <c r="F182" s="710" t="s">
        <v>2333</v>
      </c>
      <c r="G182" s="710" t="s">
        <v>2205</v>
      </c>
      <c r="H182" s="329"/>
      <c r="I182" s="329"/>
      <c r="J182" s="329"/>
      <c r="K182" s="329"/>
      <c r="L182" s="329" t="s">
        <v>2206</v>
      </c>
      <c r="M182" s="329" t="s">
        <v>1677</v>
      </c>
    </row>
    <row r="183" ht="75" customHeight="1">
      <c r="A183" s="327" t="s">
        <v>2334</v>
      </c>
      <c r="B183" s="312" t="s">
        <v>2335</v>
      </c>
      <c r="C183" s="327" t="s">
        <v>2201</v>
      </c>
      <c r="D183" s="695" t="s">
        <v>2336</v>
      </c>
      <c r="E183" s="710"/>
      <c r="F183" s="710"/>
      <c r="G183" s="710" t="s">
        <v>2205</v>
      </c>
      <c r="H183" s="329"/>
      <c r="I183" s="329"/>
      <c r="J183" s="329"/>
      <c r="K183" s="329"/>
      <c r="L183" s="329" t="s">
        <v>2206</v>
      </c>
      <c r="M183" s="329" t="s">
        <v>1677</v>
      </c>
    </row>
    <row r="184" ht="75" customHeight="1">
      <c r="A184" s="327" t="s">
        <v>2337</v>
      </c>
      <c r="B184" s="312" t="s">
        <v>2338</v>
      </c>
      <c r="C184" s="327" t="s">
        <v>2201</v>
      </c>
      <c r="D184" s="695" t="s">
        <v>2339</v>
      </c>
      <c r="E184" s="710" t="s">
        <v>2340</v>
      </c>
      <c r="F184" s="710" t="s">
        <v>2341</v>
      </c>
      <c r="G184" s="710" t="s">
        <v>2232</v>
      </c>
      <c r="H184" s="329"/>
      <c r="I184" s="329"/>
      <c r="J184" s="329"/>
      <c r="K184" s="329"/>
      <c r="L184" s="329" t="s">
        <v>2206</v>
      </c>
      <c r="M184" s="329" t="s">
        <v>1677</v>
      </c>
    </row>
    <row r="185" ht="75" customHeight="1">
      <c r="A185" s="327" t="s">
        <v>2342</v>
      </c>
      <c r="B185" s="312" t="s">
        <v>2343</v>
      </c>
      <c r="C185" s="327" t="s">
        <v>2201</v>
      </c>
      <c r="D185" s="695" t="s">
        <v>2344</v>
      </c>
      <c r="E185" s="710"/>
      <c r="F185" s="710"/>
      <c r="G185" s="710" t="s">
        <v>2232</v>
      </c>
      <c r="H185" s="329"/>
      <c r="I185" s="329"/>
      <c r="J185" s="329"/>
      <c r="K185" s="329"/>
      <c r="L185" s="329" t="s">
        <v>2206</v>
      </c>
      <c r="M185" s="329" t="s">
        <v>1677</v>
      </c>
    </row>
    <row r="186" ht="75" customHeight="1">
      <c r="A186" s="327" t="s">
        <v>2345</v>
      </c>
      <c r="B186" s="312" t="s">
        <v>2346</v>
      </c>
      <c r="C186" s="327" t="s">
        <v>2201</v>
      </c>
      <c r="D186" s="695" t="s">
        <v>2347</v>
      </c>
      <c r="E186" s="710" t="s">
        <v>2348</v>
      </c>
      <c r="F186" s="710" t="s">
        <v>2349</v>
      </c>
      <c r="G186" s="710" t="s">
        <v>2232</v>
      </c>
      <c r="H186" s="329"/>
      <c r="I186" s="329"/>
      <c r="J186" s="329"/>
      <c r="K186" s="329"/>
      <c r="L186" s="329" t="s">
        <v>2206</v>
      </c>
      <c r="M186" s="329" t="s">
        <v>1677</v>
      </c>
    </row>
    <row r="187" ht="75" customHeight="1">
      <c r="A187" s="327" t="s">
        <v>2350</v>
      </c>
      <c r="B187" s="312" t="s">
        <v>2351</v>
      </c>
      <c r="C187" s="327" t="s">
        <v>2201</v>
      </c>
      <c r="D187" s="695" t="s">
        <v>2352</v>
      </c>
      <c r="E187" s="710" t="s">
        <v>2353</v>
      </c>
      <c r="F187" s="710" t="s">
        <v>2354</v>
      </c>
      <c r="G187" s="710" t="s">
        <v>2205</v>
      </c>
      <c r="H187" s="329"/>
      <c r="I187" s="329"/>
      <c r="J187" s="329"/>
      <c r="K187" s="329"/>
      <c r="L187" s="329" t="s">
        <v>2206</v>
      </c>
      <c r="M187" s="329" t="s">
        <v>1677</v>
      </c>
    </row>
    <row r="188" ht="75" customHeight="1">
      <c r="A188" s="327" t="s">
        <v>2355</v>
      </c>
      <c r="B188" s="312" t="s">
        <v>2356</v>
      </c>
      <c r="C188" s="327" t="s">
        <v>2201</v>
      </c>
      <c r="D188" s="695" t="s">
        <v>2357</v>
      </c>
      <c r="E188" s="710" t="s">
        <v>2358</v>
      </c>
      <c r="F188" s="710" t="s">
        <v>2359</v>
      </c>
      <c r="G188" s="710" t="s">
        <v>2205</v>
      </c>
      <c r="H188" s="329"/>
      <c r="I188" s="329"/>
      <c r="J188" s="329"/>
      <c r="K188" s="329"/>
      <c r="L188" s="329" t="s">
        <v>2206</v>
      </c>
      <c r="M188" s="329" t="s">
        <v>1677</v>
      </c>
    </row>
    <row r="189" ht="75" customHeight="1">
      <c r="A189" s="327" t="s">
        <v>2360</v>
      </c>
      <c r="B189" s="312" t="s">
        <v>2361</v>
      </c>
      <c r="C189" s="327" t="s">
        <v>2245</v>
      </c>
      <c r="D189" s="695" t="s">
        <v>2362</v>
      </c>
      <c r="E189" s="710" t="s">
        <v>2363</v>
      </c>
      <c r="F189" s="710" t="s">
        <v>2364</v>
      </c>
      <c r="G189" s="710" t="s">
        <v>2205</v>
      </c>
      <c r="H189" s="329"/>
      <c r="I189" s="329"/>
      <c r="J189" s="329"/>
      <c r="K189" s="329"/>
      <c r="L189" s="329" t="s">
        <v>2206</v>
      </c>
      <c r="M189" s="329" t="s">
        <v>1677</v>
      </c>
    </row>
    <row r="190" ht="75" customHeight="1">
      <c r="A190" s="327" t="s">
        <v>2365</v>
      </c>
      <c r="B190" s="312" t="s">
        <v>2366</v>
      </c>
      <c r="C190" s="327" t="s">
        <v>2201</v>
      </c>
      <c r="D190" s="695" t="s">
        <v>2367</v>
      </c>
      <c r="E190" s="710"/>
      <c r="F190" s="710"/>
      <c r="G190" s="710" t="s">
        <v>2205</v>
      </c>
      <c r="H190" s="329"/>
      <c r="I190" s="329"/>
      <c r="J190" s="329"/>
      <c r="K190" s="329"/>
      <c r="L190" s="329" t="s">
        <v>2206</v>
      </c>
      <c r="M190" s="329" t="s">
        <v>1677</v>
      </c>
    </row>
    <row r="191" ht="75" customHeight="1">
      <c r="A191" s="327" t="s">
        <v>2368</v>
      </c>
      <c r="B191" s="312" t="s">
        <v>2369</v>
      </c>
      <c r="C191" s="327" t="s">
        <v>2201</v>
      </c>
      <c r="D191" s="695" t="s">
        <v>2370</v>
      </c>
      <c r="E191" s="710"/>
      <c r="F191" s="710"/>
      <c r="G191" s="710" t="s">
        <v>2205</v>
      </c>
      <c r="H191" s="329"/>
      <c r="I191" s="329"/>
      <c r="J191" s="329"/>
      <c r="K191" s="329"/>
      <c r="L191" s="329" t="s">
        <v>2206</v>
      </c>
      <c r="M191" s="329" t="s">
        <v>1677</v>
      </c>
    </row>
    <row r="192">
      <c r="A192" s="694" t="s">
        <v>2371</v>
      </c>
      <c r="B192" s="710"/>
      <c r="C192" s="710"/>
      <c r="D192" s="710"/>
      <c r="E192" s="710"/>
      <c r="F192" s="710"/>
      <c r="G192" s="710"/>
      <c r="H192" s="710"/>
      <c r="I192" s="710"/>
      <c r="J192" s="710"/>
      <c r="K192" s="710"/>
      <c r="L192" s="329"/>
      <c r="M192" s="329" t="s">
        <v>1677</v>
      </c>
    </row>
    <row r="193">
      <c r="A193" s="310" t="s">
        <v>2372</v>
      </c>
      <c r="B193" s="310" t="s">
        <v>2373</v>
      </c>
      <c r="C193" s="310" t="s">
        <v>2374</v>
      </c>
      <c r="D193" s="310" t="s">
        <v>2375</v>
      </c>
      <c r="E193" s="310" t="s">
        <v>2376</v>
      </c>
      <c r="F193" s="310" t="s">
        <v>612</v>
      </c>
      <c r="G193" s="329"/>
      <c r="H193" s="329"/>
      <c r="I193" s="329"/>
      <c r="J193" s="329"/>
      <c r="K193" s="329"/>
      <c r="L193" s="329" t="s">
        <v>2374</v>
      </c>
      <c r="M193" s="329"/>
    </row>
    <row r="194" ht="60" customHeight="1">
      <c r="A194" s="327" t="s">
        <v>2377</v>
      </c>
      <c r="B194" s="312" t="s">
        <v>2378</v>
      </c>
      <c r="C194" s="327" t="s">
        <v>2379</v>
      </c>
      <c r="D194" s="695" t="s">
        <v>2380</v>
      </c>
      <c r="E194" s="710" t="s">
        <v>2381</v>
      </c>
      <c r="F194" s="710" t="s">
        <v>472</v>
      </c>
      <c r="G194" s="329"/>
      <c r="H194" s="329"/>
      <c r="I194" s="329"/>
      <c r="J194" s="329"/>
      <c r="K194" s="329"/>
      <c r="L194" s="329" t="s">
        <v>2206</v>
      </c>
      <c r="M194" s="329" t="s">
        <v>2138</v>
      </c>
    </row>
    <row r="195" ht="60" customHeight="1">
      <c r="A195" s="327" t="s">
        <v>2382</v>
      </c>
      <c r="B195" s="312" t="s">
        <v>2383</v>
      </c>
      <c r="C195" s="327" t="s">
        <v>2384</v>
      </c>
      <c r="D195" s="695" t="s">
        <v>2385</v>
      </c>
      <c r="E195" s="710" t="s">
        <v>2386</v>
      </c>
      <c r="F195" s="710" t="s">
        <v>472</v>
      </c>
      <c r="G195" s="329"/>
      <c r="H195" s="329"/>
      <c r="I195" s="329"/>
      <c r="J195" s="329"/>
      <c r="K195" s="329"/>
      <c r="L195" s="329" t="s">
        <v>2206</v>
      </c>
      <c r="M195" s="329" t="s">
        <v>1677</v>
      </c>
    </row>
    <row r="196" ht="60" customHeight="1">
      <c r="A196" s="327" t="s">
        <v>2387</v>
      </c>
      <c r="B196" s="312" t="s">
        <v>2388</v>
      </c>
      <c r="C196" s="327" t="s">
        <v>2389</v>
      </c>
      <c r="D196" s="695" t="s">
        <v>2390</v>
      </c>
      <c r="E196" s="710" t="s">
        <v>2391</v>
      </c>
      <c r="F196" s="710" t="s">
        <v>472</v>
      </c>
      <c r="G196" s="329"/>
      <c r="H196" s="329"/>
      <c r="I196" s="329"/>
      <c r="J196" s="329"/>
      <c r="K196" s="329"/>
      <c r="L196" s="329" t="s">
        <v>2206</v>
      </c>
      <c r="M196" s="329" t="s">
        <v>1677</v>
      </c>
    </row>
    <row r="197" ht="60" customHeight="1">
      <c r="A197" s="327" t="s">
        <v>2392</v>
      </c>
      <c r="B197" s="312" t="s">
        <v>1918</v>
      </c>
      <c r="C197" s="327" t="s">
        <v>2393</v>
      </c>
      <c r="D197" s="695" t="s">
        <v>2394</v>
      </c>
      <c r="E197" s="710" t="s">
        <v>2395</v>
      </c>
      <c r="F197" s="710" t="s">
        <v>472</v>
      </c>
      <c r="G197" s="329"/>
      <c r="H197" s="329"/>
      <c r="I197" s="329"/>
      <c r="J197" s="329"/>
      <c r="K197" s="329"/>
      <c r="L197" s="329" t="s">
        <v>2206</v>
      </c>
      <c r="M197" s="329" t="s">
        <v>1677</v>
      </c>
    </row>
    <row r="198" ht="60" customHeight="1">
      <c r="A198" s="327" t="s">
        <v>2396</v>
      </c>
      <c r="B198" s="312" t="s">
        <v>2361</v>
      </c>
      <c r="C198" s="327" t="s">
        <v>2397</v>
      </c>
      <c r="D198" s="695" t="s">
        <v>2398</v>
      </c>
      <c r="E198" s="710" t="s">
        <v>2399</v>
      </c>
      <c r="F198" s="710" t="s">
        <v>472</v>
      </c>
      <c r="G198" s="329"/>
      <c r="H198" s="329"/>
      <c r="I198" s="329"/>
      <c r="J198" s="329"/>
      <c r="K198" s="329"/>
      <c r="L198" s="329" t="s">
        <v>2206</v>
      </c>
      <c r="M198" s="329" t="s">
        <v>1677</v>
      </c>
    </row>
    <row r="199" ht="60" customHeight="1">
      <c r="A199" s="327" t="s">
        <v>2400</v>
      </c>
      <c r="B199" s="312" t="s">
        <v>2401</v>
      </c>
      <c r="C199" s="327" t="s">
        <v>2402</v>
      </c>
      <c r="D199" s="695" t="s">
        <v>2403</v>
      </c>
      <c r="E199" s="710"/>
      <c r="F199" s="710"/>
      <c r="G199" s="329"/>
      <c r="H199" s="329"/>
      <c r="I199" s="329"/>
      <c r="J199" s="329"/>
      <c r="K199" s="329"/>
      <c r="L199" s="329" t="s">
        <v>2206</v>
      </c>
      <c r="M199" s="329" t="s">
        <v>2138</v>
      </c>
    </row>
    <row r="200" ht="60" customHeight="1">
      <c r="A200" s="327" t="s">
        <v>2404</v>
      </c>
      <c r="B200" s="312" t="s">
        <v>2405</v>
      </c>
      <c r="C200" s="327" t="s">
        <v>2406</v>
      </c>
      <c r="D200" s="695" t="s">
        <v>2407</v>
      </c>
      <c r="E200" s="710"/>
      <c r="F200" s="710"/>
      <c r="G200" s="329"/>
      <c r="H200" s="329"/>
      <c r="I200" s="329"/>
      <c r="J200" s="329"/>
      <c r="K200" s="329"/>
      <c r="L200" s="329" t="s">
        <v>2206</v>
      </c>
      <c r="M200" s="329" t="s">
        <v>2138</v>
      </c>
    </row>
    <row r="201">
      <c r="A201" s="694" t="s">
        <v>2408</v>
      </c>
      <c r="B201" s="710"/>
      <c r="C201" s="710"/>
      <c r="D201" s="710"/>
      <c r="E201" s="710"/>
      <c r="F201" s="710"/>
      <c r="G201" s="710"/>
      <c r="H201" s="710"/>
      <c r="I201" s="710"/>
      <c r="J201" s="710"/>
      <c r="K201" s="710"/>
      <c r="L201" s="329"/>
      <c r="M201" s="329" t="s">
        <v>1677</v>
      </c>
    </row>
    <row r="202">
      <c r="A202" s="310" t="s">
        <v>1654</v>
      </c>
      <c r="B202" s="310" t="s">
        <v>1655</v>
      </c>
      <c r="C202" s="310" t="s">
        <v>1656</v>
      </c>
      <c r="D202" s="310" t="s">
        <v>1657</v>
      </c>
      <c r="E202" s="310" t="s">
        <v>1658</v>
      </c>
      <c r="F202" s="310" t="s">
        <v>1659</v>
      </c>
      <c r="G202" s="310" t="s">
        <v>1660</v>
      </c>
      <c r="H202" s="310" t="s">
        <v>1661</v>
      </c>
      <c r="I202" s="310" t="s">
        <v>612</v>
      </c>
      <c r="J202" s="310" t="s">
        <v>2409</v>
      </c>
      <c r="K202" s="310" t="s">
        <v>1663</v>
      </c>
      <c r="L202" s="329" t="s">
        <v>1664</v>
      </c>
      <c r="M202" s="329" t="s">
        <v>1665</v>
      </c>
    </row>
    <row r="203" ht="45" customHeight="1">
      <c r="A203" s="327" t="s">
        <v>2410</v>
      </c>
      <c r="B203" s="312" t="s">
        <v>2411</v>
      </c>
      <c r="C203" s="312" t="s">
        <v>2412</v>
      </c>
      <c r="D203" s="312" t="s">
        <v>2413</v>
      </c>
      <c r="E203" s="312">
        <v>12</v>
      </c>
      <c r="F203" s="312" t="s">
        <v>2414</v>
      </c>
      <c r="G203" s="312" t="s">
        <v>2415</v>
      </c>
      <c r="H203" s="312" t="s">
        <v>2416</v>
      </c>
      <c r="I203" s="312" t="s">
        <v>2417</v>
      </c>
      <c r="J203" s="312" t="s">
        <v>1711</v>
      </c>
      <c r="K203" s="312" t="s">
        <v>2418</v>
      </c>
      <c r="L203" s="329" t="s">
        <v>2419</v>
      </c>
      <c r="M203" s="329" t="s">
        <v>2090</v>
      </c>
    </row>
    <row r="204" ht="45" customHeight="1">
      <c r="A204" s="327" t="s">
        <v>2420</v>
      </c>
      <c r="B204" s="312" t="s">
        <v>2421</v>
      </c>
      <c r="C204" s="312" t="s">
        <v>2412</v>
      </c>
      <c r="D204" s="312" t="s">
        <v>2422</v>
      </c>
      <c r="E204" s="312">
        <v>0</v>
      </c>
      <c r="F204" s="312" t="s">
        <v>2414</v>
      </c>
      <c r="G204" s="312" t="s">
        <v>2423</v>
      </c>
      <c r="H204" s="312" t="s">
        <v>2424</v>
      </c>
      <c r="I204" s="312" t="s">
        <v>2417</v>
      </c>
      <c r="J204" s="312" t="s">
        <v>1711</v>
      </c>
      <c r="K204" s="312" t="s">
        <v>2418</v>
      </c>
      <c r="L204" s="329" t="s">
        <v>2419</v>
      </c>
      <c r="M204" s="329" t="s">
        <v>2090</v>
      </c>
    </row>
    <row r="205" ht="45" customHeight="1">
      <c r="A205" s="327" t="s">
        <v>2425</v>
      </c>
      <c r="B205" s="312" t="s">
        <v>2426</v>
      </c>
      <c r="C205" s="312" t="s">
        <v>2412</v>
      </c>
      <c r="D205" s="312" t="s">
        <v>2427</v>
      </c>
      <c r="E205" s="312">
        <v>0</v>
      </c>
      <c r="F205" s="312" t="s">
        <v>2414</v>
      </c>
      <c r="G205" s="312" t="s">
        <v>2428</v>
      </c>
      <c r="H205" s="312" t="s">
        <v>2429</v>
      </c>
      <c r="I205" s="312" t="s">
        <v>2417</v>
      </c>
      <c r="J205" s="312" t="s">
        <v>1711</v>
      </c>
      <c r="K205" s="312" t="s">
        <v>2418</v>
      </c>
      <c r="L205" s="329" t="s">
        <v>2419</v>
      </c>
      <c r="M205" s="329" t="s">
        <v>2090</v>
      </c>
    </row>
    <row r="206" ht="45" customHeight="1">
      <c r="A206" s="327" t="s">
        <v>2430</v>
      </c>
      <c r="B206" s="312" t="s">
        <v>2431</v>
      </c>
      <c r="C206" s="312" t="s">
        <v>2412</v>
      </c>
      <c r="D206" s="312" t="s">
        <v>2432</v>
      </c>
      <c r="E206" s="312">
        <v>4</v>
      </c>
      <c r="F206" s="312" t="s">
        <v>2414</v>
      </c>
      <c r="G206" s="312" t="s">
        <v>2433</v>
      </c>
      <c r="H206" s="312" t="s">
        <v>2434</v>
      </c>
      <c r="I206" s="312" t="s">
        <v>2417</v>
      </c>
      <c r="J206" s="312" t="s">
        <v>1711</v>
      </c>
      <c r="K206" s="312" t="s">
        <v>2418</v>
      </c>
      <c r="L206" s="329" t="s">
        <v>2419</v>
      </c>
      <c r="M206" s="329" t="s">
        <v>2090</v>
      </c>
    </row>
    <row r="207" ht="45" customHeight="1">
      <c r="A207" s="327" t="s">
        <v>2435</v>
      </c>
      <c r="B207" s="312" t="s">
        <v>2436</v>
      </c>
      <c r="C207" s="312" t="s">
        <v>2412</v>
      </c>
      <c r="D207" s="312" t="s">
        <v>2437</v>
      </c>
      <c r="E207" s="312">
        <v>0</v>
      </c>
      <c r="F207" s="312" t="s">
        <v>2414</v>
      </c>
      <c r="G207" s="312" t="s">
        <v>2438</v>
      </c>
      <c r="H207" s="312" t="s">
        <v>2439</v>
      </c>
      <c r="I207" s="312" t="s">
        <v>2417</v>
      </c>
      <c r="J207" s="312" t="s">
        <v>1711</v>
      </c>
      <c r="K207" s="312" t="s">
        <v>2418</v>
      </c>
      <c r="L207" s="329" t="s">
        <v>2419</v>
      </c>
      <c r="M207" s="329" t="s">
        <v>2090</v>
      </c>
    </row>
    <row r="208" ht="45" customHeight="1">
      <c r="A208" s="327" t="s">
        <v>2440</v>
      </c>
      <c r="B208" s="312" t="s">
        <v>2441</v>
      </c>
      <c r="C208" s="312" t="s">
        <v>2412</v>
      </c>
      <c r="D208" s="312" t="s">
        <v>2442</v>
      </c>
      <c r="E208" s="312">
        <v>11</v>
      </c>
      <c r="F208" s="312" t="s">
        <v>2414</v>
      </c>
      <c r="G208" s="312" t="s">
        <v>2443</v>
      </c>
      <c r="H208" s="312" t="s">
        <v>2444</v>
      </c>
      <c r="I208" s="312" t="s">
        <v>2417</v>
      </c>
      <c r="J208" s="312" t="s">
        <v>1711</v>
      </c>
      <c r="K208" s="312" t="s">
        <v>2418</v>
      </c>
      <c r="L208" s="329" t="s">
        <v>2419</v>
      </c>
      <c r="M208" s="329" t="s">
        <v>2090</v>
      </c>
    </row>
    <row r="209" ht="45" customHeight="1">
      <c r="A209" s="327" t="s">
        <v>2445</v>
      </c>
      <c r="B209" s="312" t="s">
        <v>2446</v>
      </c>
      <c r="C209" s="312" t="s">
        <v>2412</v>
      </c>
      <c r="D209" s="312" t="s">
        <v>2447</v>
      </c>
      <c r="E209" s="312">
        <v>5</v>
      </c>
      <c r="F209" s="312" t="s">
        <v>2414</v>
      </c>
      <c r="G209" s="312" t="s">
        <v>2448</v>
      </c>
      <c r="H209" s="312" t="s">
        <v>2449</v>
      </c>
      <c r="I209" s="312" t="s">
        <v>2417</v>
      </c>
      <c r="J209" s="312" t="s">
        <v>1711</v>
      </c>
      <c r="K209" s="312" t="s">
        <v>2418</v>
      </c>
      <c r="L209" s="329" t="s">
        <v>2419</v>
      </c>
      <c r="M209" s="329" t="s">
        <v>2090</v>
      </c>
    </row>
    <row r="210" ht="45" customHeight="1">
      <c r="A210" s="327" t="s">
        <v>2450</v>
      </c>
      <c r="B210" s="312" t="s">
        <v>2451</v>
      </c>
      <c r="C210" s="312" t="s">
        <v>2412</v>
      </c>
      <c r="D210" s="312" t="s">
        <v>2452</v>
      </c>
      <c r="E210" s="312">
        <v>0</v>
      </c>
      <c r="F210" s="312" t="s">
        <v>2414</v>
      </c>
      <c r="G210" s="312" t="s">
        <v>2453</v>
      </c>
      <c r="H210" s="312" t="s">
        <v>2454</v>
      </c>
      <c r="I210" s="312" t="s">
        <v>2417</v>
      </c>
      <c r="J210" s="312" t="s">
        <v>1711</v>
      </c>
      <c r="K210" s="312" t="s">
        <v>2418</v>
      </c>
      <c r="L210" s="329" t="s">
        <v>2419</v>
      </c>
      <c r="M210" s="329" t="s">
        <v>2090</v>
      </c>
    </row>
    <row r="211" ht="45" customHeight="1">
      <c r="A211" s="327" t="s">
        <v>2455</v>
      </c>
      <c r="B211" s="312" t="s">
        <v>2456</v>
      </c>
      <c r="C211" s="312" t="s">
        <v>2412</v>
      </c>
      <c r="D211" s="312" t="s">
        <v>2457</v>
      </c>
      <c r="E211" s="589">
        <v>0</v>
      </c>
      <c r="F211" s="312" t="s">
        <v>2414</v>
      </c>
      <c r="G211" s="312" t="s">
        <v>2458</v>
      </c>
      <c r="H211" s="312" t="s">
        <v>2459</v>
      </c>
      <c r="I211" s="312" t="s">
        <v>2417</v>
      </c>
      <c r="J211" s="312" t="s">
        <v>1711</v>
      </c>
      <c r="K211" s="312" t="s">
        <v>2418</v>
      </c>
      <c r="L211" s="329" t="s">
        <v>2419</v>
      </c>
      <c r="M211" s="329" t="s">
        <v>2090</v>
      </c>
    </row>
    <row r="212" ht="45" customHeight="1">
      <c r="A212" s="327" t="s">
        <v>2460</v>
      </c>
      <c r="B212" s="312" t="s">
        <v>2461</v>
      </c>
      <c r="C212" s="312" t="s">
        <v>2412</v>
      </c>
      <c r="D212" s="312" t="s">
        <v>2462</v>
      </c>
      <c r="E212" s="312">
        <v>3</v>
      </c>
      <c r="F212" s="312" t="s">
        <v>2414</v>
      </c>
      <c r="G212" s="312" t="s">
        <v>2463</v>
      </c>
      <c r="H212" s="312" t="s">
        <v>2464</v>
      </c>
      <c r="I212" s="312" t="s">
        <v>2417</v>
      </c>
      <c r="J212" s="312" t="s">
        <v>1711</v>
      </c>
      <c r="K212" s="312" t="s">
        <v>2418</v>
      </c>
      <c r="L212" s="329" t="s">
        <v>2419</v>
      </c>
      <c r="M212" s="329" t="s">
        <v>2090</v>
      </c>
    </row>
    <row r="213" ht="45" customHeight="1">
      <c r="A213" s="327" t="s">
        <v>2465</v>
      </c>
      <c r="B213" s="312" t="s">
        <v>2466</v>
      </c>
      <c r="C213" s="312" t="s">
        <v>2412</v>
      </c>
      <c r="D213" s="312" t="s">
        <v>2467</v>
      </c>
      <c r="E213" s="312">
        <v>0</v>
      </c>
      <c r="F213" s="312" t="s">
        <v>2414</v>
      </c>
      <c r="G213" s="312" t="s">
        <v>2468</v>
      </c>
      <c r="H213" s="312" t="s">
        <v>2469</v>
      </c>
      <c r="I213" s="312" t="s">
        <v>2417</v>
      </c>
      <c r="J213" s="312" t="s">
        <v>1711</v>
      </c>
      <c r="K213" s="312" t="s">
        <v>2418</v>
      </c>
      <c r="L213" s="329" t="s">
        <v>2419</v>
      </c>
      <c r="M213" s="329" t="s">
        <v>2090</v>
      </c>
    </row>
    <row r="214" ht="45" customHeight="1">
      <c r="A214" s="327" t="s">
        <v>2470</v>
      </c>
      <c r="B214" s="312" t="s">
        <v>2471</v>
      </c>
      <c r="C214" s="312" t="s">
        <v>2412</v>
      </c>
      <c r="D214" s="312" t="s">
        <v>2472</v>
      </c>
      <c r="E214" s="589">
        <v>0</v>
      </c>
      <c r="F214" s="312" t="s">
        <v>2414</v>
      </c>
      <c r="G214" s="312" t="s">
        <v>2473</v>
      </c>
      <c r="H214" s="312" t="s">
        <v>2474</v>
      </c>
      <c r="I214" s="312" t="s">
        <v>2417</v>
      </c>
      <c r="J214" s="312" t="s">
        <v>1711</v>
      </c>
      <c r="K214" s="312" t="s">
        <v>2418</v>
      </c>
      <c r="L214" s="329" t="s">
        <v>2419</v>
      </c>
      <c r="M214" s="329" t="s">
        <v>2090</v>
      </c>
    </row>
    <row r="215" ht="45" customHeight="1">
      <c r="A215" s="327" t="s">
        <v>2475</v>
      </c>
      <c r="B215" s="312" t="s">
        <v>2476</v>
      </c>
      <c r="C215" s="312" t="s">
        <v>2412</v>
      </c>
      <c r="D215" s="312" t="s">
        <v>2477</v>
      </c>
      <c r="E215" s="589">
        <v>0</v>
      </c>
      <c r="F215" s="312" t="s">
        <v>2414</v>
      </c>
      <c r="G215" s="312" t="s">
        <v>2478</v>
      </c>
      <c r="H215" s="312" t="s">
        <v>2479</v>
      </c>
      <c r="I215" s="312" t="s">
        <v>2417</v>
      </c>
      <c r="J215" s="312" t="s">
        <v>1711</v>
      </c>
      <c r="K215" s="312" t="s">
        <v>2418</v>
      </c>
      <c r="L215" s="329" t="s">
        <v>2419</v>
      </c>
      <c r="M215" s="329" t="s">
        <v>2090</v>
      </c>
    </row>
    <row r="216" ht="45" customHeight="1">
      <c r="A216" s="327" t="s">
        <v>2480</v>
      </c>
      <c r="B216" s="312" t="s">
        <v>2481</v>
      </c>
      <c r="C216" s="312" t="s">
        <v>2412</v>
      </c>
      <c r="D216" s="312" t="s">
        <v>2482</v>
      </c>
      <c r="E216" s="589">
        <v>0</v>
      </c>
      <c r="F216" s="312" t="s">
        <v>2414</v>
      </c>
      <c r="G216" s="312" t="s">
        <v>2483</v>
      </c>
      <c r="H216" s="312" t="s">
        <v>2484</v>
      </c>
      <c r="I216" s="312" t="s">
        <v>2417</v>
      </c>
      <c r="J216" s="312" t="s">
        <v>1711</v>
      </c>
      <c r="K216" s="312" t="s">
        <v>2418</v>
      </c>
      <c r="L216" s="329" t="s">
        <v>2419</v>
      </c>
      <c r="M216" s="329" t="s">
        <v>2090</v>
      </c>
    </row>
    <row r="217" ht="45" customHeight="1">
      <c r="A217" s="327" t="s">
        <v>2485</v>
      </c>
      <c r="B217" s="312" t="s">
        <v>2486</v>
      </c>
      <c r="C217" s="312" t="s">
        <v>2412</v>
      </c>
      <c r="D217" s="312" t="s">
        <v>2487</v>
      </c>
      <c r="E217" s="589">
        <v>1.1000000000000001</v>
      </c>
      <c r="F217" s="312" t="s">
        <v>2414</v>
      </c>
      <c r="G217" s="312" t="s">
        <v>2488</v>
      </c>
      <c r="H217" s="312" t="s">
        <v>2489</v>
      </c>
      <c r="I217" s="312" t="s">
        <v>2417</v>
      </c>
      <c r="J217" s="312" t="s">
        <v>1711</v>
      </c>
      <c r="K217" s="312" t="s">
        <v>2418</v>
      </c>
      <c r="L217" s="329" t="s">
        <v>2419</v>
      </c>
      <c r="M217" s="329" t="s">
        <v>2090</v>
      </c>
    </row>
    <row r="218" ht="45" customHeight="1">
      <c r="A218" s="327" t="s">
        <v>2490</v>
      </c>
      <c r="B218" s="312" t="s">
        <v>2491</v>
      </c>
      <c r="C218" s="312" t="s">
        <v>2412</v>
      </c>
      <c r="D218" s="312" t="s">
        <v>2492</v>
      </c>
      <c r="E218" s="589">
        <v>0</v>
      </c>
      <c r="F218" s="312" t="s">
        <v>2414</v>
      </c>
      <c r="G218" s="312" t="s">
        <v>2493</v>
      </c>
      <c r="H218" s="312" t="s">
        <v>2494</v>
      </c>
      <c r="I218" s="312" t="s">
        <v>2417</v>
      </c>
      <c r="J218" s="312" t="s">
        <v>1711</v>
      </c>
      <c r="K218" s="312" t="s">
        <v>2418</v>
      </c>
      <c r="L218" s="329" t="s">
        <v>2419</v>
      </c>
      <c r="M218" s="329" t="s">
        <v>2090</v>
      </c>
    </row>
    <row r="219" ht="45" customHeight="1">
      <c r="A219" s="327" t="s">
        <v>2495</v>
      </c>
      <c r="B219" s="312" t="s">
        <v>2496</v>
      </c>
      <c r="C219" s="312" t="s">
        <v>2412</v>
      </c>
      <c r="D219" s="312" t="s">
        <v>2497</v>
      </c>
      <c r="E219" s="589">
        <v>0</v>
      </c>
      <c r="F219" s="312" t="s">
        <v>2414</v>
      </c>
      <c r="G219" s="312" t="s">
        <v>2498</v>
      </c>
      <c r="H219" s="312" t="s">
        <v>2499</v>
      </c>
      <c r="I219" s="312" t="s">
        <v>2417</v>
      </c>
      <c r="J219" s="312" t="s">
        <v>1711</v>
      </c>
      <c r="K219" s="312" t="s">
        <v>2418</v>
      </c>
      <c r="L219" s="329" t="s">
        <v>2419</v>
      </c>
      <c r="M219" s="329" t="s">
        <v>2090</v>
      </c>
    </row>
    <row r="220" ht="45" customHeight="1">
      <c r="A220" s="327" t="s">
        <v>2500</v>
      </c>
      <c r="B220" s="312" t="s">
        <v>2501</v>
      </c>
      <c r="C220" s="312" t="s">
        <v>2412</v>
      </c>
      <c r="D220" s="312" t="s">
        <v>2502</v>
      </c>
      <c r="E220" s="589">
        <v>0.59</v>
      </c>
      <c r="F220" s="312" t="s">
        <v>2414</v>
      </c>
      <c r="G220" s="312" t="s">
        <v>2503</v>
      </c>
      <c r="H220" s="312" t="s">
        <v>2504</v>
      </c>
      <c r="I220" s="312" t="s">
        <v>2417</v>
      </c>
      <c r="J220" s="312" t="s">
        <v>1711</v>
      </c>
      <c r="K220" s="312" t="s">
        <v>2418</v>
      </c>
      <c r="L220" s="329" t="s">
        <v>2419</v>
      </c>
      <c r="M220" s="329" t="s">
        <v>2090</v>
      </c>
    </row>
    <row r="221" ht="45" customHeight="1">
      <c r="A221" s="327" t="s">
        <v>2505</v>
      </c>
      <c r="B221" s="312" t="s">
        <v>2506</v>
      </c>
      <c r="C221" s="312" t="s">
        <v>2412</v>
      </c>
      <c r="D221" s="312" t="s">
        <v>2507</v>
      </c>
      <c r="E221" s="589">
        <v>0</v>
      </c>
      <c r="F221" s="312" t="s">
        <v>2414</v>
      </c>
      <c r="G221" s="312" t="s">
        <v>2508</v>
      </c>
      <c r="H221" s="312" t="s">
        <v>2509</v>
      </c>
      <c r="I221" s="312" t="s">
        <v>2417</v>
      </c>
      <c r="J221" s="312" t="s">
        <v>1711</v>
      </c>
      <c r="K221" s="312" t="s">
        <v>2418</v>
      </c>
      <c r="L221" s="329" t="s">
        <v>2419</v>
      </c>
      <c r="M221" s="329" t="s">
        <v>2090</v>
      </c>
    </row>
    <row r="222" ht="45" customHeight="1">
      <c r="A222" s="327" t="s">
        <v>2510</v>
      </c>
      <c r="B222" s="312" t="s">
        <v>2511</v>
      </c>
      <c r="C222" s="312" t="s">
        <v>2412</v>
      </c>
      <c r="D222" s="312" t="s">
        <v>2512</v>
      </c>
      <c r="E222" s="589">
        <v>0</v>
      </c>
      <c r="F222" s="312" t="s">
        <v>2414</v>
      </c>
      <c r="G222" s="312" t="s">
        <v>2513</v>
      </c>
      <c r="H222" s="312" t="s">
        <v>2514</v>
      </c>
      <c r="I222" s="312" t="s">
        <v>2417</v>
      </c>
      <c r="J222" s="312" t="s">
        <v>1711</v>
      </c>
      <c r="K222" s="312" t="s">
        <v>2418</v>
      </c>
      <c r="L222" s="329" t="s">
        <v>2419</v>
      </c>
      <c r="M222" s="329" t="s">
        <v>2090</v>
      </c>
    </row>
    <row r="223" ht="45" customHeight="1">
      <c r="A223" s="327" t="s">
        <v>2515</v>
      </c>
      <c r="B223" s="312" t="s">
        <v>2516</v>
      </c>
      <c r="C223" s="312" t="s">
        <v>2412</v>
      </c>
      <c r="D223" s="312" t="s">
        <v>2517</v>
      </c>
      <c r="E223" s="589">
        <v>50</v>
      </c>
      <c r="F223" s="312" t="s">
        <v>2414</v>
      </c>
      <c r="G223" s="312" t="s">
        <v>2518</v>
      </c>
      <c r="H223" s="312" t="s">
        <v>2519</v>
      </c>
      <c r="I223" s="312" t="s">
        <v>2417</v>
      </c>
      <c r="J223" s="312" t="s">
        <v>1711</v>
      </c>
      <c r="K223" s="312" t="s">
        <v>2418</v>
      </c>
      <c r="L223" s="329" t="s">
        <v>2419</v>
      </c>
      <c r="M223" s="329" t="s">
        <v>2090</v>
      </c>
    </row>
    <row r="224" ht="45" customHeight="1">
      <c r="A224" s="327" t="s">
        <v>2520</v>
      </c>
      <c r="B224" s="312" t="s">
        <v>2521</v>
      </c>
      <c r="C224" s="312" t="s">
        <v>2412</v>
      </c>
      <c r="D224" s="312" t="s">
        <v>2522</v>
      </c>
      <c r="E224" s="589">
        <v>0</v>
      </c>
      <c r="F224" s="312" t="s">
        <v>2414</v>
      </c>
      <c r="G224" s="312" t="s">
        <v>2523</v>
      </c>
      <c r="H224" s="312" t="s">
        <v>2524</v>
      </c>
      <c r="I224" s="312" t="s">
        <v>2417</v>
      </c>
      <c r="J224" s="312" t="s">
        <v>1711</v>
      </c>
      <c r="K224" s="312" t="s">
        <v>2418</v>
      </c>
      <c r="L224" s="329" t="s">
        <v>2419</v>
      </c>
      <c r="M224" s="329" t="s">
        <v>2090</v>
      </c>
    </row>
    <row r="225" ht="45" customHeight="1">
      <c r="A225" s="327" t="s">
        <v>2525</v>
      </c>
      <c r="B225" s="312" t="s">
        <v>2526</v>
      </c>
      <c r="C225" s="312" t="s">
        <v>2412</v>
      </c>
      <c r="D225" s="312" t="s">
        <v>2527</v>
      </c>
      <c r="E225" s="589">
        <v>0</v>
      </c>
      <c r="F225" s="312" t="s">
        <v>2414</v>
      </c>
      <c r="G225" s="312" t="s">
        <v>2528</v>
      </c>
      <c r="H225" s="312" t="s">
        <v>2529</v>
      </c>
      <c r="I225" s="312" t="s">
        <v>2417</v>
      </c>
      <c r="J225" s="312" t="s">
        <v>1711</v>
      </c>
      <c r="K225" s="312" t="s">
        <v>2418</v>
      </c>
      <c r="L225" s="329" t="s">
        <v>2419</v>
      </c>
      <c r="M225" s="329" t="s">
        <v>2090</v>
      </c>
    </row>
    <row r="226" ht="45" customHeight="1">
      <c r="A226" s="327" t="s">
        <v>2530</v>
      </c>
      <c r="B226" s="312" t="s">
        <v>2531</v>
      </c>
      <c r="C226" s="312" t="s">
        <v>2412</v>
      </c>
      <c r="D226" s="312" t="s">
        <v>2532</v>
      </c>
      <c r="E226" s="589">
        <v>136</v>
      </c>
      <c r="F226" s="312" t="s">
        <v>2414</v>
      </c>
      <c r="G226" s="312" t="s">
        <v>2533</v>
      </c>
      <c r="H226" s="312" t="s">
        <v>2534</v>
      </c>
      <c r="I226" s="312" t="s">
        <v>2417</v>
      </c>
      <c r="J226" s="312" t="s">
        <v>1711</v>
      </c>
      <c r="K226" s="312" t="s">
        <v>2418</v>
      </c>
      <c r="L226" s="329" t="s">
        <v>2419</v>
      </c>
      <c r="M226" s="329" t="s">
        <v>2090</v>
      </c>
    </row>
    <row r="227" ht="45" customHeight="1">
      <c r="A227" s="327" t="s">
        <v>2535</v>
      </c>
      <c r="B227" s="312" t="s">
        <v>2536</v>
      </c>
      <c r="C227" s="312" t="s">
        <v>2537</v>
      </c>
      <c r="D227" s="312" t="s">
        <v>2538</v>
      </c>
      <c r="E227" s="589">
        <v>469.18712868</v>
      </c>
      <c r="F227" s="312" t="s">
        <v>2378</v>
      </c>
      <c r="G227" s="312" t="s">
        <v>2539</v>
      </c>
      <c r="H227" s="312" t="s">
        <v>2540</v>
      </c>
      <c r="I227" s="312" t="s">
        <v>1674</v>
      </c>
      <c r="J227" s="312" t="s">
        <v>318</v>
      </c>
      <c r="K227" s="312" t="s">
        <v>2541</v>
      </c>
      <c r="L227" s="329" t="s">
        <v>2537</v>
      </c>
      <c r="M227" s="329" t="s">
        <v>1677</v>
      </c>
    </row>
    <row r="228" ht="45" customHeight="1">
      <c r="A228" s="327" t="s">
        <v>2542</v>
      </c>
      <c r="B228" s="312" t="s">
        <v>2543</v>
      </c>
      <c r="C228" s="312" t="s">
        <v>2544</v>
      </c>
      <c r="D228" s="312" t="s">
        <v>2545</v>
      </c>
      <c r="E228" s="589">
        <v>18.126719621761143</v>
      </c>
      <c r="F228" s="312" t="s">
        <v>2378</v>
      </c>
      <c r="G228" s="312" t="s">
        <v>2546</v>
      </c>
      <c r="H228" s="312" t="s">
        <v>2547</v>
      </c>
      <c r="I228" s="312" t="s">
        <v>2548</v>
      </c>
      <c r="J228" s="312" t="s">
        <v>318</v>
      </c>
      <c r="K228" s="312" t="s">
        <v>2549</v>
      </c>
      <c r="L228" s="329" t="s">
        <v>1684</v>
      </c>
      <c r="M228" s="329" t="s">
        <v>1895</v>
      </c>
    </row>
    <row r="229" ht="45" customHeight="1">
      <c r="A229" s="327" t="s">
        <v>2550</v>
      </c>
      <c r="B229" s="312" t="s">
        <v>2551</v>
      </c>
      <c r="C229" s="312" t="s">
        <v>2378</v>
      </c>
      <c r="D229" s="312" t="s">
        <v>2552</v>
      </c>
      <c r="E229" s="589" t="s">
        <v>2553</v>
      </c>
      <c r="F229" s="312" t="s">
        <v>1671</v>
      </c>
      <c r="G229" s="312" t="s">
        <v>2554</v>
      </c>
      <c r="H229" s="312" t="s">
        <v>2555</v>
      </c>
      <c r="I229" s="312" t="s">
        <v>1720</v>
      </c>
      <c r="J229" s="312" t="s">
        <v>318</v>
      </c>
      <c r="K229" s="312" t="s">
        <v>2556</v>
      </c>
      <c r="L229" s="329" t="s">
        <v>1684</v>
      </c>
      <c r="M229" s="329" t="s">
        <v>1677</v>
      </c>
    </row>
    <row r="230" ht="45" customHeight="1">
      <c r="A230" s="327" t="s">
        <v>2557</v>
      </c>
      <c r="B230" s="312" t="s">
        <v>2558</v>
      </c>
      <c r="C230" s="312" t="s">
        <v>2537</v>
      </c>
      <c r="D230" s="312" t="s">
        <v>2538</v>
      </c>
      <c r="E230" s="589">
        <v>0.5</v>
      </c>
      <c r="F230" s="312" t="s">
        <v>2378</v>
      </c>
      <c r="G230" s="312" t="s">
        <v>2559</v>
      </c>
      <c r="H230" s="312" t="s">
        <v>2560</v>
      </c>
      <c r="I230" s="312" t="s">
        <v>1674</v>
      </c>
      <c r="J230" s="312" t="s">
        <v>318</v>
      </c>
      <c r="K230" s="312" t="s">
        <v>2561</v>
      </c>
      <c r="L230" s="329" t="s">
        <v>2537</v>
      </c>
      <c r="M230" s="329" t="s">
        <v>1982</v>
      </c>
    </row>
    <row r="231" ht="45" customHeight="1">
      <c r="A231" s="327" t="s">
        <v>2562</v>
      </c>
      <c r="B231" s="312" t="s">
        <v>2563</v>
      </c>
      <c r="C231" s="312" t="s">
        <v>2378</v>
      </c>
      <c r="D231" s="312" t="s">
        <v>2564</v>
      </c>
      <c r="E231" s="589" t="s">
        <v>2553</v>
      </c>
      <c r="F231" s="312" t="s">
        <v>2378</v>
      </c>
      <c r="G231" s="312" t="s">
        <v>2565</v>
      </c>
      <c r="H231" s="312" t="s">
        <v>2553</v>
      </c>
      <c r="I231" s="312" t="s">
        <v>1720</v>
      </c>
      <c r="J231" s="312" t="s">
        <v>318</v>
      </c>
      <c r="K231" s="312" t="s">
        <v>2566</v>
      </c>
      <c r="L231" s="329" t="s">
        <v>1684</v>
      </c>
      <c r="M231" s="329" t="s">
        <v>1677</v>
      </c>
    </row>
    <row r="232" ht="45" customHeight="1">
      <c r="A232" s="327" t="s">
        <v>2567</v>
      </c>
      <c r="B232" s="312" t="s">
        <v>2568</v>
      </c>
      <c r="C232" s="312" t="s">
        <v>2378</v>
      </c>
      <c r="D232" s="312" t="s">
        <v>2569</v>
      </c>
      <c r="E232" s="589" t="s">
        <v>2553</v>
      </c>
      <c r="F232" s="312" t="s">
        <v>1918</v>
      </c>
      <c r="G232" s="312" t="s">
        <v>2570</v>
      </c>
      <c r="H232" s="312" t="s">
        <v>2571</v>
      </c>
      <c r="I232" s="312" t="s">
        <v>1720</v>
      </c>
      <c r="J232" s="312" t="s">
        <v>318</v>
      </c>
      <c r="K232" s="312" t="s">
        <v>2572</v>
      </c>
      <c r="L232" s="329" t="s">
        <v>1684</v>
      </c>
      <c r="M232" s="329" t="s">
        <v>1677</v>
      </c>
    </row>
    <row r="233" ht="45" customHeight="1">
      <c r="A233" s="327" t="s">
        <v>2573</v>
      </c>
      <c r="B233" s="312" t="s">
        <v>2574</v>
      </c>
      <c r="C233" s="312" t="s">
        <v>2378</v>
      </c>
      <c r="D233" s="312" t="s">
        <v>2575</v>
      </c>
      <c r="E233" s="589" t="s">
        <v>2553</v>
      </c>
      <c r="F233" s="312" t="s">
        <v>1671</v>
      </c>
      <c r="G233" s="312" t="s">
        <v>2576</v>
      </c>
      <c r="H233" s="312" t="s">
        <v>2577</v>
      </c>
      <c r="I233" s="312" t="s">
        <v>1720</v>
      </c>
      <c r="J233" s="312" t="s">
        <v>318</v>
      </c>
      <c r="K233" s="312" t="s">
        <v>2578</v>
      </c>
      <c r="L233" s="329" t="s">
        <v>1684</v>
      </c>
      <c r="M233" s="329" t="s">
        <v>2138</v>
      </c>
    </row>
    <row r="234" ht="45" customHeight="1">
      <c r="A234" s="327" t="s">
        <v>2579</v>
      </c>
      <c r="B234" s="312" t="s">
        <v>2580</v>
      </c>
      <c r="C234" s="312" t="s">
        <v>2581</v>
      </c>
      <c r="D234" s="312" t="s">
        <v>2582</v>
      </c>
      <c r="E234" s="589">
        <v>222.69</v>
      </c>
      <c r="F234" s="312" t="s">
        <v>2378</v>
      </c>
      <c r="G234" s="312" t="s">
        <v>2583</v>
      </c>
      <c r="H234" s="312" t="s">
        <v>2584</v>
      </c>
      <c r="I234" s="312" t="s">
        <v>2417</v>
      </c>
      <c r="J234" s="312" t="s">
        <v>1711</v>
      </c>
      <c r="K234" s="312" t="s">
        <v>2585</v>
      </c>
      <c r="L234" s="329" t="s">
        <v>2581</v>
      </c>
      <c r="M234" s="329" t="s">
        <v>2090</v>
      </c>
    </row>
    <row r="235" ht="45" customHeight="1">
      <c r="A235" s="327" t="s">
        <v>2586</v>
      </c>
      <c r="B235" s="312" t="s">
        <v>2587</v>
      </c>
      <c r="C235" s="312" t="s">
        <v>2378</v>
      </c>
      <c r="D235" s="312" t="s">
        <v>2588</v>
      </c>
      <c r="E235" s="589" t="s">
        <v>2553</v>
      </c>
      <c r="F235" s="312" t="s">
        <v>2378</v>
      </c>
      <c r="G235" s="312" t="s">
        <v>2589</v>
      </c>
      <c r="H235" s="312" t="s">
        <v>2590</v>
      </c>
      <c r="I235" s="312" t="s">
        <v>2417</v>
      </c>
      <c r="J235" s="312" t="s">
        <v>1711</v>
      </c>
      <c r="K235" s="312" t="s">
        <v>2591</v>
      </c>
      <c r="L235" s="329" t="s">
        <v>1684</v>
      </c>
      <c r="M235" s="329" t="s">
        <v>2090</v>
      </c>
    </row>
    <row r="236" ht="45" customHeight="1">
      <c r="A236" s="327" t="s">
        <v>2592</v>
      </c>
      <c r="B236" s="312" t="s">
        <v>2593</v>
      </c>
      <c r="C236" s="312" t="s">
        <v>1671</v>
      </c>
      <c r="D236" s="312" t="s">
        <v>1872</v>
      </c>
      <c r="E236" s="589">
        <v>3</v>
      </c>
      <c r="F236" s="312" t="s">
        <v>2378</v>
      </c>
      <c r="G236" s="312" t="s">
        <v>2594</v>
      </c>
      <c r="H236" s="312" t="s">
        <v>2595</v>
      </c>
      <c r="I236" s="312" t="s">
        <v>1792</v>
      </c>
      <c r="J236" s="312" t="s">
        <v>318</v>
      </c>
      <c r="K236" s="312" t="s">
        <v>2596</v>
      </c>
      <c r="L236" s="329" t="s">
        <v>1671</v>
      </c>
      <c r="M236" s="329" t="s">
        <v>1677</v>
      </c>
    </row>
    <row r="237" ht="45" customHeight="1">
      <c r="A237" s="327" t="s">
        <v>2597</v>
      </c>
      <c r="B237" s="312" t="s">
        <v>2598</v>
      </c>
      <c r="C237" s="312" t="s">
        <v>1671</v>
      </c>
      <c r="D237" s="312" t="s">
        <v>2599</v>
      </c>
      <c r="E237" s="589">
        <v>2.5000000000000001E-2</v>
      </c>
      <c r="F237" s="312" t="s">
        <v>2378</v>
      </c>
      <c r="G237" s="312" t="s">
        <v>2600</v>
      </c>
      <c r="H237" s="312" t="s">
        <v>2595</v>
      </c>
      <c r="I237" s="312" t="s">
        <v>1792</v>
      </c>
      <c r="J237" s="312" t="s">
        <v>318</v>
      </c>
      <c r="K237" s="312" t="s">
        <v>2596</v>
      </c>
      <c r="L237" s="329" t="s">
        <v>1671</v>
      </c>
      <c r="M237" s="329" t="s">
        <v>1677</v>
      </c>
    </row>
    <row r="238" ht="45" customHeight="1">
      <c r="A238" s="327" t="s">
        <v>2601</v>
      </c>
      <c r="B238" s="312" t="s">
        <v>2602</v>
      </c>
      <c r="C238" s="312" t="s">
        <v>1671</v>
      </c>
      <c r="D238" s="312" t="s">
        <v>2603</v>
      </c>
      <c r="E238" s="589">
        <v>0.1</v>
      </c>
      <c r="F238" s="312" t="s">
        <v>2378</v>
      </c>
      <c r="G238" s="312" t="s">
        <v>2604</v>
      </c>
      <c r="H238" s="312" t="s">
        <v>2595</v>
      </c>
      <c r="I238" s="312" t="s">
        <v>1792</v>
      </c>
      <c r="J238" s="312" t="s">
        <v>318</v>
      </c>
      <c r="K238" s="312" t="s">
        <v>2596</v>
      </c>
      <c r="L238" s="329" t="s">
        <v>1671</v>
      </c>
      <c r="M238" s="329" t="s">
        <v>1677</v>
      </c>
    </row>
    <row r="239" ht="45" customHeight="1">
      <c r="A239" s="327" t="s">
        <v>2605</v>
      </c>
      <c r="B239" s="312" t="s">
        <v>2606</v>
      </c>
      <c r="C239" s="312" t="s">
        <v>1671</v>
      </c>
      <c r="D239" s="312" t="s">
        <v>2607</v>
      </c>
      <c r="E239" s="589">
        <v>7.4999999999999997E-2</v>
      </c>
      <c r="F239" s="312" t="s">
        <v>2378</v>
      </c>
      <c r="G239" s="312" t="s">
        <v>2608</v>
      </c>
      <c r="H239" s="312" t="s">
        <v>2595</v>
      </c>
      <c r="I239" s="312" t="s">
        <v>1792</v>
      </c>
      <c r="J239" s="312" t="s">
        <v>318</v>
      </c>
      <c r="K239" s="312" t="s">
        <v>2596</v>
      </c>
      <c r="L239" s="329" t="s">
        <v>1671</v>
      </c>
      <c r="M239" s="329" t="s">
        <v>1677</v>
      </c>
    </row>
    <row r="240" ht="45" customHeight="1">
      <c r="A240" s="327" t="s">
        <v>2609</v>
      </c>
      <c r="B240" s="312" t="s">
        <v>2610</v>
      </c>
      <c r="C240" s="312" t="s">
        <v>1671</v>
      </c>
      <c r="D240" s="312" t="s">
        <v>2611</v>
      </c>
      <c r="E240" s="589">
        <v>0.22500000000000001</v>
      </c>
      <c r="F240" s="312" t="s">
        <v>2378</v>
      </c>
      <c r="G240" s="312" t="s">
        <v>2612</v>
      </c>
      <c r="H240" s="312" t="s">
        <v>2595</v>
      </c>
      <c r="I240" s="312" t="s">
        <v>1792</v>
      </c>
      <c r="J240" s="312" t="s">
        <v>318</v>
      </c>
      <c r="K240" s="312" t="s">
        <v>2596</v>
      </c>
      <c r="L240" s="329" t="s">
        <v>1671</v>
      </c>
      <c r="M240" s="329" t="s">
        <v>1677</v>
      </c>
    </row>
    <row r="241" ht="45" customHeight="1">
      <c r="A241" s="327" t="s">
        <v>2613</v>
      </c>
      <c r="B241" s="312" t="s">
        <v>2614</v>
      </c>
      <c r="C241" s="312" t="s">
        <v>1671</v>
      </c>
      <c r="D241" s="312" t="s">
        <v>2615</v>
      </c>
      <c r="E241" s="589">
        <v>0.13</v>
      </c>
      <c r="F241" s="312" t="s">
        <v>2378</v>
      </c>
      <c r="G241" s="312" t="s">
        <v>2616</v>
      </c>
      <c r="H241" s="312" t="s">
        <v>2595</v>
      </c>
      <c r="I241" s="312" t="s">
        <v>1792</v>
      </c>
      <c r="J241" s="312" t="s">
        <v>318</v>
      </c>
      <c r="K241" s="312" t="s">
        <v>2617</v>
      </c>
      <c r="L241" s="329" t="s">
        <v>1671</v>
      </c>
      <c r="M241" s="329" t="s">
        <v>1982</v>
      </c>
    </row>
    <row r="242" ht="45" customHeight="1">
      <c r="A242" s="327" t="s">
        <v>2618</v>
      </c>
      <c r="B242" s="312" t="s">
        <v>2619</v>
      </c>
      <c r="C242" s="312" t="s">
        <v>1671</v>
      </c>
      <c r="D242" s="312" t="s">
        <v>2620</v>
      </c>
      <c r="E242" s="589">
        <v>150</v>
      </c>
      <c r="F242" s="312" t="s">
        <v>2378</v>
      </c>
      <c r="G242" s="312" t="s">
        <v>2621</v>
      </c>
      <c r="H242" s="312" t="s">
        <v>2622</v>
      </c>
      <c r="I242" s="312" t="s">
        <v>1792</v>
      </c>
      <c r="J242" s="312" t="s">
        <v>318</v>
      </c>
      <c r="K242" s="312" t="s">
        <v>2623</v>
      </c>
      <c r="L242" s="329" t="s">
        <v>1671</v>
      </c>
      <c r="M242" s="329" t="s">
        <v>1677</v>
      </c>
    </row>
    <row r="243" ht="45" customHeight="1">
      <c r="A243" s="327" t="s">
        <v>2624</v>
      </c>
      <c r="B243" s="312" t="s">
        <v>2625</v>
      </c>
      <c r="C243" s="312" t="s">
        <v>2378</v>
      </c>
      <c r="D243" s="312" t="s">
        <v>2626</v>
      </c>
      <c r="E243" s="589" t="s">
        <v>2553</v>
      </c>
      <c r="F243" s="312" t="s">
        <v>2581</v>
      </c>
      <c r="G243" s="312" t="s">
        <v>2627</v>
      </c>
      <c r="H243" s="312" t="s">
        <v>2628</v>
      </c>
      <c r="I243" s="312" t="s">
        <v>1720</v>
      </c>
      <c r="J243" s="312" t="s">
        <v>318</v>
      </c>
      <c r="K243" s="312" t="s">
        <v>2629</v>
      </c>
      <c r="L243" s="329" t="s">
        <v>1684</v>
      </c>
      <c r="M243" s="329" t="s">
        <v>1677</v>
      </c>
    </row>
    <row r="244" ht="45" customHeight="1">
      <c r="A244" s="327" t="s">
        <v>2630</v>
      </c>
      <c r="B244" s="312" t="s">
        <v>1349</v>
      </c>
      <c r="C244" s="312" t="s">
        <v>2631</v>
      </c>
      <c r="D244" s="312" t="s">
        <v>2632</v>
      </c>
      <c r="E244" s="589" t="s">
        <v>2553</v>
      </c>
      <c r="F244" s="312" t="s">
        <v>2378</v>
      </c>
      <c r="G244" s="312" t="s">
        <v>2633</v>
      </c>
      <c r="H244" s="312" t="s">
        <v>2634</v>
      </c>
      <c r="I244" s="312" t="s">
        <v>1720</v>
      </c>
      <c r="J244" s="312" t="s">
        <v>318</v>
      </c>
      <c r="K244" s="312" t="s">
        <v>2635</v>
      </c>
      <c r="L244" s="329" t="s">
        <v>2631</v>
      </c>
      <c r="M244" s="329" t="s">
        <v>1713</v>
      </c>
    </row>
    <row r="245" ht="45" customHeight="1">
      <c r="A245" s="327" t="s">
        <v>2636</v>
      </c>
      <c r="B245" s="312" t="s">
        <v>2637</v>
      </c>
      <c r="C245" s="312" t="s">
        <v>2545</v>
      </c>
      <c r="D245" s="312" t="s">
        <v>2632</v>
      </c>
      <c r="E245" s="589" t="s">
        <v>2553</v>
      </c>
      <c r="F245" s="312" t="s">
        <v>2378</v>
      </c>
      <c r="G245" s="312" t="s">
        <v>2638</v>
      </c>
      <c r="H245" s="312" t="s">
        <v>2634</v>
      </c>
      <c r="I245" s="312" t="s">
        <v>1720</v>
      </c>
      <c r="J245" s="312" t="s">
        <v>318</v>
      </c>
      <c r="K245" s="312" t="s">
        <v>2639</v>
      </c>
      <c r="L245" s="329" t="s">
        <v>2545</v>
      </c>
      <c r="M245" s="329" t="s">
        <v>1713</v>
      </c>
    </row>
    <row r="246" ht="45" customHeight="1">
      <c r="A246" s="327" t="s">
        <v>2640</v>
      </c>
      <c r="B246" s="312" t="s">
        <v>2641</v>
      </c>
      <c r="C246" s="312" t="s">
        <v>2642</v>
      </c>
      <c r="D246" s="312" t="s">
        <v>2632</v>
      </c>
      <c r="E246" s="589" t="s">
        <v>2553</v>
      </c>
      <c r="F246" s="312" t="s">
        <v>2378</v>
      </c>
      <c r="G246" s="312" t="s">
        <v>2643</v>
      </c>
      <c r="H246" s="312" t="s">
        <v>2634</v>
      </c>
      <c r="I246" s="312" t="s">
        <v>1720</v>
      </c>
      <c r="J246" s="312" t="s">
        <v>318</v>
      </c>
      <c r="K246" s="312" t="s">
        <v>2644</v>
      </c>
      <c r="L246" s="329" t="s">
        <v>2642</v>
      </c>
      <c r="M246" s="329" t="s">
        <v>1713</v>
      </c>
    </row>
    <row r="247" ht="45" customHeight="1">
      <c r="A247" s="327" t="s">
        <v>2645</v>
      </c>
      <c r="B247" s="312" t="s">
        <v>2646</v>
      </c>
      <c r="C247" s="312" t="s">
        <v>2647</v>
      </c>
      <c r="D247" s="312" t="s">
        <v>2648</v>
      </c>
      <c r="E247" s="589" t="s">
        <v>2553</v>
      </c>
      <c r="F247" s="312" t="s">
        <v>2378</v>
      </c>
      <c r="G247" s="312" t="s">
        <v>2649</v>
      </c>
      <c r="H247" s="312" t="s">
        <v>2634</v>
      </c>
      <c r="I247" s="312" t="s">
        <v>1720</v>
      </c>
      <c r="J247" s="312" t="s">
        <v>318</v>
      </c>
      <c r="K247" s="312" t="s">
        <v>2650</v>
      </c>
      <c r="L247" s="329" t="s">
        <v>2647</v>
      </c>
      <c r="M247" s="329" t="s">
        <v>1677</v>
      </c>
    </row>
    <row r="248" ht="45" customHeight="1">
      <c r="A248" s="327" t="s">
        <v>2651</v>
      </c>
      <c r="B248" s="312" t="s">
        <v>2652</v>
      </c>
      <c r="C248" s="312" t="s">
        <v>2653</v>
      </c>
      <c r="D248" s="312" t="s">
        <v>2648</v>
      </c>
      <c r="E248" s="589" t="s">
        <v>2553</v>
      </c>
      <c r="F248" s="312" t="s">
        <v>2378</v>
      </c>
      <c r="G248" s="312" t="s">
        <v>2654</v>
      </c>
      <c r="H248" s="312" t="s">
        <v>2634</v>
      </c>
      <c r="I248" s="312" t="s">
        <v>1720</v>
      </c>
      <c r="J248" s="312" t="s">
        <v>318</v>
      </c>
      <c r="K248" s="312" t="s">
        <v>2629</v>
      </c>
      <c r="L248" s="329" t="s">
        <v>2653</v>
      </c>
      <c r="M248" s="329" t="s">
        <v>1677</v>
      </c>
    </row>
    <row r="249" ht="45" customHeight="1">
      <c r="A249" s="327" t="s">
        <v>2655</v>
      </c>
      <c r="B249" s="312" t="s">
        <v>2656</v>
      </c>
      <c r="C249" s="312" t="s">
        <v>2545</v>
      </c>
      <c r="D249" s="312" t="s">
        <v>2648</v>
      </c>
      <c r="E249" s="589" t="s">
        <v>2553</v>
      </c>
      <c r="F249" s="312" t="s">
        <v>2378</v>
      </c>
      <c r="G249" s="312" t="s">
        <v>2657</v>
      </c>
      <c r="H249" s="312" t="s">
        <v>2634</v>
      </c>
      <c r="I249" s="312" t="s">
        <v>1720</v>
      </c>
      <c r="J249" s="312" t="s">
        <v>318</v>
      </c>
      <c r="K249" s="312" t="s">
        <v>2658</v>
      </c>
      <c r="L249" s="329" t="s">
        <v>2545</v>
      </c>
      <c r="M249" s="329" t="s">
        <v>1713</v>
      </c>
    </row>
    <row r="250" ht="45" customHeight="1">
      <c r="A250" s="327" t="s">
        <v>2659</v>
      </c>
      <c r="B250" s="312" t="s">
        <v>2660</v>
      </c>
      <c r="C250" s="312" t="s">
        <v>2653</v>
      </c>
      <c r="D250" s="312" t="s">
        <v>2648</v>
      </c>
      <c r="E250" s="589" t="s">
        <v>2553</v>
      </c>
      <c r="F250" s="312" t="s">
        <v>2378</v>
      </c>
      <c r="G250" s="312" t="s">
        <v>2661</v>
      </c>
      <c r="H250" s="312" t="s">
        <v>2634</v>
      </c>
      <c r="I250" s="312" t="s">
        <v>1720</v>
      </c>
      <c r="J250" s="312" t="s">
        <v>318</v>
      </c>
      <c r="K250" s="312" t="s">
        <v>2662</v>
      </c>
      <c r="L250" s="329" t="s">
        <v>2653</v>
      </c>
      <c r="M250" s="329" t="s">
        <v>1677</v>
      </c>
    </row>
    <row r="251" ht="45" customHeight="1">
      <c r="A251" s="327" t="s">
        <v>2663</v>
      </c>
      <c r="B251" s="312" t="s">
        <v>2664</v>
      </c>
      <c r="C251" s="312" t="s">
        <v>2537</v>
      </c>
      <c r="D251" s="312" t="s">
        <v>2648</v>
      </c>
      <c r="E251" s="589" t="s">
        <v>2553</v>
      </c>
      <c r="F251" s="312" t="s">
        <v>2378</v>
      </c>
      <c r="G251" s="312" t="s">
        <v>2665</v>
      </c>
      <c r="H251" s="312" t="s">
        <v>2634</v>
      </c>
      <c r="I251" s="312" t="s">
        <v>1720</v>
      </c>
      <c r="J251" s="312" t="s">
        <v>318</v>
      </c>
      <c r="K251" s="312" t="s">
        <v>2666</v>
      </c>
      <c r="L251" s="329" t="s">
        <v>2537</v>
      </c>
      <c r="M251" s="329" t="s">
        <v>1982</v>
      </c>
    </row>
    <row r="252" ht="45" customHeight="1">
      <c r="A252" s="327" t="s">
        <v>2667</v>
      </c>
      <c r="B252" s="312" t="s">
        <v>2668</v>
      </c>
      <c r="C252" s="312" t="s">
        <v>2669</v>
      </c>
      <c r="D252" s="312" t="s">
        <v>2648</v>
      </c>
      <c r="E252" s="589" t="s">
        <v>2553</v>
      </c>
      <c r="F252" s="312" t="s">
        <v>2378</v>
      </c>
      <c r="G252" s="312" t="s">
        <v>2670</v>
      </c>
      <c r="H252" s="312" t="s">
        <v>2634</v>
      </c>
      <c r="I252" s="312" t="s">
        <v>1720</v>
      </c>
      <c r="J252" s="312" t="s">
        <v>318</v>
      </c>
      <c r="K252" s="312" t="s">
        <v>2671</v>
      </c>
      <c r="L252" s="329" t="s">
        <v>2669</v>
      </c>
      <c r="M252" s="329" t="s">
        <v>1982</v>
      </c>
    </row>
    <row r="253" ht="45" customHeight="1">
      <c r="A253" s="327" t="s">
        <v>2672</v>
      </c>
      <c r="B253" s="312" t="s">
        <v>2673</v>
      </c>
      <c r="C253" s="312" t="s">
        <v>2674</v>
      </c>
      <c r="D253" s="312" t="s">
        <v>2648</v>
      </c>
      <c r="E253" s="589" t="s">
        <v>2553</v>
      </c>
      <c r="F253" s="312" t="s">
        <v>2378</v>
      </c>
      <c r="G253" s="312" t="s">
        <v>2675</v>
      </c>
      <c r="H253" s="312" t="s">
        <v>2634</v>
      </c>
      <c r="I253" s="312" t="s">
        <v>1720</v>
      </c>
      <c r="J253" s="312" t="s">
        <v>318</v>
      </c>
      <c r="K253" s="312" t="s">
        <v>2676</v>
      </c>
      <c r="L253" s="329" t="s">
        <v>2674</v>
      </c>
      <c r="M253" s="329" t="s">
        <v>1982</v>
      </c>
    </row>
    <row r="254" ht="45" customHeight="1">
      <c r="A254" s="327" t="s">
        <v>2677</v>
      </c>
      <c r="B254" s="312" t="s">
        <v>2678</v>
      </c>
      <c r="C254" s="312" t="s">
        <v>2679</v>
      </c>
      <c r="D254" s="312" t="s">
        <v>2648</v>
      </c>
      <c r="E254" s="589" t="s">
        <v>2553</v>
      </c>
      <c r="F254" s="312" t="s">
        <v>2378</v>
      </c>
      <c r="G254" s="312" t="s">
        <v>2680</v>
      </c>
      <c r="H254" s="312" t="s">
        <v>2634</v>
      </c>
      <c r="I254" s="312" t="s">
        <v>1720</v>
      </c>
      <c r="J254" s="312" t="s">
        <v>318</v>
      </c>
      <c r="K254" s="312" t="s">
        <v>2681</v>
      </c>
      <c r="L254" s="329" t="s">
        <v>2679</v>
      </c>
      <c r="M254" s="329" t="s">
        <v>1677</v>
      </c>
    </row>
    <row r="255" ht="45" customHeight="1">
      <c r="A255" s="327" t="s">
        <v>2682</v>
      </c>
      <c r="B255" s="312" t="s">
        <v>2683</v>
      </c>
      <c r="C255" s="312" t="s">
        <v>2684</v>
      </c>
      <c r="D255" s="312" t="s">
        <v>2648</v>
      </c>
      <c r="E255" s="589" t="s">
        <v>2553</v>
      </c>
      <c r="F255" s="312" t="s">
        <v>2378</v>
      </c>
      <c r="G255" s="312" t="s">
        <v>2685</v>
      </c>
      <c r="H255" s="312" t="s">
        <v>2634</v>
      </c>
      <c r="I255" s="312" t="s">
        <v>1720</v>
      </c>
      <c r="J255" s="312" t="s">
        <v>318</v>
      </c>
      <c r="K255" s="312" t="s">
        <v>2686</v>
      </c>
      <c r="L255" s="329" t="s">
        <v>2684</v>
      </c>
      <c r="M255" s="329" t="s">
        <v>2090</v>
      </c>
    </row>
    <row r="256" ht="45" customHeight="1">
      <c r="A256" s="327" t="s">
        <v>2687</v>
      </c>
      <c r="B256" s="312" t="s">
        <v>2688</v>
      </c>
      <c r="C256" s="312" t="s">
        <v>2684</v>
      </c>
      <c r="D256" s="312" t="s">
        <v>2648</v>
      </c>
      <c r="E256" s="589" t="s">
        <v>2553</v>
      </c>
      <c r="F256" s="312" t="s">
        <v>2378</v>
      </c>
      <c r="G256" s="312" t="s">
        <v>2689</v>
      </c>
      <c r="H256" s="312" t="s">
        <v>2634</v>
      </c>
      <c r="I256" s="312" t="s">
        <v>1720</v>
      </c>
      <c r="J256" s="312" t="s">
        <v>318</v>
      </c>
      <c r="K256" s="312" t="s">
        <v>2690</v>
      </c>
      <c r="L256" s="329" t="s">
        <v>2684</v>
      </c>
      <c r="M256" s="329" t="s">
        <v>2138</v>
      </c>
    </row>
    <row r="257" ht="45" customHeight="1">
      <c r="A257" s="327" t="s">
        <v>2691</v>
      </c>
      <c r="B257" s="312" t="s">
        <v>2692</v>
      </c>
      <c r="C257" s="312" t="s">
        <v>2684</v>
      </c>
      <c r="D257" s="312" t="s">
        <v>2648</v>
      </c>
      <c r="E257" s="589" t="s">
        <v>2553</v>
      </c>
      <c r="F257" s="312" t="s">
        <v>2378</v>
      </c>
      <c r="G257" s="312" t="s">
        <v>2693</v>
      </c>
      <c r="H257" s="312" t="s">
        <v>2634</v>
      </c>
      <c r="I257" s="312" t="s">
        <v>1720</v>
      </c>
      <c r="J257" s="312" t="s">
        <v>318</v>
      </c>
      <c r="K257" s="312" t="s">
        <v>2694</v>
      </c>
      <c r="L257" s="329" t="s">
        <v>2684</v>
      </c>
      <c r="M257" s="329" t="s">
        <v>1677</v>
      </c>
    </row>
    <row r="258" ht="45" customHeight="1">
      <c r="A258" s="327" t="s">
        <v>2695</v>
      </c>
      <c r="B258" s="312" t="s">
        <v>2696</v>
      </c>
      <c r="C258" s="312" t="s">
        <v>2653</v>
      </c>
      <c r="D258" s="312" t="s">
        <v>2648</v>
      </c>
      <c r="E258" s="589" t="s">
        <v>2553</v>
      </c>
      <c r="F258" s="312" t="s">
        <v>2378</v>
      </c>
      <c r="G258" s="312" t="s">
        <v>2697</v>
      </c>
      <c r="H258" s="312" t="s">
        <v>2634</v>
      </c>
      <c r="I258" s="312" t="s">
        <v>1720</v>
      </c>
      <c r="J258" s="312" t="s">
        <v>318</v>
      </c>
      <c r="K258" s="312" t="s">
        <v>2629</v>
      </c>
      <c r="L258" s="329" t="s">
        <v>2653</v>
      </c>
      <c r="M258" s="329" t="s">
        <v>1677</v>
      </c>
    </row>
    <row r="259" ht="45" customHeight="1">
      <c r="A259" s="327" t="s">
        <v>2698</v>
      </c>
      <c r="B259" s="312" t="s">
        <v>2699</v>
      </c>
      <c r="C259" s="312" t="s">
        <v>2700</v>
      </c>
      <c r="D259" s="312" t="s">
        <v>2648</v>
      </c>
      <c r="E259" s="589">
        <v>0.3</v>
      </c>
      <c r="F259" s="312" t="s">
        <v>2378</v>
      </c>
      <c r="G259" s="312" t="s">
        <v>2701</v>
      </c>
      <c r="H259" s="312" t="s">
        <v>2702</v>
      </c>
      <c r="I259" s="312" t="s">
        <v>1674</v>
      </c>
      <c r="J259" s="312" t="s">
        <v>318</v>
      </c>
      <c r="K259" s="312" t="s">
        <v>2703</v>
      </c>
      <c r="L259" s="329" t="s">
        <v>2700</v>
      </c>
      <c r="M259" s="329" t="s">
        <v>1906</v>
      </c>
    </row>
    <row r="260" ht="45" customHeight="1">
      <c r="A260" s="327" t="s">
        <v>2704</v>
      </c>
      <c r="B260" s="312" t="s">
        <v>2705</v>
      </c>
      <c r="C260" s="312" t="s">
        <v>2700</v>
      </c>
      <c r="D260" s="312" t="s">
        <v>2648</v>
      </c>
      <c r="E260" s="589">
        <v>2.5000000000000001E-2</v>
      </c>
      <c r="F260" s="312" t="s">
        <v>2378</v>
      </c>
      <c r="G260" s="312" t="s">
        <v>2706</v>
      </c>
      <c r="H260" s="312" t="s">
        <v>2702</v>
      </c>
      <c r="I260" s="312" t="s">
        <v>1674</v>
      </c>
      <c r="J260" s="312" t="s">
        <v>318</v>
      </c>
      <c r="K260" s="312" t="s">
        <v>2707</v>
      </c>
      <c r="L260" s="329" t="s">
        <v>2700</v>
      </c>
      <c r="M260" s="329" t="s">
        <v>1906</v>
      </c>
    </row>
    <row r="261" ht="45" customHeight="1">
      <c r="A261" s="327" t="s">
        <v>2708</v>
      </c>
      <c r="B261" s="312" t="s">
        <v>2709</v>
      </c>
      <c r="C261" s="312" t="s">
        <v>2710</v>
      </c>
      <c r="D261" s="312" t="s">
        <v>2648</v>
      </c>
      <c r="E261" s="589">
        <v>0.1</v>
      </c>
      <c r="F261" s="312" t="s">
        <v>2378</v>
      </c>
      <c r="G261" s="312" t="s">
        <v>2711</v>
      </c>
      <c r="H261" s="312" t="s">
        <v>2702</v>
      </c>
      <c r="I261" s="312" t="s">
        <v>1674</v>
      </c>
      <c r="J261" s="312" t="s">
        <v>318</v>
      </c>
      <c r="K261" s="312" t="s">
        <v>2712</v>
      </c>
      <c r="L261" s="329" t="s">
        <v>2710</v>
      </c>
      <c r="M261" s="329" t="s">
        <v>1906</v>
      </c>
    </row>
    <row r="262" ht="45" customHeight="1">
      <c r="A262" s="327" t="s">
        <v>2713</v>
      </c>
      <c r="B262" s="312" t="s">
        <v>2714</v>
      </c>
      <c r="C262" s="312" t="s">
        <v>2700</v>
      </c>
      <c r="D262" s="312" t="s">
        <v>2648</v>
      </c>
      <c r="E262" s="589">
        <v>0.8</v>
      </c>
      <c r="F262" s="312" t="s">
        <v>2378</v>
      </c>
      <c r="G262" s="312" t="s">
        <v>2715</v>
      </c>
      <c r="H262" s="312" t="s">
        <v>2702</v>
      </c>
      <c r="I262" s="312" t="s">
        <v>1674</v>
      </c>
      <c r="J262" s="312" t="s">
        <v>318</v>
      </c>
      <c r="K262" s="312" t="s">
        <v>2716</v>
      </c>
      <c r="L262" s="329" t="s">
        <v>2700</v>
      </c>
      <c r="M262" s="329" t="s">
        <v>1906</v>
      </c>
    </row>
    <row r="263" ht="45" customHeight="1">
      <c r="A263" s="327" t="s">
        <v>2717</v>
      </c>
      <c r="B263" s="312" t="s">
        <v>2718</v>
      </c>
      <c r="C263" s="312" t="s">
        <v>2719</v>
      </c>
      <c r="D263" s="312" t="s">
        <v>2648</v>
      </c>
      <c r="E263" s="589">
        <v>2</v>
      </c>
      <c r="F263" s="312" t="s">
        <v>2378</v>
      </c>
      <c r="G263" s="312" t="s">
        <v>2720</v>
      </c>
      <c r="H263" s="312" t="s">
        <v>2702</v>
      </c>
      <c r="I263" s="312" t="s">
        <v>1674</v>
      </c>
      <c r="J263" s="312" t="s">
        <v>318</v>
      </c>
      <c r="K263" s="312" t="s">
        <v>2721</v>
      </c>
      <c r="L263" s="329" t="s">
        <v>2719</v>
      </c>
      <c r="M263" s="329" t="s">
        <v>1906</v>
      </c>
    </row>
    <row r="264" ht="45" customHeight="1">
      <c r="A264" s="327" t="s">
        <v>2722</v>
      </c>
      <c r="B264" s="312" t="s">
        <v>1649</v>
      </c>
      <c r="C264" s="312" t="s">
        <v>2723</v>
      </c>
      <c r="D264" s="312" t="s">
        <v>2648</v>
      </c>
      <c r="E264" s="589">
        <v>0.02</v>
      </c>
      <c r="F264" s="312" t="s">
        <v>2378</v>
      </c>
      <c r="G264" s="312" t="s">
        <v>2724</v>
      </c>
      <c r="H264" s="312" t="s">
        <v>2702</v>
      </c>
      <c r="I264" s="312" t="s">
        <v>1674</v>
      </c>
      <c r="J264" s="312" t="s">
        <v>318</v>
      </c>
      <c r="K264" s="312" t="s">
        <v>2725</v>
      </c>
      <c r="L264" s="329" t="s">
        <v>2723</v>
      </c>
      <c r="M264" s="329" t="s">
        <v>1906</v>
      </c>
    </row>
    <row r="265" ht="45" customHeight="1">
      <c r="A265" s="327" t="s">
        <v>2726</v>
      </c>
      <c r="B265" s="312" t="s">
        <v>1112</v>
      </c>
      <c r="C265" s="312" t="s">
        <v>2727</v>
      </c>
      <c r="D265" s="312" t="s">
        <v>2648</v>
      </c>
      <c r="E265" s="589">
        <v>10</v>
      </c>
      <c r="F265" s="312" t="s">
        <v>2378</v>
      </c>
      <c r="G265" s="312" t="s">
        <v>2728</v>
      </c>
      <c r="H265" s="312" t="s">
        <v>2702</v>
      </c>
      <c r="I265" s="312" t="s">
        <v>1674</v>
      </c>
      <c r="J265" s="312" t="s">
        <v>318</v>
      </c>
      <c r="K265" s="312" t="s">
        <v>2729</v>
      </c>
      <c r="L265" s="329" t="s">
        <v>2727</v>
      </c>
      <c r="M265" s="329" t="s">
        <v>1677</v>
      </c>
    </row>
    <row r="266" ht="45" customHeight="1">
      <c r="A266" s="327" t="s">
        <v>2730</v>
      </c>
      <c r="B266" s="312" t="s">
        <v>1115</v>
      </c>
      <c r="C266" s="312" t="s">
        <v>2727</v>
      </c>
      <c r="D266" s="312" t="s">
        <v>2648</v>
      </c>
      <c r="E266" s="589">
        <v>2.5000000000000001E-2</v>
      </c>
      <c r="F266" s="312" t="s">
        <v>2378</v>
      </c>
      <c r="G266" s="312" t="s">
        <v>2731</v>
      </c>
      <c r="H266" s="312" t="s">
        <v>2702</v>
      </c>
      <c r="I266" s="312" t="s">
        <v>1674</v>
      </c>
      <c r="J266" s="312" t="s">
        <v>318</v>
      </c>
      <c r="K266" s="312" t="s">
        <v>2732</v>
      </c>
      <c r="L266" s="329" t="s">
        <v>2727</v>
      </c>
      <c r="M266" s="329" t="s">
        <v>1677</v>
      </c>
    </row>
    <row r="267" ht="45" customHeight="1">
      <c r="A267" s="327" t="s">
        <v>2733</v>
      </c>
      <c r="B267" s="312" t="s">
        <v>814</v>
      </c>
      <c r="C267" s="312" t="s">
        <v>2734</v>
      </c>
      <c r="D267" s="312" t="s">
        <v>2648</v>
      </c>
      <c r="E267" s="589" t="s">
        <v>2553</v>
      </c>
      <c r="F267" s="312" t="s">
        <v>2378</v>
      </c>
      <c r="G267" s="312" t="s">
        <v>2735</v>
      </c>
      <c r="H267" s="312" t="s">
        <v>2634</v>
      </c>
      <c r="I267" s="312" t="s">
        <v>1720</v>
      </c>
      <c r="J267" s="312" t="s">
        <v>318</v>
      </c>
      <c r="K267" s="312" t="s">
        <v>2736</v>
      </c>
      <c r="L267" s="329" t="s">
        <v>2734</v>
      </c>
      <c r="M267" s="329" t="s">
        <v>2090</v>
      </c>
    </row>
    <row r="268" ht="45" customHeight="1">
      <c r="A268" s="327" t="s">
        <v>2737</v>
      </c>
      <c r="B268" s="312" t="s">
        <v>738</v>
      </c>
      <c r="C268" s="312" t="s">
        <v>2734</v>
      </c>
      <c r="D268" s="312" t="s">
        <v>2648</v>
      </c>
      <c r="E268" s="589" t="s">
        <v>2553</v>
      </c>
      <c r="F268" s="312" t="s">
        <v>2378</v>
      </c>
      <c r="G268" s="312" t="s">
        <v>2738</v>
      </c>
      <c r="H268" s="312" t="s">
        <v>2634</v>
      </c>
      <c r="I268" s="312" t="s">
        <v>1720</v>
      </c>
      <c r="J268" s="312" t="s">
        <v>318</v>
      </c>
      <c r="K268" s="312" t="s">
        <v>2739</v>
      </c>
      <c r="L268" s="329" t="s">
        <v>2734</v>
      </c>
      <c r="M268" s="329" t="s">
        <v>2090</v>
      </c>
    </row>
    <row r="269" ht="45" customHeight="1">
      <c r="A269" s="327" t="s">
        <v>2740</v>
      </c>
      <c r="B269" s="312" t="s">
        <v>1117</v>
      </c>
      <c r="C269" s="312" t="s">
        <v>2741</v>
      </c>
      <c r="D269" s="312" t="s">
        <v>2648</v>
      </c>
      <c r="E269" s="589" t="s">
        <v>2553</v>
      </c>
      <c r="F269" s="312" t="s">
        <v>2378</v>
      </c>
      <c r="G269" s="312" t="s">
        <v>2742</v>
      </c>
      <c r="H269" s="312" t="s">
        <v>2634</v>
      </c>
      <c r="I269" s="312" t="s">
        <v>1720</v>
      </c>
      <c r="J269" s="312" t="s">
        <v>318</v>
      </c>
      <c r="K269" s="312" t="s">
        <v>2743</v>
      </c>
      <c r="L269" s="329" t="s">
        <v>2741</v>
      </c>
      <c r="M269" s="329" t="s">
        <v>1677</v>
      </c>
    </row>
    <row r="270" ht="45" customHeight="1">
      <c r="A270" s="327" t="s">
        <v>2744</v>
      </c>
      <c r="B270" s="312" t="s">
        <v>2745</v>
      </c>
      <c r="C270" s="312" t="s">
        <v>2746</v>
      </c>
      <c r="D270" s="312" t="s">
        <v>2648</v>
      </c>
      <c r="E270" s="589" t="s">
        <v>2747</v>
      </c>
      <c r="F270" s="312" t="s">
        <v>2378</v>
      </c>
      <c r="G270" s="312" t="s">
        <v>2748</v>
      </c>
      <c r="H270" s="312" t="s">
        <v>2702</v>
      </c>
      <c r="I270" s="312" t="s">
        <v>1674</v>
      </c>
      <c r="J270" s="312" t="s">
        <v>318</v>
      </c>
      <c r="K270" s="312" t="s">
        <v>2749</v>
      </c>
      <c r="L270" s="329" t="s">
        <v>2746</v>
      </c>
      <c r="M270" s="329" t="s">
        <v>1982</v>
      </c>
    </row>
    <row r="271" ht="29">
      <c r="A271" t="s">
        <v>2750</v>
      </c>
      <c r="B271" t="s">
        <v>2751</v>
      </c>
      <c r="C271" t="s">
        <v>1747</v>
      </c>
      <c r="D271" t="s">
        <v>1867</v>
      </c>
      <c r="E271">
        <v>342.42300648148148</v>
      </c>
      <c r="F271" t="s">
        <v>2752</v>
      </c>
      <c r="G271" t="s">
        <v>2753</v>
      </c>
      <c r="H271" t="s">
        <v>1673</v>
      </c>
      <c r="I271" t="s">
        <v>1674</v>
      </c>
      <c r="J271" t="s">
        <v>318</v>
      </c>
      <c r="K271" t="s">
        <v>2754</v>
      </c>
      <c r="L271" s="329" t="s">
        <v>1676</v>
      </c>
      <c r="M271" s="329" t="s">
        <v>1677</v>
      </c>
    </row>
    <row r="272" ht="29">
      <c r="A272" t="s">
        <v>2755</v>
      </c>
      <c r="B272" t="s">
        <v>2756</v>
      </c>
      <c r="C272" t="s">
        <v>1747</v>
      </c>
      <c r="D272" t="s">
        <v>2757</v>
      </c>
      <c r="E272">
        <v>448.85663516148145</v>
      </c>
      <c r="F272" t="s">
        <v>2752</v>
      </c>
      <c r="G272" t="s">
        <v>2758</v>
      </c>
      <c r="H272" t="s">
        <v>1673</v>
      </c>
      <c r="I272" t="s">
        <v>1674</v>
      </c>
      <c r="J272" t="s">
        <v>318</v>
      </c>
      <c r="K272" t="s">
        <v>2759</v>
      </c>
      <c r="L272" s="329" t="s">
        <v>1676</v>
      </c>
      <c r="M272" s="329" t="s">
        <v>1677</v>
      </c>
    </row>
    <row r="273" ht="29">
      <c r="A273" t="s">
        <v>2760</v>
      </c>
      <c r="B273" t="s">
        <v>2761</v>
      </c>
      <c r="C273" t="s">
        <v>1747</v>
      </c>
      <c r="D273" t="s">
        <v>1763</v>
      </c>
      <c r="E273">
        <v>418.75855128460006</v>
      </c>
      <c r="F273" t="s">
        <v>2762</v>
      </c>
      <c r="G273" t="s">
        <v>2763</v>
      </c>
      <c r="H273" t="s">
        <v>1673</v>
      </c>
      <c r="I273" t="s">
        <v>1674</v>
      </c>
      <c r="J273" t="s">
        <v>318</v>
      </c>
      <c r="K273" t="s">
        <v>2764</v>
      </c>
      <c r="L273" s="329" t="s">
        <v>1676</v>
      </c>
      <c r="M273" s="329" t="s">
        <v>1677</v>
      </c>
    </row>
    <row r="274" ht="29">
      <c r="A274" t="s">
        <v>2765</v>
      </c>
      <c r="B274" t="s">
        <v>2766</v>
      </c>
      <c r="C274" t="s">
        <v>1747</v>
      </c>
      <c r="D274" t="s">
        <v>1771</v>
      </c>
      <c r="E274">
        <v>209.37927564230003</v>
      </c>
      <c r="F274" t="s">
        <v>1918</v>
      </c>
      <c r="G274" t="s">
        <v>2115</v>
      </c>
      <c r="H274" t="s">
        <v>1673</v>
      </c>
      <c r="I274" t="s">
        <v>1674</v>
      </c>
      <c r="J274" t="s">
        <v>318</v>
      </c>
      <c r="K274" t="s">
        <v>2767</v>
      </c>
      <c r="L274" s="329" t="s">
        <v>1676</v>
      </c>
      <c r="M274" s="329" t="s">
        <v>1677</v>
      </c>
    </row>
    <row r="275" ht="29">
      <c r="A275" t="s">
        <v>2768</v>
      </c>
      <c r="B275" t="s">
        <v>2769</v>
      </c>
      <c r="C275" t="s">
        <v>1747</v>
      </c>
      <c r="D275" t="s">
        <v>1778</v>
      </c>
      <c r="E275">
        <v>209.37927564230003</v>
      </c>
      <c r="F275" t="s">
        <v>2770</v>
      </c>
      <c r="G275" t="s">
        <v>2771</v>
      </c>
      <c r="H275" t="s">
        <v>1673</v>
      </c>
      <c r="I275" t="s">
        <v>1674</v>
      </c>
      <c r="J275" t="s">
        <v>318</v>
      </c>
      <c r="K275" t="s">
        <v>2772</v>
      </c>
      <c r="L275" s="329" t="s">
        <v>1676</v>
      </c>
      <c r="M275" s="329" t="s">
        <v>2138</v>
      </c>
    </row>
    <row r="276">
      <c r="A276" t="s">
        <v>2773</v>
      </c>
      <c r="B276" t="s">
        <v>2774</v>
      </c>
      <c r="C276" t="s">
        <v>2775</v>
      </c>
      <c r="D276" s="9">
        <v>46229</v>
      </c>
      <c r="E276">
        <v>150</v>
      </c>
      <c r="F276" t="s">
        <v>2776</v>
      </c>
      <c r="G276" t="s">
        <v>2777</v>
      </c>
      <c r="H276" t="s">
        <v>1673</v>
      </c>
      <c r="I276" t="s">
        <v>1674</v>
      </c>
      <c r="J276" t="s">
        <v>318</v>
      </c>
      <c r="K276" t="s">
        <v>2778</v>
      </c>
      <c r="L276" s="329" t="s">
        <v>2775</v>
      </c>
      <c r="M276" s="329" t="s">
        <v>1677</v>
      </c>
    </row>
    <row r="277" ht="29">
      <c r="A277" t="s">
        <v>2779</v>
      </c>
      <c r="B277" t="s">
        <v>2780</v>
      </c>
      <c r="C277" t="s">
        <v>1747</v>
      </c>
      <c r="D277" t="s">
        <v>2193</v>
      </c>
      <c r="E277">
        <v>125.54827564230004</v>
      </c>
      <c r="F277" t="s">
        <v>2770</v>
      </c>
      <c r="G277" t="s">
        <v>2781</v>
      </c>
      <c r="H277" t="s">
        <v>2782</v>
      </c>
      <c r="I277" t="s">
        <v>1720</v>
      </c>
      <c r="J277" t="s">
        <v>318</v>
      </c>
      <c r="K277" t="s">
        <v>2783</v>
      </c>
      <c r="L277" s="329" t="s">
        <v>1676</v>
      </c>
      <c r="M277" s="329" t="s">
        <v>2138</v>
      </c>
    </row>
    <row r="278" ht="29">
      <c r="A278" t="s">
        <v>2784</v>
      </c>
      <c r="B278" t="s">
        <v>2785</v>
      </c>
      <c r="C278" t="s">
        <v>1747</v>
      </c>
      <c r="D278" t="s">
        <v>2786</v>
      </c>
      <c r="E278">
        <v>10</v>
      </c>
      <c r="F278" t="s">
        <v>2787</v>
      </c>
      <c r="G278" t="s">
        <v>2788</v>
      </c>
      <c r="H278" t="s">
        <v>1673</v>
      </c>
      <c r="I278" t="s">
        <v>2789</v>
      </c>
      <c r="J278" t="s">
        <v>1711</v>
      </c>
      <c r="K278" t="s">
        <v>2790</v>
      </c>
      <c r="L278" s="329" t="s">
        <v>1676</v>
      </c>
      <c r="M278" s="329" t="s">
        <v>1677</v>
      </c>
    </row>
    <row r="279" ht="29">
      <c r="A279" t="s">
        <v>2791</v>
      </c>
      <c r="B279" t="s">
        <v>2792</v>
      </c>
      <c r="C279" t="s">
        <v>2793</v>
      </c>
      <c r="D279" t="s">
        <v>2794</v>
      </c>
      <c r="E279">
        <v>12</v>
      </c>
      <c r="F279" t="s">
        <v>2795</v>
      </c>
      <c r="G279" t="s">
        <v>2796</v>
      </c>
      <c r="H279" t="s">
        <v>1673</v>
      </c>
      <c r="I279" t="s">
        <v>1674</v>
      </c>
      <c r="J279" t="s">
        <v>318</v>
      </c>
      <c r="K279" t="s">
        <v>2797</v>
      </c>
      <c r="L279" s="329" t="s">
        <v>2793</v>
      </c>
      <c r="M279" s="329" t="s">
        <v>1677</v>
      </c>
    </row>
    <row r="280" ht="29">
      <c r="A280" t="s">
        <v>2798</v>
      </c>
      <c r="B280" t="s">
        <v>2799</v>
      </c>
      <c r="C280" t="s">
        <v>2800</v>
      </c>
      <c r="D280" t="s">
        <v>2801</v>
      </c>
      <c r="E280">
        <v>21.07</v>
      </c>
      <c r="F280" t="s">
        <v>2752</v>
      </c>
      <c r="G280" t="s">
        <v>2802</v>
      </c>
      <c r="H280" t="s">
        <v>1673</v>
      </c>
      <c r="I280" t="s">
        <v>1674</v>
      </c>
      <c r="J280" t="s">
        <v>318</v>
      </c>
      <c r="K280" t="s">
        <v>2803</v>
      </c>
      <c r="L280" s="329" t="s">
        <v>1676</v>
      </c>
      <c r="M280" s="329" t="s">
        <v>1677</v>
      </c>
    </row>
    <row r="281" ht="29">
      <c r="A281" t="s">
        <v>2804</v>
      </c>
      <c r="B281" t="s">
        <v>2805</v>
      </c>
      <c r="C281" t="s">
        <v>2806</v>
      </c>
      <c r="D281" t="s">
        <v>2807</v>
      </c>
      <c r="E281">
        <v>48.83020036828583</v>
      </c>
      <c r="F281" t="s">
        <v>2808</v>
      </c>
      <c r="G281" t="s">
        <v>2809</v>
      </c>
      <c r="H281" t="s">
        <v>1673</v>
      </c>
      <c r="I281" t="s">
        <v>1674</v>
      </c>
      <c r="J281" t="s">
        <v>318</v>
      </c>
      <c r="K281" t="s">
        <v>2810</v>
      </c>
      <c r="L281" s="329" t="s">
        <v>1676</v>
      </c>
      <c r="M281" s="329" t="s">
        <v>1677</v>
      </c>
    </row>
    <row r="282" ht="29">
      <c r="A282" t="s">
        <v>2811</v>
      </c>
      <c r="B282" t="s">
        <v>2812</v>
      </c>
      <c r="C282" t="s">
        <v>2806</v>
      </c>
      <c r="D282" t="s">
        <v>2813</v>
      </c>
      <c r="E282">
        <v>45.541921747395826</v>
      </c>
      <c r="F282" t="s">
        <v>2808</v>
      </c>
      <c r="G282" t="s">
        <v>2814</v>
      </c>
      <c r="H282" t="s">
        <v>1673</v>
      </c>
      <c r="I282" t="s">
        <v>1674</v>
      </c>
      <c r="J282" t="s">
        <v>318</v>
      </c>
      <c r="K282" t="s">
        <v>2810</v>
      </c>
      <c r="L282" s="329" t="s">
        <v>1676</v>
      </c>
      <c r="M282" s="329" t="s">
        <v>1677</v>
      </c>
    </row>
    <row r="283" ht="29">
      <c r="A283" t="s">
        <v>2815</v>
      </c>
      <c r="B283" t="s">
        <v>2816</v>
      </c>
      <c r="C283" t="s">
        <v>1747</v>
      </c>
      <c r="D283" t="s">
        <v>2817</v>
      </c>
      <c r="E283">
        <v>9500</v>
      </c>
      <c r="F283" t="s">
        <v>2378</v>
      </c>
      <c r="G283" t="s">
        <v>2818</v>
      </c>
      <c r="H283" t="s">
        <v>2819</v>
      </c>
      <c r="I283" t="s">
        <v>1674</v>
      </c>
      <c r="J283" t="s">
        <v>318</v>
      </c>
      <c r="K283" t="s">
        <v>2820</v>
      </c>
      <c r="L283" s="329" t="s">
        <v>1676</v>
      </c>
      <c r="M283" s="329" t="s">
        <v>1677</v>
      </c>
    </row>
    <row r="284" ht="29">
      <c r="A284" t="s">
        <v>2821</v>
      </c>
      <c r="B284" t="s">
        <v>2822</v>
      </c>
      <c r="C284" t="s">
        <v>1747</v>
      </c>
      <c r="D284" t="s">
        <v>2823</v>
      </c>
      <c r="E284">
        <v>10500</v>
      </c>
      <c r="F284" t="s">
        <v>2378</v>
      </c>
      <c r="G284" t="s">
        <v>2824</v>
      </c>
      <c r="H284" t="s">
        <v>2819</v>
      </c>
      <c r="I284" t="s">
        <v>1674</v>
      </c>
      <c r="J284" t="s">
        <v>318</v>
      </c>
      <c r="K284" t="s">
        <v>2825</v>
      </c>
      <c r="L284" s="329" t="s">
        <v>1676</v>
      </c>
      <c r="M284" s="329" t="s">
        <v>1677</v>
      </c>
    </row>
    <row r="285" ht="29">
      <c r="A285" t="s">
        <v>2826</v>
      </c>
      <c r="B285" t="s">
        <v>2827</v>
      </c>
      <c r="C285" t="s">
        <v>1747</v>
      </c>
      <c r="D285" t="s">
        <v>2828</v>
      </c>
      <c r="E285">
        <v>90.781481481481478</v>
      </c>
      <c r="F285" t="s">
        <v>2378</v>
      </c>
      <c r="G285" t="s">
        <v>2829</v>
      </c>
      <c r="H285" t="s">
        <v>2819</v>
      </c>
      <c r="I285" t="s">
        <v>1674</v>
      </c>
      <c r="J285" t="s">
        <v>318</v>
      </c>
      <c r="K285" t="s">
        <v>2830</v>
      </c>
      <c r="L285" s="329" t="s">
        <v>1676</v>
      </c>
      <c r="M285" s="329" t="s">
        <v>1677</v>
      </c>
    </row>
    <row r="286" ht="29">
      <c r="A286" t="s">
        <v>2831</v>
      </c>
      <c r="B286" t="s">
        <v>2832</v>
      </c>
      <c r="C286" t="s">
        <v>1747</v>
      </c>
      <c r="D286" t="s">
        <v>2833</v>
      </c>
      <c r="E286">
        <v>0</v>
      </c>
      <c r="F286" t="s">
        <v>2378</v>
      </c>
      <c r="G286" t="s">
        <v>2834</v>
      </c>
      <c r="H286" t="s">
        <v>2819</v>
      </c>
      <c r="I286" t="s">
        <v>1674</v>
      </c>
      <c r="J286" t="s">
        <v>318</v>
      </c>
      <c r="K286" t="s">
        <v>2830</v>
      </c>
      <c r="L286" s="329" t="s">
        <v>1676</v>
      </c>
      <c r="M286" s="329" t="s">
        <v>1677</v>
      </c>
    </row>
    <row r="287" ht="29">
      <c r="A287" t="s">
        <v>2835</v>
      </c>
      <c r="B287" t="s">
        <v>2816</v>
      </c>
      <c r="C287" t="s">
        <v>1747</v>
      </c>
      <c r="D287" t="s">
        <v>1672</v>
      </c>
      <c r="E287">
        <v>1400</v>
      </c>
      <c r="F287" t="s">
        <v>2378</v>
      </c>
      <c r="G287" t="s">
        <v>2836</v>
      </c>
      <c r="H287" t="s">
        <v>2819</v>
      </c>
      <c r="I287" t="s">
        <v>1674</v>
      </c>
      <c r="J287" t="s">
        <v>318</v>
      </c>
      <c r="K287" t="s">
        <v>2837</v>
      </c>
      <c r="L287" s="329" t="s">
        <v>1676</v>
      </c>
      <c r="M287" s="329" t="s">
        <v>1677</v>
      </c>
    </row>
    <row r="288" ht="29">
      <c r="A288" t="s">
        <v>2838</v>
      </c>
      <c r="B288" t="s">
        <v>2822</v>
      </c>
      <c r="C288" t="s">
        <v>1747</v>
      </c>
      <c r="D288" t="s">
        <v>2839</v>
      </c>
      <c r="E288">
        <v>0</v>
      </c>
      <c r="F288" t="s">
        <v>2378</v>
      </c>
      <c r="G288" t="s">
        <v>2840</v>
      </c>
      <c r="H288" t="s">
        <v>2819</v>
      </c>
      <c r="I288" t="s">
        <v>1674</v>
      </c>
      <c r="J288" t="s">
        <v>318</v>
      </c>
      <c r="K288" t="s">
        <v>2841</v>
      </c>
      <c r="L288" s="329" t="s">
        <v>1676</v>
      </c>
      <c r="M288" s="329" t="s">
        <v>1677</v>
      </c>
    </row>
    <row r="289" ht="29">
      <c r="A289" t="s">
        <v>2842</v>
      </c>
      <c r="B289" t="s">
        <v>2827</v>
      </c>
      <c r="C289" t="s">
        <v>1747</v>
      </c>
      <c r="D289" t="s">
        <v>2843</v>
      </c>
      <c r="E289">
        <v>87.57</v>
      </c>
      <c r="F289" t="s">
        <v>2378</v>
      </c>
      <c r="G289" t="s">
        <v>2844</v>
      </c>
      <c r="H289" t="s">
        <v>2819</v>
      </c>
      <c r="I289" t="s">
        <v>1674</v>
      </c>
      <c r="J289" t="s">
        <v>318</v>
      </c>
      <c r="K289" t="s">
        <v>2830</v>
      </c>
      <c r="L289" s="329" t="s">
        <v>1676</v>
      </c>
      <c r="M289" s="329" t="s">
        <v>1677</v>
      </c>
    </row>
    <row r="290" ht="29">
      <c r="A290" t="s">
        <v>2845</v>
      </c>
      <c r="B290" t="s">
        <v>2832</v>
      </c>
      <c r="C290" t="s">
        <v>1747</v>
      </c>
      <c r="D290" t="s">
        <v>2846</v>
      </c>
      <c r="E290">
        <v>26.63</v>
      </c>
      <c r="F290" t="s">
        <v>2378</v>
      </c>
      <c r="G290" t="s">
        <v>2847</v>
      </c>
      <c r="H290" t="s">
        <v>2819</v>
      </c>
      <c r="I290" t="s">
        <v>1674</v>
      </c>
      <c r="J290" t="s">
        <v>318</v>
      </c>
      <c r="K290" t="s">
        <v>2830</v>
      </c>
      <c r="L290" s="329" t="s">
        <v>1676</v>
      </c>
      <c r="M290" s="329" t="s">
        <v>1677</v>
      </c>
    </row>
    <row r="291" ht="29">
      <c r="A291" t="s">
        <v>2848</v>
      </c>
      <c r="B291" t="s">
        <v>2816</v>
      </c>
      <c r="C291" t="s">
        <v>1747</v>
      </c>
      <c r="D291" t="s">
        <v>1681</v>
      </c>
      <c r="E291">
        <v>9000</v>
      </c>
      <c r="F291" t="s">
        <v>2378</v>
      </c>
      <c r="G291" t="s">
        <v>2849</v>
      </c>
      <c r="H291" t="s">
        <v>2819</v>
      </c>
      <c r="I291" t="s">
        <v>1674</v>
      </c>
      <c r="J291" t="s">
        <v>318</v>
      </c>
      <c r="K291" t="s">
        <v>2850</v>
      </c>
      <c r="L291" s="329" t="s">
        <v>1676</v>
      </c>
      <c r="M291" s="329" t="s">
        <v>1677</v>
      </c>
    </row>
    <row r="292" ht="29">
      <c r="A292" t="s">
        <v>2851</v>
      </c>
      <c r="B292" t="s">
        <v>2822</v>
      </c>
      <c r="C292" t="s">
        <v>1747</v>
      </c>
      <c r="D292" t="s">
        <v>2852</v>
      </c>
      <c r="E292">
        <v>9000</v>
      </c>
      <c r="F292" t="s">
        <v>2378</v>
      </c>
      <c r="G292" t="s">
        <v>2853</v>
      </c>
      <c r="H292" t="s">
        <v>2819</v>
      </c>
      <c r="I292" t="s">
        <v>1674</v>
      </c>
      <c r="J292" t="s">
        <v>318</v>
      </c>
      <c r="K292" t="s">
        <v>2854</v>
      </c>
      <c r="L292" s="329" t="s">
        <v>1676</v>
      </c>
      <c r="M292" s="329" t="s">
        <v>1677</v>
      </c>
    </row>
    <row r="293" ht="29">
      <c r="A293" t="s">
        <v>2855</v>
      </c>
      <c r="B293" t="s">
        <v>2827</v>
      </c>
      <c r="C293" t="s">
        <v>1747</v>
      </c>
      <c r="D293" t="s">
        <v>2856</v>
      </c>
      <c r="E293">
        <v>12.84499125</v>
      </c>
      <c r="F293" t="s">
        <v>2378</v>
      </c>
      <c r="G293" t="s">
        <v>2857</v>
      </c>
      <c r="H293" t="s">
        <v>2819</v>
      </c>
      <c r="I293" t="s">
        <v>1674</v>
      </c>
      <c r="J293" t="s">
        <v>318</v>
      </c>
      <c r="K293" t="s">
        <v>2830</v>
      </c>
      <c r="L293" s="329" t="s">
        <v>1676</v>
      </c>
      <c r="M293" s="329" t="s">
        <v>1677</v>
      </c>
    </row>
    <row r="294" ht="29">
      <c r="A294" t="s">
        <v>2858</v>
      </c>
      <c r="B294" t="s">
        <v>2832</v>
      </c>
      <c r="C294" t="s">
        <v>1747</v>
      </c>
      <c r="D294" t="s">
        <v>1694</v>
      </c>
      <c r="E294">
        <v>6.9165337500000001</v>
      </c>
      <c r="F294" t="s">
        <v>2378</v>
      </c>
      <c r="G294" t="s">
        <v>2859</v>
      </c>
      <c r="H294" t="s">
        <v>2819</v>
      </c>
      <c r="I294" t="s">
        <v>1674</v>
      </c>
      <c r="J294" t="s">
        <v>318</v>
      </c>
      <c r="K294" t="s">
        <v>2830</v>
      </c>
      <c r="L294" s="329" t="s">
        <v>1676</v>
      </c>
      <c r="M294" s="329" t="s">
        <v>1677</v>
      </c>
    </row>
    <row r="295" ht="29">
      <c r="A295" t="s">
        <v>2860</v>
      </c>
      <c r="B295" t="s">
        <v>2816</v>
      </c>
      <c r="C295" t="s">
        <v>1747</v>
      </c>
      <c r="D295" t="s">
        <v>2861</v>
      </c>
      <c r="E295">
        <v>3800</v>
      </c>
      <c r="F295" t="s">
        <v>2378</v>
      </c>
      <c r="G295" t="s">
        <v>2862</v>
      </c>
      <c r="H295" t="s">
        <v>2819</v>
      </c>
      <c r="I295" t="s">
        <v>1674</v>
      </c>
      <c r="J295" t="s">
        <v>318</v>
      </c>
      <c r="K295" t="s">
        <v>2863</v>
      </c>
      <c r="L295" s="329" t="s">
        <v>1676</v>
      </c>
      <c r="M295" s="329" t="s">
        <v>1677</v>
      </c>
    </row>
    <row r="296" ht="29">
      <c r="A296" t="s">
        <v>2864</v>
      </c>
      <c r="B296" t="s">
        <v>2822</v>
      </c>
      <c r="C296" t="s">
        <v>1747</v>
      </c>
      <c r="D296" t="s">
        <v>2865</v>
      </c>
      <c r="E296">
        <v>300</v>
      </c>
      <c r="F296" t="s">
        <v>2378</v>
      </c>
      <c r="G296" t="s">
        <v>2866</v>
      </c>
      <c r="H296" t="s">
        <v>2819</v>
      </c>
      <c r="I296" t="s">
        <v>1674</v>
      </c>
      <c r="J296" t="s">
        <v>318</v>
      </c>
      <c r="K296" t="s">
        <v>2854</v>
      </c>
      <c r="L296" s="329" t="s">
        <v>1676</v>
      </c>
      <c r="M296" s="329" t="s">
        <v>1677</v>
      </c>
    </row>
    <row r="297" ht="29">
      <c r="A297" t="s">
        <v>2867</v>
      </c>
      <c r="B297" t="s">
        <v>2827</v>
      </c>
      <c r="C297" t="s">
        <v>1747</v>
      </c>
      <c r="D297" t="s">
        <v>2868</v>
      </c>
      <c r="E297">
        <v>13</v>
      </c>
      <c r="F297" t="s">
        <v>2378</v>
      </c>
      <c r="G297" t="s">
        <v>2869</v>
      </c>
      <c r="H297" t="s">
        <v>2819</v>
      </c>
      <c r="I297" t="s">
        <v>1674</v>
      </c>
      <c r="J297" t="s">
        <v>318</v>
      </c>
      <c r="K297" t="s">
        <v>2830</v>
      </c>
      <c r="L297" s="329" t="s">
        <v>1676</v>
      </c>
      <c r="M297" s="329" t="s">
        <v>1677</v>
      </c>
    </row>
    <row r="298" ht="29">
      <c r="A298" t="s">
        <v>2870</v>
      </c>
      <c r="B298" t="s">
        <v>2832</v>
      </c>
      <c r="C298" t="s">
        <v>1747</v>
      </c>
      <c r="D298" t="s">
        <v>2871</v>
      </c>
      <c r="E298">
        <v>0</v>
      </c>
      <c r="F298" t="s">
        <v>2378</v>
      </c>
      <c r="G298" t="s">
        <v>2163</v>
      </c>
      <c r="H298" t="s">
        <v>2819</v>
      </c>
      <c r="I298" t="s">
        <v>1674</v>
      </c>
      <c r="J298" t="s">
        <v>318</v>
      </c>
      <c r="K298" t="s">
        <v>2830</v>
      </c>
      <c r="L298" s="329" t="s">
        <v>1676</v>
      </c>
      <c r="M298" s="329" t="s">
        <v>1677</v>
      </c>
    </row>
    <row r="299" ht="29">
      <c r="A299" t="s">
        <v>2872</v>
      </c>
      <c r="B299" t="s">
        <v>2816</v>
      </c>
      <c r="C299" t="s">
        <v>1747</v>
      </c>
      <c r="D299" t="s">
        <v>2873</v>
      </c>
      <c r="E299">
        <v>4000</v>
      </c>
      <c r="F299" t="s">
        <v>2378</v>
      </c>
      <c r="G299" t="s">
        <v>2166</v>
      </c>
      <c r="H299" t="s">
        <v>2819</v>
      </c>
      <c r="I299" t="s">
        <v>1674</v>
      </c>
      <c r="J299" t="s">
        <v>318</v>
      </c>
      <c r="K299" t="s">
        <v>2874</v>
      </c>
      <c r="L299" s="329" t="s">
        <v>1676</v>
      </c>
      <c r="M299" s="329" t="s">
        <v>1677</v>
      </c>
    </row>
    <row r="300" ht="29">
      <c r="A300" t="s">
        <v>2875</v>
      </c>
      <c r="B300" t="s">
        <v>2822</v>
      </c>
      <c r="C300" t="s">
        <v>1747</v>
      </c>
      <c r="D300" t="s">
        <v>2876</v>
      </c>
      <c r="E300">
        <v>200</v>
      </c>
      <c r="F300" t="s">
        <v>2378</v>
      </c>
      <c r="G300" t="s">
        <v>2169</v>
      </c>
      <c r="H300" t="s">
        <v>2819</v>
      </c>
      <c r="I300" t="s">
        <v>1674</v>
      </c>
      <c r="J300" t="s">
        <v>318</v>
      </c>
      <c r="K300" t="s">
        <v>2854</v>
      </c>
      <c r="L300" s="329" t="s">
        <v>1676</v>
      </c>
      <c r="M300" s="329" t="s">
        <v>1677</v>
      </c>
    </row>
    <row r="301" ht="29">
      <c r="A301" t="s">
        <v>2877</v>
      </c>
      <c r="B301" t="s">
        <v>2827</v>
      </c>
      <c r="C301" t="s">
        <v>1747</v>
      </c>
      <c r="D301" t="s">
        <v>2878</v>
      </c>
      <c r="E301">
        <v>14.5</v>
      </c>
      <c r="F301" t="s">
        <v>2378</v>
      </c>
      <c r="G301" t="s">
        <v>2879</v>
      </c>
      <c r="H301" t="s">
        <v>2819</v>
      </c>
      <c r="I301" t="s">
        <v>1674</v>
      </c>
      <c r="J301" t="s">
        <v>318</v>
      </c>
      <c r="K301" t="s">
        <v>2830</v>
      </c>
      <c r="L301" s="329" t="s">
        <v>1676</v>
      </c>
      <c r="M301" s="329" t="s">
        <v>1677</v>
      </c>
    </row>
    <row r="302" ht="29">
      <c r="A302" t="s">
        <v>2880</v>
      </c>
      <c r="B302" t="s">
        <v>2832</v>
      </c>
      <c r="C302" t="s">
        <v>1747</v>
      </c>
      <c r="D302" t="s">
        <v>2881</v>
      </c>
      <c r="E302">
        <v>0</v>
      </c>
      <c r="F302" t="s">
        <v>2378</v>
      </c>
      <c r="G302" t="s">
        <v>2882</v>
      </c>
      <c r="H302" t="s">
        <v>2819</v>
      </c>
      <c r="I302" t="s">
        <v>1674</v>
      </c>
      <c r="J302" t="s">
        <v>318</v>
      </c>
      <c r="K302" t="s">
        <v>2830</v>
      </c>
      <c r="L302" s="329" t="s">
        <v>1676</v>
      </c>
      <c r="M302" s="329" t="s">
        <v>1677</v>
      </c>
    </row>
    <row r="303" ht="29">
      <c r="A303" t="s">
        <v>2883</v>
      </c>
      <c r="B303" t="s">
        <v>2816</v>
      </c>
      <c r="C303" t="s">
        <v>1747</v>
      </c>
      <c r="D303" t="s">
        <v>1703</v>
      </c>
      <c r="E303">
        <v>4000</v>
      </c>
      <c r="F303" t="s">
        <v>2378</v>
      </c>
      <c r="G303" t="s">
        <v>2884</v>
      </c>
      <c r="H303" t="s">
        <v>2819</v>
      </c>
      <c r="I303" t="s">
        <v>1674</v>
      </c>
      <c r="J303" t="s">
        <v>318</v>
      </c>
      <c r="K303" t="s">
        <v>2885</v>
      </c>
      <c r="L303" s="329" t="s">
        <v>1676</v>
      </c>
      <c r="M303" s="329" t="s">
        <v>1677</v>
      </c>
    </row>
    <row r="304" ht="29">
      <c r="A304" t="s">
        <v>2886</v>
      </c>
      <c r="B304" t="s">
        <v>2822</v>
      </c>
      <c r="C304" t="s">
        <v>1747</v>
      </c>
      <c r="D304" t="s">
        <v>2887</v>
      </c>
      <c r="E304">
        <v>4200</v>
      </c>
      <c r="F304" t="s">
        <v>2378</v>
      </c>
      <c r="G304" t="s">
        <v>2888</v>
      </c>
      <c r="H304" t="s">
        <v>2819</v>
      </c>
      <c r="I304" t="s">
        <v>1674</v>
      </c>
      <c r="J304" t="s">
        <v>318</v>
      </c>
      <c r="K304" t="s">
        <v>2854</v>
      </c>
      <c r="L304" s="329" t="s">
        <v>1676</v>
      </c>
      <c r="M304" s="329" t="s">
        <v>1677</v>
      </c>
    </row>
    <row r="305" ht="29">
      <c r="A305" t="s">
        <v>2889</v>
      </c>
      <c r="B305" t="s">
        <v>2827</v>
      </c>
      <c r="C305" t="s">
        <v>1747</v>
      </c>
      <c r="D305" t="s">
        <v>2890</v>
      </c>
      <c r="E305">
        <v>30.22</v>
      </c>
      <c r="F305" t="s">
        <v>2378</v>
      </c>
      <c r="G305" t="s">
        <v>2891</v>
      </c>
      <c r="H305" t="s">
        <v>2819</v>
      </c>
      <c r="I305" t="s">
        <v>1674</v>
      </c>
      <c r="J305" t="s">
        <v>318</v>
      </c>
      <c r="K305" t="s">
        <v>2830</v>
      </c>
      <c r="L305" s="329" t="s">
        <v>1676</v>
      </c>
      <c r="M305" s="329" t="s">
        <v>1677</v>
      </c>
    </row>
    <row r="306" ht="29">
      <c r="A306" t="s">
        <v>2892</v>
      </c>
      <c r="B306" t="s">
        <v>2832</v>
      </c>
      <c r="C306" t="s">
        <v>1747</v>
      </c>
      <c r="D306" t="s">
        <v>1697</v>
      </c>
      <c r="E306">
        <v>0</v>
      </c>
      <c r="F306" t="s">
        <v>2378</v>
      </c>
      <c r="G306" t="s">
        <v>2893</v>
      </c>
      <c r="H306" t="s">
        <v>2819</v>
      </c>
      <c r="I306" t="s">
        <v>1674</v>
      </c>
      <c r="J306" t="s">
        <v>318</v>
      </c>
      <c r="K306" t="s">
        <v>2830</v>
      </c>
      <c r="L306" s="329" t="s">
        <v>1676</v>
      </c>
      <c r="M306" s="329" t="s">
        <v>1677</v>
      </c>
    </row>
    <row r="307" ht="29">
      <c r="A307" t="s">
        <v>2894</v>
      </c>
      <c r="B307" t="s">
        <v>2816</v>
      </c>
      <c r="C307" t="s">
        <v>1747</v>
      </c>
      <c r="D307" t="s">
        <v>1742</v>
      </c>
      <c r="E307">
        <v>600</v>
      </c>
      <c r="F307" t="s">
        <v>2378</v>
      </c>
      <c r="G307" t="s">
        <v>2895</v>
      </c>
      <c r="H307" t="s">
        <v>2819</v>
      </c>
      <c r="I307" t="s">
        <v>1674</v>
      </c>
      <c r="J307" t="s">
        <v>318</v>
      </c>
      <c r="K307" t="s">
        <v>2896</v>
      </c>
      <c r="L307" s="329" t="s">
        <v>1676</v>
      </c>
      <c r="M307" s="329" t="s">
        <v>1677</v>
      </c>
    </row>
    <row r="308" ht="29">
      <c r="A308" t="s">
        <v>2897</v>
      </c>
      <c r="B308" t="s">
        <v>2822</v>
      </c>
      <c r="C308" t="s">
        <v>1747</v>
      </c>
      <c r="D308" t="s">
        <v>2898</v>
      </c>
      <c r="E308">
        <v>0</v>
      </c>
      <c r="F308" t="s">
        <v>2378</v>
      </c>
      <c r="G308" t="s">
        <v>2899</v>
      </c>
      <c r="H308" t="s">
        <v>2819</v>
      </c>
      <c r="I308" t="s">
        <v>1674</v>
      </c>
      <c r="J308" t="s">
        <v>318</v>
      </c>
      <c r="K308" t="s">
        <v>2900</v>
      </c>
      <c r="L308" s="329" t="s">
        <v>1676</v>
      </c>
      <c r="M308" s="329" t="s">
        <v>1677</v>
      </c>
    </row>
    <row r="309" ht="29">
      <c r="A309" t="s">
        <v>2901</v>
      </c>
      <c r="B309" t="s">
        <v>2827</v>
      </c>
      <c r="C309" t="s">
        <v>1747</v>
      </c>
      <c r="D309" t="s">
        <v>2902</v>
      </c>
      <c r="E309">
        <v>1</v>
      </c>
      <c r="F309" t="s">
        <v>2378</v>
      </c>
      <c r="G309" t="s">
        <v>2903</v>
      </c>
      <c r="H309" t="s">
        <v>2819</v>
      </c>
      <c r="I309" t="s">
        <v>1674</v>
      </c>
      <c r="J309" t="s">
        <v>318</v>
      </c>
      <c r="K309" t="s">
        <v>2830</v>
      </c>
      <c r="L309" s="329" t="s">
        <v>1676</v>
      </c>
      <c r="M309" s="329" t="s">
        <v>1677</v>
      </c>
    </row>
    <row r="310" ht="29">
      <c r="A310" t="s">
        <v>2904</v>
      </c>
      <c r="B310" t="s">
        <v>2832</v>
      </c>
      <c r="C310" t="s">
        <v>1747</v>
      </c>
      <c r="D310" t="s">
        <v>2905</v>
      </c>
      <c r="E310">
        <v>0.5</v>
      </c>
      <c r="F310" t="s">
        <v>2378</v>
      </c>
      <c r="G310" t="s">
        <v>2906</v>
      </c>
      <c r="H310" t="s">
        <v>2819</v>
      </c>
      <c r="I310" t="s">
        <v>1674</v>
      </c>
      <c r="J310" t="s">
        <v>318</v>
      </c>
      <c r="K310" t="s">
        <v>2830</v>
      </c>
      <c r="L310" s="329" t="s">
        <v>1676</v>
      </c>
      <c r="M310" s="329" t="s">
        <v>1677</v>
      </c>
    </row>
    <row r="311" ht="29">
      <c r="A311" t="s">
        <v>2907</v>
      </c>
      <c r="B311" t="s">
        <v>2908</v>
      </c>
      <c r="C311" t="s">
        <v>1668</v>
      </c>
      <c r="D311" t="s">
        <v>2909</v>
      </c>
      <c r="E311">
        <v>0.04</v>
      </c>
      <c r="F311" t="s">
        <v>2378</v>
      </c>
      <c r="G311" t="s">
        <v>2910</v>
      </c>
      <c r="H311" t="s">
        <v>2819</v>
      </c>
      <c r="I311" t="s">
        <v>1792</v>
      </c>
      <c r="J311" t="s">
        <v>318</v>
      </c>
      <c r="K311" t="s">
        <v>2911</v>
      </c>
      <c r="L311" s="329" t="s">
        <v>1676</v>
      </c>
      <c r="M311" s="329" t="s">
        <v>1906</v>
      </c>
    </row>
    <row r="312" ht="29">
      <c r="A312" t="s">
        <v>2912</v>
      </c>
      <c r="B312" t="s">
        <v>2913</v>
      </c>
      <c r="C312" t="s">
        <v>1668</v>
      </c>
      <c r="D312" t="s">
        <v>2914</v>
      </c>
      <c r="E312">
        <v>2.5000000000000001E-2</v>
      </c>
      <c r="F312" t="s">
        <v>2378</v>
      </c>
      <c r="G312" t="s">
        <v>2915</v>
      </c>
      <c r="H312" t="s">
        <v>2819</v>
      </c>
      <c r="I312" t="s">
        <v>1674</v>
      </c>
      <c r="J312" t="s">
        <v>318</v>
      </c>
      <c r="K312" t="s">
        <v>2916</v>
      </c>
      <c r="L312" s="329" t="s">
        <v>1676</v>
      </c>
      <c r="M312" s="329" t="s">
        <v>2090</v>
      </c>
    </row>
    <row r="313" ht="29">
      <c r="A313" t="s">
        <v>2917</v>
      </c>
      <c r="B313" t="s">
        <v>2918</v>
      </c>
      <c r="C313" t="s">
        <v>1668</v>
      </c>
      <c r="D313" t="s">
        <v>2919</v>
      </c>
      <c r="E313" t="s">
        <v>2920</v>
      </c>
      <c r="F313" t="s">
        <v>2378</v>
      </c>
      <c r="G313" t="s">
        <v>2921</v>
      </c>
      <c r="H313" t="s">
        <v>2819</v>
      </c>
      <c r="I313" t="s">
        <v>2922</v>
      </c>
      <c r="J313" t="s">
        <v>318</v>
      </c>
      <c r="K313" t="s">
        <v>2923</v>
      </c>
      <c r="L313" s="329" t="s">
        <v>1676</v>
      </c>
      <c r="M313" s="329" t="s">
        <v>2099</v>
      </c>
    </row>
    <row r="314" ht="29">
      <c r="A314" t="s">
        <v>2924</v>
      </c>
      <c r="B314" t="s">
        <v>2925</v>
      </c>
      <c r="C314" t="s">
        <v>1668</v>
      </c>
      <c r="D314" t="s">
        <v>2926</v>
      </c>
      <c r="E314">
        <v>10</v>
      </c>
      <c r="F314" t="s">
        <v>2378</v>
      </c>
      <c r="G314" t="s">
        <v>2927</v>
      </c>
      <c r="H314" t="s">
        <v>2819</v>
      </c>
      <c r="I314" t="s">
        <v>2922</v>
      </c>
      <c r="J314" t="s">
        <v>318</v>
      </c>
      <c r="K314" t="s">
        <v>2928</v>
      </c>
      <c r="L314" s="329" t="s">
        <v>1676</v>
      </c>
      <c r="M314" s="329" t="s">
        <v>2099</v>
      </c>
    </row>
    <row r="315" ht="29">
      <c r="A315" t="s">
        <v>2929</v>
      </c>
      <c r="B315" t="s">
        <v>2930</v>
      </c>
      <c r="C315" t="s">
        <v>1668</v>
      </c>
      <c r="D315" t="s">
        <v>2931</v>
      </c>
      <c r="E315" t="s">
        <v>2932</v>
      </c>
      <c r="F315" t="s">
        <v>2378</v>
      </c>
      <c r="G315" t="s">
        <v>2933</v>
      </c>
      <c r="H315" t="s">
        <v>2819</v>
      </c>
      <c r="I315" t="s">
        <v>1674</v>
      </c>
      <c r="J315" t="s">
        <v>318</v>
      </c>
      <c r="K315" t="s">
        <v>2934</v>
      </c>
      <c r="L315" s="329" t="s">
        <v>1676</v>
      </c>
      <c r="M315" s="329" t="s">
        <v>1982</v>
      </c>
    </row>
    <row r="316" ht="29">
      <c r="A316" t="s">
        <v>2935</v>
      </c>
      <c r="B316" t="s">
        <v>2936</v>
      </c>
      <c r="C316" t="s">
        <v>1668</v>
      </c>
      <c r="D316" t="s">
        <v>2937</v>
      </c>
      <c r="E316" t="s">
        <v>2938</v>
      </c>
      <c r="F316" t="s">
        <v>2378</v>
      </c>
      <c r="G316" t="s">
        <v>2939</v>
      </c>
      <c r="H316" t="s">
        <v>2819</v>
      </c>
      <c r="I316" t="s">
        <v>1674</v>
      </c>
      <c r="J316" t="s">
        <v>318</v>
      </c>
      <c r="K316" t="s">
        <v>2940</v>
      </c>
      <c r="L316" s="329" t="s">
        <v>1676</v>
      </c>
      <c r="M316" s="329" t="s">
        <v>1906</v>
      </c>
    </row>
    <row r="317" ht="29">
      <c r="A317" t="s">
        <v>2941</v>
      </c>
      <c r="B317" t="s">
        <v>2942</v>
      </c>
      <c r="C317" t="s">
        <v>294</v>
      </c>
      <c r="D317" t="s">
        <v>2943</v>
      </c>
      <c r="E317">
        <v>2.5000000000000001E-2</v>
      </c>
      <c r="F317" t="s">
        <v>2378</v>
      </c>
      <c r="G317" t="s">
        <v>2944</v>
      </c>
      <c r="H317" t="s">
        <v>2819</v>
      </c>
      <c r="I317" t="s">
        <v>1792</v>
      </c>
      <c r="J317" t="s">
        <v>318</v>
      </c>
      <c r="K317" t="s">
        <v>2945</v>
      </c>
      <c r="L317" s="329" t="s">
        <v>1676</v>
      </c>
      <c r="M317" s="329" t="s">
        <v>1906</v>
      </c>
    </row>
    <row r="318" ht="29">
      <c r="A318" t="s">
        <v>2946</v>
      </c>
      <c r="B318" t="s">
        <v>2947</v>
      </c>
      <c r="C318" t="s">
        <v>294</v>
      </c>
      <c r="D318" t="s">
        <v>2948</v>
      </c>
      <c r="E318">
        <v>0.03</v>
      </c>
      <c r="F318" t="s">
        <v>2378</v>
      </c>
      <c r="G318" t="s">
        <v>2949</v>
      </c>
      <c r="H318" t="s">
        <v>2819</v>
      </c>
      <c r="I318" t="s">
        <v>1792</v>
      </c>
      <c r="J318" t="s">
        <v>318</v>
      </c>
      <c r="K318" t="s">
        <v>2950</v>
      </c>
      <c r="L318" s="329" t="s">
        <v>1676</v>
      </c>
      <c r="M318" s="329" t="s">
        <v>1906</v>
      </c>
    </row>
    <row r="319" ht="29">
      <c r="A319" t="s">
        <v>2951</v>
      </c>
      <c r="B319" t="s">
        <v>2952</v>
      </c>
      <c r="C319" t="s">
        <v>294</v>
      </c>
      <c r="D319" t="s">
        <v>2045</v>
      </c>
      <c r="E319">
        <v>5.0000000000000001E-3</v>
      </c>
      <c r="F319" t="s">
        <v>2378</v>
      </c>
      <c r="G319" t="s">
        <v>2953</v>
      </c>
      <c r="H319" t="s">
        <v>2819</v>
      </c>
      <c r="I319" t="s">
        <v>1792</v>
      </c>
      <c r="J319" t="s">
        <v>318</v>
      </c>
      <c r="K319" t="s">
        <v>2950</v>
      </c>
      <c r="L319" s="329" t="s">
        <v>1676</v>
      </c>
      <c r="M319" s="329" t="s">
        <v>1906</v>
      </c>
    </row>
    <row r="320">
      <c r="A320" t="s">
        <v>2954</v>
      </c>
      <c r="B320" t="s">
        <v>2955</v>
      </c>
      <c r="C320" t="s">
        <v>2956</v>
      </c>
      <c r="D320" t="s">
        <v>2648</v>
      </c>
      <c r="E320" t="s">
        <v>2553</v>
      </c>
      <c r="F320" t="s">
        <v>2378</v>
      </c>
      <c r="G320" t="s">
        <v>2957</v>
      </c>
      <c r="H320" t="s">
        <v>2634</v>
      </c>
      <c r="I320" t="s">
        <v>1720</v>
      </c>
      <c r="J320" t="s">
        <v>318</v>
      </c>
      <c r="K320" t="s">
        <v>2958</v>
      </c>
      <c r="L320" s="329" t="s">
        <v>1684</v>
      </c>
      <c r="M320" s="329" t="s">
        <v>1677</v>
      </c>
    </row>
    <row r="321">
      <c r="L321" s="329"/>
      <c r="M321" s="329"/>
    </row>
    <row r="322" ht="67.5">
      <c r="A322" s="328" t="s">
        <v>2959</v>
      </c>
      <c r="B322" s="329"/>
      <c r="C322" s="329"/>
      <c r="D322" s="329"/>
      <c r="E322" s="329"/>
      <c r="F322" s="329"/>
      <c r="G322" s="329"/>
      <c r="H322" s="329"/>
      <c r="I322" s="329"/>
      <c r="J322" s="329"/>
      <c r="K322" s="329"/>
      <c r="L322" s="329"/>
      <c r="M322" s="329" t="s">
        <v>1677</v>
      </c>
    </row>
    <row r="323">
      <c r="A323" s="310" t="s">
        <v>1654</v>
      </c>
      <c r="B323" s="310" t="s">
        <v>1655</v>
      </c>
      <c r="C323" s="310" t="s">
        <v>1656</v>
      </c>
      <c r="D323" s="310" t="s">
        <v>1657</v>
      </c>
      <c r="E323" s="310" t="s">
        <v>1658</v>
      </c>
      <c r="F323" s="310" t="s">
        <v>1659</v>
      </c>
      <c r="G323" s="310" t="s">
        <v>1660</v>
      </c>
      <c r="H323" s="329" t="s">
        <v>1661</v>
      </c>
      <c r="I323" s="329" t="s">
        <v>612</v>
      </c>
      <c r="J323" s="329" t="s">
        <v>2409</v>
      </c>
      <c r="K323" s="329" t="s">
        <v>1663</v>
      </c>
      <c r="L323" s="329" t="s">
        <v>1664</v>
      </c>
      <c r="M323" s="329" t="s">
        <v>1665</v>
      </c>
    </row>
    <row r="324" ht="29">
      <c r="A324" t="s">
        <v>2960</v>
      </c>
      <c r="B324" t="s">
        <v>2961</v>
      </c>
      <c r="C324" t="s">
        <v>1747</v>
      </c>
      <c r="D324" t="s">
        <v>2962</v>
      </c>
      <c r="E324" t="s">
        <v>2963</v>
      </c>
      <c r="F324" t="s">
        <v>2964</v>
      </c>
      <c r="G324" t="s">
        <v>2965</v>
      </c>
      <c r="H324" t="s">
        <v>2966</v>
      </c>
      <c r="I324" t="s">
        <v>1674</v>
      </c>
      <c r="J324" t="s">
        <v>318</v>
      </c>
      <c r="K324" t="s">
        <v>2967</v>
      </c>
      <c r="L324" s="329" t="s">
        <v>1676</v>
      </c>
      <c r="M324" s="329" t="s">
        <v>2138</v>
      </c>
    </row>
    <row r="325" ht="29">
      <c r="A325" t="s">
        <v>2968</v>
      </c>
      <c r="B325" t="s">
        <v>2961</v>
      </c>
      <c r="C325" t="s">
        <v>2806</v>
      </c>
      <c r="D325" t="s">
        <v>2969</v>
      </c>
      <c r="E325" t="s">
        <v>2970</v>
      </c>
      <c r="F325" t="s">
        <v>2971</v>
      </c>
      <c r="G325" t="s">
        <v>2965</v>
      </c>
      <c r="H325" t="s">
        <v>2966</v>
      </c>
      <c r="I325" t="s">
        <v>1674</v>
      </c>
      <c r="J325" t="s">
        <v>318</v>
      </c>
      <c r="K325" t="s">
        <v>2972</v>
      </c>
      <c r="L325" s="329" t="s">
        <v>1676</v>
      </c>
      <c r="M325" s="329" t="s">
        <v>1677</v>
      </c>
    </row>
    <row r="326" ht="29">
      <c r="A326" t="s">
        <v>2973</v>
      </c>
      <c r="B326" t="s">
        <v>2961</v>
      </c>
      <c r="C326" t="s">
        <v>2974</v>
      </c>
      <c r="D326" t="s">
        <v>2975</v>
      </c>
      <c r="E326" t="s">
        <v>2976</v>
      </c>
      <c r="F326" t="s">
        <v>2977</v>
      </c>
      <c r="G326" t="s">
        <v>2965</v>
      </c>
      <c r="H326" t="s">
        <v>2966</v>
      </c>
      <c r="I326" t="s">
        <v>1720</v>
      </c>
      <c r="J326" t="s">
        <v>318</v>
      </c>
      <c r="K326" t="s">
        <v>2978</v>
      </c>
      <c r="L326" s="329" t="s">
        <v>1676</v>
      </c>
      <c r="M326" s="329" t="s">
        <v>1677</v>
      </c>
    </row>
    <row r="327" ht="29">
      <c r="A327" t="s">
        <v>2979</v>
      </c>
      <c r="B327" t="s">
        <v>2961</v>
      </c>
      <c r="C327" t="s">
        <v>2980</v>
      </c>
      <c r="D327" t="s">
        <v>2981</v>
      </c>
      <c r="E327" t="s">
        <v>2982</v>
      </c>
      <c r="F327" t="s">
        <v>2983</v>
      </c>
      <c r="G327" t="s">
        <v>2965</v>
      </c>
      <c r="H327" t="s">
        <v>2966</v>
      </c>
      <c r="I327" t="s">
        <v>1720</v>
      </c>
      <c r="J327" t="s">
        <v>318</v>
      </c>
      <c r="K327" t="s">
        <v>2984</v>
      </c>
      <c r="L327" s="329" t="s">
        <v>1676</v>
      </c>
      <c r="M327" s="329" t="s">
        <v>1677</v>
      </c>
    </row>
    <row r="328" ht="29">
      <c r="A328" t="s">
        <v>2985</v>
      </c>
      <c r="B328" t="s">
        <v>2961</v>
      </c>
      <c r="C328" t="s">
        <v>2986</v>
      </c>
      <c r="D328" t="s">
        <v>2987</v>
      </c>
      <c r="E328" t="s">
        <v>2988</v>
      </c>
      <c r="F328" t="s">
        <v>2989</v>
      </c>
      <c r="G328" t="s">
        <v>2965</v>
      </c>
      <c r="H328" t="s">
        <v>2966</v>
      </c>
      <c r="I328" t="s">
        <v>2990</v>
      </c>
      <c r="J328" t="s">
        <v>318</v>
      </c>
      <c r="K328" t="s">
        <v>2991</v>
      </c>
      <c r="L328" s="329" t="s">
        <v>1676</v>
      </c>
      <c r="M328" s="329" t="s">
        <v>1677</v>
      </c>
    </row>
    <row r="329" ht="29">
      <c r="A329" t="s">
        <v>2992</v>
      </c>
      <c r="B329" t="s">
        <v>2961</v>
      </c>
      <c r="C329" t="s">
        <v>1668</v>
      </c>
      <c r="D329" t="s">
        <v>2993</v>
      </c>
      <c r="E329" t="s">
        <v>2994</v>
      </c>
      <c r="F329" t="s">
        <v>2995</v>
      </c>
      <c r="G329" t="s">
        <v>2965</v>
      </c>
      <c r="H329" t="s">
        <v>2966</v>
      </c>
      <c r="I329" t="s">
        <v>1674</v>
      </c>
      <c r="J329" t="s">
        <v>318</v>
      </c>
      <c r="K329" t="s">
        <v>2996</v>
      </c>
      <c r="L329" s="329" t="s">
        <v>1676</v>
      </c>
      <c r="M329" s="329" t="s">
        <v>2090</v>
      </c>
    </row>
    <row r="330" ht="29">
      <c r="A330" t="s">
        <v>2997</v>
      </c>
      <c r="B330" t="s">
        <v>2961</v>
      </c>
      <c r="C330" t="s">
        <v>294</v>
      </c>
      <c r="D330" t="s">
        <v>2998</v>
      </c>
      <c r="E330" t="s">
        <v>2999</v>
      </c>
      <c r="F330" t="s">
        <v>3000</v>
      </c>
      <c r="G330" t="s">
        <v>2965</v>
      </c>
      <c r="H330" t="s">
        <v>2966</v>
      </c>
      <c r="I330" t="s">
        <v>1674</v>
      </c>
      <c r="J330" t="s">
        <v>318</v>
      </c>
      <c r="K330" t="s">
        <v>3001</v>
      </c>
      <c r="L330" s="329" t="s">
        <v>1676</v>
      </c>
      <c r="M330" s="329" t="s">
        <v>1677</v>
      </c>
    </row>
    <row r="331" ht="29">
      <c r="A331" t="s">
        <v>3002</v>
      </c>
      <c r="B331" t="s">
        <v>2961</v>
      </c>
      <c r="C331" t="s">
        <v>3003</v>
      </c>
      <c r="D331" t="s">
        <v>3004</v>
      </c>
      <c r="E331" t="s">
        <v>3005</v>
      </c>
      <c r="F331" t="s">
        <v>3006</v>
      </c>
      <c r="G331" t="s">
        <v>2965</v>
      </c>
      <c r="H331" t="s">
        <v>2966</v>
      </c>
      <c r="I331" t="s">
        <v>3007</v>
      </c>
      <c r="J331" t="s">
        <v>1711</v>
      </c>
      <c r="K331" t="s">
        <v>3008</v>
      </c>
      <c r="L331" s="329" t="s">
        <v>1676</v>
      </c>
      <c r="M331" s="329" t="s">
        <v>3009</v>
      </c>
    </row>
    <row r="332" ht="29">
      <c r="A332" t="s">
        <v>3010</v>
      </c>
      <c r="B332" t="s">
        <v>2961</v>
      </c>
      <c r="C332" t="s">
        <v>3011</v>
      </c>
      <c r="D332" t="s">
        <v>3012</v>
      </c>
      <c r="E332" t="s">
        <v>3013</v>
      </c>
      <c r="F332" t="s">
        <v>2971</v>
      </c>
      <c r="G332" t="s">
        <v>2965</v>
      </c>
      <c r="H332" t="s">
        <v>2966</v>
      </c>
      <c r="I332" t="s">
        <v>1674</v>
      </c>
      <c r="J332" t="s">
        <v>318</v>
      </c>
      <c r="K332" t="s">
        <v>3014</v>
      </c>
      <c r="L332" s="329" t="s">
        <v>1676</v>
      </c>
      <c r="M332" s="329" t="s">
        <v>1677</v>
      </c>
    </row>
    <row r="333" ht="29">
      <c r="A333" t="s">
        <v>3015</v>
      </c>
      <c r="B333" t="s">
        <v>2961</v>
      </c>
      <c r="C333" t="s">
        <v>3016</v>
      </c>
      <c r="D333" t="s">
        <v>3017</v>
      </c>
      <c r="E333" t="s">
        <v>3018</v>
      </c>
      <c r="F333" t="s">
        <v>1918</v>
      </c>
      <c r="G333" t="s">
        <v>2965</v>
      </c>
      <c r="H333" t="s">
        <v>2966</v>
      </c>
      <c r="I333" t="s">
        <v>1720</v>
      </c>
      <c r="J333" t="s">
        <v>318</v>
      </c>
      <c r="K333" t="s">
        <v>3019</v>
      </c>
      <c r="L333" s="329" t="s">
        <v>1676</v>
      </c>
      <c r="M333" s="329" t="s">
        <v>1982</v>
      </c>
    </row>
    <row r="334" ht="29">
      <c r="A334" t="s">
        <v>3020</v>
      </c>
      <c r="B334" t="s">
        <v>2961</v>
      </c>
      <c r="C334" t="s">
        <v>3021</v>
      </c>
      <c r="D334" t="s">
        <v>3022</v>
      </c>
      <c r="E334" t="s">
        <v>3023</v>
      </c>
      <c r="F334" t="s">
        <v>3024</v>
      </c>
      <c r="G334" t="s">
        <v>2965</v>
      </c>
      <c r="H334" t="s">
        <v>2966</v>
      </c>
      <c r="I334" t="s">
        <v>1720</v>
      </c>
      <c r="J334" t="s">
        <v>318</v>
      </c>
      <c r="K334" t="s">
        <v>3025</v>
      </c>
      <c r="L334" s="329" t="s">
        <v>1676</v>
      </c>
      <c r="M334" s="329" t="s">
        <v>1677</v>
      </c>
    </row>
    <row r="335" ht="29">
      <c r="A335" t="s">
        <v>3026</v>
      </c>
      <c r="B335" t="s">
        <v>2961</v>
      </c>
      <c r="C335" t="s">
        <v>3027</v>
      </c>
      <c r="D335" t="s">
        <v>3028</v>
      </c>
      <c r="E335" t="s">
        <v>3029</v>
      </c>
      <c r="F335" t="s">
        <v>3030</v>
      </c>
      <c r="G335" t="s">
        <v>2965</v>
      </c>
      <c r="H335" t="s">
        <v>2966</v>
      </c>
      <c r="I335" t="s">
        <v>1674</v>
      </c>
      <c r="J335" t="s">
        <v>318</v>
      </c>
      <c r="K335" t="s">
        <v>3031</v>
      </c>
      <c r="L335" s="329" t="s">
        <v>1676</v>
      </c>
      <c r="M335" s="329" t="s">
        <v>1677</v>
      </c>
    </row>
    <row r="336" ht="29">
      <c r="A336" t="s">
        <v>3032</v>
      </c>
      <c r="B336" t="s">
        <v>2961</v>
      </c>
      <c r="C336" t="s">
        <v>3033</v>
      </c>
      <c r="D336" t="s">
        <v>3034</v>
      </c>
      <c r="E336" t="s">
        <v>3035</v>
      </c>
      <c r="F336" t="s">
        <v>2108</v>
      </c>
      <c r="G336" t="s">
        <v>2965</v>
      </c>
      <c r="H336" t="s">
        <v>2966</v>
      </c>
      <c r="I336" t="s">
        <v>2990</v>
      </c>
      <c r="J336" t="s">
        <v>318</v>
      </c>
      <c r="K336" t="s">
        <v>3036</v>
      </c>
      <c r="L336" s="329" t="s">
        <v>1676</v>
      </c>
      <c r="M336" s="329" t="s">
        <v>2090</v>
      </c>
    </row>
    <row r="337" ht="29">
      <c r="A337" t="s">
        <v>3037</v>
      </c>
      <c r="B337" t="s">
        <v>2961</v>
      </c>
      <c r="C337" t="s">
        <v>3038</v>
      </c>
      <c r="D337" t="s">
        <v>3039</v>
      </c>
      <c r="E337" t="s">
        <v>3040</v>
      </c>
      <c r="F337" t="s">
        <v>3041</v>
      </c>
      <c r="G337" t="s">
        <v>2965</v>
      </c>
      <c r="H337" t="s">
        <v>2966</v>
      </c>
      <c r="I337" t="s">
        <v>2990</v>
      </c>
      <c r="J337" t="s">
        <v>318</v>
      </c>
      <c r="K337" t="s">
        <v>3042</v>
      </c>
      <c r="L337" s="329" t="s">
        <v>1676</v>
      </c>
      <c r="M337" s="329" t="s">
        <v>2090</v>
      </c>
    </row>
    <row r="338" ht="29">
      <c r="A338" t="s">
        <v>3043</v>
      </c>
      <c r="B338" t="s">
        <v>2961</v>
      </c>
      <c r="C338" t="s">
        <v>3044</v>
      </c>
      <c r="D338" t="s">
        <v>3045</v>
      </c>
      <c r="E338" t="s">
        <v>3046</v>
      </c>
      <c r="F338" t="s">
        <v>3047</v>
      </c>
      <c r="G338" t="s">
        <v>2965</v>
      </c>
      <c r="H338" t="s">
        <v>2966</v>
      </c>
      <c r="I338" t="s">
        <v>2249</v>
      </c>
      <c r="J338" t="s">
        <v>1711</v>
      </c>
      <c r="K338" t="s">
        <v>3048</v>
      </c>
      <c r="L338" s="329" t="s">
        <v>1676</v>
      </c>
      <c r="M338" s="329" t="s">
        <v>3049</v>
      </c>
    </row>
    <row r="339" ht="29">
      <c r="A339" t="s">
        <v>3050</v>
      </c>
      <c r="B339" t="s">
        <v>2961</v>
      </c>
      <c r="C339" t="s">
        <v>3051</v>
      </c>
      <c r="D339" t="s">
        <v>3052</v>
      </c>
      <c r="E339" t="s">
        <v>3053</v>
      </c>
      <c r="F339" t="s">
        <v>3054</v>
      </c>
      <c r="G339" t="s">
        <v>2965</v>
      </c>
      <c r="H339" t="s">
        <v>2966</v>
      </c>
      <c r="I339" t="s">
        <v>1674</v>
      </c>
      <c r="J339" t="s">
        <v>318</v>
      </c>
      <c r="K339" t="s">
        <v>3055</v>
      </c>
      <c r="L339" s="329" t="s">
        <v>1676</v>
      </c>
      <c r="M339" s="329" t="s">
        <v>1677</v>
      </c>
    </row>
    <row r="340" ht="29">
      <c r="A340" t="s">
        <v>3056</v>
      </c>
      <c r="B340" t="s">
        <v>2961</v>
      </c>
      <c r="C340" t="s">
        <v>3057</v>
      </c>
      <c r="D340" t="s">
        <v>3058</v>
      </c>
      <c r="E340" t="s">
        <v>3059</v>
      </c>
      <c r="F340" t="s">
        <v>3060</v>
      </c>
      <c r="G340" t="s">
        <v>2965</v>
      </c>
      <c r="H340" t="s">
        <v>2966</v>
      </c>
      <c r="I340" t="s">
        <v>1674</v>
      </c>
      <c r="J340" t="s">
        <v>318</v>
      </c>
      <c r="K340" t="s">
        <v>3061</v>
      </c>
      <c r="L340" s="329" t="s">
        <v>1676</v>
      </c>
      <c r="M340" s="329" t="s">
        <v>1677</v>
      </c>
    </row>
    <row r="341" ht="29">
      <c r="A341" t="s">
        <v>3062</v>
      </c>
      <c r="B341" t="s">
        <v>2961</v>
      </c>
      <c r="C341" t="s">
        <v>3063</v>
      </c>
      <c r="D341" t="s">
        <v>3064</v>
      </c>
      <c r="E341" t="s">
        <v>3065</v>
      </c>
      <c r="F341" t="s">
        <v>3066</v>
      </c>
      <c r="G341" t="s">
        <v>2965</v>
      </c>
      <c r="H341" t="s">
        <v>2966</v>
      </c>
      <c r="I341" t="s">
        <v>1674</v>
      </c>
      <c r="J341" t="s">
        <v>318</v>
      </c>
      <c r="K341" t="s">
        <v>3067</v>
      </c>
      <c r="L341" s="329" t="s">
        <v>1676</v>
      </c>
      <c r="M341" s="329" t="s">
        <v>1677</v>
      </c>
    </row>
    <row r="342" ht="29">
      <c r="A342" t="s">
        <v>3068</v>
      </c>
      <c r="B342" t="s">
        <v>2961</v>
      </c>
      <c r="C342" t="s">
        <v>3069</v>
      </c>
      <c r="D342" t="s">
        <v>3070</v>
      </c>
      <c r="E342" t="s">
        <v>3071</v>
      </c>
      <c r="F342" t="s">
        <v>3072</v>
      </c>
      <c r="G342" t="s">
        <v>2965</v>
      </c>
      <c r="H342" t="s">
        <v>2966</v>
      </c>
      <c r="I342" t="s">
        <v>1674</v>
      </c>
      <c r="J342" t="s">
        <v>318</v>
      </c>
      <c r="K342" t="s">
        <v>3073</v>
      </c>
      <c r="L342" s="329" t="s">
        <v>1676</v>
      </c>
      <c r="M342" s="329" t="s">
        <v>1677</v>
      </c>
    </row>
    <row r="343" ht="29">
      <c r="A343" t="s">
        <v>3074</v>
      </c>
      <c r="B343" t="s">
        <v>2961</v>
      </c>
      <c r="C343" t="s">
        <v>3075</v>
      </c>
      <c r="D343" t="s">
        <v>3076</v>
      </c>
      <c r="E343" t="s">
        <v>3077</v>
      </c>
      <c r="F343" t="s">
        <v>3078</v>
      </c>
      <c r="G343" t="s">
        <v>2965</v>
      </c>
      <c r="H343" t="s">
        <v>2966</v>
      </c>
      <c r="I343" t="s">
        <v>1674</v>
      </c>
      <c r="J343" t="s">
        <v>318</v>
      </c>
      <c r="K343" t="s">
        <v>3079</v>
      </c>
      <c r="L343" s="329" t="s">
        <v>1676</v>
      </c>
      <c r="M343" s="329" t="s">
        <v>1677</v>
      </c>
    </row>
    <row r="344" ht="29">
      <c r="A344" t="s">
        <v>3080</v>
      </c>
      <c r="B344" t="s">
        <v>2961</v>
      </c>
      <c r="C344" t="s">
        <v>3081</v>
      </c>
      <c r="D344" t="s">
        <v>3082</v>
      </c>
      <c r="E344" t="s">
        <v>3083</v>
      </c>
      <c r="F344" t="s">
        <v>3084</v>
      </c>
      <c r="G344" t="s">
        <v>2965</v>
      </c>
      <c r="H344" t="s">
        <v>2966</v>
      </c>
      <c r="I344" t="s">
        <v>1674</v>
      </c>
      <c r="J344" t="s">
        <v>318</v>
      </c>
      <c r="K344" t="s">
        <v>3085</v>
      </c>
      <c r="L344" s="329" t="s">
        <v>1676</v>
      </c>
      <c r="M344" s="329" t="s">
        <v>1677</v>
      </c>
    </row>
    <row r="345" ht="29">
      <c r="A345" t="s">
        <v>3086</v>
      </c>
      <c r="B345" t="s">
        <v>2961</v>
      </c>
      <c r="C345" t="s">
        <v>3087</v>
      </c>
      <c r="D345" t="s">
        <v>3088</v>
      </c>
      <c r="E345" t="s">
        <v>3089</v>
      </c>
      <c r="F345" t="s">
        <v>3090</v>
      </c>
      <c r="G345" t="s">
        <v>2965</v>
      </c>
      <c r="H345" t="s">
        <v>2966</v>
      </c>
      <c r="I345" t="s">
        <v>1674</v>
      </c>
      <c r="J345" t="s">
        <v>318</v>
      </c>
      <c r="K345" t="s">
        <v>3091</v>
      </c>
      <c r="L345" s="329" t="s">
        <v>1676</v>
      </c>
      <c r="M345" s="329" t="s">
        <v>1677</v>
      </c>
    </row>
    <row r="346" ht="29">
      <c r="A346" t="s">
        <v>3092</v>
      </c>
      <c r="B346" t="s">
        <v>2961</v>
      </c>
      <c r="C346" t="s">
        <v>3093</v>
      </c>
      <c r="D346" t="s">
        <v>3094</v>
      </c>
      <c r="E346" t="s">
        <v>3095</v>
      </c>
      <c r="F346" t="s">
        <v>3096</v>
      </c>
      <c r="G346" t="s">
        <v>2965</v>
      </c>
      <c r="H346" t="s">
        <v>2966</v>
      </c>
      <c r="I346" t="s">
        <v>1674</v>
      </c>
      <c r="J346" t="s">
        <v>318</v>
      </c>
      <c r="K346" t="s">
        <v>3097</v>
      </c>
      <c r="L346" s="329" t="s">
        <v>1676</v>
      </c>
      <c r="M346" s="329" t="s">
        <v>1677</v>
      </c>
    </row>
    <row r="347" ht="29">
      <c r="A347" t="s">
        <v>3098</v>
      </c>
      <c r="B347" t="s">
        <v>2961</v>
      </c>
      <c r="C347" t="s">
        <v>3099</v>
      </c>
      <c r="D347" t="s">
        <v>3100</v>
      </c>
      <c r="E347" t="s">
        <v>3101</v>
      </c>
      <c r="F347" t="s">
        <v>3102</v>
      </c>
      <c r="G347" t="s">
        <v>2965</v>
      </c>
      <c r="H347" t="s">
        <v>2966</v>
      </c>
      <c r="I347" t="s">
        <v>1674</v>
      </c>
      <c r="J347" t="s">
        <v>318</v>
      </c>
      <c r="K347" t="s">
        <v>3103</v>
      </c>
      <c r="L347" s="329" t="s">
        <v>1676</v>
      </c>
      <c r="M347" s="329" t="s">
        <v>1677</v>
      </c>
    </row>
    <row r="348" ht="29">
      <c r="A348" t="s">
        <v>3104</v>
      </c>
      <c r="B348" t="s">
        <v>2961</v>
      </c>
      <c r="C348" t="s">
        <v>3105</v>
      </c>
      <c r="D348" t="s">
        <v>3106</v>
      </c>
      <c r="E348" t="s">
        <v>3107</v>
      </c>
      <c r="F348" t="s">
        <v>3108</v>
      </c>
      <c r="G348" t="s">
        <v>2965</v>
      </c>
      <c r="H348" t="s">
        <v>2966</v>
      </c>
      <c r="I348" t="s">
        <v>1674</v>
      </c>
      <c r="J348" t="s">
        <v>318</v>
      </c>
      <c r="K348" t="s">
        <v>3109</v>
      </c>
      <c r="L348" s="329" t="s">
        <v>1676</v>
      </c>
      <c r="M348" s="329" t="s">
        <v>1677</v>
      </c>
    </row>
    <row r="349" ht="29">
      <c r="A349" t="s">
        <v>3110</v>
      </c>
      <c r="B349" t="s">
        <v>2961</v>
      </c>
      <c r="C349" t="s">
        <v>3111</v>
      </c>
      <c r="D349" t="s">
        <v>3112</v>
      </c>
      <c r="E349" t="s">
        <v>3113</v>
      </c>
      <c r="F349" t="s">
        <v>3114</v>
      </c>
      <c r="G349" t="s">
        <v>2965</v>
      </c>
      <c r="H349" t="s">
        <v>2966</v>
      </c>
      <c r="I349" t="s">
        <v>1674</v>
      </c>
      <c r="J349" t="s">
        <v>318</v>
      </c>
      <c r="K349" t="s">
        <v>3115</v>
      </c>
      <c r="L349" s="329" t="s">
        <v>1676</v>
      </c>
      <c r="M349" s="329" t="s">
        <v>1677</v>
      </c>
    </row>
    <row r="350" ht="29">
      <c r="A350" t="s">
        <v>3116</v>
      </c>
      <c r="B350" t="s">
        <v>2961</v>
      </c>
      <c r="C350" t="s">
        <v>2800</v>
      </c>
      <c r="D350" t="s">
        <v>3117</v>
      </c>
      <c r="E350" t="s">
        <v>3118</v>
      </c>
      <c r="F350" t="s">
        <v>3119</v>
      </c>
      <c r="G350" t="s">
        <v>2965</v>
      </c>
      <c r="H350" t="s">
        <v>2966</v>
      </c>
      <c r="I350" t="s">
        <v>1674</v>
      </c>
      <c r="J350" t="s">
        <v>318</v>
      </c>
      <c r="K350" t="s">
        <v>3120</v>
      </c>
      <c r="L350" s="329" t="s">
        <v>1676</v>
      </c>
      <c r="M350" s="329" t="s">
        <v>1677</v>
      </c>
    </row>
    <row r="351" ht="29">
      <c r="A351" t="s">
        <v>3121</v>
      </c>
      <c r="B351" t="s">
        <v>2961</v>
      </c>
      <c r="C351" t="s">
        <v>3122</v>
      </c>
      <c r="D351" t="s">
        <v>3123</v>
      </c>
      <c r="E351" t="s">
        <v>3124</v>
      </c>
      <c r="F351" t="s">
        <v>3119</v>
      </c>
      <c r="G351" t="s">
        <v>2965</v>
      </c>
      <c r="H351" t="s">
        <v>2966</v>
      </c>
      <c r="I351" t="s">
        <v>1674</v>
      </c>
      <c r="J351" t="s">
        <v>318</v>
      </c>
      <c r="K351" t="s">
        <v>3125</v>
      </c>
      <c r="L351" s="329" t="s">
        <v>1676</v>
      </c>
      <c r="M351" s="329" t="s">
        <v>1677</v>
      </c>
    </row>
    <row r="352" ht="29">
      <c r="A352" t="s">
        <v>3126</v>
      </c>
      <c r="B352" t="s">
        <v>2961</v>
      </c>
      <c r="C352" t="s">
        <v>3127</v>
      </c>
      <c r="D352" t="s">
        <v>3128</v>
      </c>
      <c r="E352" t="s">
        <v>3129</v>
      </c>
      <c r="F352" t="s">
        <v>3130</v>
      </c>
      <c r="G352" t="s">
        <v>2965</v>
      </c>
      <c r="H352" t="s">
        <v>2966</v>
      </c>
      <c r="I352" t="s">
        <v>1674</v>
      </c>
      <c r="J352" t="s">
        <v>318</v>
      </c>
      <c r="K352" t="s">
        <v>3131</v>
      </c>
      <c r="L352" s="329" t="s">
        <v>1676</v>
      </c>
      <c r="M352" s="329" t="s">
        <v>1677</v>
      </c>
    </row>
    <row r="354">
      <c r="A354" s="2486" t="str">
        <v>PROJECTS ARCHITECTURE | DEPENDENCY BASELINE, MIGRATION RECORD &amp; OUTPUT COMPARISON</v>
      </c>
      <c r="B354" s="2486"/>
      <c r="C354" s="2486"/>
      <c r="D354" s="2486"/>
      <c r="E354" s="2486"/>
      <c r="F354" s="2486"/>
      <c r="G354" s="2486"/>
      <c r="H354" s="2486"/>
      <c r="I354" s="2486"/>
      <c r="J354" s="2486"/>
      <c r="K354" s="2486"/>
      <c r="L354" s="2486"/>
      <c r="M354" s="2486"/>
    </row>
    <row r="355">
      <c r="A355" s="2491" t="str">
        <v>Direct Consumer</v>
      </c>
      <c r="B355" s="2491" t="str">
        <v>Formula Cells Referencing PROJECTS</v>
      </c>
      <c r="C355" s="2491" t="str">
        <v>Controlling Area</v>
      </c>
      <c r="D355" s="2491" t="str">
        <v>Migration Treatment</v>
      </c>
      <c r="E355" s="2491" t="str">
        <v>Post-Migration Status</v>
      </c>
      <c r="F355" s="2491" t="str">
        <v>Comment</v>
      </c>
      <c r="H355" s="2491" t="str">
        <v>Dependency Type</v>
      </c>
      <c r="I355" s="2491" t="str">
        <v>Reference / Count</v>
      </c>
      <c r="J355" s="2491" t="str">
        <v>Baseline Finding</v>
      </c>
      <c r="K355" s="2491" t="str">
        <v>Migration Action</v>
      </c>
      <c r="L355" s="2491" t="str">
        <v>Status</v>
      </c>
      <c r="M355" s="2491" t="str">
        <v>Constraint / Note</v>
      </c>
    </row>
    <row r="356">
      <c r="A356" s="2444" t="str">
        <v>Underwriting</v>
      </c>
      <c r="B356" s="2444" t="n">
        <v>853</v>
      </c>
      <c r="C356" s="2444" t="str">
        <v>PROJECTS!AP:AR and N:AI</v>
      </c>
      <c r="D356" s="2444" t="str">
        <v>Addresses preserved; no downstream formula rewrite</v>
      </c>
      <c r="E356" s="2444" t="str">
        <v>LIVE</v>
      </c>
      <c r="F356" s="2444" t="str">
        <v>Principal monthly calculation engine.</v>
      </c>
      <c r="G356" s="2444"/>
      <c r="H356" s="2444" t="str">
        <v>Defined name</v>
      </c>
      <c r="I356" s="2444" t="str">
        <v>Timing_Actuals_Cutoff = PROJECTS!$AP$257</v>
      </c>
      <c r="J356" s="2444" t="str">
        <v>One PROJECTS-based defined name</v>
      </c>
      <c r="K356" s="2444" t="str">
        <v>Address retained</v>
      </c>
      <c r="L356" s="2444" t="str">
        <v>LIVE</v>
      </c>
      <c r="M356" s="2444" t="str">
        <v>Permanent Field-ID record remains at AP257.</v>
      </c>
    </row>
    <row r="357">
      <c r="A357" s="2444" t="str">
        <v>DEBT</v>
      </c>
      <c r="B357" s="2444" t="n">
        <v>528</v>
      </c>
      <c r="C357" s="2444" t="str">
        <v>PROJECTS!AP:AR and N:AI</v>
      </c>
      <c r="D357" s="2444" t="str">
        <v>Addresses preserved; no downstream formula rewrite</v>
      </c>
      <c r="E357" s="2444" t="str">
        <v>LIVE</v>
      </c>
      <c r="F357" s="2444" t="str">
        <v>Debt, tax, GST and working-capital calculations.</v>
      </c>
      <c r="G357" s="2444"/>
      <c r="H357" s="2444" t="str">
        <v>Chart series</v>
      </c>
      <c r="I357" s="2444" t="n">
        <v>0</v>
      </c>
      <c r="J357" s="2444" t="str">
        <v>No chart series directly referenced PROJECTS</v>
      </c>
      <c r="K357" s="2444" t="str">
        <v>No action required</v>
      </c>
      <c r="L357" s="2444" t="str">
        <v>PASS</v>
      </c>
      <c r="M357" s="2444" t="str"/>
    </row>
    <row r="358">
      <c r="A358" s="2444" t="str">
        <v>VALUATION &amp; RETURNS</v>
      </c>
      <c r="B358" s="2444" t="n">
        <v>40</v>
      </c>
      <c r="C358" s="2444" t="str">
        <v>PROJECTS!AP:AR</v>
      </c>
      <c r="D358" s="2444" t="str">
        <v>Addresses preserved; scenario selector retained</v>
      </c>
      <c r="E358" s="2444" t="str">
        <v>LIVE</v>
      </c>
      <c r="F358" s="2444" t="str">
        <v>Valuation and investor-return outputs.</v>
      </c>
      <c r="G358" s="2444"/>
      <c r="H358" s="2444" t="str">
        <v>Data validation lists</v>
      </c>
      <c r="I358" s="2444" t="n">
        <v>0</v>
      </c>
      <c r="J358" s="2444" t="str">
        <v>No pre-existing validation list directly referenced PROJECTS</v>
      </c>
      <c r="K358" s="2444" t="str">
        <v>Scenario validation added to INVESTOR REPORT!I3</v>
      </c>
      <c r="L358" s="2444" t="str">
        <v>PASS</v>
      </c>
      <c r="M358" s="2444" t="str"/>
    </row>
    <row r="359">
      <c r="A359" s="2444" t="str">
        <v>FUNDING &amp; CAP TABLE</v>
      </c>
      <c r="B359" s="2444" t="n">
        <v>18</v>
      </c>
      <c r="C359" s="2444" t="str">
        <v>PROJECTS!B257:B260 and AP:AR</v>
      </c>
      <c r="D359" s="2444" t="str">
        <v>Legacy bridge addresses restored</v>
      </c>
      <c r="E359" s="2444" t="str">
        <v>LIVE</v>
      </c>
      <c r="F359" s="2444" t="str">
        <v>Funding and ownership schedules.</v>
      </c>
      <c r="G359" s="2444"/>
      <c r="H359" s="2444" t="str">
        <v>VBA text references</v>
      </c>
      <c r="I359" s="2444" t="n">
        <v>0</v>
      </c>
      <c r="J359" s="2444" t="str">
        <v>No readable hard-coded PROJECTS address identified in vbaProject.bin</v>
      </c>
      <c r="K359" s="2444" t="str">
        <v>VBA project preserved byte-for-byte at release</v>
      </c>
      <c r="L359" s="2444" t="str">
        <v>PASS</v>
      </c>
      <c r="M359" s="2444" t="str">
        <v>Binary macro behaviour still requires normal Excel execution testing.</v>
      </c>
    </row>
    <row r="360">
      <c r="A360" s="2444" t="str">
        <v>INVESTOR REPORT</v>
      </c>
      <c r="B360" s="2444" t="n">
        <v>10</v>
      </c>
      <c r="C360" s="2444" t="str">
        <v>PROJECTS!AP:AR</v>
      </c>
      <c r="D360" s="2444" t="str">
        <v>Addresses preserved</v>
      </c>
      <c r="E360" s="2444" t="str">
        <v>LIVE</v>
      </c>
      <c r="F360" s="2444" t="str">
        <v>Investor-facing outputs.</v>
      </c>
      <c r="G360" s="2444"/>
      <c r="H360" s="2444" t="str">
        <v>Calculation settings</v>
      </c>
      <c r="I360" s="2444" t="str">
        <v>calcId 191029</v>
      </c>
      <c r="J360" s="2444" t="str">
        <v>No explicit iteration setting in workbook.xml</v>
      </c>
      <c r="K360" s="2444" t="str">
        <v>Existing workbook settings retained</v>
      </c>
      <c r="L360" s="2444" t="str">
        <v>PASS</v>
      </c>
      <c r="M360" s="2444" t="str">
        <v>Macro-driven calculations remain untouched.</v>
      </c>
    </row>
    <row r="361">
      <c r="A361" s="2444" t="str">
        <v>Summary</v>
      </c>
      <c r="B361" s="2444" t="n">
        <v>6</v>
      </c>
      <c r="C361" s="2444" t="str">
        <v>PROJECTS!AP:AR</v>
      </c>
      <c r="D361" s="2444" t="str">
        <v>Addresses preserved</v>
      </c>
      <c r="E361" s="2444" t="str">
        <v>LIVE</v>
      </c>
      <c r="F361" s="2444" t="str">
        <v>Governance and summary outputs.</v>
      </c>
      <c r="G361" s="2444"/>
      <c r="H361" s="2444" t="str">
        <v>Visible input records</v>
      </c>
      <c r="I361" s="2444" t="n">
        <v>250</v>
      </c>
      <c r="J361" s="2444" t="str">
        <v>250 permanent Field IDs</v>
      </c>
      <c r="K361" s="2444" t="str">
        <v>Every Field ID represented once in PROJECTS</v>
      </c>
      <c r="L361" s="2444" t="str">
        <v>PASS</v>
      </c>
      <c r="M361" s="2444" t="str"/>
    </row>
    <row r="362">
      <c r="A362" s="2444" t="str">
        <v>DATA MAP</v>
      </c>
      <c r="B362" s="2444" t="n">
        <v>7</v>
      </c>
      <c r="C362" s="2444" t="str">
        <v>PROJECTS register and control cells</v>
      </c>
      <c r="D362" s="2444" t="str">
        <v>Controls updated for cleaned placeholders</v>
      </c>
      <c r="E362" s="2444" t="str">
        <v>LIVE</v>
      </c>
      <c r="F362" s="2444" t="str">
        <v>Traceability and migration controls.</v>
      </c>
      <c r="G362" s="2444"/>
      <c r="H362" s="2444" t="str">
        <v>Invalid placeholders removed</v>
      </c>
      <c r="I362" s="2444" t="n">
        <v>189</v>
      </c>
      <c r="J362" s="2444" t="str">
        <v>760 placeholders in scenario and metadata fields</v>
      </c>
      <c r="K362" s="2444" t="str">
        <v>Cleared or replaced with supported notes</v>
      </c>
      <c r="L362" s="2444" t="str">
        <v>PASS</v>
      </c>
      <c r="M362" s="2444" t="str"/>
    </row>
    <row r="363">
      <c r="A363" s="2444" t="str">
        <v>PROJECTS internal</v>
      </c>
      <c r="B363" s="2444" t="n">
        <v>87</v>
      </c>
      <c r="C363" s="2444" t="str">
        <v>PROJECTS register and operating support</v>
      </c>
      <c r="D363" s="2444" t="str">
        <v>Compatibility formulas retained</v>
      </c>
      <c r="E363" s="2444" t="str">
        <v>LIVE</v>
      </c>
      <c r="F363" s="2444" t="str">
        <v>Internal presentation and controls.</v>
      </c>
      <c r="G363" s="2444"/>
      <c r="H363" s="2444" t="str">
        <v>Repeated component presentations consolidated</v>
      </c>
      <c r="I363" s="2444" t="n">
        <v>8</v>
      </c>
      <c r="J363" s="2444" t="str">
        <v>Eight repeated component input layouts</v>
      </c>
      <c r="K363" s="2444" t="str">
        <v>One component matrix plus one atomic register</v>
      </c>
      <c r="L363" s="2444" t="str">
        <v>PASS</v>
      </c>
      <c r="M363" s="2444" t="str">
        <v>Legacy support formulas retained.</v>
      </c>
    </row>
    <row r="364">
      <c r="A364" s="2444" t="str">
        <v>TOTAL</v>
      </c>
      <c r="B364" s="2444" t="n">
        <v>1549</v>
      </c>
      <c r="C364" s="2444" t="str">
        <v>Workbook-wide</v>
      </c>
      <c r="D364" s="2444" t="str">
        <v>1,462 external consumers plus 87 internal formulas retained</v>
      </c>
      <c r="E364" s="2444" t="str">
        <v>LIVE</v>
      </c>
      <c r="F364" s="2444" t="str">
        <v>No direct consumer formula was broken or unnecessarily rewritten.</v>
      </c>
      <c r="G364" s="2444"/>
      <c r="H364" s="2444" t="str">
        <v>Operating forecast links</v>
      </c>
      <c r="I364" s="2444" t="n">
        <v>154</v>
      </c>
      <c r="J364" s="2444" t="str">
        <v>Seven annual source rows across 22 years</v>
      </c>
      <c r="K364" s="2444" t="str">
        <v>OPERATING FORECAST links to PROJECTS compatibility cells</v>
      </c>
      <c r="L364" s="2444" t="str">
        <v>PASS</v>
      </c>
      <c r="M364" s="2444" t="str">
        <v>No competing annual input source.</v>
      </c>
    </row>
    <row r="365">
      <c r="A365" s="2444"/>
      <c r="B365" s="2444"/>
      <c r="C365" s="2444"/>
      <c r="D365" s="2444"/>
      <c r="E365" s="2444"/>
      <c r="F365" s="2444"/>
      <c r="G365" s="2444"/>
      <c r="H365" s="2444"/>
      <c r="I365" s="2444"/>
      <c r="J365" s="2444"/>
      <c r="K365" s="2444"/>
      <c r="L365" s="2444"/>
      <c r="M365" s="2444"/>
    </row>
    <row r="366">
      <c r="A366" s="2491" t="str">
        <v>Baseline Output</v>
      </c>
      <c r="B366" s="2491" t="str">
        <v>Pre-Migration</v>
      </c>
      <c r="C366" s="2491" t="str">
        <v>Post-Migration</v>
      </c>
      <c r="D366" s="2491" t="str">
        <v>Unit</v>
      </c>
      <c r="E366" s="2491" t="str">
        <v>Comparison</v>
      </c>
      <c r="F366" s="2491" t="str">
        <v>Post-Migration Reference</v>
      </c>
      <c r="G366" s="2491" t="str">
        <v>Comment</v>
      </c>
      <c r="H366" s="2444"/>
      <c r="I366" s="2444"/>
      <c r="J366" s="2444"/>
      <c r="K366" s="2444"/>
      <c r="L366" s="2444"/>
      <c r="M366" s="2444"/>
    </row>
    <row r="367">
      <c r="A367" s="2444" t="str">
        <v>Site area</v>
      </c>
      <c r="B367" s="2495" t="n">
        <v>34400</v>
      </c>
      <c r="C367" s="2495" t="n">
        <f>INDEX(PROJECTS!$AY$8:$AY$257,MATCH("AREA-001",PROJECTS!$AJ$8:$AJ$257,0))</f>
        <v>34400</v>
      </c>
      <c r="D367" s="2444" t="str">
        <v>sqm</v>
      </c>
      <c r="E367" s="2444" t="str">
        <f>IF(ISNUMBER(B367),IF(ABS(B367-C367)&lt;0.000001,"UNCHANGED","CHANGED"),IF(B367=C367,"UNCHANGED","CHANGED"))</f>
        <v>UNCHANGED</v>
      </c>
      <c r="F367" s="2444" t="str">
        <v>PROJECTS / AREA-001</v>
      </c>
      <c r="G367" s="2444" t="str"/>
      <c r="H367" s="2444"/>
      <c r="I367" s="2444"/>
      <c r="J367" s="2444"/>
      <c r="K367" s="2444"/>
      <c r="L367" s="2444"/>
      <c r="M367" s="2444"/>
    </row>
    <row r="368">
      <c r="A368" s="2444" t="str">
        <v>Total component area</v>
      </c>
      <c r="B368" s="2495" t="n">
        <v>78312.38</v>
      </c>
      <c r="C368" s="2495" t="n">
        <f>INDEX(PROJECTS!$AY$8:$AY$257,MATCH("AREA-CONTROL-TOTAL",PROJECTS!$AJ$8:$AJ$257,0))</f>
        <v>78312.38</v>
      </c>
      <c r="D368" s="2444" t="str">
        <v>sqm</v>
      </c>
      <c r="E368" s="2444" t="str">
        <f>IF(ISNUMBER(B368),IF(ABS(B368-C368)&lt;0.000001,"UNCHANGED","CHANGED"),IF(B368=C368,"UNCHANGED","CHANGED"))</f>
        <v>UNCHANGED</v>
      </c>
      <c r="F368" s="2444" t="str">
        <v>PROJECTS / AREA-CONTROL-TOTAL</v>
      </c>
      <c r="G368" s="2444" t="str"/>
      <c r="H368" s="2444"/>
      <c r="I368" s="2444"/>
      <c r="J368" s="2444"/>
      <c r="K368" s="2444"/>
      <c r="L368" s="2444"/>
      <c r="M368" s="2444"/>
    </row>
    <row r="369">
      <c r="A369" s="2444" t="str">
        <v>Total detailed CAPEX</v>
      </c>
      <c r="B369" s="2495" t="n">
        <v>342.423006481481</v>
      </c>
      <c r="C369" s="2495" t="n">
        <f>INDEX(PROJECTS!$AY$8:$AY$257,MATCH("CAPEX-TOTAL-001",PROJECTS!$AJ$8:$AJ$257,0))</f>
        <v>342.423006481481</v>
      </c>
      <c r="D369" s="2444" t="str">
        <v>A$m</v>
      </c>
      <c r="E369" s="2444" t="str">
        <f>IF(ISNUMBER(B369),IF(ABS(B369-C369)&lt;0.000001,"UNCHANGED","CHANGED"),IF(B369=C369,"UNCHANGED","CHANGED"))</f>
        <v>UNCHANGED</v>
      </c>
      <c r="F369" s="2444" t="str">
        <v>PROJECTS / CAPEX-TOTAL-001</v>
      </c>
      <c r="G369" s="2444" t="str"/>
      <c r="H369" s="2444"/>
      <c r="I369" s="2444"/>
      <c r="J369" s="2444"/>
      <c r="K369" s="2444"/>
      <c r="L369" s="2444"/>
      <c r="M369" s="2444"/>
    </row>
    <row r="370">
      <c r="A370" s="2444" t="str">
        <v>Gross development investment</v>
      </c>
      <c r="B370" s="2495" t="n">
        <v>448.85663516148145</v>
      </c>
      <c r="C370" s="2495" t="n">
        <f>INDEX(PROJECTS!$AY$8:$AY$257,MATCH("CAPEX-DEV-INV",PROJECTS!$AJ$8:$AJ$257,0))</f>
        <v>448.85663516148145</v>
      </c>
      <c r="D370" s="2444" t="str">
        <v>A$m</v>
      </c>
      <c r="E370" s="2444" t="str">
        <f>IF(ISNUMBER(B370),IF(ABS(B370-C370)&lt;0.000001,"UNCHANGED","CHANGED"),IF(B370=C370,"UNCHANGED","CHANGED"))</f>
        <v>UNCHANGED</v>
      </c>
      <c r="F370" s="2444" t="str">
        <v>PROJECTS / CAPEX-DEV-INV</v>
      </c>
      <c r="G370" s="2444" t="str"/>
      <c r="H370" s="2444"/>
      <c r="I370" s="2444"/>
      <c r="J370" s="2444"/>
      <c r="K370" s="2444"/>
      <c r="L370" s="2444"/>
      <c r="M370" s="2444"/>
    </row>
    <row r="371">
      <c r="A371" s="2444" t="str">
        <v>Total project funding requirement</v>
      </c>
      <c r="B371" s="2495" t="n">
        <v>418.75855128460006</v>
      </c>
      <c r="C371" s="2495" t="n">
        <f>INDEX(PROJECTS!$AY$8:$AY$257,MATCH("FUND-SCOPE-001",PROJECTS!$AJ$8:$AJ$257,0))</f>
        <v>418.75855128460006</v>
      </c>
      <c r="D371" s="2444" t="str">
        <v>A$m</v>
      </c>
      <c r="E371" s="2444" t="str">
        <f>IF(ISNUMBER(B371),IF(ABS(B371-C371)&lt;0.000001,"UNCHANGED","CHANGED"),IF(B371=C371,"UNCHANGED","CHANGED"))</f>
        <v>UNCHANGED</v>
      </c>
      <c r="F371" s="2444" t="str">
        <v>PROJECTS / FUND-SCOPE-001</v>
      </c>
      <c r="G371" s="2444" t="str"/>
      <c r="H371" s="2444"/>
      <c r="I371" s="2444"/>
      <c r="J371" s="2444"/>
      <c r="K371" s="2444"/>
      <c r="L371" s="2444"/>
      <c r="M371" s="2444"/>
    </row>
    <row r="372">
      <c r="A372" s="2444" t="str">
        <v>Construction debt source</v>
      </c>
      <c r="B372" s="2495" t="n">
        <v>213.01883390950715</v>
      </c>
      <c r="C372" s="2495" t="n">
        <f>INDEX(PROJECTS!$AY$8:$AY$257,MATCH("FUND-FINANCEABLE-DEBT",PROJECTS!$AJ$8:$AJ$257,0))</f>
        <v>213.01883390950715</v>
      </c>
      <c r="D372" s="2444" t="str">
        <v>A$m</v>
      </c>
      <c r="E372" s="2444" t="str">
        <f>IF(ISNUMBER(B372),IF(ABS(B372-C372)&lt;0.000001,"UNCHANGED","CHANGED"),IF(B372=C372,"UNCHANGED","CHANGED"))</f>
        <v>UNCHANGED</v>
      </c>
      <c r="F372" s="2444" t="str">
        <v>PROJECTS / FUND-FINANCEABLE-DEBT</v>
      </c>
      <c r="G372" s="2444" t="str"/>
      <c r="H372" s="2444"/>
      <c r="I372" s="2444"/>
      <c r="J372" s="2444"/>
      <c r="K372" s="2444"/>
      <c r="L372" s="2444"/>
      <c r="M372" s="2444"/>
    </row>
    <row r="373">
      <c r="A373" s="2444" t="str">
        <v>Funded equity requirement</v>
      </c>
      <c r="B373" s="2495" t="n">
        <v>205.73971737509245</v>
      </c>
      <c r="C373" s="2495" t="n">
        <f>'FUNDING &amp; CAP TABLE'!$D$35</f>
        <v>205.7397173750929</v>
      </c>
      <c r="D373" s="2444" t="str">
        <v>A$m</v>
      </c>
      <c r="E373" s="2444" t="str">
        <f>IF(ISNUMBER(B373),IF(ABS(B373-C373)&lt;0.000001,"UNCHANGED","CHANGED"),IF(B373=C373,"UNCHANGED","CHANGED"))</f>
        <v>UNCHANGED</v>
      </c>
      <c r="F373" s="2444" t="str">
        <v>FUNDING &amp; CAP TABLE!D35</v>
      </c>
      <c r="G373" s="2444" t="str"/>
      <c r="H373" s="2444"/>
      <c r="I373" s="2444"/>
      <c r="J373" s="2444"/>
      <c r="K373" s="2444"/>
      <c r="L373" s="2444"/>
      <c r="M373" s="2444"/>
    </row>
    <row r="374">
      <c r="A374" s="2444" t="str">
        <v>Underwriting equity input</v>
      </c>
      <c r="B374" s="2495" t="n">
        <v>119.20222252470232</v>
      </c>
      <c r="C374" s="2495" t="n">
        <f>'VALUATION &amp; RETURNS'!$C$12</f>
        <v>119.20222252470232</v>
      </c>
      <c r="D374" s="2444" t="str">
        <v>A$m</v>
      </c>
      <c r="E374" s="2444" t="str">
        <f>IF(ISNUMBER(B374),IF(ABS(B374-C374)&lt;0.000001,"UNCHANGED","CHANGED"),IF(B374=C374,"UNCHANGED","CHANGED"))</f>
        <v>UNCHANGED</v>
      </c>
      <c r="F374" s="2444" t="str">
        <v>VALUATION &amp; RETURNS!C12</v>
      </c>
      <c r="G374" s="2444" t="str">
        <v>Existing funding reconciliation distinction retained.</v>
      </c>
      <c r="H374" s="2444"/>
      <c r="I374" s="2444"/>
      <c r="J374" s="2444"/>
      <c r="K374" s="2444"/>
      <c r="L374" s="2444"/>
      <c r="M374" s="2444"/>
    </row>
    <row r="375">
      <c r="A375" s="2444" t="str">
        <v>Construction completion</v>
      </c>
      <c r="B375" s="2497" t="n">
        <v>47299</v>
      </c>
      <c r="C375" s="2497" t="n">
        <f>INDEX(PROJECTS!$AY$8:$AY$257,MATCH("PRG-PC-DATE",PROJECTS!$AJ$8:$AJ$257,0))</f>
        <v>47299</v>
      </c>
      <c r="D375" s="2444" t="str">
        <v>date</v>
      </c>
      <c r="E375" s="2444" t="str">
        <f>IF(ISNUMBER(B375),IF(ABS(B375-C375)&lt;0.000001,"UNCHANGED","CHANGED"),IF(B375=C375,"UNCHANGED","CHANGED"))</f>
        <v>UNCHANGED</v>
      </c>
      <c r="F375" s="2444" t="str">
        <v>PROJECTS / PRG-PC-DATE</v>
      </c>
      <c r="G375" s="2444" t="str"/>
      <c r="H375" s="2444"/>
      <c r="I375" s="2444"/>
      <c r="J375" s="2444"/>
      <c r="K375" s="2444"/>
      <c r="L375" s="2444"/>
      <c r="M375" s="2444"/>
    </row>
    <row r="376">
      <c r="A376" s="2444" t="str">
        <v>Operations commencement</v>
      </c>
      <c r="B376" s="2497" t="n">
        <v>47330</v>
      </c>
      <c r="C376" s="2497" t="n">
        <f>INDEX(PROJECTS!$AY$8:$AY$257,MATCH("PRG-OPEN-DATE",PROJECTS!$AJ$8:$AJ$257,0))</f>
        <v>47330</v>
      </c>
      <c r="D376" s="2444" t="str">
        <v>date</v>
      </c>
      <c r="E376" s="2444" t="str">
        <f>IF(ISNUMBER(B376),IF(ABS(B376-C376)&lt;0.000001,"UNCHANGED","CHANGED"),IF(B376=C376,"UNCHANGED","CHANGED"))</f>
        <v>UNCHANGED</v>
      </c>
      <c r="F376" s="2444" t="str">
        <v>PROJECTS / PRG-OPEN-DATE</v>
      </c>
      <c r="G376" s="2444" t="str"/>
      <c r="H376" s="2444"/>
      <c r="I376" s="2444"/>
      <c r="J376" s="2444"/>
      <c r="K376" s="2444"/>
      <c r="L376" s="2444"/>
      <c r="M376" s="2444"/>
    </row>
    <row r="377">
      <c r="A377" s="2444" t="str">
        <v>Stabilisation date</v>
      </c>
      <c r="B377" s="2497" t="n">
        <v>47695</v>
      </c>
      <c r="C377" s="2497" t="n">
        <f>INDEX(PROJECTS!$AY$8:$AY$257,MATCH("PRG-STAB-DATE",PROJECTS!$AJ$8:$AJ$257,0))</f>
        <v>47695</v>
      </c>
      <c r="D377" s="2444" t="str">
        <v>date</v>
      </c>
      <c r="E377" s="2444" t="str">
        <f>IF(ISNUMBER(B377),IF(ABS(B377-C377)&lt;0.000001,"UNCHANGED","CHANGED"),IF(B377=C377,"UNCHANGED","CHANGED"))</f>
        <v>UNCHANGED</v>
      </c>
      <c r="F377" s="2444" t="str">
        <v>PROJECTS / PRG-STAB-DATE</v>
      </c>
      <c r="G377" s="2444" t="str"/>
      <c r="H377" s="2444"/>
      <c r="I377" s="2444"/>
      <c r="J377" s="2444"/>
      <c r="K377" s="2444"/>
      <c r="L377" s="2444"/>
      <c r="M377" s="2444"/>
    </row>
    <row r="378">
      <c r="A378" s="2444" t="str">
        <v>Stabilised revenue</v>
      </c>
      <c r="B378" s="2495" t="n">
        <v>48.83020036828583</v>
      </c>
      <c r="C378" s="2495" t="n">
        <f>INDEX(PROJECTS!$AY$8:$AY$257,MATCH("OPS-STAB-REV",PROJECTS!$AJ$8:$AJ$257,0))</f>
        <v>48.83020036828583</v>
      </c>
      <c r="D378" s="2444" t="str">
        <v>A$m</v>
      </c>
      <c r="E378" s="2444" t="str">
        <f>IF(ISNUMBER(B378),IF(ABS(B378-C378)&lt;0.000001,"UNCHANGED","CHANGED"),IF(B378=C378,"UNCHANGED","CHANGED"))</f>
        <v>UNCHANGED</v>
      </c>
      <c r="F378" s="2444" t="str">
        <v>PROJECTS / OPS-STAB-REV</v>
      </c>
      <c r="G378" s="2444" t="str"/>
      <c r="H378" s="2444"/>
      <c r="I378" s="2444"/>
      <c r="J378" s="2444"/>
      <c r="K378" s="2444"/>
      <c r="L378" s="2444"/>
      <c r="M378" s="2444"/>
    </row>
    <row r="379">
      <c r="A379" s="2444" t="str">
        <v>Stabilised operating costs</v>
      </c>
      <c r="B379" s="2495" t="n">
        <v>3.2882786208900043</v>
      </c>
      <c r="C379" s="2495" t="n">
        <f>INDEX(PROJECTS!$AY$8:$AY$257,MATCH("OPS-STAB-OPEX",PROJECTS!$AJ$8:$AJ$257,0))</f>
        <v>3.2882786208900043</v>
      </c>
      <c r="D379" s="2444" t="str">
        <v>A$m</v>
      </c>
      <c r="E379" s="2444" t="str">
        <f>IF(ISNUMBER(B379),IF(ABS(B379-C379)&lt;0.000001,"UNCHANGED","CHANGED"),IF(B379=C379,"UNCHANGED","CHANGED"))</f>
        <v>UNCHANGED</v>
      </c>
      <c r="F379" s="2444" t="str">
        <v>PROJECTS / OPS-STAB-OPEX</v>
      </c>
      <c r="G379" s="2444" t="str"/>
      <c r="H379" s="2444"/>
      <c r="I379" s="2444"/>
      <c r="J379" s="2444"/>
      <c r="K379" s="2444"/>
      <c r="L379" s="2444"/>
      <c r="M379" s="2444"/>
    </row>
    <row r="380">
      <c r="A380" s="2444" t="str">
        <v>Stabilised EBITDA / NOI</v>
      </c>
      <c r="B380" s="2495" t="n">
        <v>45.541921747395826</v>
      </c>
      <c r="C380" s="2495" t="n">
        <f>'OPERATING FORECAST'!$C$28</f>
        <v>45.541921747395826</v>
      </c>
      <c r="D380" s="2444" t="str">
        <v>A$m</v>
      </c>
      <c r="E380" s="2444" t="str">
        <f>IF(ISNUMBER(B380),IF(ABS(B380-C380)&lt;0.000001,"UNCHANGED","CHANGED"),IF(B380=C380,"UNCHANGED","CHANGED"))</f>
        <v>UNCHANGED</v>
      </c>
      <c r="F380" s="2444" t="str">
        <v>OPERATING FORECAST!C28</v>
      </c>
      <c r="G380" s="2444" t="str"/>
      <c r="H380" s="2444"/>
      <c r="I380" s="2444"/>
      <c r="J380" s="2444"/>
      <c r="K380" s="2444"/>
      <c r="L380" s="2444"/>
      <c r="M380" s="2444"/>
    </row>
    <row r="381">
      <c r="A381" s="2444" t="str">
        <v>Selected capitalisation rate</v>
      </c>
      <c r="B381" s="2499" t="n">
        <v>0.06700819672131147</v>
      </c>
      <c r="C381" s="2499" t="n">
        <f>'VALUATION &amp; RETURNS'!$C$8</f>
        <v>0.06700819672131147</v>
      </c>
      <c r="D381" s="2444" t="str">
        <v>%</v>
      </c>
      <c r="E381" s="2444" t="str">
        <f>IF(ISNUMBER(B381),IF(ABS(B381-C381)&lt;0.000001,"UNCHANGED","CHANGED"),IF(B381=C381,"UNCHANGED","CHANGED"))</f>
        <v>UNCHANGED</v>
      </c>
      <c r="F381" s="2444" t="str">
        <v>VALUATION &amp; RETURNS!C8</v>
      </c>
      <c r="G381" s="2444" t="str"/>
      <c r="H381" s="2444"/>
      <c r="I381" s="2444"/>
      <c r="J381" s="2444"/>
      <c r="K381" s="2444"/>
      <c r="L381" s="2444"/>
      <c r="M381" s="2444"/>
    </row>
    <row r="382">
      <c r="A382" s="2444" t="str">
        <v>Selected gross project value</v>
      </c>
      <c r="B382" s="2495" t="n">
        <v>679.6470279122067</v>
      </c>
      <c r="C382" s="2495" t="n">
        <f>'VALUATION &amp; RETURNS'!$K$7</f>
        <v>679.6470279122067</v>
      </c>
      <c r="D382" s="2444" t="str">
        <v>A$m</v>
      </c>
      <c r="E382" s="2444" t="str">
        <f>IF(ISNUMBER(B382),IF(ABS(B382-C382)&lt;0.000001,"UNCHANGED","CHANGED"),IF(B382=C382,"UNCHANGED","CHANGED"))</f>
        <v>UNCHANGED</v>
      </c>
      <c r="F382" s="2444" t="str">
        <v>VALUATION &amp; RETURNS!K7</v>
      </c>
      <c r="G382" s="2444" t="str"/>
      <c r="H382" s="2444"/>
      <c r="I382" s="2444"/>
      <c r="J382" s="2444"/>
      <c r="K382" s="2444"/>
      <c r="L382" s="2444"/>
      <c r="M382" s="2444"/>
    </row>
    <row r="383">
      <c r="A383" s="2444" t="str">
        <v>Total debt commitment</v>
      </c>
      <c r="B383" s="2495" t="n">
        <v>209.37927564230003</v>
      </c>
      <c r="C383" s="2495" t="n">
        <f>DEBT!$B$9/1000000</f>
        <v>209.37927564230003</v>
      </c>
      <c r="D383" s="2444" t="str">
        <v>A$m</v>
      </c>
      <c r="E383" s="2444" t="str">
        <f>IF(ISNUMBER(B383),IF(ABS(B383-C383)&lt;0.000001,"UNCHANGED","CHANGED"),IF(B383=C383,"UNCHANGED","CHANGED"))</f>
        <v>UNCHANGED</v>
      </c>
      <c r="F383" s="2444" t="str">
        <v>DEBT!B9 / 1,000,000</v>
      </c>
      <c r="G383" s="2444" t="str"/>
      <c r="H383" s="2444"/>
      <c r="I383" s="2444"/>
      <c r="J383" s="2444"/>
      <c r="K383" s="2444"/>
      <c r="L383" s="2444"/>
      <c r="M383" s="2444"/>
    </row>
    <row r="384">
      <c r="A384" s="2444" t="str">
        <v>Peak construction debt</v>
      </c>
      <c r="B384" s="2495" t="n">
        <v>209.36565023643186</v>
      </c>
      <c r="C384" s="2495" t="n">
        <f>DEBT!$K$7/1000000</f>
        <v>209.36565023643186</v>
      </c>
      <c r="D384" s="2444" t="str">
        <v>A$m</v>
      </c>
      <c r="E384" s="2444" t="str">
        <f>IF(ISNUMBER(B384),IF(ABS(B384-C384)&lt;0.000001,"UNCHANGED","CHANGED"),IF(B384=C384,"UNCHANGED","CHANGED"))</f>
        <v>UNCHANGED</v>
      </c>
      <c r="F384" s="2444" t="str">
        <v>DEBT!K7 / 1,000,000</v>
      </c>
      <c r="G384" s="2444" t="str"/>
      <c r="H384" s="2444"/>
      <c r="I384" s="2444"/>
      <c r="J384" s="2444"/>
      <c r="K384" s="2444"/>
      <c r="L384" s="2444"/>
      <c r="M384" s="2444"/>
    </row>
    <row r="385">
      <c r="A385" s="2444" t="str">
        <v>Selected investor value</v>
      </c>
      <c r="B385" s="2444" t="n">
        <v>22.000204914314725</v>
      </c>
      <c r="C385" s="2444" t="n">
        <f>'INVESTOR REPORT'!$J$9</f>
        <v>22.000204914314725</v>
      </c>
      <c r="D385" s="2444" t="str">
        <v>A$m</v>
      </c>
      <c r="E385" s="2444" t="str">
        <f>IF(ISNUMBER(B385),IF(ABS(B385-C385)&lt;0.000001,"UNCHANGED","CHANGED"),IF(B385=C385,"UNCHANGED","CHANGED"))</f>
        <v>UNCHANGED</v>
      </c>
      <c r="F385" s="2444" t="str">
        <v>INVESTOR REPORT!J9</v>
      </c>
      <c r="G385" s="2444" t="str"/>
      <c r="H385" s="2444"/>
      <c r="I385" s="2444"/>
      <c r="J385" s="2444"/>
      <c r="K385" s="2444"/>
      <c r="L385" s="2444"/>
      <c r="M385" s="2444"/>
    </row>
    <row r="386">
      <c r="A386" s="2444" t="str">
        <v>Selected investor MOIC</v>
      </c>
      <c r="B386" s="2444" t="n">
        <v>2.2000204914314727</v>
      </c>
      <c r="C386" s="2444" t="n">
        <f>'INVESTOR REPORT'!$M$9</f>
        <v>2.2000204914314727</v>
      </c>
      <c r="D386" s="2444" t="str">
        <v>x</v>
      </c>
      <c r="E386" s="2444" t="str">
        <f>IF(ISNUMBER(B386),IF(ABS(B386-C386)&lt;0.000001,"UNCHANGED","CHANGED"),IF(B386=C386,"UNCHANGED","CHANGED"))</f>
        <v>UNCHANGED</v>
      </c>
      <c r="F386" s="2444" t="str">
        <v>INVESTOR REPORT!M9</v>
      </c>
      <c r="G386" s="2444" t="str"/>
      <c r="H386" s="2444"/>
      <c r="I386" s="2444"/>
      <c r="J386" s="2444"/>
      <c r="K386" s="2444"/>
      <c r="L386" s="2444"/>
      <c r="M386" s="2444"/>
    </row>
    <row r="387">
      <c r="A387" s="2444" t="str">
        <v>Selected investor XIRR</v>
      </c>
      <c r="B387" s="2499" t="n">
        <v>0.25243591969602264</v>
      </c>
      <c r="C387" s="2499" t="n">
        <f>'INVESTOR REPORT'!$L$16</f>
        <v>0.25243591969602264</v>
      </c>
      <c r="D387" s="2444" t="str">
        <v>%</v>
      </c>
      <c r="E387" s="2444" t="str">
        <f>IF(ISNUMBER(B387),IF(ABS(B387-C387)&lt;0.000001,"UNCHANGED","CHANGED"),IF(B387=C387,"UNCHANGED","CHANGED"))</f>
        <v>UNCHANGED</v>
      </c>
      <c r="F387" s="2444" t="str">
        <v>INVESTOR REPORT!L16</v>
      </c>
      <c r="G387" s="2444" t="str"/>
      <c r="H387" s="2444"/>
      <c r="I387" s="2444"/>
      <c r="J387" s="2444"/>
      <c r="K387" s="2444"/>
      <c r="L387" s="2444"/>
      <c r="M387" s="2444"/>
    </row>
    <row r="388">
      <c r="A388" s="2444" t="str">
        <v>Balance-sheet control</v>
      </c>
      <c r="B388" s="2444" t="str">
        <v>FAIL</v>
      </c>
      <c r="C388" s="2444" t="str">
        <f>Summary!$O$12</f>
        <v>FAIL</v>
      </c>
      <c r="D388" s="2444" t="str">
        <v>status</v>
      </c>
      <c r="E388" s="2444" t="str">
        <f>IF(ISNUMBER(B388),IF(ABS(B388-C388)&lt;0.000001,"UNCHANGED","CHANGED"),IF(B388=C388,"UNCHANGED","CHANGED"))</f>
        <v>UNCHANGED</v>
      </c>
      <c r="F388" s="2444" t="str">
        <v>Summary!O12</v>
      </c>
      <c r="G388" s="2444" t="str">
        <v>Known failure deliberately retained.</v>
      </c>
      <c r="H388" s="2444"/>
      <c r="I388" s="2444"/>
      <c r="J388" s="2444"/>
      <c r="K388" s="2444"/>
      <c r="L388" s="2444"/>
      <c r="M388" s="2444"/>
    </row>
    <row r="389">
      <c r="A389" s="2444" t="str">
        <v>Sources-and-uses control</v>
      </c>
      <c r="B389" s="2444" t="str">
        <v>PASS</v>
      </c>
      <c r="C389" s="2444" t="str">
        <f>Summary!$O$13</f>
        <v>PASS</v>
      </c>
      <c r="D389" s="2444" t="str">
        <v>status</v>
      </c>
      <c r="E389" s="2444" t="str">
        <f>IF(ISNUMBER(B389),IF(ABS(B389-C389)&lt;0.000001,"UNCHANGED","CHANGED"),IF(B389=C389,"UNCHANGED","CHANGED"))</f>
        <v>UNCHANGED</v>
      </c>
      <c r="F389" s="2444" t="str">
        <v>Summary!O13</v>
      </c>
      <c r="G389" s="2444" t="str"/>
      <c r="H389" s="2444"/>
      <c r="I389" s="2444"/>
      <c r="J389" s="2444"/>
      <c r="K389" s="2444"/>
      <c r="L389" s="2444"/>
      <c r="M389" s="2444"/>
    </row>
    <row r="390">
      <c r="A390" s="2444" t="str">
        <v>Debt roll-forward control</v>
      </c>
      <c r="B390" s="2444" t="str">
        <v>PASS</v>
      </c>
      <c r="C390" s="2444" t="str">
        <f>Summary!$O$14</f>
        <v>PASS</v>
      </c>
      <c r="D390" s="2444" t="str">
        <v>status</v>
      </c>
      <c r="E390" s="2444" t="str">
        <f>IF(ISNUMBER(B390),IF(ABS(B390-C390)&lt;0.000001,"UNCHANGED","CHANGED"),IF(B390=C390,"UNCHANGED","CHANGED"))</f>
        <v>UNCHANGED</v>
      </c>
      <c r="F390" s="2444" t="str">
        <v>Summary!O14</v>
      </c>
      <c r="G390" s="2444" t="str"/>
      <c r="H390" s="2444"/>
      <c r="I390" s="2444"/>
      <c r="J390" s="2444"/>
      <c r="K390" s="2444"/>
      <c r="L390" s="2444"/>
      <c r="M390" s="2444"/>
    </row>
    <row r="391">
      <c r="A391" s="2444" t="str">
        <v>Workbook error control</v>
      </c>
      <c r="B391" s="2444" t="str">
        <v>OK</v>
      </c>
      <c r="C391" s="2444" t="str">
        <f>'DATA MAP'!$C$170</f>
        <v>OK</v>
      </c>
      <c r="D391" s="2444" t="str">
        <v>status</v>
      </c>
      <c r="E391" s="2444" t="str">
        <f>IF(ISNUMBER(B391),IF(ABS(B391-C391)&lt;0.000001,"UNCHANGED","CHANGED"),IF(B391=C391,"UNCHANGED","CHANGED"))</f>
        <v>UNCHANGED</v>
      </c>
      <c r="F391" s="2444" t="str">
        <v>DATA MAP!C170</v>
      </c>
      <c r="G391" s="2444" t="str"/>
      <c r="H391" s="2444"/>
      <c r="I391" s="2444"/>
      <c r="J391" s="2444"/>
      <c r="K391" s="2444"/>
      <c r="L391" s="2444"/>
      <c r="M391" s="2444"/>
    </row>
    <row r="392">
      <c r="A392" s="2444"/>
      <c r="B392" s="2444"/>
      <c r="C392" s="2444"/>
      <c r="D392" s="2444"/>
      <c r="E392" s="2444"/>
      <c r="F392" s="2444"/>
      <c r="G392" s="2444"/>
      <c r="H392" s="2444"/>
      <c r="I392" s="2444"/>
      <c r="J392" s="2444"/>
      <c r="K392" s="2444"/>
      <c r="L392" s="2444"/>
      <c r="M392" s="2444"/>
    </row>
    <row r="393">
      <c r="A393" s="2444"/>
      <c r="B393" s="2444"/>
      <c r="C393" s="2444"/>
      <c r="D393" s="2444"/>
      <c r="E393" s="2444"/>
      <c r="F393" s="2444"/>
      <c r="G393" s="2444"/>
      <c r="H393" s="2444"/>
      <c r="I393" s="2444"/>
      <c r="J393" s="2444"/>
      <c r="K393" s="2444"/>
      <c r="L393" s="2444"/>
      <c r="M393" s="2444"/>
    </row>
    <row r="394">
      <c r="A394" s="2501" t="str">
        <v>ARCHITECTURE STATUS: PROJECTS remains the sole recognised input hub. OPERATING FORECAST is a linked supporting schedule; PROJECTS ARCHIVE preserves the original layout. The known balance-sheet failure and eight external owner decisions remain visible.</v>
      </c>
      <c r="B394" s="2501"/>
      <c r="C394" s="2501"/>
      <c r="D394" s="2501"/>
      <c r="E394" s="2501"/>
      <c r="F394" s="2501"/>
      <c r="G394" s="2501"/>
      <c r="H394" s="2501"/>
      <c r="I394" s="2501"/>
      <c r="J394" s="2501"/>
      <c r="K394" s="2501"/>
      <c r="L394" s="2501"/>
      <c r="M394" s="2501"/>
    </row>
    <row r="396">
      <c r="A396" s="2620" t="str">
        <v>PROJECTS USER-EDITABLE CELLS &amp; SCENARIO PROPAGATION</v>
      </c>
      <c r="B396" s="2620"/>
      <c r="C396" s="2620"/>
      <c r="D396" s="2620"/>
      <c r="E396" s="2620"/>
      <c r="F396" s="2620"/>
      <c r="G396" s="2620"/>
    </row>
    <row r="397">
      <c r="A397" s="2491" t="str">
        <v>Section</v>
      </c>
      <c r="B397" s="2491" t="str">
        <v>Base Input Cells</v>
      </c>
      <c r="C397" s="2491" t="str">
        <v>Scenario Input Cells</v>
      </c>
      <c r="D397" s="2491" t="str">
        <v>Input Count</v>
      </c>
      <c r="E397" s="2491" t="str">
        <v>Scenario Selector</v>
      </c>
      <c r="F397" s="2491" t="str">
        <v>Propagation</v>
      </c>
      <c r="G397" s="2491" t="str">
        <v>Note</v>
      </c>
    </row>
    <row r="398">
      <c r="A398" s="2444" t="str">
        <v>PROJECT IDENTITY</v>
      </c>
      <c r="B398" s="2444" t="str">
        <v>PROJECTS!E36:E40; PROJECTS!E42</v>
      </c>
      <c r="C398" s="2444" t="str">
        <v>None</v>
      </c>
      <c r="D398" s="2444" t="n">
        <v>6</v>
      </c>
      <c r="E398" s="2444" t="str">
        <v>INVESTOR REPORT!I3</v>
      </c>
      <c r="F398" s="2444" t="str">
        <v>I3 → VALUATION &amp; RETURNS!CR7 → PROJECTS Selected Value (H / AY) → existing AP:AR compatibility formulas → downstream model</v>
      </c>
      <c r="G398" s="2444" t="str">
        <v>Blue-font cells only; all formula and control cells remain non-editable in the protected PROJECTS release.</v>
      </c>
    </row>
    <row r="399">
      <c r="A399" s="2444" t="str">
        <v>PROGRAMME &amp; MILESTONES</v>
      </c>
      <c r="B399" s="2444" t="str">
        <v>PROJECTS!E46</v>
      </c>
      <c r="C399" s="2444" t="str">
        <v>None</v>
      </c>
      <c r="D399" s="2444" t="n">
        <v>1</v>
      </c>
      <c r="E399" s="2444" t="str">
        <v>INVESTOR REPORT!I3</v>
      </c>
      <c r="F399" s="2444" t="str">
        <v>I3 → VALUATION &amp; RETURNS!CR7 → PROJECTS Selected Value (H / AY) → existing AP:AR compatibility formulas → downstream model</v>
      </c>
      <c r="G399" s="2444" t="str">
        <v>Blue-font cells only; all formula and control cells remain non-editable in the protected PROJECTS release.</v>
      </c>
    </row>
    <row r="400">
      <c r="A400" s="2444" t="str">
        <v>SITE, AREAS &amp; CAPACITIES</v>
      </c>
      <c r="B400" s="2444" t="str">
        <v>PROJECTS!E57:E67; PROJECTS!E70:E71; PROJECTS!E73; PROJECTS!E75:E86</v>
      </c>
      <c r="C400" s="2444" t="str">
        <v>None</v>
      </c>
      <c r="D400" s="2444" t="n">
        <v>26</v>
      </c>
      <c r="E400" s="2444" t="str">
        <v>INVESTOR REPORT!I3</v>
      </c>
      <c r="F400" s="2444" t="str">
        <v>I3 → VALUATION &amp; RETURNS!CR7 → PROJECTS Selected Value (H / AY) → existing AP:AR compatibility formulas → downstream model</v>
      </c>
      <c r="G400" s="2444" t="str">
        <v>Blue-font cells only; all formula and control cells remain non-editable in the protected PROJECTS release.</v>
      </c>
    </row>
    <row r="401">
      <c r="A401" s="2444" t="str">
        <v>DEVELOPMENT CAPEX</v>
      </c>
      <c r="B401" s="2444" t="str">
        <v>PROJECTS!E109:E112; PROJECTS!E120:E122; PROJECTS!E125:E140</v>
      </c>
      <c r="C401" s="2444" t="str">
        <v>None</v>
      </c>
      <c r="D401" s="2444" t="n">
        <v>23</v>
      </c>
      <c r="E401" s="2444" t="str">
        <v>INVESTOR REPORT!I3</v>
      </c>
      <c r="F401" s="2444" t="str">
        <v>I3 → VALUATION &amp; RETURNS!CR7 → PROJECTS Selected Value (H / AY) → existing AP:AR compatibility formulas → downstream model</v>
      </c>
      <c r="G401" s="2444" t="str">
        <v>Blue-font cells only; all formula and control cells remain non-editable in the protected PROJECTS release.</v>
      </c>
    </row>
    <row r="402">
      <c r="A402" s="2444" t="str">
        <v>OPERATING ASSUMPTIONS</v>
      </c>
      <c r="B402" s="2444" t="str">
        <v>PROJECTS!E147; PROJECTS!E157:E158</v>
      </c>
      <c r="C402" s="2444" t="str">
        <v>None</v>
      </c>
      <c r="D402" s="2444" t="n">
        <v>3</v>
      </c>
      <c r="E402" s="2444" t="str">
        <v>INVESTOR REPORT!I3</v>
      </c>
      <c r="F402" s="2444" t="str">
        <v>I3 → VALUATION &amp; RETURNS!CR7 → PROJECTS Selected Value (H / AY) → existing AP:AR compatibility formulas → downstream model</v>
      </c>
      <c r="G402" s="2444" t="str">
        <v>Blue-font cells only; all formula and control cells remain non-editable in the protected PROJECTS release.</v>
      </c>
    </row>
    <row r="403">
      <c r="A403" s="2444" t="str">
        <v>LEASING &amp; REVENUE</v>
      </c>
      <c r="B403" s="2444" t="str">
        <v>PROJECTS!E162:E174</v>
      </c>
      <c r="C403" s="2444" t="str">
        <v>None</v>
      </c>
      <c r="D403" s="2444" t="n">
        <v>13</v>
      </c>
      <c r="E403" s="2444" t="str">
        <v>INVESTOR REPORT!I3</v>
      </c>
      <c r="F403" s="2444" t="str">
        <v>I3 → VALUATION &amp; RETURNS!CR7 → PROJECTS Selected Value (H / AY) → existing AP:AR compatibility formulas → downstream model</v>
      </c>
      <c r="G403" s="2444" t="str">
        <v>Blue-font cells only; all formula and control cells remain non-editable in the protected PROJECTS release.</v>
      </c>
    </row>
    <row r="404">
      <c r="A404" s="2444" t="str">
        <v>WORKING CAPITAL</v>
      </c>
      <c r="B404" s="2444" t="str">
        <v>PROJECTS!E178</v>
      </c>
      <c r="C404" s="2444" t="str">
        <v>None</v>
      </c>
      <c r="D404" s="2444" t="n">
        <v>1</v>
      </c>
      <c r="E404" s="2444" t="str">
        <v>INVESTOR REPORT!I3</v>
      </c>
      <c r="F404" s="2444" t="str">
        <v>I3 → VALUATION &amp; RETURNS!CR7 → PROJECTS Selected Value (H / AY) → existing AP:AR compatibility formulas → downstream model</v>
      </c>
      <c r="G404" s="2444" t="str">
        <v>Blue-font cells only; all formula and control cells remain non-editable in the protected PROJECTS release.</v>
      </c>
    </row>
    <row r="405">
      <c r="A405" s="2444" t="str">
        <v>DEBT &amp; FUNDING</v>
      </c>
      <c r="B405" s="2444" t="str">
        <v>PROJECTS!E182; PROJECTS!E184:E203; PROJECTS!E205:E207; PROJECTS!E220</v>
      </c>
      <c r="C405" s="2444" t="str">
        <v>PROJECTS!F182; PROJECTS!F184; PROJECTS!F187; PROJECTS!F198; PROJECTS!G182; PROJECTS!G184; PROJECTS!G187; PROJECTS!G198</v>
      </c>
      <c r="D405" s="2444" t="n">
        <v>33</v>
      </c>
      <c r="E405" s="2444" t="str">
        <v>INVESTOR REPORT!I3</v>
      </c>
      <c r="F405" s="2444" t="str">
        <v>I3 → VALUATION &amp; RETURNS!CR7 → PROJECTS Selected Value (H / AY) → existing AP:AR compatibility formulas → downstream model</v>
      </c>
      <c r="G405" s="2444" t="str">
        <v>Blue-font cells only; all formula and control cells remain non-editable in the protected PROJECTS release.</v>
      </c>
    </row>
    <row r="406">
      <c r="A406" s="2444" t="str">
        <v>INVESTORS &amp; OWNERSHIP</v>
      </c>
      <c r="B406" s="2444" t="str">
        <v>PROJECTS!E246:E257; PROJECTS!E261:E272; PROJECTS!E277</v>
      </c>
      <c r="C406" s="2444" t="str">
        <v>None</v>
      </c>
      <c r="D406" s="2444" t="n">
        <v>25</v>
      </c>
      <c r="E406" s="2444" t="str">
        <v>INVESTOR REPORT!I3</v>
      </c>
      <c r="F406" s="2444" t="str">
        <v>I3 → VALUATION &amp; RETURNS!CR7 → PROJECTS Selected Value (H / AY) → existing AP:AR compatibility formulas → downstream model</v>
      </c>
      <c r="G406" s="2444" t="str">
        <v>Blue-font cells only; all formula and control cells remain non-editable in the protected PROJECTS release.</v>
      </c>
    </row>
    <row r="407">
      <c r="A407" s="2444" t="str">
        <v>VALUATION &amp; EXIT</v>
      </c>
      <c r="B407" s="2444" t="str">
        <v>PROJECTS!E283; PROJECTS!E285:E287; PROJECTS!E289:E290; PROJECTS!E293:E295</v>
      </c>
      <c r="C407" s="2444" t="str">
        <v>PROJECTS!F283; PROJECTS!F286; PROJECTS!F295; PROJECTS!G283; PROJECTS!G286; PROJECTS!G295</v>
      </c>
      <c r="D407" s="2444" t="n">
        <v>15</v>
      </c>
      <c r="E407" s="2444" t="str">
        <v>INVESTOR REPORT!I3</v>
      </c>
      <c r="F407" s="2444" t="str">
        <v>I3 → VALUATION &amp; RETURNS!CR7 → PROJECTS Selected Value (H / AY) → existing AP:AR compatibility formulas → downstream model</v>
      </c>
      <c r="G407" s="2444" t="str">
        <v>Blue-font cells only; all formula and control cells remain non-editable in the protected PROJECTS release.</v>
      </c>
    </row>
    <row r="408">
      <c r="A408" s="2444" t="str">
        <v>TAX &amp; GST</v>
      </c>
      <c r="B408" s="2444" t="str">
        <v>PROJECTS!E302:E307</v>
      </c>
      <c r="C408" s="2444" t="str">
        <v>None</v>
      </c>
      <c r="D408" s="2444" t="n">
        <v>6</v>
      </c>
      <c r="E408" s="2444" t="str">
        <v>INVESTOR REPORT!I3</v>
      </c>
      <c r="F408" s="2444" t="str">
        <v>I3 → VALUATION &amp; RETURNS!CR7 → PROJECTS Selected Value (H / AY) → existing AP:AR compatibility formulas → downstream model</v>
      </c>
      <c r="G408" s="2444" t="str">
        <v>Blue-font cells only; all formula and control cells remain non-editable in the protected PROJECTS release.</v>
      </c>
    </row>
    <row r="409">
      <c r="A409" s="2444" t="str">
        <v>OWNER DECISIONS</v>
      </c>
      <c r="B409" s="2444" t="str">
        <v>PROJECTS!E312:E313</v>
      </c>
      <c r="C409" s="2444" t="str">
        <v>None</v>
      </c>
      <c r="D409" s="2444" t="n">
        <v>2</v>
      </c>
      <c r="E409" s="2444" t="str">
        <v>INVESTOR REPORT!I3</v>
      </c>
      <c r="F409" s="2444" t="str">
        <v>I3 → VALUATION &amp; RETURNS!CR7 → PROJECTS Selected Value (H / AY) → existing AP:AR compatibility formulas → downstream model</v>
      </c>
      <c r="G409" s="2444" t="str">
        <v>Blue-font cells only; all formula and control cells remain non-editable in the protected PROJECTS release.</v>
      </c>
    </row>
    <row r="410">
      <c r="A410" s="2444"/>
      <c r="B410" s="2444"/>
      <c r="C410" s="2444"/>
      <c r="D410" s="2444"/>
      <c r="E410" s="2444"/>
      <c r="F410" s="2444"/>
      <c r="G410" s="2444"/>
    </row>
    <row r="411">
      <c r="A411" s="2491" t="str">
        <v>Scenario Test</v>
      </c>
      <c r="B411" s="2491" t="str">
        <v>Selector</v>
      </c>
      <c r="C411" s="2491" t="str">
        <v>URWLD CAPEX (A$m)</v>
      </c>
      <c r="D411" s="2491" t="str">
        <v>Terminal Cap Rate</v>
      </c>
      <c r="E411" s="2491" t="str">
        <v>Selected Investor Value (A$m)</v>
      </c>
      <c r="F411" s="2491" t="str">
        <v>Result</v>
      </c>
      <c r="G411" s="2491" t="str">
        <v>Comment</v>
      </c>
    </row>
    <row r="412">
      <c r="A412" s="2444" t="str">
        <v>Downside propagation</v>
      </c>
      <c r="B412" s="2444" t="str">
        <v>Downside</v>
      </c>
      <c r="C412" s="2495" t="n">
        <v>99.85962962962967</v>
      </c>
      <c r="D412" s="2622" t="n">
        <v>0.0725</v>
      </c>
      <c r="E412" s="2495" t="n">
        <v>19.77191218357688</v>
      </c>
      <c r="F412" s="2444" t="str">
        <v>PASS</v>
      </c>
      <c r="G412" s="2444" t="str">
        <v>Register, valuation and investor output changed together.</v>
      </c>
    </row>
    <row r="413">
      <c r="A413" s="2444" t="str">
        <v>Upside propagation</v>
      </c>
      <c r="B413" s="2444" t="str">
        <v>Upside</v>
      </c>
      <c r="C413" s="2495" t="n">
        <v>86.24240740740743</v>
      </c>
      <c r="D413" s="2622" t="n">
        <v>0.0625</v>
      </c>
      <c r="E413" s="2495" t="n">
        <v>24.61063617436934</v>
      </c>
      <c r="F413" s="2444" t="str">
        <v>PASS</v>
      </c>
      <c r="G413" s="2444" t="str">
        <v>Register, valuation and investor output changed together.</v>
      </c>
    </row>
    <row r="414">
      <c r="A414" s="2444" t="str">
        <v>Base restored</v>
      </c>
      <c r="B414" s="2444" t="str">
        <v>Base</v>
      </c>
      <c r="C414" s="2495" t="n">
        <v>90.7814814814815</v>
      </c>
      <c r="D414" s="2622" t="n">
        <v>0.0675</v>
      </c>
      <c r="E414" s="2495" t="n">
        <v>22.000204914314725</v>
      </c>
      <c r="F414" s="2444" t="str">
        <v>PASS</v>
      </c>
      <c r="G414" s="2444" t="str">
        <v>Final delivered workbook restored to Base.</v>
      </c>
    </row>
  </sheetData>
  <mergeCells>
    <mergeCell ref="A179:K179"/>
    <mergeCell ref="A192:K192"/>
    <mergeCell ref="A175:K175"/>
    <mergeCell ref="D191:G191"/>
    <mergeCell ref="D199:F199"/>
    <mergeCell ref="A201:K201"/>
    <mergeCell ref="D181:G181"/>
    <mergeCell ref="D182:G182"/>
    <mergeCell ref="D183:G183"/>
    <mergeCell ref="D184:G184"/>
    <mergeCell ref="D185:G185"/>
    <mergeCell ref="D186:G186"/>
    <mergeCell ref="D187:G187"/>
    <mergeCell ref="D188:G188"/>
    <mergeCell ref="D189:G189"/>
    <mergeCell ref="D190:G190"/>
    <mergeCell ref="D194:F194"/>
    <mergeCell ref="D195:F195"/>
    <mergeCell ref="D196:F196"/>
    <mergeCell ref="D197:F197"/>
    <mergeCell ref="D198:F198"/>
    <mergeCell ref="D170:K170"/>
    <mergeCell ref="D171:K171"/>
    <mergeCell ref="D165:K165"/>
    <mergeCell ref="D166:K166"/>
    <mergeCell ref="D167:K167"/>
    <mergeCell ref="D168:K168"/>
    <mergeCell ref="D169:K169"/>
    <mergeCell ref="D200:F200"/>
    <mergeCell ref="A2:K2"/>
    <mergeCell ref="A4:K4"/>
    <mergeCell ref="A5:K5"/>
    <mergeCell ref="A140:K140"/>
    <mergeCell ref="A153:K153"/>
    <mergeCell ref="D155:K155"/>
    <mergeCell ref="D156:K156"/>
    <mergeCell ref="D157:K157"/>
    <mergeCell ref="D158:K158"/>
    <mergeCell ref="D159:K159"/>
    <mergeCell ref="D160:K160"/>
    <mergeCell ref="D161:K161"/>
    <mergeCell ref="D162:K162"/>
    <mergeCell ref="D163:K163"/>
    <mergeCell ref="D164:K164"/>
    <mergeCell ref="A354:M354"/>
    <mergeCell ref="A394:M394"/>
    <mergeCell ref="A396:G396"/>
  </mergeCells>
  <conditionalFormatting sqref="E367:E391">
    <cfRule type="expression" dxfId="67" priority="1">
      <formula>E367="UNCHANGED"</formula>
    </cfRule>
    <cfRule type="expression" dxfId="68" priority="2">
      <formula>E367="CHANGED"</formula>
    </cfRule>
  </conditionalFormatting>
  <pageMargins left="0.7" right="0.7" top="0.75" bottom="0.75" header="0.3" footer="0.3"/>
</worksheet>
</file>

<file path=xl/worksheets/sheet11.xml><?xml version="1.0" encoding="utf-8"?>
<worksheet xmlns="http://schemas.openxmlformats.org/spreadsheetml/2006/main">
  <sheetPr>
    <tabColor rgb="FF9D8F42"/>
  </sheetPr>
  <sheetViews>
    <sheetView showGridLines="0" workbookViewId="0"/>
  </sheetViews>
  <sheetFormatPr defaultRowHeight="14.5"/>
  <cols>
    <col min="1" max="1" width="34" customWidth="1"/>
    <col min="2" max="2" width="44" customWidth="1"/>
    <col min="3" max="6" width="17" customWidth="1"/>
    <col min="7" max="7" width="36" customWidth="1"/>
    <col min="8" max="8" width="28" customWidth="1"/>
    <col min="9" max="9" width="55" customWidth="1"/>
  </cols>
  <sheetData>
    <row r="1">
      <c r="A1" s="614"/>
      <c r="B1" s="614"/>
      <c r="C1" s="614"/>
      <c r="D1" s="614"/>
      <c r="E1" s="614"/>
      <c r="F1" s="614"/>
      <c r="G1" s="614"/>
      <c r="H1" s="614"/>
      <c r="I1" s="614"/>
    </row>
    <row r="2" ht="7.75" customHeight="1">
      <c r="A2" s="731" t="s">
        <v>3132</v>
      </c>
      <c r="B2" s="731" t="s">
        <v>3132</v>
      </c>
      <c r="C2" s="731" t="s">
        <v>3132</v>
      </c>
      <c r="D2" s="731" t="s">
        <v>3132</v>
      </c>
      <c r="E2" s="731" t="s">
        <v>3132</v>
      </c>
      <c r="F2" s="731" t="s">
        <v>3132</v>
      </c>
      <c r="G2" s="731" t="s">
        <v>3132</v>
      </c>
      <c r="H2" s="731" t="s">
        <v>3132</v>
      </c>
      <c r="I2" s="731" t="s">
        <v>3132</v>
      </c>
    </row>
    <row r="3">
      <c r="A3" s="614"/>
      <c r="B3" s="614"/>
      <c r="C3" s="614"/>
      <c r="D3" s="614"/>
      <c r="E3" s="614"/>
      <c r="F3" s="614"/>
      <c r="G3" s="614"/>
      <c r="H3" s="614"/>
      <c r="I3" s="614"/>
    </row>
    <row r="4" ht="10.649999618530273" customHeight="1">
      <c r="A4" s="732" t="s">
        <v>3133</v>
      </c>
      <c r="B4" s="732" t="s">
        <v>3134</v>
      </c>
      <c r="C4" s="732" t="s">
        <v>3134</v>
      </c>
      <c r="D4" s="732" t="s">
        <v>3134</v>
      </c>
      <c r="E4" s="732" t="s">
        <v>3134</v>
      </c>
      <c r="F4" s="732" t="s">
        <v>3134</v>
      </c>
      <c r="G4" s="732" t="s">
        <v>3134</v>
      </c>
      <c r="H4" s="732" t="s">
        <v>3134</v>
      </c>
      <c r="I4" s="732" t="s">
        <v>3134</v>
      </c>
    </row>
    <row r="5">
      <c r="A5" s="614"/>
      <c r="B5" s="614"/>
      <c r="C5" s="614"/>
      <c r="D5" s="614"/>
      <c r="E5" s="614"/>
      <c r="F5" s="614"/>
      <c r="G5" s="614"/>
      <c r="H5" s="614"/>
      <c r="I5" s="614"/>
    </row>
    <row r="6">
      <c r="A6" s="733" t="s">
        <v>3135</v>
      </c>
      <c r="B6" s="733"/>
      <c r="C6" s="733"/>
      <c r="D6" s="733"/>
      <c r="E6" s="733"/>
      <c r="F6" s="733"/>
      <c r="G6" s="733"/>
      <c r="H6" s="733"/>
      <c r="I6" s="733"/>
    </row>
    <row r="7" ht="26.5">
      <c r="A7" s="615" t="s">
        <v>828</v>
      </c>
      <c r="B7" s="615" t="s">
        <v>3136</v>
      </c>
      <c r="C7" s="615" t="s">
        <v>3137</v>
      </c>
      <c r="D7" s="615" t="s">
        <v>3138</v>
      </c>
      <c r="E7" s="615" t="s">
        <v>3139</v>
      </c>
      <c r="F7" s="615" t="s">
        <v>968</v>
      </c>
      <c r="G7" s="615" t="s">
        <v>3140</v>
      </c>
      <c r="H7" s="615" t="s">
        <v>612</v>
      </c>
      <c r="I7" s="615" t="s">
        <v>3141</v>
      </c>
    </row>
    <row r="8" ht="26.5">
      <c r="A8" s="623" t="s">
        <v>3142</v>
      </c>
      <c r="B8" s="623" t="s">
        <v>3143</v>
      </c>
      <c r="C8" s="625" t="n">
        <f>SUM(PROJECTS!$AP$141:$AP$143)</f>
        <v>15.001</v>
      </c>
      <c r="D8" s="625" t="n">
        <f>SUM(PROJECTS!$AP$141:$AP$143)</f>
        <v>15.001</v>
      </c>
      <c r="E8" s="629" t="n">
        <f t="shared" ref="E8:E15" si="0">C8-D8</f>
        <v>0</v>
      </c>
      <c r="F8" s="671" t="n">
        <f t="shared" ref="F8:F15" si="1">IF($D$20=0,0,$D8/$D$20)</f>
        <v>0.07291251388593595</v>
      </c>
      <c r="G8" s="623" t="s">
        <v>3144</v>
      </c>
      <c r="H8" s="623" t="s">
        <v>1921</v>
      </c>
      <c r="I8" s="623"/>
    </row>
    <row r="9">
      <c r="A9" s="623" t="s">
        <v>1142</v>
      </c>
      <c r="B9" s="623" t="s">
        <v>3145</v>
      </c>
      <c r="C9" s="625" t="n">
        <f>SUM(PROJECTS!$AP$138:$AP$140)</f>
        <v>10</v>
      </c>
      <c r="D9" s="625" t="n">
        <f>SUM(PROJECTS!$AP$138:$AP$140)</f>
        <v>10</v>
      </c>
      <c r="E9" s="629">
        <f t="shared" si="0"/>
        <v>0</v>
      </c>
      <c r="F9" s="671">
        <f t="shared" si="1"/>
        <v>4.8605102250474042E-2</v>
      </c>
      <c r="G9" s="623" t="s">
        <v>3146</v>
      </c>
      <c r="H9" s="623" t="s">
        <v>1921</v>
      </c>
      <c r="I9" s="623"/>
    </row>
    <row r="10">
      <c r="A10" s="623" t="s">
        <v>3147</v>
      </c>
      <c r="B10" s="623" t="s">
        <v>3148</v>
      </c>
      <c r="C10" s="625" t="n">
        <f>SUM(PROJECTS!$AP$144:$AP$146)</f>
        <v>5</v>
      </c>
      <c r="D10" s="625" t="n">
        <f>SUM(PROJECTS!$AP$144:$AP$146)</f>
        <v>5</v>
      </c>
      <c r="E10" s="629">
        <f t="shared" si="0"/>
        <v>0</v>
      </c>
      <c r="F10" s="671">
        <f t="shared" si="1"/>
        <v>2.4302551125237021E-2</v>
      </c>
      <c r="G10" s="623" t="s">
        <v>3149</v>
      </c>
      <c r="H10" s="623" t="s">
        <v>1921</v>
      </c>
      <c r="I10" s="623"/>
    </row>
    <row r="11">
      <c r="A11" s="623" t="s">
        <v>3150</v>
      </c>
      <c r="B11" s="623" t="s">
        <v>3151</v>
      </c>
      <c r="C11" s="625" t="n">
        <f>SUM(PROJECTS!$AP$147:$AP$149)</f>
        <v>2</v>
      </c>
      <c r="D11" s="625" t="n">
        <f>SUM(PROJECTS!$AP$147:$AP$149)</f>
        <v>2</v>
      </c>
      <c r="E11" s="629">
        <f t="shared" si="0"/>
        <v>0</v>
      </c>
      <c r="F11" s="671">
        <f t="shared" si="1"/>
        <v>9.721020450094809E-3</v>
      </c>
      <c r="G11" s="623" t="s">
        <v>3152</v>
      </c>
      <c r="H11" s="623" t="s">
        <v>1921</v>
      </c>
      <c r="I11" s="623"/>
    </row>
    <row r="12">
      <c r="A12" s="623" t="s">
        <v>3153</v>
      </c>
      <c r="B12" s="623" t="s">
        <v>3154</v>
      </c>
      <c r="C12" s="625" t="n">
        <f>SUM(PROJECTS!$AP$150:$AP$152)</f>
        <v>1</v>
      </c>
      <c r="D12" s="625" t="n">
        <f>SUM(PROJECTS!$AP$150:$AP$152)</f>
        <v>1</v>
      </c>
      <c r="E12" s="629">
        <f t="shared" si="0"/>
        <v>0</v>
      </c>
      <c r="F12" s="671">
        <f t="shared" si="1"/>
        <v>4.8605102250474045E-3</v>
      </c>
      <c r="G12" s="623" t="s">
        <v>3155</v>
      </c>
      <c r="H12" s="623" t="s">
        <v>1921</v>
      </c>
      <c r="I12" s="623"/>
    </row>
    <row r="13">
      <c r="A13" s="623" t="s">
        <v>3156</v>
      </c>
      <c r="B13" s="623" t="s">
        <v>3157</v>
      </c>
      <c r="C13" s="625" t="n">
        <f>SUM(PROJECTS!$AP$153:$AP$155)</f>
        <v>0.83</v>
      </c>
      <c r="D13" s="625" t="n">
        <f>SUM(PROJECTS!$AP$153:$AP$155)</f>
        <v>0.83</v>
      </c>
      <c r="E13" s="629">
        <f t="shared" si="0"/>
        <v>0</v>
      </c>
      <c r="F13" s="671">
        <f t="shared" si="1"/>
        <v>4.0342234867893458E-3</v>
      </c>
      <c r="G13" s="623" t="s">
        <v>3158</v>
      </c>
      <c r="H13" s="623" t="s">
        <v>1921</v>
      </c>
      <c r="I13" s="623"/>
    </row>
    <row r="14">
      <c r="A14" s="623" t="s">
        <v>3159</v>
      </c>
      <c r="B14" s="623" t="s">
        <v>3160</v>
      </c>
      <c r="C14" s="625" t="n">
        <f>SUM(PROJECTS!$AP$156:$AP$158)</f>
        <v>50</v>
      </c>
      <c r="D14" s="625" t="n">
        <f>SUM(PROJECTS!$AP$156:$AP$158)</f>
        <v>50</v>
      </c>
      <c r="E14" s="629">
        <f t="shared" si="0"/>
        <v>0</v>
      </c>
      <c r="F14" s="671">
        <f t="shared" si="1"/>
        <v>0.24302551125237021</v>
      </c>
      <c r="G14" s="623" t="s">
        <v>3161</v>
      </c>
      <c r="H14" s="623" t="s">
        <v>1921</v>
      </c>
      <c r="I14" s="623"/>
    </row>
    <row r="15">
      <c r="A15" s="623" t="s">
        <v>3162</v>
      </c>
      <c r="B15" s="623" t="s">
        <v>3163</v>
      </c>
      <c r="C15" s="626" t="n">
        <f>PROJECTS!$AP$209</f>
        <v>150</v>
      </c>
      <c r="D15" s="626" t="n">
        <f>$D$20-SUM($D$8:$D$14)</f>
        <v>121.90871737509292</v>
      </c>
      <c r="E15" s="626">
        <f t="shared" si="0"/>
        <v>28.091282624907535</v>
      </c>
      <c r="F15" s="672">
        <f t="shared" si="1"/>
        <v>0.59253856732405108</v>
      </c>
      <c r="G15" s="623" t="s">
        <v>3164</v>
      </c>
      <c r="H15" s="623" t="s">
        <v>1921</v>
      </c>
      <c r="I15" s="623"/>
    </row>
    <row r="16">
      <c r="A16" s="623"/>
      <c r="B16" s="623"/>
      <c r="C16" s="626"/>
      <c r="D16" s="626"/>
      <c r="E16" s="626"/>
      <c r="F16" s="672"/>
      <c r="G16" s="623"/>
      <c r="H16" s="623"/>
      <c r="I16" s="623"/>
    </row>
    <row r="17">
      <c r="A17" s="623"/>
      <c r="B17" s="623"/>
      <c r="C17" s="626"/>
      <c r="D17" s="626"/>
      <c r="E17" s="626"/>
      <c r="F17" s="672"/>
      <c r="G17" s="623"/>
      <c r="H17" s="623"/>
      <c r="I17" s="623"/>
    </row>
    <row r="18">
      <c r="A18" s="627" t="s">
        <v>3165</v>
      </c>
      <c r="B18" s="627"/>
      <c r="C18" s="628" t="n">
        <f>SUM(C8:C15)</f>
        <v>233.831</v>
      </c>
      <c r="D18" s="628" t="n">
        <f>SUM($D$8:$D$15)</f>
        <v>205.7397173750929</v>
      </c>
      <c r="E18" s="628" t="n">
        <f>SUM($E$8:$E$15)</f>
        <v>28.091282624907535</v>
      </c>
      <c r="F18" s="673" t="n">
        <f>SUM($F$8:$F$15)</f>
        <v>0.9999999999999999</v>
      </c>
      <c r="G18" s="627"/>
      <c r="H18" s="627"/>
      <c r="I18" s="627"/>
    </row>
    <row r="19">
      <c r="A19" s="623"/>
      <c r="B19" s="623"/>
      <c r="C19" s="626"/>
      <c r="D19" s="626"/>
      <c r="E19" s="626"/>
      <c r="F19" s="636"/>
      <c r="G19" s="623"/>
      <c r="H19" s="623"/>
      <c r="I19" s="623"/>
    </row>
    <row r="20">
      <c r="A20" s="623" t="s">
        <v>3166</v>
      </c>
      <c r="B20" s="623" t="s">
        <v>515</v>
      </c>
      <c r="C20" s="626"/>
      <c r="D20" s="626" t="n">
        <f>-PROJECTS!$B$259</f>
        <v>205.7397173750929</v>
      </c>
      <c r="E20" s="626"/>
      <c r="F20" s="636"/>
      <c r="G20" s="623" t="s">
        <v>3167</v>
      </c>
      <c r="H20" s="623" t="s">
        <v>3168</v>
      </c>
      <c r="I20" s="634">
        <v>0.5</v>
      </c>
    </row>
    <row r="21">
      <c r="A21" s="623" t="s">
        <v>3169</v>
      </c>
      <c r="B21" s="623" t="s">
        <v>515</v>
      </c>
      <c r="C21" s="626"/>
      <c r="D21" s="626" t="n">
        <f>PROJECTS!$AP$167</f>
        <v>209.37927564230003</v>
      </c>
      <c r="E21" s="626"/>
      <c r="F21" s="636"/>
      <c r="G21" s="623" t="s">
        <v>3170</v>
      </c>
      <c r="H21" s="623" t="s">
        <v>3171</v>
      </c>
      <c r="I21" s="634" t="n">
        <f>$D$22</f>
        <v>0.5043837530062791</v>
      </c>
    </row>
    <row r="22">
      <c r="A22" s="623" t="s">
        <v>3172</v>
      </c>
      <c r="B22" s="623" t="s">
        <v>3173</v>
      </c>
      <c r="C22" s="636"/>
      <c r="D22" s="635" t="n">
        <f>IF(SUM($D$20:$D$21)=0,0,$D$21/SUM($D$20:$D$21))</f>
        <v>0.5043837530062791</v>
      </c>
      <c r="E22" s="635" t="n">
        <f>1-$D$22</f>
        <v>0.49561624699372087</v>
      </c>
      <c r="F22" s="636"/>
      <c r="G22" s="623" t="s">
        <v>3174</v>
      </c>
      <c r="H22" s="623" t="s">
        <v>3175</v>
      </c>
      <c r="I22" s="623" t="str">
        <f>IF($I$21&lt;=$I$20+5%,"OK","OVER TARGET")</f>
        <v>OK</v>
      </c>
    </row>
    <row r="23">
      <c r="A23" s="623"/>
      <c r="B23" s="623"/>
      <c r="C23" s="623"/>
      <c r="D23" s="623"/>
      <c r="E23" s="623"/>
      <c r="F23" s="623"/>
      <c r="G23" s="623"/>
      <c r="H23" s="623"/>
      <c r="I23" s="623"/>
    </row>
    <row r="24">
      <c r="A24" s="623"/>
      <c r="B24" s="623"/>
      <c r="C24" s="623"/>
      <c r="D24" s="623"/>
      <c r="E24" s="623"/>
      <c r="F24" s="623"/>
      <c r="G24" s="623"/>
      <c r="H24" s="623"/>
      <c r="I24" s="623"/>
    </row>
    <row r="25">
      <c r="A25" s="734" t="s">
        <v>3176</v>
      </c>
      <c r="B25" s="734"/>
      <c r="C25" s="734"/>
      <c r="D25" s="734"/>
      <c r="E25" s="734"/>
      <c r="F25" s="734"/>
      <c r="G25" s="734"/>
      <c r="H25" s="734"/>
      <c r="I25" s="734"/>
    </row>
    <row r="26">
      <c r="A26" s="615" t="s">
        <v>1056</v>
      </c>
      <c r="B26" s="615" t="s">
        <v>1057</v>
      </c>
      <c r="C26" s="615" t="s">
        <v>996</v>
      </c>
      <c r="D26" s="623"/>
      <c r="E26" s="623"/>
      <c r="F26" s="623"/>
      <c r="G26" s="623"/>
      <c r="H26" s="623"/>
      <c r="I26" s="623"/>
    </row>
    <row r="27" ht="39.5">
      <c r="A27" s="623" t="s">
        <v>3177</v>
      </c>
      <c r="B27" s="630" t="str">
        <f>IF(ABS($D$18-$D$20)&lt;0.0001,"OK","EXCEPTION: funded equity")</f>
        <v>OK</v>
      </c>
      <c r="C27" s="623" t="s">
        <v>3178</v>
      </c>
      <c r="D27" s="623"/>
      <c r="E27" s="623"/>
      <c r="F27" s="623"/>
      <c r="G27" s="623"/>
      <c r="H27" s="623"/>
      <c r="I27" s="623"/>
    </row>
    <row r="28" ht="26.5">
      <c r="A28" s="623" t="s">
        <v>3179</v>
      </c>
      <c r="B28" s="630" t="str">
        <f>IF(ABS($F$18-1)&lt;0.000001,"OK","EXCEPTION: ownership")</f>
        <v>OK</v>
      </c>
      <c r="C28" s="623" t="s">
        <v>3180</v>
      </c>
      <c r="D28" s="623"/>
      <c r="E28" s="623"/>
      <c r="F28" s="623"/>
      <c r="G28" s="623"/>
      <c r="H28" s="623"/>
      <c r="I28" s="623"/>
    </row>
    <row r="29" ht="26.5">
      <c r="A29" s="623" t="s">
        <v>3181</v>
      </c>
      <c r="B29" s="630" t="str" cm="1">
        <f t="array" ref="B29">IF(SUMPRODUCT(--($D$8:$D$15&gt;$C$8:$C$15))=0,"OK","EXCEPTION: commitment")</f>
        <v>OK</v>
      </c>
      <c r="C29" s="623" t="s">
        <v>3182</v>
      </c>
      <c r="D29" s="623"/>
      <c r="E29" s="623"/>
      <c r="F29" s="623"/>
      <c r="G29" s="623"/>
      <c r="H29" s="623"/>
      <c r="I29" s="623"/>
    </row>
    <row r="30" ht="26.5">
      <c r="A30" s="623" t="s">
        <v>3183</v>
      </c>
      <c r="B30" s="630" t="str">
        <f>IF($D$15&lt;=$C$15,"OK","EXCEPTION: Master Developer commitment")</f>
        <v>OK</v>
      </c>
      <c r="C30" s="623" t="s">
        <v>3184</v>
      </c>
      <c r="D30" s="623"/>
      <c r="E30" s="623"/>
      <c r="F30" s="623"/>
      <c r="G30" s="623"/>
      <c r="H30" s="623"/>
      <c r="I30" s="623"/>
    </row>
    <row r="31">
      <c r="A31" s="623" t="s">
        <v>3185</v>
      </c>
      <c r="B31" s="630" t="str">
        <f>IF(ABS($D$22-50%)&lt;=5%,"OK","EXCEPTION: debt / equity split")</f>
        <v>OK</v>
      </c>
      <c r="C31" s="623" t="s">
        <v>3186</v>
      </c>
      <c r="D31" s="623"/>
      <c r="E31" s="623"/>
      <c r="F31" s="623"/>
      <c r="G31" s="623"/>
      <c r="H31" s="623"/>
      <c r="I31" s="623"/>
    </row>
    <row r="32">
      <c r="A32" s="614"/>
      <c r="B32" s="614"/>
      <c r="C32" s="614"/>
      <c r="D32" s="614"/>
      <c r="E32" s="614"/>
      <c r="F32" s="614"/>
      <c r="G32" s="614"/>
      <c r="H32" s="614"/>
      <c r="I32" s="614"/>
    </row>
    <row r="33">
      <c r="A33" s="734"/>
      <c r="B33" s="734"/>
      <c r="C33" s="734"/>
      <c r="D33" s="734"/>
      <c r="E33" s="734"/>
      <c r="F33" s="734"/>
      <c r="G33" s="734"/>
      <c r="H33" s="734"/>
      <c r="I33" s="734"/>
    </row>
    <row r="34">
      <c r="A34" s="623" t="s">
        <v>3187</v>
      </c>
      <c r="B34" s="623" t="s">
        <v>515</v>
      </c>
      <c r="C34" s="626"/>
      <c r="D34" s="626" t="n">
        <f>-PROJECTS!$B$258</f>
        <v>213.01883390950715</v>
      </c>
      <c r="E34" s="635"/>
      <c r="F34" s="614"/>
      <c r="G34" s="614"/>
      <c r="H34" s="614"/>
      <c r="I34" s="614"/>
    </row>
    <row r="35">
      <c r="A35" s="623" t="s">
        <v>3188</v>
      </c>
      <c r="B35" s="623" t="s">
        <v>515</v>
      </c>
      <c r="C35" s="626"/>
      <c r="D35" s="626" t="n">
        <f>$D$20</f>
        <v>205.7397173750929</v>
      </c>
      <c r="E35" s="635"/>
      <c r="F35" s="614"/>
      <c r="G35" s="614"/>
      <c r="H35" s="614"/>
      <c r="I35" s="614"/>
    </row>
    <row r="36">
      <c r="A36" s="623" t="s">
        <v>3189</v>
      </c>
      <c r="B36" s="623" t="s">
        <v>3173</v>
      </c>
      <c r="C36" s="636"/>
      <c r="D36" s="635" t="n">
        <f>IF(SUM($D$34:$D$35)=0,0,$D$34/SUM($D$34:$D$35))</f>
        <v>0.508691304944203</v>
      </c>
      <c r="E36" s="635" t="n">
        <f>1-$D$36</f>
        <v>0.491308695055797</v>
      </c>
      <c r="F36" s="614"/>
      <c r="G36" s="614"/>
      <c r="H36" s="614"/>
      <c r="I36" s="614"/>
    </row>
    <row r="37">
      <c r="A37" s="614"/>
      <c r="B37" s="614"/>
      <c r="C37" s="614"/>
      <c r="D37" s="614"/>
      <c r="E37" s="614"/>
      <c r="F37" s="614"/>
      <c r="G37" s="614"/>
      <c r="H37" s="614"/>
      <c r="I37" s="614"/>
    </row>
    <row r="38" ht="91.5">
      <c r="A38" s="623" t="s">
        <v>3190</v>
      </c>
      <c r="B38" s="630" t="str">
        <f>IF(ABS($D$36-50%)&lt;=5%,"OK","REVIEW REQUIRED: actual funding mix outside policy tolerance")</f>
        <v>OK</v>
      </c>
      <c r="C38" s="623" t="s">
        <v>3191</v>
      </c>
      <c r="D38" s="614"/>
      <c r="E38" s="614"/>
      <c r="F38" s="614"/>
      <c r="G38" s="614"/>
      <c r="H38" s="614"/>
      <c r="I38" s="614"/>
    </row>
    <row r="39">
      <c r="A39" s="614"/>
      <c r="B39" s="614"/>
      <c r="C39" s="614"/>
      <c r="D39" s="614"/>
      <c r="E39" s="614"/>
      <c r="F39" s="614"/>
      <c r="G39" s="614"/>
      <c r="H39" s="614"/>
      <c r="I39" s="614"/>
    </row>
    <row r="40">
      <c r="A40" s="614"/>
      <c r="B40" s="614"/>
      <c r="C40" s="614"/>
      <c r="D40" s="614"/>
      <c r="E40" s="614"/>
      <c r="F40" s="614"/>
      <c r="G40" s="614"/>
      <c r="H40" s="614"/>
      <c r="I40" s="614"/>
    </row>
    <row r="41">
      <c r="A41" s="614"/>
      <c r="B41" s="614"/>
      <c r="C41" s="614"/>
      <c r="D41" s="614"/>
      <c r="E41" s="614"/>
      <c r="F41" s="614"/>
      <c r="G41" s="614"/>
      <c r="H41" s="614"/>
      <c r="I41" s="614"/>
    </row>
    <row r="42">
      <c r="A42" s="614"/>
      <c r="B42" s="614"/>
      <c r="C42" s="614"/>
      <c r="D42" s="614"/>
      <c r="E42" s="614"/>
      <c r="F42" s="614"/>
      <c r="G42" s="614"/>
      <c r="H42" s="614"/>
      <c r="I42" s="614"/>
    </row>
    <row r="43">
      <c r="A43" s="614"/>
      <c r="B43" s="614"/>
      <c r="C43" s="614"/>
      <c r="D43" s="614"/>
      <c r="E43" s="614"/>
      <c r="F43" s="614"/>
      <c r="G43" s="614"/>
      <c r="H43" s="614"/>
      <c r="I43" s="614"/>
    </row>
    <row r="44">
      <c r="A44" s="614"/>
      <c r="B44" s="614"/>
      <c r="C44" s="614"/>
      <c r="D44" s="614"/>
      <c r="E44" s="614"/>
      <c r="F44" s="614"/>
      <c r="G44" s="614"/>
      <c r="H44" s="614"/>
      <c r="I44" s="614"/>
    </row>
    <row r="45">
      <c r="A45" s="614"/>
      <c r="B45" s="614"/>
      <c r="C45" s="614"/>
      <c r="D45" s="614"/>
      <c r="E45" s="614"/>
      <c r="F45" s="614"/>
      <c r="G45" s="614"/>
      <c r="H45" s="614"/>
      <c r="I45" s="614"/>
    </row>
    <row r="46">
      <c r="A46" s="614"/>
      <c r="B46" s="614"/>
      <c r="C46" s="614"/>
      <c r="D46" s="614"/>
      <c r="E46" s="614"/>
      <c r="F46" s="614"/>
      <c r="G46" s="614"/>
      <c r="H46" s="614"/>
      <c r="I46" s="614"/>
    </row>
    <row r="47">
      <c r="A47" s="614"/>
      <c r="B47" s="614"/>
      <c r="C47" s="614"/>
      <c r="D47" s="614"/>
      <c r="E47" s="614"/>
      <c r="F47" s="614"/>
      <c r="G47" s="614"/>
      <c r="H47" s="614"/>
      <c r="I47" s="614"/>
    </row>
    <row r="48">
      <c r="A48" s="614"/>
      <c r="B48" s="614"/>
      <c r="C48" s="614"/>
      <c r="D48" s="614"/>
      <c r="E48" s="614"/>
      <c r="F48" s="614"/>
      <c r="G48" s="614"/>
      <c r="H48" s="614"/>
      <c r="I48" s="614"/>
    </row>
    <row r="49">
      <c r="A49" s="614"/>
      <c r="B49" s="614"/>
      <c r="C49" s="614"/>
      <c r="D49" s="614"/>
      <c r="E49" s="614"/>
      <c r="F49" s="614"/>
      <c r="G49" s="614"/>
      <c r="H49" s="614"/>
      <c r="I49" s="614"/>
    </row>
    <row r="50">
      <c r="A50" s="614"/>
      <c r="B50" s="614"/>
      <c r="C50" s="614"/>
      <c r="D50" s="614"/>
      <c r="E50" s="614"/>
      <c r="F50" s="614"/>
      <c r="G50" s="614"/>
      <c r="H50" s="614"/>
      <c r="I50" s="614"/>
    </row>
    <row r="51">
      <c r="A51" s="614"/>
      <c r="B51" s="614"/>
      <c r="C51" s="614"/>
      <c r="D51" s="614"/>
      <c r="E51" s="614"/>
      <c r="F51" s="614"/>
      <c r="G51" s="614"/>
      <c r="H51" s="614"/>
      <c r="I51" s="614"/>
    </row>
    <row r="52">
      <c r="A52" s="614"/>
      <c r="B52" s="614"/>
      <c r="C52" s="614"/>
      <c r="D52" s="614"/>
      <c r="E52" s="614"/>
      <c r="F52" s="614"/>
      <c r="G52" s="614"/>
      <c r="H52" s="614"/>
      <c r="I52" s="614"/>
    </row>
    <row r="53">
      <c r="A53" s="614"/>
      <c r="B53" s="614"/>
      <c r="C53" s="614"/>
      <c r="D53" s="614"/>
      <c r="E53" s="614"/>
      <c r="F53" s="614"/>
      <c r="G53" s="614"/>
      <c r="H53" s="614"/>
      <c r="I53" s="614"/>
    </row>
    <row r="54">
      <c r="A54" s="614"/>
      <c r="B54" s="614"/>
      <c r="C54" s="614"/>
      <c r="D54" s="614"/>
      <c r="E54" s="614"/>
      <c r="F54" s="614"/>
      <c r="G54" s="614"/>
      <c r="H54" s="614"/>
      <c r="I54" s="614"/>
    </row>
    <row r="55">
      <c r="A55" s="614"/>
      <c r="B55" s="614"/>
      <c r="C55" s="614"/>
      <c r="D55" s="614"/>
      <c r="E55" s="614"/>
      <c r="F55" s="614"/>
      <c r="G55" s="614"/>
      <c r="H55" s="614"/>
      <c r="I55" s="614"/>
    </row>
    <row r="56">
      <c r="A56" s="614"/>
      <c r="B56" s="614"/>
      <c r="C56" s="614"/>
      <c r="D56" s="614"/>
      <c r="E56" s="614"/>
      <c r="F56" s="614"/>
      <c r="G56" s="614"/>
      <c r="H56" s="614"/>
      <c r="I56" s="614"/>
    </row>
    <row r="57">
      <c r="A57" s="614"/>
      <c r="B57" s="614"/>
      <c r="C57" s="614"/>
      <c r="D57" s="614"/>
      <c r="E57" s="614"/>
      <c r="F57" s="614"/>
      <c r="G57" s="614"/>
      <c r="H57" s="614"/>
      <c r="I57" s="614"/>
    </row>
    <row r="58">
      <c r="A58" s="614"/>
      <c r="B58" s="614"/>
      <c r="C58" s="614"/>
      <c r="D58" s="614"/>
      <c r="E58" s="614"/>
      <c r="F58" s="614"/>
      <c r="G58" s="614"/>
      <c r="H58" s="614"/>
      <c r="I58" s="614"/>
    </row>
    <row r="59">
      <c r="A59" s="614"/>
      <c r="B59" s="614"/>
      <c r="C59" s="614"/>
      <c r="D59" s="614"/>
      <c r="E59" s="614"/>
      <c r="F59" s="614"/>
      <c r="G59" s="614"/>
      <c r="H59" s="614"/>
      <c r="I59" s="614"/>
    </row>
    <row r="60">
      <c r="A60" s="614"/>
      <c r="B60" s="614"/>
      <c r="C60" s="614"/>
      <c r="D60" s="614"/>
      <c r="E60" s="614"/>
      <c r="F60" s="614"/>
      <c r="G60" s="614"/>
      <c r="H60" s="614"/>
      <c r="I60" s="614"/>
    </row>
    <row r="61">
      <c r="A61" s="614"/>
      <c r="B61" s="614"/>
      <c r="C61" s="614"/>
      <c r="D61" s="614"/>
      <c r="E61" s="614"/>
      <c r="F61" s="614"/>
      <c r="G61" s="614"/>
      <c r="H61" s="614"/>
      <c r="I61" s="614"/>
    </row>
    <row r="62">
      <c r="A62" s="614"/>
      <c r="B62" s="614"/>
      <c r="C62" s="614"/>
      <c r="D62" s="614"/>
      <c r="E62" s="614"/>
      <c r="F62" s="614"/>
      <c r="G62" s="614"/>
      <c r="H62" s="614"/>
      <c r="I62" s="614"/>
    </row>
    <row r="63">
      <c r="A63" s="614"/>
      <c r="B63" s="614"/>
      <c r="C63" s="614"/>
      <c r="D63" s="614"/>
      <c r="E63" s="614"/>
      <c r="F63" s="614"/>
      <c r="G63" s="614"/>
      <c r="H63" s="614"/>
      <c r="I63" s="614"/>
    </row>
    <row r="64">
      <c r="A64" s="614"/>
      <c r="B64" s="614"/>
      <c r="C64" s="614"/>
      <c r="D64" s="614"/>
      <c r="E64" s="614"/>
      <c r="F64" s="614"/>
      <c r="G64" s="614"/>
      <c r="H64" s="614"/>
      <c r="I64" s="614"/>
    </row>
    <row r="65">
      <c r="A65" s="614"/>
      <c r="B65" s="614"/>
      <c r="C65" s="614"/>
      <c r="D65" s="614"/>
      <c r="E65" s="614"/>
      <c r="F65" s="614"/>
      <c r="G65" s="614"/>
      <c r="H65" s="614"/>
      <c r="I65" s="614"/>
    </row>
    <row r="66">
      <c r="A66" s="614"/>
      <c r="B66" s="614"/>
      <c r="C66" s="614"/>
      <c r="D66" s="614"/>
      <c r="E66" s="614"/>
      <c r="F66" s="614"/>
      <c r="G66" s="614"/>
      <c r="H66" s="614"/>
      <c r="I66" s="614"/>
    </row>
    <row r="67">
      <c r="A67" s="614"/>
      <c r="B67" s="614"/>
      <c r="C67" s="614"/>
      <c r="D67" s="614"/>
      <c r="E67" s="614"/>
      <c r="F67" s="614"/>
      <c r="G67" s="614"/>
      <c r="H67" s="614"/>
      <c r="I67" s="614"/>
    </row>
    <row r="68">
      <c r="A68" s="614"/>
      <c r="B68" s="614"/>
      <c r="C68" s="614"/>
      <c r="D68" s="614"/>
      <c r="E68" s="614"/>
      <c r="F68" s="614"/>
      <c r="G68" s="614"/>
      <c r="H68" s="614"/>
      <c r="I68" s="614"/>
    </row>
    <row r="69">
      <c r="A69" s="614"/>
      <c r="B69" s="614"/>
      <c r="C69" s="614"/>
      <c r="D69" s="614"/>
      <c r="E69" s="614"/>
      <c r="F69" s="614"/>
      <c r="G69" s="614"/>
      <c r="H69" s="614"/>
      <c r="I69" s="614"/>
    </row>
    <row r="70">
      <c r="A70" s="614"/>
      <c r="B70" s="614"/>
      <c r="C70" s="614"/>
      <c r="D70" s="614"/>
      <c r="E70" s="614"/>
      <c r="F70" s="614"/>
      <c r="G70" s="614"/>
      <c r="H70" s="614"/>
      <c r="I70" s="614"/>
    </row>
    <row r="71">
      <c r="A71" s="614"/>
      <c r="B71" s="614"/>
      <c r="C71" s="614"/>
      <c r="D71" s="614"/>
      <c r="E71" s="614"/>
      <c r="F71" s="614"/>
      <c r="G71" s="614"/>
      <c r="H71" s="614"/>
      <c r="I71" s="614"/>
    </row>
    <row r="72">
      <c r="A72" s="614"/>
      <c r="B72" s="614"/>
      <c r="C72" s="614"/>
      <c r="D72" s="614"/>
      <c r="E72" s="614"/>
      <c r="F72" s="614"/>
      <c r="G72" s="614"/>
      <c r="H72" s="614"/>
      <c r="I72" s="614"/>
    </row>
    <row r="73">
      <c r="A73" s="614"/>
      <c r="B73" s="614"/>
      <c r="C73" s="614"/>
      <c r="D73" s="614"/>
      <c r="E73" s="614"/>
      <c r="F73" s="614"/>
      <c r="G73" s="614"/>
      <c r="H73" s="614"/>
      <c r="I73" s="614"/>
    </row>
    <row r="74">
      <c r="A74" s="614"/>
      <c r="B74" s="614"/>
      <c r="C74" s="614"/>
      <c r="D74" s="614"/>
      <c r="E74" s="614"/>
      <c r="F74" s="614"/>
      <c r="G74" s="614"/>
      <c r="H74" s="614"/>
      <c r="I74" s="614"/>
    </row>
    <row r="75">
      <c r="A75" s="614"/>
      <c r="B75" s="614"/>
      <c r="C75" s="614"/>
      <c r="D75" s="614"/>
      <c r="E75" s="614"/>
      <c r="F75" s="614"/>
      <c r="G75" s="614"/>
      <c r="H75" s="614"/>
      <c r="I75" s="614"/>
    </row>
    <row r="76">
      <c r="A76" s="614"/>
      <c r="B76" s="614"/>
      <c r="C76" s="614"/>
      <c r="D76" s="614"/>
      <c r="E76" s="614"/>
      <c r="F76" s="614"/>
      <c r="G76" s="614"/>
      <c r="H76" s="614"/>
      <c r="I76" s="614"/>
    </row>
    <row r="77">
      <c r="A77" s="614"/>
      <c r="B77" s="614"/>
      <c r="C77" s="614"/>
      <c r="D77" s="614"/>
      <c r="E77" s="614"/>
      <c r="F77" s="614"/>
      <c r="G77" s="614"/>
      <c r="H77" s="614"/>
      <c r="I77" s="614"/>
    </row>
    <row r="78">
      <c r="A78" s="614"/>
      <c r="B78" s="614"/>
      <c r="C78" s="614"/>
      <c r="D78" s="614"/>
      <c r="E78" s="614"/>
      <c r="F78" s="614"/>
      <c r="G78" s="614"/>
      <c r="H78" s="614"/>
      <c r="I78" s="614"/>
    </row>
    <row r="79">
      <c r="A79" s="614"/>
      <c r="B79" s="614"/>
      <c r="C79" s="614"/>
      <c r="D79" s="614"/>
      <c r="E79" s="614"/>
      <c r="F79" s="614"/>
      <c r="G79" s="614"/>
      <c r="H79" s="614"/>
      <c r="I79" s="614"/>
    </row>
    <row r="80">
      <c r="A80" s="614"/>
      <c r="B80" s="614"/>
      <c r="C80" s="614"/>
      <c r="D80" s="614"/>
      <c r="E80" s="614"/>
      <c r="F80" s="614"/>
      <c r="G80" s="614"/>
      <c r="H80" s="614"/>
      <c r="I80" s="614"/>
    </row>
    <row r="81">
      <c r="A81" s="614"/>
      <c r="B81" s="614"/>
      <c r="C81" s="614"/>
      <c r="D81" s="614"/>
      <c r="E81" s="614"/>
      <c r="F81" s="614"/>
      <c r="G81" s="614"/>
      <c r="H81" s="614"/>
      <c r="I81" s="614"/>
    </row>
    <row r="82">
      <c r="A82" s="614"/>
      <c r="B82" s="614"/>
      <c r="C82" s="614"/>
      <c r="D82" s="614"/>
      <c r="E82" s="614"/>
      <c r="F82" s="614"/>
      <c r="G82" s="614"/>
      <c r="H82" s="614"/>
      <c r="I82" s="614"/>
    </row>
    <row r="83">
      <c r="A83" s="614"/>
      <c r="B83" s="614"/>
      <c r="C83" s="614"/>
      <c r="D83" s="614"/>
      <c r="E83" s="614"/>
      <c r="F83" s="614"/>
      <c r="G83" s="614"/>
      <c r="H83" s="614"/>
      <c r="I83" s="614"/>
    </row>
    <row r="84">
      <c r="A84" s="614"/>
      <c r="B84" s="614"/>
      <c r="C84" s="614"/>
      <c r="D84" s="614"/>
      <c r="E84" s="614"/>
      <c r="F84" s="614"/>
      <c r="G84" s="614"/>
      <c r="H84" s="614"/>
      <c r="I84" s="614"/>
    </row>
    <row r="85">
      <c r="A85" s="614"/>
      <c r="B85" s="614"/>
      <c r="C85" s="614"/>
      <c r="D85" s="614"/>
      <c r="E85" s="614"/>
      <c r="F85" s="614"/>
      <c r="G85" s="614"/>
      <c r="H85" s="614"/>
      <c r="I85" s="614"/>
    </row>
    <row r="86">
      <c r="A86" s="614"/>
      <c r="B86" s="614"/>
      <c r="C86" s="614"/>
      <c r="D86" s="614"/>
      <c r="E86" s="614"/>
      <c r="F86" s="614"/>
      <c r="G86" s="614"/>
      <c r="H86" s="614"/>
      <c r="I86" s="614"/>
    </row>
    <row r="87">
      <c r="A87" s="614"/>
      <c r="B87" s="614"/>
      <c r="C87" s="614"/>
      <c r="D87" s="614"/>
      <c r="E87" s="614"/>
      <c r="F87" s="614"/>
      <c r="G87" s="614"/>
      <c r="H87" s="614"/>
      <c r="I87" s="614"/>
    </row>
    <row r="88">
      <c r="A88" s="614"/>
      <c r="B88" s="614"/>
      <c r="C88" s="614"/>
      <c r="D88" s="614"/>
      <c r="E88" s="614"/>
      <c r="F88" s="614"/>
      <c r="G88" s="614"/>
      <c r="H88" s="614"/>
      <c r="I88" s="614"/>
    </row>
    <row r="89">
      <c r="A89" s="614"/>
      <c r="B89" s="614"/>
      <c r="C89" s="614"/>
      <c r="D89" s="614"/>
      <c r="E89" s="614"/>
      <c r="F89" s="614"/>
      <c r="G89" s="614"/>
      <c r="H89" s="614"/>
      <c r="I89" s="614"/>
    </row>
    <row r="90">
      <c r="A90" s="614"/>
      <c r="B90" s="614"/>
      <c r="C90" s="614"/>
      <c r="D90" s="614"/>
      <c r="E90" s="614"/>
      <c r="F90" s="614"/>
      <c r="G90" s="614"/>
      <c r="H90" s="614"/>
      <c r="I90" s="614"/>
    </row>
    <row r="91">
      <c r="A91" s="614"/>
      <c r="B91" s="614"/>
      <c r="C91" s="614"/>
      <c r="D91" s="614"/>
      <c r="E91" s="614"/>
      <c r="F91" s="614"/>
      <c r="G91" s="614"/>
      <c r="H91" s="614"/>
      <c r="I91" s="614"/>
    </row>
    <row r="92">
      <c r="A92" s="614"/>
      <c r="B92" s="614"/>
      <c r="C92" s="614"/>
      <c r="D92" s="614"/>
      <c r="E92" s="614"/>
      <c r="F92" s="614"/>
      <c r="G92" s="614"/>
      <c r="H92" s="614"/>
      <c r="I92" s="614"/>
    </row>
    <row r="93">
      <c r="A93" s="614"/>
      <c r="B93" s="614"/>
      <c r="C93" s="614"/>
      <c r="D93" s="614"/>
      <c r="E93" s="614"/>
      <c r="F93" s="614"/>
      <c r="G93" s="614"/>
      <c r="H93" s="614"/>
      <c r="I93" s="614"/>
    </row>
    <row r="94">
      <c r="A94" s="614"/>
      <c r="B94" s="614"/>
      <c r="C94" s="614"/>
      <c r="D94" s="614"/>
      <c r="E94" s="614"/>
      <c r="F94" s="614"/>
      <c r="G94" s="614"/>
      <c r="H94" s="614"/>
      <c r="I94" s="614"/>
    </row>
    <row r="95">
      <c r="A95" s="614"/>
      <c r="B95" s="614"/>
      <c r="C95" s="614"/>
      <c r="D95" s="614"/>
      <c r="E95" s="614"/>
      <c r="F95" s="614"/>
      <c r="G95" s="614"/>
      <c r="H95" s="614"/>
      <c r="I95" s="614"/>
    </row>
    <row r="96">
      <c r="A96" s="614"/>
      <c r="B96" s="614"/>
      <c r="C96" s="614"/>
      <c r="D96" s="614"/>
      <c r="E96" s="614"/>
      <c r="F96" s="614"/>
      <c r="G96" s="614"/>
      <c r="H96" s="614"/>
      <c r="I96" s="614"/>
    </row>
    <row r="97">
      <c r="A97" s="614"/>
      <c r="B97" s="614"/>
      <c r="C97" s="614"/>
      <c r="D97" s="614"/>
      <c r="E97" s="614"/>
      <c r="F97" s="614"/>
      <c r="G97" s="614"/>
      <c r="H97" s="614"/>
      <c r="I97" s="614"/>
    </row>
    <row r="98">
      <c r="A98" s="614"/>
      <c r="B98" s="614"/>
      <c r="C98" s="614"/>
      <c r="D98" s="614"/>
      <c r="E98" s="614"/>
      <c r="F98" s="614"/>
      <c r="G98" s="614"/>
      <c r="H98" s="614"/>
      <c r="I98" s="614"/>
    </row>
    <row r="99">
      <c r="A99" s="614"/>
      <c r="B99" s="614"/>
      <c r="C99" s="614"/>
      <c r="D99" s="614"/>
      <c r="E99" s="614"/>
      <c r="F99" s="614"/>
      <c r="G99" s="614"/>
      <c r="H99" s="614"/>
      <c r="I99" s="614"/>
    </row>
    <row r="100">
      <c r="A100" s="614"/>
      <c r="B100" s="614"/>
      <c r="C100" s="614"/>
      <c r="D100" s="614"/>
      <c r="E100" s="614"/>
      <c r="F100" s="614"/>
      <c r="G100" s="614"/>
      <c r="H100" s="614"/>
      <c r="I100" s="614"/>
    </row>
    <row r="101">
      <c r="A101" s="614"/>
      <c r="B101" s="614"/>
      <c r="C101" s="614"/>
      <c r="D101" s="614"/>
      <c r="E101" s="614"/>
      <c r="F101" s="614"/>
      <c r="G101" s="614"/>
      <c r="H101" s="614"/>
      <c r="I101" s="614"/>
    </row>
    <row r="102">
      <c r="A102" s="614"/>
      <c r="B102" s="614"/>
      <c r="C102" s="614"/>
      <c r="D102" s="614"/>
      <c r="E102" s="614"/>
      <c r="F102" s="614"/>
      <c r="G102" s="614"/>
      <c r="H102" s="614"/>
      <c r="I102" s="614"/>
    </row>
    <row r="103">
      <c r="A103" s="614"/>
      <c r="B103" s="614"/>
      <c r="C103" s="614"/>
      <c r="D103" s="614"/>
      <c r="E103" s="614"/>
      <c r="F103" s="614"/>
      <c r="G103" s="614"/>
      <c r="H103" s="614"/>
      <c r="I103" s="614"/>
    </row>
    <row r="104">
      <c r="A104" s="614"/>
      <c r="B104" s="614"/>
      <c r="C104" s="614"/>
      <c r="D104" s="614"/>
      <c r="E104" s="614"/>
      <c r="F104" s="614"/>
      <c r="G104" s="614"/>
      <c r="H104" s="614"/>
      <c r="I104" s="614"/>
    </row>
    <row r="105">
      <c r="A105" s="614"/>
      <c r="B105" s="614"/>
      <c r="C105" s="614"/>
      <c r="D105" s="614"/>
      <c r="E105" s="614"/>
      <c r="F105" s="614"/>
      <c r="G105" s="614"/>
      <c r="H105" s="614"/>
      <c r="I105" s="614"/>
    </row>
    <row r="106">
      <c r="A106" s="614"/>
      <c r="B106" s="614"/>
      <c r="C106" s="614"/>
      <c r="D106" s="614"/>
      <c r="E106" s="614"/>
      <c r="F106" s="614"/>
      <c r="G106" s="614"/>
      <c r="H106" s="614"/>
      <c r="I106" s="614"/>
    </row>
    <row r="107">
      <c r="A107" s="614"/>
      <c r="B107" s="614"/>
      <c r="C107" s="614"/>
      <c r="D107" s="614"/>
      <c r="E107" s="614"/>
      <c r="F107" s="614"/>
      <c r="G107" s="614"/>
      <c r="H107" s="614"/>
      <c r="I107" s="614"/>
    </row>
    <row r="108">
      <c r="A108" s="614"/>
      <c r="B108" s="614"/>
      <c r="C108" s="614"/>
      <c r="D108" s="614"/>
      <c r="E108" s="614"/>
      <c r="F108" s="614"/>
      <c r="G108" s="614"/>
      <c r="H108" s="614"/>
      <c r="I108" s="614"/>
    </row>
    <row r="109">
      <c r="A109" s="614"/>
      <c r="B109" s="614"/>
      <c r="C109" s="614"/>
      <c r="D109" s="614"/>
      <c r="E109" s="614"/>
      <c r="F109" s="614"/>
      <c r="G109" s="614"/>
      <c r="H109" s="614"/>
      <c r="I109" s="614"/>
    </row>
    <row r="110">
      <c r="A110" s="614"/>
      <c r="B110" s="614"/>
      <c r="C110" s="614"/>
      <c r="D110" s="614"/>
      <c r="E110" s="614"/>
      <c r="F110" s="614"/>
      <c r="G110" s="614"/>
      <c r="H110" s="614"/>
      <c r="I110" s="614"/>
    </row>
    <row r="111">
      <c r="A111" s="614"/>
      <c r="B111" s="614"/>
      <c r="C111" s="614"/>
      <c r="D111" s="614"/>
      <c r="E111" s="614"/>
      <c r="F111" s="614"/>
      <c r="G111" s="614"/>
      <c r="H111" s="614"/>
      <c r="I111" s="614"/>
    </row>
    <row r="112">
      <c r="A112" s="614"/>
      <c r="B112" s="614"/>
      <c r="C112" s="614"/>
      <c r="D112" s="614"/>
      <c r="E112" s="614"/>
      <c r="F112" s="614"/>
      <c r="G112" s="614"/>
      <c r="H112" s="614"/>
      <c r="I112" s="614"/>
    </row>
    <row r="113">
      <c r="A113" s="614"/>
      <c r="B113" s="614"/>
      <c r="C113" s="614"/>
      <c r="D113" s="614"/>
      <c r="E113" s="614"/>
      <c r="F113" s="614"/>
      <c r="G113" s="614"/>
      <c r="H113" s="614"/>
      <c r="I113" s="614"/>
    </row>
    <row r="114">
      <c r="A114" s="614"/>
      <c r="B114" s="614"/>
      <c r="C114" s="614"/>
      <c r="D114" s="614"/>
      <c r="E114" s="614"/>
      <c r="F114" s="614"/>
      <c r="G114" s="614"/>
      <c r="H114" s="614"/>
      <c r="I114" s="614"/>
    </row>
    <row r="115">
      <c r="A115" s="614"/>
      <c r="B115" s="614"/>
      <c r="C115" s="614"/>
      <c r="D115" s="614"/>
      <c r="E115" s="614"/>
      <c r="F115" s="614"/>
      <c r="G115" s="614"/>
      <c r="H115" s="614"/>
      <c r="I115" s="614"/>
    </row>
    <row r="116">
      <c r="A116" s="614"/>
      <c r="B116" s="614"/>
      <c r="C116" s="614"/>
      <c r="D116" s="614"/>
      <c r="E116" s="614"/>
      <c r="F116" s="614"/>
      <c r="G116" s="614"/>
      <c r="H116" s="614"/>
      <c r="I116" s="614"/>
    </row>
    <row r="117">
      <c r="A117" s="614"/>
      <c r="B117" s="614"/>
      <c r="C117" s="614"/>
      <c r="D117" s="614"/>
      <c r="E117" s="614"/>
      <c r="F117" s="614"/>
      <c r="G117" s="614"/>
      <c r="H117" s="614"/>
      <c r="I117" s="614"/>
    </row>
    <row r="118">
      <c r="A118" s="614"/>
      <c r="B118" s="614"/>
      <c r="C118" s="614"/>
      <c r="D118" s="614"/>
      <c r="E118" s="614"/>
      <c r="F118" s="614"/>
      <c r="G118" s="614"/>
      <c r="H118" s="614"/>
      <c r="I118" s="614"/>
    </row>
    <row r="119">
      <c r="A119" s="614"/>
      <c r="B119" s="614"/>
      <c r="C119" s="614"/>
      <c r="D119" s="614"/>
      <c r="E119" s="614"/>
      <c r="F119" s="614"/>
      <c r="G119" s="614"/>
      <c r="H119" s="614"/>
      <c r="I119" s="614"/>
    </row>
    <row r="120">
      <c r="A120" s="614"/>
      <c r="B120" s="614"/>
      <c r="C120" s="614"/>
      <c r="D120" s="614"/>
      <c r="E120" s="614"/>
      <c r="F120" s="614"/>
      <c r="G120" s="614"/>
      <c r="H120" s="614"/>
      <c r="I120" s="614"/>
    </row>
    <row r="121">
      <c r="A121" s="614"/>
      <c r="B121" s="614"/>
      <c r="C121" s="614"/>
      <c r="D121" s="614"/>
      <c r="E121" s="614"/>
      <c r="F121" s="614"/>
      <c r="G121" s="614"/>
      <c r="H121" s="614"/>
      <c r="I121" s="614"/>
    </row>
    <row r="122">
      <c r="A122" s="614"/>
      <c r="B122" s="614"/>
      <c r="C122" s="614"/>
      <c r="D122" s="614"/>
      <c r="E122" s="614"/>
      <c r="F122" s="614"/>
      <c r="G122" s="614"/>
      <c r="H122" s="614"/>
      <c r="I122" s="614"/>
    </row>
    <row r="123">
      <c r="A123" s="614"/>
      <c r="B123" s="614"/>
      <c r="C123" s="614"/>
      <c r="D123" s="614"/>
      <c r="E123" s="614"/>
      <c r="F123" s="614"/>
      <c r="G123" s="614"/>
      <c r="H123" s="614"/>
      <c r="I123" s="614"/>
    </row>
    <row r="124">
      <c r="A124" s="614"/>
      <c r="B124" s="614"/>
      <c r="C124" s="614"/>
      <c r="D124" s="614"/>
      <c r="E124" s="614"/>
      <c r="F124" s="614"/>
      <c r="G124" s="614"/>
      <c r="H124" s="614"/>
      <c r="I124" s="614"/>
    </row>
    <row r="125">
      <c r="A125" s="614"/>
      <c r="B125" s="614"/>
      <c r="C125" s="614"/>
      <c r="D125" s="614"/>
      <c r="E125" s="614"/>
      <c r="F125" s="614"/>
      <c r="G125" s="614"/>
      <c r="H125" s="614"/>
      <c r="I125" s="614"/>
    </row>
    <row r="126">
      <c r="A126" s="614"/>
      <c r="B126" s="614"/>
      <c r="C126" s="614"/>
      <c r="D126" s="614"/>
      <c r="E126" s="614"/>
      <c r="F126" s="614"/>
      <c r="G126" s="614"/>
      <c r="H126" s="614"/>
      <c r="I126" s="614"/>
    </row>
    <row r="127">
      <c r="A127" s="614"/>
      <c r="B127" s="614"/>
      <c r="C127" s="614"/>
      <c r="D127" s="614"/>
      <c r="E127" s="614"/>
      <c r="F127" s="614"/>
      <c r="G127" s="614"/>
      <c r="H127" s="614"/>
      <c r="I127" s="614"/>
    </row>
    <row r="128">
      <c r="A128" s="614"/>
      <c r="B128" s="614"/>
      <c r="C128" s="614"/>
      <c r="D128" s="614"/>
      <c r="E128" s="614"/>
      <c r="F128" s="614"/>
      <c r="G128" s="614"/>
      <c r="H128" s="614"/>
      <c r="I128" s="614"/>
    </row>
    <row r="129">
      <c r="A129" s="614"/>
      <c r="B129" s="614"/>
      <c r="C129" s="614"/>
      <c r="D129" s="614"/>
      <c r="E129" s="614"/>
      <c r="F129" s="614"/>
      <c r="G129" s="614"/>
      <c r="H129" s="614"/>
      <c r="I129" s="614"/>
    </row>
    <row r="130">
      <c r="A130" s="614"/>
      <c r="B130" s="614"/>
      <c r="C130" s="614"/>
      <c r="D130" s="614"/>
      <c r="E130" s="614"/>
      <c r="F130" s="614"/>
      <c r="G130" s="614"/>
      <c r="H130" s="614"/>
      <c r="I130" s="614"/>
    </row>
    <row r="131">
      <c r="A131" s="614"/>
      <c r="B131" s="614"/>
      <c r="C131" s="614"/>
      <c r="D131" s="614"/>
      <c r="E131" s="614"/>
      <c r="F131" s="614"/>
      <c r="G131" s="614"/>
      <c r="H131" s="614"/>
      <c r="I131" s="614"/>
    </row>
    <row r="132">
      <c r="A132" s="614"/>
      <c r="B132" s="614"/>
      <c r="C132" s="614"/>
      <c r="D132" s="614"/>
      <c r="E132" s="614"/>
      <c r="F132" s="614"/>
      <c r="G132" s="614"/>
      <c r="H132" s="614"/>
      <c r="I132" s="614"/>
    </row>
    <row r="133">
      <c r="A133" s="614"/>
      <c r="B133" s="614"/>
      <c r="C133" s="614"/>
      <c r="D133" s="614"/>
      <c r="E133" s="614"/>
      <c r="F133" s="614"/>
      <c r="G133" s="614"/>
      <c r="H133" s="614"/>
      <c r="I133" s="614"/>
    </row>
    <row r="134">
      <c r="A134" s="614"/>
      <c r="B134" s="614"/>
      <c r="C134" s="614"/>
      <c r="D134" s="614"/>
      <c r="E134" s="614"/>
      <c r="F134" s="614"/>
      <c r="G134" s="614"/>
      <c r="H134" s="614"/>
      <c r="I134" s="614"/>
    </row>
    <row r="135">
      <c r="A135" s="614"/>
      <c r="B135" s="614"/>
      <c r="C135" s="614"/>
      <c r="D135" s="614"/>
      <c r="E135" s="614"/>
      <c r="F135" s="614"/>
      <c r="G135" s="614"/>
      <c r="H135" s="614"/>
      <c r="I135" s="614"/>
    </row>
    <row r="136">
      <c r="A136" s="614"/>
      <c r="B136" s="614"/>
      <c r="C136" s="614"/>
      <c r="D136" s="614"/>
      <c r="E136" s="614"/>
      <c r="F136" s="614"/>
      <c r="G136" s="614"/>
      <c r="H136" s="614"/>
      <c r="I136" s="614"/>
    </row>
    <row r="137">
      <c r="A137" s="614"/>
      <c r="B137" s="614"/>
      <c r="C137" s="614"/>
      <c r="D137" s="614"/>
      <c r="E137" s="614"/>
      <c r="F137" s="614"/>
      <c r="G137" s="614"/>
      <c r="H137" s="614"/>
      <c r="I137" s="614"/>
    </row>
    <row r="138">
      <c r="A138" s="614"/>
      <c r="B138" s="614"/>
      <c r="C138" s="614"/>
      <c r="D138" s="614"/>
      <c r="E138" s="614"/>
      <c r="F138" s="614"/>
      <c r="G138" s="614"/>
      <c r="H138" s="614"/>
      <c r="I138" s="614"/>
    </row>
    <row r="139">
      <c r="A139" s="614"/>
      <c r="B139" s="614"/>
      <c r="C139" s="614"/>
      <c r="D139" s="614"/>
      <c r="E139" s="614"/>
      <c r="F139" s="614"/>
      <c r="G139" s="614"/>
      <c r="H139" s="614"/>
      <c r="I139" s="614"/>
    </row>
    <row r="140">
      <c r="A140" s="614"/>
      <c r="B140" s="614"/>
      <c r="C140" s="614"/>
      <c r="D140" s="614"/>
      <c r="E140" s="614"/>
      <c r="F140" s="614"/>
      <c r="G140" s="614"/>
      <c r="H140" s="614"/>
      <c r="I140" s="614"/>
    </row>
    <row r="141">
      <c r="A141" s="614"/>
      <c r="B141" s="614"/>
      <c r="C141" s="614"/>
      <c r="D141" s="614"/>
      <c r="E141" s="614"/>
      <c r="F141" s="614"/>
      <c r="G141" s="614"/>
      <c r="H141" s="614"/>
      <c r="I141" s="614"/>
    </row>
    <row r="142">
      <c r="A142" s="614"/>
      <c r="B142" s="614"/>
      <c r="C142" s="614"/>
      <c r="D142" s="614"/>
      <c r="E142" s="614"/>
      <c r="F142" s="614"/>
      <c r="G142" s="614"/>
      <c r="H142" s="614"/>
      <c r="I142" s="614"/>
    </row>
    <row r="143">
      <c r="A143" s="614"/>
      <c r="B143" s="614"/>
      <c r="C143" s="614"/>
      <c r="D143" s="614"/>
      <c r="E143" s="614"/>
      <c r="F143" s="614"/>
      <c r="G143" s="614"/>
      <c r="H143" s="614"/>
      <c r="I143" s="614"/>
    </row>
    <row r="144">
      <c r="A144" s="614"/>
      <c r="B144" s="614"/>
      <c r="C144" s="614"/>
      <c r="D144" s="614"/>
      <c r="E144" s="614"/>
      <c r="F144" s="614"/>
      <c r="G144" s="614"/>
      <c r="H144" s="614"/>
      <c r="I144" s="614"/>
    </row>
    <row r="145">
      <c r="A145" s="614"/>
      <c r="B145" s="614"/>
      <c r="C145" s="614"/>
      <c r="D145" s="614"/>
      <c r="E145" s="614"/>
      <c r="F145" s="614"/>
      <c r="G145" s="614"/>
      <c r="H145" s="614"/>
      <c r="I145" s="614"/>
    </row>
    <row r="146">
      <c r="A146" s="614"/>
      <c r="B146" s="614"/>
      <c r="C146" s="614"/>
      <c r="D146" s="614"/>
      <c r="E146" s="614"/>
      <c r="F146" s="614"/>
      <c r="G146" s="614"/>
      <c r="H146" s="614"/>
      <c r="I146" s="614"/>
    </row>
    <row r="147">
      <c r="A147" s="614"/>
      <c r="B147" s="614"/>
      <c r="C147" s="614"/>
      <c r="D147" s="614"/>
      <c r="E147" s="614"/>
      <c r="F147" s="614"/>
      <c r="G147" s="614"/>
      <c r="H147" s="614"/>
      <c r="I147" s="614"/>
    </row>
    <row r="148">
      <c r="A148" s="614"/>
      <c r="B148" s="614"/>
      <c r="C148" s="614"/>
      <c r="D148" s="614"/>
      <c r="E148" s="614"/>
      <c r="F148" s="614"/>
      <c r="G148" s="614"/>
      <c r="H148" s="614"/>
      <c r="I148" s="614"/>
    </row>
    <row r="149">
      <c r="A149" s="614"/>
      <c r="B149" s="614"/>
      <c r="C149" s="614"/>
      <c r="D149" s="614"/>
      <c r="E149" s="614"/>
      <c r="F149" s="614"/>
      <c r="G149" s="614"/>
      <c r="H149" s="614"/>
      <c r="I149" s="614"/>
    </row>
    <row r="150">
      <c r="A150" s="614"/>
      <c r="B150" s="614"/>
      <c r="C150" s="614"/>
      <c r="D150" s="614"/>
      <c r="E150" s="614"/>
      <c r="F150" s="614"/>
      <c r="G150" s="614"/>
      <c r="H150" s="614"/>
      <c r="I150" s="614"/>
    </row>
    <row r="151">
      <c r="A151" s="614"/>
      <c r="B151" s="614"/>
      <c r="C151" s="614"/>
      <c r="D151" s="614"/>
      <c r="E151" s="614"/>
      <c r="F151" s="614"/>
      <c r="G151" s="614"/>
      <c r="H151" s="614"/>
      <c r="I151" s="614"/>
    </row>
    <row r="152">
      <c r="A152" s="614"/>
      <c r="B152" s="614"/>
      <c r="C152" s="614"/>
      <c r="D152" s="614"/>
      <c r="E152" s="614"/>
      <c r="F152" s="614"/>
      <c r="G152" s="614"/>
      <c r="H152" s="614"/>
      <c r="I152" s="614"/>
    </row>
    <row r="153">
      <c r="A153" s="614"/>
      <c r="B153" s="614"/>
      <c r="C153" s="614"/>
      <c r="D153" s="614"/>
      <c r="E153" s="614"/>
      <c r="F153" s="614"/>
      <c r="G153" s="614"/>
      <c r="H153" s="614"/>
      <c r="I153" s="614"/>
    </row>
    <row r="154">
      <c r="A154" s="614"/>
      <c r="B154" s="614"/>
      <c r="C154" s="614"/>
      <c r="D154" s="614"/>
      <c r="E154" s="614"/>
      <c r="F154" s="614"/>
      <c r="G154" s="614"/>
      <c r="H154" s="614"/>
      <c r="I154" s="614"/>
    </row>
    <row r="155">
      <c r="A155" s="614"/>
      <c r="B155" s="614"/>
      <c r="C155" s="614"/>
      <c r="D155" s="614"/>
      <c r="E155" s="614"/>
      <c r="F155" s="614"/>
      <c r="G155" s="614"/>
      <c r="H155" s="614"/>
      <c r="I155" s="614"/>
    </row>
    <row r="156">
      <c r="A156" s="614"/>
      <c r="B156" s="614"/>
      <c r="C156" s="614"/>
      <c r="D156" s="614"/>
      <c r="E156" s="614"/>
      <c r="F156" s="614"/>
      <c r="G156" s="614"/>
      <c r="H156" s="614"/>
      <c r="I156" s="614"/>
    </row>
    <row r="157">
      <c r="A157" s="614"/>
      <c r="B157" s="614"/>
      <c r="C157" s="614"/>
      <c r="D157" s="614"/>
      <c r="E157" s="614"/>
      <c r="F157" s="614"/>
      <c r="G157" s="614"/>
      <c r="H157" s="614"/>
      <c r="I157" s="614"/>
    </row>
    <row r="158">
      <c r="A158" s="614"/>
      <c r="B158" s="614"/>
      <c r="C158" s="614"/>
      <c r="D158" s="614"/>
      <c r="E158" s="614"/>
      <c r="F158" s="614"/>
      <c r="G158" s="614"/>
      <c r="H158" s="614"/>
      <c r="I158" s="614"/>
    </row>
    <row r="159">
      <c r="A159" s="614"/>
      <c r="B159" s="614"/>
      <c r="C159" s="614"/>
      <c r="D159" s="614"/>
      <c r="E159" s="614"/>
      <c r="F159" s="614"/>
      <c r="G159" s="614"/>
      <c r="H159" s="614"/>
      <c r="I159" s="614"/>
    </row>
    <row r="160">
      <c r="A160" s="614"/>
      <c r="B160" s="614"/>
      <c r="C160" s="614"/>
      <c r="D160" s="614"/>
      <c r="E160" s="614"/>
      <c r="F160" s="614"/>
      <c r="G160" s="614"/>
      <c r="H160" s="614"/>
      <c r="I160" s="614"/>
    </row>
    <row r="161">
      <c r="A161" s="614"/>
      <c r="B161" s="614"/>
      <c r="C161" s="614"/>
      <c r="D161" s="614"/>
      <c r="E161" s="614"/>
      <c r="F161" s="614"/>
      <c r="G161" s="614"/>
      <c r="H161" s="614"/>
      <c r="I161" s="614"/>
    </row>
    <row r="162">
      <c r="A162" s="614"/>
      <c r="B162" s="614"/>
      <c r="C162" s="614"/>
      <c r="D162" s="614"/>
      <c r="E162" s="614"/>
      <c r="F162" s="614"/>
      <c r="G162" s="614"/>
      <c r="H162" s="614"/>
      <c r="I162" s="614"/>
    </row>
    <row r="163">
      <c r="A163" s="614"/>
      <c r="B163" s="614"/>
      <c r="C163" s="614"/>
      <c r="D163" s="614"/>
      <c r="E163" s="614"/>
      <c r="F163" s="614"/>
      <c r="G163" s="614"/>
      <c r="H163" s="614"/>
      <c r="I163" s="614"/>
    </row>
    <row r="164">
      <c r="A164" s="614"/>
      <c r="B164" s="614"/>
      <c r="C164" s="614"/>
      <c r="D164" s="614"/>
      <c r="E164" s="614"/>
      <c r="F164" s="614"/>
      <c r="G164" s="614"/>
      <c r="H164" s="614"/>
      <c r="I164" s="614"/>
    </row>
    <row r="165">
      <c r="A165" s="614"/>
      <c r="B165" s="614"/>
      <c r="C165" s="614"/>
      <c r="D165" s="614"/>
      <c r="E165" s="614"/>
      <c r="F165" s="614"/>
      <c r="G165" s="614"/>
      <c r="H165" s="614"/>
      <c r="I165" s="614"/>
    </row>
    <row r="166">
      <c r="A166" s="614"/>
      <c r="B166" s="614"/>
      <c r="C166" s="614"/>
      <c r="D166" s="614"/>
      <c r="E166" s="614"/>
      <c r="F166" s="614"/>
      <c r="G166" s="614"/>
      <c r="H166" s="614"/>
      <c r="I166" s="614"/>
    </row>
    <row r="167">
      <c r="A167" s="614"/>
      <c r="B167" s="614"/>
      <c r="C167" s="614"/>
      <c r="D167" s="614"/>
      <c r="E167" s="614"/>
      <c r="F167" s="614"/>
      <c r="G167" s="614"/>
      <c r="H167" s="614"/>
      <c r="I167" s="614"/>
    </row>
    <row r="168">
      <c r="A168" s="614"/>
      <c r="B168" s="614"/>
      <c r="C168" s="614"/>
      <c r="D168" s="614"/>
      <c r="E168" s="614"/>
      <c r="F168" s="614"/>
      <c r="G168" s="614"/>
      <c r="H168" s="614"/>
      <c r="I168" s="614"/>
    </row>
    <row r="169">
      <c r="A169" s="614"/>
      <c r="B169" s="614"/>
      <c r="C169" s="614"/>
      <c r="D169" s="614"/>
      <c r="E169" s="614"/>
      <c r="F169" s="614"/>
      <c r="G169" s="614"/>
      <c r="H169" s="614"/>
      <c r="I169" s="614"/>
    </row>
    <row r="170">
      <c r="A170" s="614"/>
      <c r="B170" s="614"/>
      <c r="C170" s="614"/>
      <c r="D170" s="614"/>
      <c r="E170" s="614"/>
      <c r="F170" s="614"/>
      <c r="G170" s="614"/>
      <c r="H170" s="614"/>
      <c r="I170" s="614"/>
    </row>
    <row r="171">
      <c r="A171" s="614"/>
      <c r="B171" s="614"/>
      <c r="C171" s="614"/>
      <c r="D171" s="614"/>
      <c r="E171" s="614"/>
      <c r="F171" s="614"/>
      <c r="G171" s="614"/>
      <c r="H171" s="614"/>
      <c r="I171" s="614"/>
    </row>
    <row r="172">
      <c r="A172" s="614"/>
      <c r="B172" s="614"/>
      <c r="C172" s="614"/>
      <c r="D172" s="614"/>
      <c r="E172" s="614"/>
      <c r="F172" s="614"/>
      <c r="G172" s="614"/>
      <c r="H172" s="614"/>
      <c r="I172" s="614"/>
    </row>
    <row r="173">
      <c r="A173" s="614"/>
      <c r="B173" s="614"/>
      <c r="C173" s="614"/>
      <c r="D173" s="614"/>
      <c r="E173" s="614"/>
      <c r="F173" s="614"/>
      <c r="G173" s="614"/>
      <c r="H173" s="614"/>
      <c r="I173" s="614"/>
    </row>
    <row r="174">
      <c r="A174" s="614"/>
      <c r="B174" s="614"/>
      <c r="C174" s="614"/>
      <c r="D174" s="614"/>
      <c r="E174" s="614"/>
      <c r="F174" s="614"/>
      <c r="G174" s="614"/>
      <c r="H174" s="614"/>
      <c r="I174" s="614"/>
    </row>
    <row r="175">
      <c r="A175" s="614"/>
      <c r="B175" s="614"/>
      <c r="C175" s="614"/>
      <c r="D175" s="614"/>
      <c r="E175" s="614"/>
      <c r="F175" s="614"/>
      <c r="G175" s="614"/>
      <c r="H175" s="614"/>
      <c r="I175" s="614"/>
    </row>
    <row r="176">
      <c r="A176" s="614"/>
      <c r="B176" s="614"/>
      <c r="C176" s="614"/>
      <c r="D176" s="614"/>
      <c r="E176" s="614"/>
      <c r="F176" s="614"/>
      <c r="G176" s="614"/>
      <c r="H176" s="614"/>
      <c r="I176" s="614"/>
    </row>
    <row r="177">
      <c r="A177" s="614"/>
      <c r="B177" s="614"/>
      <c r="C177" s="614"/>
      <c r="D177" s="614"/>
      <c r="E177" s="614"/>
      <c r="F177" s="614"/>
      <c r="G177" s="614"/>
      <c r="H177" s="614"/>
      <c r="I177" s="614"/>
    </row>
    <row r="178">
      <c r="A178" s="614"/>
      <c r="B178" s="614"/>
      <c r="C178" s="614"/>
      <c r="D178" s="614"/>
      <c r="E178" s="614"/>
      <c r="F178" s="614"/>
      <c r="G178" s="614"/>
      <c r="H178" s="614"/>
      <c r="I178" s="614"/>
    </row>
    <row r="179">
      <c r="A179" s="614"/>
      <c r="B179" s="614"/>
      <c r="C179" s="614"/>
      <c r="D179" s="614"/>
      <c r="E179" s="614"/>
      <c r="F179" s="614"/>
      <c r="G179" s="614"/>
      <c r="H179" s="614"/>
      <c r="I179" s="614"/>
    </row>
    <row r="180">
      <c r="A180" s="614"/>
      <c r="B180" s="614"/>
      <c r="C180" s="614"/>
      <c r="D180" s="614"/>
      <c r="E180" s="614"/>
      <c r="F180" s="614"/>
      <c r="G180" s="614"/>
      <c r="H180" s="614"/>
      <c r="I180" s="614"/>
    </row>
    <row r="181">
      <c r="A181" s="614"/>
      <c r="B181" s="614"/>
      <c r="C181" s="614"/>
      <c r="D181" s="614"/>
      <c r="E181" s="614"/>
      <c r="F181" s="614"/>
      <c r="G181" s="614"/>
      <c r="H181" s="614"/>
      <c r="I181" s="614"/>
    </row>
    <row r="182">
      <c r="A182" s="614"/>
      <c r="B182" s="614"/>
      <c r="C182" s="614"/>
      <c r="D182" s="614"/>
      <c r="E182" s="614"/>
      <c r="F182" s="614"/>
      <c r="G182" s="614"/>
      <c r="H182" s="614"/>
      <c r="I182" s="614"/>
    </row>
    <row r="183">
      <c r="A183" s="614"/>
      <c r="B183" s="614"/>
      <c r="C183" s="614"/>
      <c r="D183" s="614"/>
      <c r="E183" s="614"/>
      <c r="F183" s="614"/>
      <c r="G183" s="614"/>
      <c r="H183" s="614"/>
      <c r="I183" s="614"/>
    </row>
    <row r="184">
      <c r="A184" s="614"/>
      <c r="B184" s="614"/>
      <c r="C184" s="614"/>
      <c r="D184" s="614"/>
      <c r="E184" s="614"/>
      <c r="F184" s="614"/>
      <c r="G184" s="614"/>
      <c r="H184" s="614"/>
      <c r="I184" s="614"/>
    </row>
    <row r="185">
      <c r="A185" s="614"/>
      <c r="B185" s="614"/>
      <c r="C185" s="614"/>
      <c r="D185" s="614"/>
      <c r="E185" s="614"/>
      <c r="F185" s="614"/>
      <c r="G185" s="614"/>
      <c r="H185" s="614"/>
      <c r="I185" s="614"/>
    </row>
    <row r="186">
      <c r="A186" s="614"/>
      <c r="B186" s="614"/>
      <c r="C186" s="614"/>
      <c r="D186" s="614"/>
      <c r="E186" s="614"/>
      <c r="F186" s="614"/>
      <c r="G186" s="614"/>
      <c r="H186" s="614"/>
      <c r="I186" s="614"/>
    </row>
    <row r="187">
      <c r="A187" s="614"/>
      <c r="B187" s="614"/>
      <c r="C187" s="614"/>
      <c r="D187" s="614"/>
      <c r="E187" s="614"/>
      <c r="F187" s="614"/>
      <c r="G187" s="614"/>
      <c r="H187" s="614"/>
      <c r="I187" s="614"/>
    </row>
    <row r="188">
      <c r="A188" s="614"/>
      <c r="B188" s="614"/>
      <c r="C188" s="614"/>
      <c r="D188" s="614"/>
      <c r="E188" s="614"/>
      <c r="F188" s="614"/>
      <c r="G188" s="614"/>
      <c r="H188" s="614"/>
      <c r="I188" s="614"/>
    </row>
    <row r="189">
      <c r="A189" s="614"/>
      <c r="B189" s="614"/>
      <c r="C189" s="614"/>
      <c r="D189" s="614"/>
      <c r="E189" s="614"/>
      <c r="F189" s="614"/>
      <c r="G189" s="614"/>
      <c r="H189" s="614"/>
      <c r="I189" s="614"/>
    </row>
    <row r="190">
      <c r="A190" s="614"/>
      <c r="B190" s="614"/>
      <c r="C190" s="614"/>
      <c r="D190" s="614"/>
      <c r="E190" s="614"/>
      <c r="F190" s="614"/>
      <c r="G190" s="614"/>
      <c r="H190" s="614"/>
      <c r="I190" s="614"/>
    </row>
    <row r="191">
      <c r="A191" s="614"/>
      <c r="B191" s="614"/>
      <c r="C191" s="614"/>
      <c r="D191" s="614"/>
      <c r="E191" s="614"/>
      <c r="F191" s="614"/>
      <c r="G191" s="614"/>
      <c r="H191" s="614"/>
      <c r="I191" s="614"/>
    </row>
    <row r="192">
      <c r="A192" s="614"/>
      <c r="B192" s="614"/>
      <c r="C192" s="614"/>
      <c r="D192" s="614"/>
      <c r="E192" s="614"/>
      <c r="F192" s="614"/>
      <c r="G192" s="614"/>
      <c r="H192" s="614"/>
      <c r="I192" s="614"/>
    </row>
    <row r="193">
      <c r="A193" s="614"/>
      <c r="B193" s="614"/>
      <c r="C193" s="614"/>
      <c r="D193" s="614"/>
      <c r="E193" s="614"/>
      <c r="F193" s="614"/>
      <c r="G193" s="614"/>
      <c r="H193" s="614"/>
      <c r="I193" s="614"/>
    </row>
    <row r="194">
      <c r="A194" s="614"/>
      <c r="B194" s="614"/>
      <c r="C194" s="614"/>
      <c r="D194" s="614"/>
      <c r="E194" s="614"/>
      <c r="F194" s="614"/>
      <c r="G194" s="614"/>
      <c r="H194" s="614"/>
      <c r="I194" s="614"/>
    </row>
    <row r="195">
      <c r="A195" s="614"/>
      <c r="B195" s="614"/>
      <c r="C195" s="614"/>
      <c r="D195" s="614"/>
      <c r="E195" s="614"/>
      <c r="F195" s="614"/>
      <c r="G195" s="614"/>
      <c r="H195" s="614"/>
      <c r="I195" s="614"/>
    </row>
    <row r="196">
      <c r="A196" s="614"/>
      <c r="B196" s="614"/>
      <c r="C196" s="614"/>
      <c r="D196" s="614"/>
      <c r="E196" s="614"/>
      <c r="F196" s="614"/>
      <c r="G196" s="614"/>
      <c r="H196" s="614"/>
      <c r="I196" s="614"/>
    </row>
    <row r="197">
      <c r="A197" s="614"/>
      <c r="B197" s="614"/>
      <c r="C197" s="614"/>
      <c r="D197" s="614"/>
      <c r="E197" s="614"/>
      <c r="F197" s="614"/>
      <c r="G197" s="614"/>
      <c r="H197" s="614"/>
      <c r="I197" s="614"/>
    </row>
    <row r="198">
      <c r="A198" s="614"/>
      <c r="B198" s="614"/>
      <c r="C198" s="614"/>
      <c r="D198" s="614"/>
      <c r="E198" s="614"/>
      <c r="F198" s="614"/>
      <c r="G198" s="614"/>
      <c r="H198" s="614"/>
      <c r="I198" s="614"/>
    </row>
    <row r="199">
      <c r="A199" s="614"/>
      <c r="B199" s="614"/>
      <c r="C199" s="614"/>
      <c r="D199" s="614"/>
      <c r="E199" s="614"/>
      <c r="F199" s="614"/>
      <c r="G199" s="614"/>
      <c r="H199" s="614"/>
      <c r="I199" s="614"/>
    </row>
    <row r="200">
      <c r="A200" s="614"/>
      <c r="B200" s="614"/>
      <c r="C200" s="614"/>
      <c r="D200" s="614"/>
      <c r="E200" s="614"/>
      <c r="F200" s="614"/>
      <c r="G200" s="614"/>
      <c r="H200" s="614"/>
      <c r="I200" s="614"/>
    </row>
  </sheetData>
  <mergeCells>
    <mergeCell ref="A2:I2"/>
    <mergeCell ref="A4:I4"/>
    <mergeCell ref="A6:I6"/>
    <mergeCell ref="A25:I25"/>
    <mergeCell ref="A33:I33"/>
  </mergeCells>
  <pageMargins left="0.7" right="0.7" top="0.75" bottom="0.75" header="0.3" footer="0.3"/>
</worksheet>
</file>

<file path=xl/worksheets/sheet12.xml><?xml version="1.0" encoding="utf-8"?>
<worksheet xmlns="http://schemas.openxmlformats.org/spreadsheetml/2006/main">
  <sheetPr>
    <tabColor rgb="FF17365D"/>
  </sheetPr>
  <sheetViews>
    <sheetView showGridLines="0" workbookViewId="0"/>
  </sheetViews>
  <sheetFormatPr defaultRowHeight="14.5"/>
  <cols>
    <col min="1" max="1" width="18" hidden="0" customWidth="1"/>
    <col min="2" max="2" width="23" hidden="0" customWidth="1"/>
    <col min="3" max="3" width="34" hidden="0" customWidth="1"/>
    <col min="4" max="4" width="18" hidden="0" customWidth="1"/>
    <col min="5" max="5" width="14" hidden="0" customWidth="1"/>
    <col min="6" max="6" width="14" hidden="0" customWidth="1"/>
    <col min="7" max="7" width="14" hidden="0" customWidth="1"/>
    <col min="8" max="8" width="15" hidden="0" customWidth="1"/>
    <col min="12" max="12" width="2.5" hidden="0" customWidth="1"/>
    <col min="13" max="13" width="2.5" hidden="0" customWidth="1"/>
    <col min="14" max="14" width="2.5" hidden="0" customWidth="1"/>
    <col min="15" max="35" width="5.58203125" customWidth="1"/>
    <col min="36" max="36" width="2.5" hidden="0" customWidth="1"/>
    <col min="37" max="37" width="2.5" hidden="0" customWidth="1"/>
    <col min="38" max="38" width="2.5" hidden="0" customWidth="1"/>
    <col min="39" max="39" width="2.5" hidden="0" customWidth="1"/>
    <col min="40" max="40" width="2.5" hidden="0" customWidth="1"/>
    <col min="41" max="41" width="2.5" hidden="0" customWidth="1"/>
    <col min="42" max="42" width="2.5" hidden="0" customWidth="1"/>
    <col min="43" max="43" width="2.5" hidden="0" customWidth="1"/>
    <col min="44" max="44" width="2.5" hidden="0" customWidth="1"/>
    <col min="45" max="45" width="2.5" hidden="0" customWidth="1"/>
    <col min="46" max="46" width="2.5" hidden="0" customWidth="1"/>
    <col min="47" max="47" width="2.5" hidden="0" customWidth="1"/>
    <col min="48" max="48" width="2.5" hidden="0" customWidth="1"/>
    <col min="49" max="49" width="2.5" hidden="0" customWidth="1"/>
    <col min="9" max="9" width="34" hidden="0" customWidth="1"/>
    <col min="10" max="10" width="28" hidden="0" customWidth="1"/>
    <col min="11" max="11" width="52" hidden="0" customWidth="1"/>
    <col min="15" max="15" width="2.5" hidden="0" customWidth="1"/>
    <col min="16" max="16" width="2.5" hidden="0" customWidth="1"/>
    <col min="17" max="17" width="2.5" hidden="0" customWidth="1"/>
    <col min="18" max="18" width="2.5" hidden="0" customWidth="1"/>
    <col min="19" max="19" width="2.5" hidden="0" customWidth="1"/>
    <col min="20" max="20" width="2.5" hidden="0" customWidth="1"/>
    <col min="21" max="21" width="2.5" hidden="0" customWidth="1"/>
    <col min="22" max="22" width="2.5" hidden="0" customWidth="1"/>
    <col min="23" max="23" width="2.5" hidden="0" customWidth="1"/>
    <col min="24" max="24" width="2.5" hidden="0" customWidth="1"/>
    <col min="25" max="25" width="2.5" hidden="0" customWidth="1"/>
    <col min="26" max="26" width="2.5" hidden="0" customWidth="1"/>
    <col min="27" max="27" width="2.5" hidden="0" customWidth="1"/>
    <col min="28" max="28" width="2.5" hidden="0" customWidth="1"/>
    <col min="29" max="29" width="2.5" hidden="0" customWidth="1"/>
    <col min="30" max="30" width="2.5" hidden="0" customWidth="1"/>
    <col min="31" max="31" width="2.5" hidden="0" customWidth="1"/>
    <col min="32" max="32" width="2.5" hidden="0" customWidth="1"/>
    <col min="33" max="33" width="2.5" hidden="0" customWidth="1"/>
    <col min="34" max="34" width="2.5" hidden="0" customWidth="1"/>
    <col min="35" max="35" width="2.5" hidden="0" customWidth="1"/>
    <col min="50" max="50" width="2.5" hidden="0" customWidth="1"/>
    <col min="51" max="51" width="2.5" hidden="0" customWidth="1"/>
    <col min="52" max="52" width="2.5" hidden="0" customWidth="1"/>
    <col min="53" max="53" width="2.5" hidden="0" customWidth="1"/>
    <col min="54" max="54" width="2.5" hidden="0" customWidth="1"/>
    <col min="55" max="55" width="2.5" hidden="0" customWidth="1"/>
    <col min="56" max="56" width="2.5" hidden="0" customWidth="1"/>
    <col min="57" max="57" width="2.5" hidden="0" customWidth="1"/>
    <col min="58" max="58" width="2.5" hidden="0" customWidth="1"/>
    <col min="59" max="59" width="2.5" hidden="0" customWidth="1"/>
  </cols>
  <sheetData>
    <row r="1" ht="14.5" customHeight="1">
      <c r="A1" s="2002"/>
      <c r="B1" s="2003"/>
      <c r="C1" s="2003"/>
      <c r="D1" s="2002"/>
      <c r="E1" s="2002"/>
      <c r="F1" s="2002"/>
      <c r="G1" s="2002"/>
      <c r="H1" s="2003"/>
      <c r="I1" s="2003"/>
      <c r="J1" s="2003"/>
      <c r="K1" s="2003"/>
    </row>
    <row r="2" ht="26" customHeight="1">
      <c r="A2" s="2075" t="str">
        <v>THE BEND PRECINCT | PROJECT INPUTS &amp; ASSUMPTIONS</v>
      </c>
      <c r="B2" s="2076"/>
      <c r="C2" s="2076"/>
      <c r="D2" s="2075"/>
      <c r="E2" s="2075"/>
      <c r="F2" s="2075"/>
      <c r="G2" s="2075"/>
      <c r="H2" s="2076"/>
      <c r="I2" s="2076"/>
      <c r="J2" s="2076"/>
      <c r="K2" s="2076"/>
      <c r="L2" s="731" t="s">
        <v>3192</v>
      </c>
      <c r="M2" s="731" t="s">
        <v>3192</v>
      </c>
      <c r="N2" s="731" t="s">
        <v>3192</v>
      </c>
      <c r="O2" s="731" t="s">
        <v>3192</v>
      </c>
      <c r="P2" s="731" t="s">
        <v>3192</v>
      </c>
      <c r="Q2" s="731" t="s">
        <v>3192</v>
      </c>
      <c r="R2" s="731" t="s">
        <v>3192</v>
      </c>
      <c r="S2" s="731" t="s">
        <v>3192</v>
      </c>
      <c r="T2" s="731" t="s">
        <v>3192</v>
      </c>
      <c r="U2" s="731" t="s">
        <v>3192</v>
      </c>
      <c r="V2" s="731" t="s">
        <v>3192</v>
      </c>
      <c r="W2" s="731" t="s">
        <v>3192</v>
      </c>
      <c r="X2" s="731" t="s">
        <v>3192</v>
      </c>
      <c r="Y2" s="731" t="s">
        <v>3192</v>
      </c>
      <c r="Z2" s="731" t="s">
        <v>3192</v>
      </c>
      <c r="AA2" s="731" t="s">
        <v>3192</v>
      </c>
      <c r="AB2" s="731" t="s">
        <v>3192</v>
      </c>
      <c r="AC2" s="731" t="s">
        <v>3192</v>
      </c>
      <c r="AD2" s="731" t="s">
        <v>3192</v>
      </c>
      <c r="AE2" s="731" t="s">
        <v>3192</v>
      </c>
      <c r="AF2" s="731" t="s">
        <v>3192</v>
      </c>
      <c r="AG2" s="731" t="s">
        <v>3192</v>
      </c>
      <c r="AH2" s="731" t="s">
        <v>3192</v>
      </c>
      <c r="AI2" s="731" t="s">
        <v>3192</v>
      </c>
      <c r="AJ2" s="707" t="s">
        <v>660</v>
      </c>
      <c r="AK2" s="708"/>
      <c r="AL2" s="708"/>
      <c r="AM2" s="708"/>
      <c r="AN2" s="708"/>
      <c r="AO2" s="708"/>
      <c r="AP2" s="708"/>
      <c r="AQ2" s="708"/>
      <c r="AR2" s="708"/>
      <c r="AS2" s="708"/>
      <c r="AT2" s="708"/>
      <c r="AU2" s="708"/>
      <c r="AV2" s="708"/>
      <c r="AW2" s="708"/>
    </row>
    <row r="3" ht="19" customHeight="1">
      <c r="A3" s="2088" t="str">
        <v>AUTHORITATIVE FIELD-ID-CONTROLLED INPUT HUB</v>
      </c>
      <c r="B3" s="2089"/>
      <c r="C3" s="2089"/>
      <c r="D3" s="2088"/>
      <c r="E3" s="2088"/>
      <c r="F3" s="2088"/>
      <c r="G3" s="2088"/>
      <c r="H3" s="2089"/>
      <c r="I3" s="2089"/>
      <c r="J3" s="2089"/>
      <c r="K3" s="2089"/>
      <c r="L3" s="614"/>
      <c r="M3" s="614"/>
      <c r="N3" s="614"/>
      <c r="O3" s="614"/>
      <c r="P3" s="614"/>
      <c r="Q3" s="614"/>
      <c r="R3" s="614"/>
      <c r="S3" s="614"/>
      <c r="T3" s="614"/>
      <c r="U3" s="614"/>
      <c r="V3" s="614"/>
      <c r="W3" s="614"/>
      <c r="X3" s="614"/>
      <c r="Y3" s="614"/>
      <c r="Z3" s="614"/>
      <c r="AA3" s="614"/>
      <c r="AB3" s="614"/>
      <c r="AC3" s="614"/>
      <c r="AD3" s="614"/>
      <c r="AE3" s="614"/>
      <c r="AF3" s="614"/>
      <c r="AG3" s="614"/>
      <c r="AH3" s="614"/>
      <c r="AI3" s="614"/>
    </row>
    <row r="4" ht="30" customHeight="1">
      <c r="A4" s="2099" t="str">
        <v>Edit blue Base / Downside / Upside cells only. Green values are source-linked; grey values are calculations or controls. The compatibility register remains in AJ:BG.</v>
      </c>
      <c r="B4" s="2099"/>
      <c r="C4" s="2099"/>
      <c r="D4" s="2099"/>
      <c r="E4" s="2099"/>
      <c r="F4" s="2099"/>
      <c r="G4" s="2099"/>
      <c r="H4" s="2099"/>
      <c r="I4" s="2099"/>
      <c r="J4" s="2099"/>
      <c r="K4" s="2099"/>
      <c r="L4" s="732" t="s">
        <v>3193</v>
      </c>
      <c r="M4" s="732" t="s">
        <v>3193</v>
      </c>
      <c r="N4" s="732" t="s">
        <v>3193</v>
      </c>
      <c r="O4" s="732" t="s">
        <v>3193</v>
      </c>
      <c r="P4" s="732" t="s">
        <v>3193</v>
      </c>
      <c r="Q4" s="732" t="s">
        <v>3193</v>
      </c>
      <c r="R4" s="732" t="s">
        <v>3193</v>
      </c>
      <c r="S4" s="732" t="s">
        <v>3193</v>
      </c>
      <c r="T4" s="732" t="s">
        <v>3193</v>
      </c>
      <c r="U4" s="732" t="s">
        <v>3193</v>
      </c>
      <c r="V4" s="732" t="s">
        <v>3193</v>
      </c>
      <c r="W4" s="732" t="s">
        <v>3193</v>
      </c>
      <c r="X4" s="732" t="s">
        <v>3193</v>
      </c>
      <c r="Y4" s="732" t="s">
        <v>3193</v>
      </c>
      <c r="Z4" s="732" t="s">
        <v>3193</v>
      </c>
      <c r="AA4" s="732" t="s">
        <v>3193</v>
      </c>
      <c r="AB4" s="732" t="s">
        <v>3193</v>
      </c>
      <c r="AC4" s="732" t="s">
        <v>3193</v>
      </c>
      <c r="AD4" s="732" t="s">
        <v>3193</v>
      </c>
      <c r="AE4" s="732" t="s">
        <v>3193</v>
      </c>
      <c r="AF4" s="732" t="s">
        <v>3193</v>
      </c>
      <c r="AG4" s="732" t="s">
        <v>3193</v>
      </c>
      <c r="AH4" s="732" t="s">
        <v>3193</v>
      </c>
      <c r="AI4" s="732" t="s">
        <v>3193</v>
      </c>
      <c r="AJ4" s="698" t="s">
        <v>3194</v>
      </c>
      <c r="AK4" s="709"/>
      <c r="AL4" s="709"/>
      <c r="AM4" s="709"/>
      <c r="AN4" s="709"/>
      <c r="AO4" s="709"/>
      <c r="AP4" s="709"/>
      <c r="AQ4" s="709"/>
      <c r="AR4" s="709"/>
      <c r="AS4" s="709"/>
      <c r="AT4" s="709"/>
      <c r="AU4" s="709"/>
      <c r="AV4" s="709"/>
      <c r="AW4" s="709"/>
    </row>
    <row r="5" ht="14.5" customHeight="1">
      <c r="A5" s="2002"/>
      <c r="B5" s="2003"/>
      <c r="C5" s="2003"/>
      <c r="D5" s="2002"/>
      <c r="E5" s="2002"/>
      <c r="F5" s="2002"/>
      <c r="G5" s="2002"/>
      <c r="H5" s="2003"/>
      <c r="I5" s="2003"/>
      <c r="J5" s="2003"/>
      <c r="K5" s="2003"/>
      <c r="L5" s="614"/>
      <c r="M5" s="614"/>
      <c r="N5" s="614"/>
      <c r="O5" s="614"/>
      <c r="P5" s="614"/>
      <c r="Q5" s="614"/>
      <c r="R5" s="614"/>
      <c r="S5" s="614"/>
      <c r="T5" s="614"/>
      <c r="U5" s="614"/>
      <c r="V5" s="614"/>
      <c r="W5" s="614"/>
      <c r="X5" s="614"/>
      <c r="Y5" s="614"/>
      <c r="Z5" s="614"/>
      <c r="AA5" s="614"/>
      <c r="AB5" s="614"/>
      <c r="AC5" s="614"/>
      <c r="AD5" s="614"/>
      <c r="AE5" s="614"/>
      <c r="AF5" s="614"/>
      <c r="AG5" s="614"/>
      <c r="AH5" s="614"/>
      <c r="AI5" s="614"/>
      <c r="AJ5" s="695" t="s">
        <v>3195</v>
      </c>
      <c r="AK5" s="695"/>
      <c r="AL5" s="695"/>
      <c r="AM5" s="695"/>
      <c r="AN5" s="695"/>
      <c r="AO5" s="695"/>
      <c r="AP5" s="695"/>
      <c r="AQ5" s="695"/>
      <c r="AR5" s="695"/>
      <c r="AS5" s="695"/>
      <c r="AT5" s="695"/>
      <c r="AU5" s="695"/>
      <c r="AV5" s="695"/>
      <c r="AW5" s="695"/>
    </row>
    <row r="6" ht="14.5" customHeight="1">
      <c r="A6" s="2104" t="str">
        <v>Project</v>
      </c>
      <c r="B6" s="2118" t="str">
        <f>INDEX($AY$8:$AY$257,MATCH("PRJ-001",$AJ$8:$AJ$257,0))</f>
        <v>The Bend Precinct</v>
      </c>
      <c r="C6" s="2005"/>
      <c r="D6" s="2104" t="str">
        <v>Location</v>
      </c>
      <c r="E6" s="2125" t="str">
        <f>INDEX($AY$8:$AY$257,MATCH("PRJ-003",$AJ$8:$AJ$257,0))&amp;", "&amp;INDEX($AY$8:$AY$257,MATCH("PRJ-004",$AJ$8:$AJ$257,0))</f>
        <v>Port Melbourne, Victoria</v>
      </c>
      <c r="F6" s="2004"/>
      <c r="G6" s="2104" t="str">
        <v>Model Start</v>
      </c>
      <c r="H6" s="2128" t="n">
        <f>INDEX($AY$8:$AY$257,MATCH("PRJ-006",$AJ$8:$AJ$257,0))</f>
        <v>46204</v>
      </c>
      <c r="I6" s="2003"/>
      <c r="J6" s="2107" t="str">
        <v>Last Reviewed</v>
      </c>
      <c r="K6" s="2128" t="n">
        <v>46231</v>
      </c>
      <c r="L6" s="733" t="s">
        <v>3196</v>
      </c>
      <c r="M6" s="733"/>
      <c r="N6" s="733"/>
      <c r="O6" s="733"/>
      <c r="P6" s="733"/>
      <c r="Q6" s="733"/>
      <c r="R6" s="733"/>
      <c r="S6" s="733"/>
      <c r="T6" s="733"/>
      <c r="U6" s="733"/>
      <c r="V6" s="733"/>
      <c r="W6" s="733"/>
      <c r="X6" s="733"/>
      <c r="Y6" s="733"/>
      <c r="Z6" s="733"/>
      <c r="AA6" s="733"/>
      <c r="AB6" s="733"/>
      <c r="AC6" s="733"/>
      <c r="AD6" s="733"/>
      <c r="AE6" s="733"/>
      <c r="AF6" s="733"/>
      <c r="AG6" s="733"/>
      <c r="AH6" s="733"/>
      <c r="AI6" s="733"/>
    </row>
    <row r="7" ht="14.5" customHeight="1">
      <c r="A7" s="2105"/>
      <c r="B7" s="2119"/>
      <c r="C7" s="2006"/>
      <c r="D7" s="2105"/>
      <c r="E7" s="2119"/>
      <c r="F7" s="2006"/>
      <c r="G7" s="2105"/>
      <c r="H7" s="2119"/>
      <c r="I7" s="2003"/>
      <c r="J7" s="2107"/>
      <c r="K7" s="2118"/>
      <c r="L7" s="615" t="s">
        <v>3197</v>
      </c>
      <c r="M7" s="615" t="s">
        <v>1004</v>
      </c>
      <c r="N7" s="615">
        <v>2027</v>
      </c>
      <c r="O7" s="615">
        <v>2028</v>
      </c>
      <c r="P7" s="615">
        <v>2029</v>
      </c>
      <c r="Q7" s="615">
        <v>2030</v>
      </c>
      <c r="R7" s="615">
        <v>2031</v>
      </c>
      <c r="S7" s="615">
        <v>2032</v>
      </c>
      <c r="T7" s="615">
        <v>2033</v>
      </c>
      <c r="U7" s="615">
        <v>2034</v>
      </c>
      <c r="V7" s="615">
        <v>2035</v>
      </c>
      <c r="W7" s="615">
        <v>2036</v>
      </c>
      <c r="X7" s="615">
        <v>2037</v>
      </c>
      <c r="Y7" s="615">
        <v>2038</v>
      </c>
      <c r="Z7" s="615">
        <v>2039</v>
      </c>
      <c r="AA7" s="615">
        <v>2040</v>
      </c>
      <c r="AB7" s="615">
        <v>2041</v>
      </c>
      <c r="AC7" s="615">
        <v>2042</v>
      </c>
      <c r="AD7" s="615">
        <v>2043</v>
      </c>
      <c r="AE7" s="615">
        <v>2044</v>
      </c>
      <c r="AF7" s="615">
        <v>2045</v>
      </c>
      <c r="AG7" s="615">
        <v>2046</v>
      </c>
      <c r="AH7" s="615">
        <v>2047</v>
      </c>
      <c r="AI7" s="615">
        <v>2048</v>
      </c>
      <c r="AJ7" s="2430" t="str">
        <v>Field ID</v>
      </c>
      <c r="AK7" s="2430" t="str">
        <v>Category</v>
      </c>
      <c r="AL7" s="2430" t="str">
        <v>Component</v>
      </c>
      <c r="AM7" s="2430" t="str">
        <v>Assumption</v>
      </c>
      <c r="AN7" s="2430" t="str">
        <v>Unit</v>
      </c>
      <c r="AO7" s="2430" t="str">
        <v>Period/Date</v>
      </c>
      <c r="AP7" s="2430" t="str">
        <v>Base</v>
      </c>
      <c r="AQ7" s="2430" t="str">
        <v>Downside</v>
      </c>
      <c r="AR7" s="2430" t="str">
        <v>Upside</v>
      </c>
      <c r="AS7" s="2430" t="str">
        <v>Source</v>
      </c>
      <c r="AT7" s="2430" t="str">
        <v>Source Date</v>
      </c>
      <c r="AU7" s="2430" t="str">
        <v>Status</v>
      </c>
      <c r="AV7" s="2430" t="str">
        <v>Owner</v>
      </c>
      <c r="AW7" s="2430" t="str">
        <v>Notes</v>
      </c>
      <c r="AX7" s="2433" t="str">
        <v>Input Type</v>
      </c>
      <c r="AY7" s="2433" t="str">
        <v>Selected Value</v>
      </c>
      <c r="AZ7" s="2433" t="str">
        <v>Active?</v>
      </c>
      <c r="BA7" s="2433" t="str">
        <v>Target Sheet</v>
      </c>
      <c r="BB7" s="2433" t="str">
        <v>Target Cell / Named Range</v>
      </c>
      <c r="BC7" s="2433" t="str">
        <v>Source Workbook</v>
      </c>
      <c r="BD7" s="2433" t="str">
        <v>Conflict Flag</v>
      </c>
      <c r="BE7" s="2433" t="str">
        <v>Owner Action Required</v>
      </c>
      <c r="BF7" s="2433" t="str">
        <v>Last Reviewed</v>
      </c>
      <c r="BG7" s="2433" t="str">
        <v>Control Status</v>
      </c>
    </row>
    <row r="8" ht="34" customHeight="1">
      <c r="A8" s="2107" t="str">
        <v>Selected Scenario</v>
      </c>
      <c r="B8" s="2118" t="str">
        <f>'VALUATION &amp; RETURNS'!$CR$7</f>
        <v>Base</v>
      </c>
      <c r="C8" s="2003"/>
      <c r="D8" s="2113" t="str">
        <v>Model Status</v>
      </c>
      <c r="E8" s="2618" t="str">
        <f>'DATA MAP'!$C$173</f>
        <v>TECHNICALLY RECONCILED — OWNER DECISIONS OUTSTANDING</v>
      </c>
      <c r="F8" s="2003"/>
      <c r="G8" s="2107" t="str">
        <v>Editable Inputs</v>
      </c>
      <c r="H8" s="2118" t="str">
        <v>Blue font</v>
      </c>
      <c r="I8" s="2003"/>
      <c r="J8" s="2107" t="str">
        <v>Source-linked</v>
      </c>
      <c r="K8" s="2118" t="str">
        <v>Green font</v>
      </c>
      <c r="L8" s="614" t="s">
        <v>3198</v>
      </c>
      <c r="M8" s="614" t="s">
        <v>515</v>
      </c>
      <c r="N8" s="621">
        <v>4.8767513037390504</v>
      </c>
      <c r="O8" s="621">
        <v>39.482849749680227</v>
      </c>
      <c r="P8" s="621">
        <v>43.239181368285827</v>
      </c>
      <c r="Q8" s="621">
        <v>45.142189801042619</v>
      </c>
      <c r="R8" s="621">
        <v>46.855945752670912</v>
      </c>
      <c r="S8" s="621">
        <v>48.591739963042933</v>
      </c>
      <c r="T8" s="621">
        <v>49.038708758248703</v>
      </c>
      <c r="U8" s="621">
        <v>50.841507925275302</v>
      </c>
      <c r="V8" s="621">
        <v>52.708774644435181</v>
      </c>
      <c r="W8" s="621">
        <v>54.64340695087914</v>
      </c>
      <c r="X8" s="621">
        <v>56.647065847782358</v>
      </c>
      <c r="Y8" s="621">
        <v>58.24008548168716</v>
      </c>
      <c r="Z8" s="621">
        <v>59.888860802778638</v>
      </c>
      <c r="AA8" s="621">
        <v>61.595343260108308</v>
      </c>
      <c r="AB8" s="621">
        <v>63.361552603444508</v>
      </c>
      <c r="AC8" s="621">
        <v>65.189579273797492</v>
      </c>
      <c r="AD8" s="621">
        <v>67.081586877612821</v>
      </c>
      <c r="AE8" s="621">
        <v>69.039814747561678</v>
      </c>
      <c r="AF8" s="621">
        <v>71.066580592958758</v>
      </c>
      <c r="AG8" s="621">
        <v>73.164283242944734</v>
      </c>
      <c r="AH8" s="621">
        <v>79.09526063987704</v>
      </c>
      <c r="AI8" s="621">
        <v>81.794462287832147</v>
      </c>
      <c r="AJ8" s="578" t="str">
        <v>PRJ-001</v>
      </c>
      <c r="AK8" s="579" t="str">
        <v>Project and programme</v>
      </c>
      <c r="AL8" s="579" t="str">
        <v>Project</v>
      </c>
      <c r="AM8" s="579" t="str">
        <v>Project name</v>
      </c>
      <c r="AN8" s="579" t="str">
        <v>Text</v>
      </c>
      <c r="AO8" s="579"/>
      <c r="AP8" s="580" t="str">
        <f>IF($E$36="","",$E$36)</f>
        <v>The Bend Precinct</v>
      </c>
      <c r="AQ8" s="580" t="str">
        <f>IF($F$36="","",$F$36)</f>
      </c>
      <c r="AR8" s="580" t="str">
        <f>IF($G$36="","",$G$36)</f>
      </c>
      <c r="AS8" s="588" t="str">
        <f>IFERROR(INDEX('DATA MAP'!$C$8:$C$137,MATCH($AJ8,'DATA MAP'!$A$8:$A$137,0))&amp;IF(INDEX('DATA MAP'!$D$8:$D$137,MATCH($AJ8,'DATA MAP'!$A$8:$A$137,0))="",""," | "&amp;INDEX('DATA MAP'!$D$8:$D$137,MATCH($AJ8,'DATA MAP'!$A$8:$A$137,0))),"Not provided")</f>
        <v>MODEL DESIGN | C8</v>
      </c>
      <c r="AT8" s="588"/>
      <c r="AU8" s="588" t="str">
        <f>IFERROR(INDEX('DATA MAP'!$I$8:$I$137,MATCH($AJ8,'DATA MAP'!$A$8:$A$137,0)),"Review Required")</f>
        <v>Mapped</v>
      </c>
      <c r="AV8" s="588" t="str">
        <f>IF(OR($AU8="Conflict",$AU8="Review Required",$AU8="New Input Required",$AU8="Unsupported"),"Management","Model owner")</f>
        <v>Model owner</v>
      </c>
      <c r="AW8" s="588" t="str">
        <f>IFERROR(INDEX('DATA MAP'!$K$8:$K$137,MATCH($AJ8,'DATA MAP'!$A$8:$A$137,0)),"Management confirmation required.")</f>
        <v>Target wording retained; source wording is consistent.</v>
      </c>
      <c r="AX8" t="str">
        <v>Hard-coded model input</v>
      </c>
      <c r="AY8" s="2440" t="str">
        <f>$H$36</f>
        <v>The Bend Precinct</v>
      </c>
      <c r="AZ8" t="str">
        <v>Yes</v>
      </c>
      <c r="BA8" t="str">
        <v>Underwriting</v>
      </c>
      <c r="BB8" t="str">
        <v>E9</v>
      </c>
      <c r="BC8" t="str">
        <v>PROJECTS register book(4).xlsm</v>
      </c>
      <c r="BD8" t="str">
        <v>No</v>
      </c>
      <c r="BE8" t="str">
        <v>None — technical mapping complete.</v>
      </c>
      <c r="BF8" s="2442" t="n">
        <v>46231</v>
      </c>
      <c r="BG8" t="str">
        <f>IF($AZ8="No","PASS",IF(OR($AX8="Owner decision outstanding",$BD8="OWNER DECISION"),"WARNING",IF(OR($AP8="",$AN8="",$AS8="",$AV8=""),"FAIL","PASS")))</f>
        <v>PASS</v>
      </c>
    </row>
    <row r="9" ht="14.5" customHeight="1">
      <c r="A9" s="2003"/>
      <c r="B9" s="2003"/>
      <c r="C9" s="2003"/>
      <c r="D9" s="2007"/>
      <c r="E9" s="2003"/>
      <c r="F9" s="2003"/>
      <c r="G9" s="2003"/>
      <c r="H9" s="2003"/>
      <c r="I9" s="2003"/>
      <c r="J9" s="2003"/>
      <c r="K9" s="2003"/>
      <c r="L9" s="614" t="s">
        <v>3199</v>
      </c>
      <c r="M9" s="614" t="s">
        <v>515</v>
      </c>
      <c r="N9" s="621">
        <v>1.7250000000000001</v>
      </c>
      <c r="O9" s="621">
        <v>1.7250000000000001</v>
      </c>
      <c r="P9" s="621">
        <v>1.7250000000000001</v>
      </c>
      <c r="Q9" s="621">
        <v>1.7250000000000001</v>
      </c>
      <c r="R9" s="621">
        <v>1.7250000000000001</v>
      </c>
      <c r="S9" s="621">
        <v>1.7250000000000001</v>
      </c>
      <c r="T9" s="621">
        <v>0</v>
      </c>
      <c r="U9" s="621">
        <v>0</v>
      </c>
      <c r="V9" s="621">
        <v>0</v>
      </c>
      <c r="W9" s="621">
        <v>0</v>
      </c>
      <c r="X9" s="621">
        <v>0</v>
      </c>
      <c r="Y9" s="621">
        <v>0</v>
      </c>
      <c r="Z9" s="621">
        <v>0</v>
      </c>
      <c r="AA9" s="621">
        <v>0</v>
      </c>
      <c r="AB9" s="621">
        <v>0</v>
      </c>
      <c r="AC9" s="621">
        <v>0</v>
      </c>
      <c r="AD9" s="621">
        <v>0</v>
      </c>
      <c r="AE9" s="621">
        <v>0</v>
      </c>
      <c r="AF9" s="621">
        <v>0</v>
      </c>
      <c r="AG9" s="621">
        <v>0</v>
      </c>
      <c r="AH9" s="621">
        <v>0</v>
      </c>
      <c r="AI9" s="621">
        <v>0</v>
      </c>
      <c r="AJ9" s="578" t="str">
        <v>PRJ-002</v>
      </c>
      <c r="AK9" s="579" t="str">
        <v>Project and programme</v>
      </c>
      <c r="AL9" s="579" t="str">
        <v>Project</v>
      </c>
      <c r="AM9" s="579" t="str">
        <v>Street address</v>
      </c>
      <c r="AN9" s="579" t="str">
        <v>Text</v>
      </c>
      <c r="AO9" s="579"/>
      <c r="AP9" s="580" t="str">
        <f>IF($E$37="","",$E$37)</f>
        <v>349 Bridge Street</v>
      </c>
      <c r="AQ9" s="580" t="str">
        <f>IF($F$37="","",$F$37)</f>
      </c>
      <c r="AR9" s="580" t="str">
        <f>IF($G$37="","",$G$37)</f>
      </c>
      <c r="AS9" s="588" t="str">
        <f>IFERROR(INDEX('DATA MAP'!$C$8:$C$137,MATCH($AJ9,'DATA MAP'!$A$8:$A$137,0))&amp;IF(INDEX('DATA MAP'!$D$8:$D$137,MATCH($AJ9,'DATA MAP'!$A$8:$A$137,0))="",""," | "&amp;INDEX('DATA MAP'!$D$8:$D$137,MATCH($AJ9,'DATA MAP'!$A$8:$A$137,0))),"Not provided")</f>
        <v>Target: Underwriting | E10</v>
      </c>
      <c r="AT9" s="588"/>
      <c r="AU9" s="588" t="str">
        <f>IFERROR(INDEX('DATA MAP'!$I$8:$I$137,MATCH($AJ9,'DATA MAP'!$A$8:$A$137,0)),"Review Required")</f>
        <v>Mapped</v>
      </c>
      <c r="AV9" s="588" t="str">
        <f>IF(OR($AU9="Conflict",$AU9="Review Required",$AU9="New Input Required",$AU9="Unsupported"),"Management","Model owner")</f>
        <v>Model owner</v>
      </c>
      <c r="AW9" s="588" t="str">
        <f>IFERROR(INDEX('DATA MAP'!$K$8:$K$137,MATCH($AJ9,'DATA MAP'!$A$8:$A$137,0)),"Management confirmation required.")</f>
        <v>No equivalent street address identified in the data book.</v>
      </c>
      <c r="AX9" t="str">
        <v>Hard-coded model input</v>
      </c>
      <c r="AY9" s="2440" t="str">
        <f>$H$37</f>
        <v>349 Bridge Street</v>
      </c>
      <c r="AZ9" t="str">
        <v>Yes</v>
      </c>
      <c r="BA9" t="str">
        <v>Underwriting</v>
      </c>
      <c r="BB9" t="str">
        <v>E10</v>
      </c>
      <c r="BC9" t="str">
        <v>Target model</v>
      </c>
      <c r="BD9" t="str">
        <v>No</v>
      </c>
      <c r="BE9" t="str">
        <v>None — technical mapping complete.</v>
      </c>
      <c r="BF9" s="2442" t="n">
        <v>46231</v>
      </c>
      <c r="BG9" t="str">
        <f>IF($AZ9="No","PASS",IF(OR($AX9="Owner decision outstanding",$BD9="OWNER DECISION"),"WARNING",IF(OR($AP9="",$AN9="",$AS9="",$AV9=""),"FAIL","PASS")))</f>
        <v>PASS</v>
      </c>
    </row>
    <row r="10" ht="18" customHeight="1">
      <c r="A10" s="2134" t="str">
        <v>CONTROL STATUS</v>
      </c>
      <c r="B10" s="2134"/>
      <c r="C10" s="2134"/>
      <c r="D10" s="2135"/>
      <c r="E10" s="2134"/>
      <c r="F10" s="2134"/>
      <c r="G10" s="2134"/>
      <c r="H10" s="2134"/>
      <c r="I10" s="2134"/>
      <c r="J10" s="2134"/>
      <c r="K10" s="2134"/>
      <c r="L10" s="614" t="s">
        <v>3200</v>
      </c>
      <c r="M10" s="614" t="s">
        <v>515</v>
      </c>
      <c r="N10" s="621">
        <v>1.8</v>
      </c>
      <c r="O10" s="621">
        <v>3.8660190000000001</v>
      </c>
      <c r="P10" s="621">
        <v>3.8660190000000001</v>
      </c>
      <c r="Q10" s="621">
        <v>3.8660190000000001</v>
      </c>
      <c r="R10" s="621">
        <v>3.8660190000000001</v>
      </c>
      <c r="S10" s="621">
        <v>3.8660190000000001</v>
      </c>
      <c r="T10" s="621">
        <v>3.8660190000000001</v>
      </c>
      <c r="U10" s="621">
        <v>3.8660190000000001</v>
      </c>
      <c r="V10" s="621">
        <v>3.8660190000000001</v>
      </c>
      <c r="W10" s="621">
        <v>3.8660190000000001</v>
      </c>
      <c r="X10" s="621">
        <v>3.8660190000000001</v>
      </c>
      <c r="Y10" s="621">
        <v>3.9626694749999998</v>
      </c>
      <c r="Z10" s="621">
        <v>4.0617362118749991</v>
      </c>
      <c r="AA10" s="621">
        <v>4.1632796171718738</v>
      </c>
      <c r="AB10" s="621">
        <v>4.2673616076011704</v>
      </c>
      <c r="AC10" s="621">
        <v>4.3740456477911991</v>
      </c>
      <c r="AD10" s="621">
        <v>4.4833967889859787</v>
      </c>
      <c r="AE10" s="621">
        <v>4.5954817087106274</v>
      </c>
      <c r="AF10" s="621">
        <v>4.7103687514283923</v>
      </c>
      <c r="AG10" s="621">
        <v>4.8281279702141013</v>
      </c>
      <c r="AH10" s="621">
        <v>4.9488311694694538</v>
      </c>
      <c r="AI10" s="621">
        <v>5.0725519487061899</v>
      </c>
      <c r="AJ10" s="578" t="str">
        <v>PRJ-003</v>
      </c>
      <c r="AK10" s="579" t="str">
        <v>Project and programme</v>
      </c>
      <c r="AL10" s="579" t="str">
        <v>Project</v>
      </c>
      <c r="AM10" s="579" t="str">
        <v>Suburb / municipality</v>
      </c>
      <c r="AN10" s="579" t="str">
        <v>Text</v>
      </c>
      <c r="AO10" s="579"/>
      <c r="AP10" s="580" t="str">
        <f>IF($E$38="","",$E$38)</f>
        <v>Port Melbourne</v>
      </c>
      <c r="AQ10" s="580" t="str">
        <f>IF($F$38="","",$F$38)</f>
      </c>
      <c r="AR10" s="580" t="str">
        <f>IF($G$38="","",$G$38)</f>
      </c>
      <c r="AS10" s="588" t="str">
        <f>IFERROR(INDEX('DATA MAP'!$C$8:$C$137,MATCH($AJ10,'DATA MAP'!$A$8:$A$137,0))&amp;IF(INDEX('DATA MAP'!$D$8:$D$137,MATCH($AJ10,'DATA MAP'!$A$8:$A$137,0))="",""," | "&amp;INDEX('DATA MAP'!$D$8:$D$137,MATCH($AJ10,'DATA MAP'!$A$8:$A$137,0))),"Not provided")</f>
        <v>MODEL DESIGN | C9</v>
      </c>
      <c r="AT10" s="588"/>
      <c r="AU10" s="588" t="str">
        <f>IFERROR(INDEX('DATA MAP'!$I$8:$I$137,MATCH($AJ10,'DATA MAP'!$A$8:$A$137,0)),"Review Required")</f>
        <v>Mapped</v>
      </c>
      <c r="AV10" s="588" t="str">
        <f>IF(OR($AU10="Conflict",$AU10="Review Required",$AU10="New Input Required",$AU10="Unsupported"),"Management","Model owner")</f>
        <v>Model owner</v>
      </c>
      <c r="AW10" s="588" t="str">
        <f>IFERROR(INDEX('DATA MAP'!$K$8:$K$137,MATCH($AJ10,'DATA MAP'!$A$8:$A$137,0)),"Management confirmation required.")</f>
        <v>Port Melbourne is consistent across both workbooks.</v>
      </c>
      <c r="AX10" t="str">
        <v>Hard-coded model input</v>
      </c>
      <c r="AY10" s="2440" t="str">
        <f>$H$38</f>
        <v>Port Melbourne</v>
      </c>
      <c r="AZ10" t="str">
        <v>Yes</v>
      </c>
      <c r="BA10" t="str">
        <v>Underwriting</v>
      </c>
      <c r="BB10" t="str">
        <v>E11</v>
      </c>
      <c r="BC10" t="str">
        <v>PROJECTS register book(4).xlsm</v>
      </c>
      <c r="BD10" t="str">
        <v>No</v>
      </c>
      <c r="BE10" t="str">
        <v>None — technical mapping complete.</v>
      </c>
      <c r="BF10" s="2442" t="n">
        <v>46231</v>
      </c>
      <c r="BG10" t="str">
        <f>IF($AZ10="No","PASS",IF(OR($AX10="Owner decision outstanding",$BD10="OWNER DECISION"),"WARNING",IF(OR($AP10="",$AN10="",$AS10="",$AV10=""),"FAIL","PASS")))</f>
        <v>PASS</v>
      </c>
    </row>
    <row r="11" ht="26" customHeight="1">
      <c r="A11" s="2003" t="str">
        <v>Field IDs unique</v>
      </c>
      <c r="B11" s="2003" t="str">
        <f>IF(SUMPRODUCT(--($AJ$8:$AJ$257&lt;&gt;""),--(COUNTIF($AJ$8:$AJ$257,$AJ$8:$AJ$257)&gt;1))=0,"PASS","FAIL")</f>
        <v>PASS</v>
      </c>
      <c r="C11" s="2003" t="str">
        <v>Active Base inputs</v>
      </c>
      <c r="D11" s="2008" t="str">
        <f>IF(COUNTIFS($AZ$8:$AZ$257,"Yes",$AP$8:$AP$257,"")=0,"PASS","FAIL")</f>
        <v>PASS</v>
      </c>
      <c r="E11" s="2003" t="str">
        <v>Invalid placeholders</v>
      </c>
      <c r="F11" s="2003" t="str">
        <f>IF(COUNTIF($AO$8:$AW$257,760)=0,"PASS","FAIL")</f>
        <v>PASS</v>
      </c>
      <c r="G11" s="2003" t="str">
        <v>Selected values</v>
      </c>
      <c r="H11" s="2003" t="str">
        <f>IF(COUNTIFS($AZ$8:$AZ$257,"Yes",$AY$8:$AY$257,"")=0,"PASS","FAIL")</f>
        <v>PASS</v>
      </c>
      <c r="I11" s="2003" t="str">
        <v>Scenario selector</v>
      </c>
      <c r="J11" s="2003" t="str">
        <f>IF(OR('VALUATION &amp; RETURNS'!$CR$7="Base",'VALUATION &amp; RETURNS'!$CR$7="Downside",'VALUATION &amp; RETURNS'!$CR$7="Upside"),"PASS","FAIL")</f>
        <v>PASS</v>
      </c>
      <c r="K11" s="2003"/>
      <c r="L11" s="616" t="s">
        <v>3201</v>
      </c>
      <c r="M11" s="616" t="s">
        <v>515</v>
      </c>
      <c r="N11" s="619" t="n">
        <f>SUM(N8:N10)</f>
        <v>8.40175130373905</v>
      </c>
      <c r="O11" s="619" t="n">
        <f>SUM(O8:O10)</f>
        <v>45.07386874968023</v>
      </c>
      <c r="P11" s="619" t="n">
        <f>SUM(P8:P10)</f>
        <v>48.83020036828583</v>
      </c>
      <c r="Q11" s="619" t="n">
        <f>SUM(Q8:Q10)</f>
        <v>50.73320880104262</v>
      </c>
      <c r="R11" s="619" t="n">
        <f>SUM(R8:R10)</f>
        <v>52.446964752670915</v>
      </c>
      <c r="S11" s="619" t="n">
        <f>SUM(S8:S10)</f>
        <v>54.182758963042936</v>
      </c>
      <c r="T11" s="619" t="n">
        <f>SUM(T8:T10)</f>
        <v>52.904727758248704</v>
      </c>
      <c r="U11" s="619" t="n">
        <f>SUM(U8:U10)</f>
        <v>54.7075269252753</v>
      </c>
      <c r="V11" s="619" t="n">
        <f>SUM(V8:V10)</f>
        <v>56.57479364443518</v>
      </c>
      <c r="W11" s="619" t="n">
        <f>SUM(W8:W10)</f>
        <v>58.50942595087914</v>
      </c>
      <c r="X11" s="619" t="n">
        <f>SUM(X8:X10)</f>
        <v>60.51308484778236</v>
      </c>
      <c r="Y11" s="619" t="n">
        <f>SUM(Y8:Y10)</f>
        <v>62.20275495668716</v>
      </c>
      <c r="Z11" s="619" t="n">
        <f>SUM(Z8:Z10)</f>
        <v>63.95059701465364</v>
      </c>
      <c r="AA11" s="619" t="n">
        <f>SUM(AA8:AA10)</f>
        <v>65.75862287728017</v>
      </c>
      <c r="AB11" s="619" t="n">
        <f>SUM(AB8:AB10)</f>
        <v>67.62891421104568</v>
      </c>
      <c r="AC11" s="619" t="n">
        <f>SUM(AC8:AC10)</f>
        <v>69.56362492158868</v>
      </c>
      <c r="AD11" s="619" t="n">
        <f>SUM(AD8:AD10)</f>
        <v>71.5649836665988</v>
      </c>
      <c r="AE11" s="619" t="n">
        <f>SUM(AE8:AE10)</f>
        <v>73.6352964562723</v>
      </c>
      <c r="AF11" s="619" t="n">
        <f>SUM(AF8:AF10)</f>
        <v>75.77694934438715</v>
      </c>
      <c r="AG11" s="619" t="n">
        <f>SUM(AG8:AG10)</f>
        <v>77.99241121315883</v>
      </c>
      <c r="AH11" s="619" t="n">
        <f>SUM(AH8:AH10)</f>
        <v>84.0440918093465</v>
      </c>
      <c r="AI11" s="619" t="n">
        <f>SUM(AI8:AI10)</f>
        <v>86.86701423653834</v>
      </c>
      <c r="AJ11" s="578" t="str">
        <v>PRJ-004</v>
      </c>
      <c r="AK11" s="579" t="str">
        <v>Project and programme</v>
      </c>
      <c r="AL11" s="579" t="str">
        <v>Project</v>
      </c>
      <c r="AM11" s="579" t="str">
        <v>State</v>
      </c>
      <c r="AN11" s="579" t="str">
        <v>Text</v>
      </c>
      <c r="AO11" s="579"/>
      <c r="AP11" s="580" t="str">
        <f>IF($E$39="","",$E$39)</f>
        <v>Victoria</v>
      </c>
      <c r="AQ11" s="580" t="str">
        <f>IF($F$39="","",$F$39)</f>
      </c>
      <c r="AR11" s="580" t="str">
        <f>IF($G$39="","",$G$39)</f>
      </c>
      <c r="AS11" s="588" t="str">
        <f>IFERROR(INDEX('DATA MAP'!$C$8:$C$137,MATCH($AJ11,'DATA MAP'!$A$8:$A$137,0))&amp;IF(INDEX('DATA MAP'!$D$8:$D$137,MATCH($AJ11,'DATA MAP'!$A$8:$A$137,0))="",""," | "&amp;INDEX('DATA MAP'!$D$8:$D$137,MATCH($AJ11,'DATA MAP'!$A$8:$A$137,0))),"Not provided")</f>
        <v>MODEL DESIGN | C9</v>
      </c>
      <c r="AT11" s="588"/>
      <c r="AU11" s="588" t="str">
        <f>IFERROR(INDEX('DATA MAP'!$I$8:$I$137,MATCH($AJ11,'DATA MAP'!$A$8:$A$137,0)),"Review Required")</f>
        <v>Mapped</v>
      </c>
      <c r="AV11" s="588" t="str">
        <f>IF(OR($AU11="Conflict",$AU11="Review Required",$AU11="New Input Required",$AU11="Unsupported"),"Management","Model owner")</f>
        <v>Model owner</v>
      </c>
      <c r="AW11" s="588" t="str">
        <f>IFERROR(INDEX('DATA MAP'!$K$8:$K$137,MATCH($AJ11,'DATA MAP'!$A$8:$A$137,0)),"Management confirmation required.")</f>
        <v>State is Victoria; source and target are consistent.</v>
      </c>
      <c r="AX11" t="str">
        <v>Hard-coded model input</v>
      </c>
      <c r="AY11" s="2440" t="str">
        <f>$H$39</f>
        <v>Victoria</v>
      </c>
      <c r="AZ11" t="str">
        <v>Yes</v>
      </c>
      <c r="BA11" t="str">
        <v>Underwriting</v>
      </c>
      <c r="BB11" t="str">
        <v>I10</v>
      </c>
      <c r="BC11" t="str">
        <v>PROJECTS register book(4).xlsm</v>
      </c>
      <c r="BD11" t="str">
        <v>No</v>
      </c>
      <c r="BE11" t="str">
        <v>None — technical mapping complete.</v>
      </c>
      <c r="BF11" s="2442" t="n">
        <v>46231</v>
      </c>
      <c r="BG11" t="str">
        <f>IF($AZ11="No","PASS",IF(OR($AX11="Owner decision outstanding",$BD11="OWNER DECISION"),"WARNING",IF(OR($AP11="",$AN11="",$AS11="",$AV11=""),"FAIL","PASS")))</f>
        <v>PASS</v>
      </c>
    </row>
    <row r="12" ht="26" customHeight="1">
      <c r="A12" s="2003"/>
      <c r="B12" s="2003"/>
      <c r="C12" s="2003"/>
      <c r="D12" s="2008"/>
      <c r="E12" s="2003"/>
      <c r="F12" s="2003"/>
      <c r="G12" s="2003"/>
      <c r="H12" s="2003"/>
      <c r="I12" s="2003"/>
      <c r="J12" s="2003"/>
      <c r="K12" s="2003"/>
      <c r="L12" s="614"/>
      <c r="M12" s="614"/>
      <c r="N12" s="618"/>
      <c r="O12" s="618"/>
      <c r="P12" s="618"/>
      <c r="Q12" s="618"/>
      <c r="R12" s="618"/>
      <c r="S12" s="618"/>
      <c r="T12" s="618"/>
      <c r="U12" s="618"/>
      <c r="V12" s="618"/>
      <c r="W12" s="618"/>
      <c r="X12" s="618"/>
      <c r="Y12" s="618"/>
      <c r="Z12" s="618"/>
      <c r="AA12" s="618"/>
      <c r="AB12" s="618"/>
      <c r="AC12" s="618"/>
      <c r="AD12" s="618"/>
      <c r="AE12" s="618"/>
      <c r="AF12" s="618"/>
      <c r="AG12" s="618"/>
      <c r="AH12" s="618"/>
      <c r="AI12" s="618"/>
      <c r="AJ12" s="578" t="str">
        <v>PRJ-005</v>
      </c>
      <c r="AK12" s="579" t="str">
        <v>Project and programme</v>
      </c>
      <c r="AL12" s="579" t="str">
        <v>Project</v>
      </c>
      <c r="AM12" s="579" t="str">
        <v>Country</v>
      </c>
      <c r="AN12" s="579" t="str">
        <v>Text</v>
      </c>
      <c r="AO12" s="579"/>
      <c r="AP12" s="580" t="str">
        <f>IF($E$40="","",$E$40)</f>
        <v>Australia</v>
      </c>
      <c r="AQ12" s="580" t="str">
        <f>IF($F$40="","",$F$40)</f>
      </c>
      <c r="AR12" s="580" t="str">
        <f>IF($G$40="","",$G$40)</f>
      </c>
      <c r="AS12" s="588" t="str">
        <f>IFERROR(INDEX('DATA MAP'!$C$8:$C$137,MATCH($AJ12,'DATA MAP'!$A$8:$A$137,0))&amp;IF(INDEX('DATA MAP'!$D$8:$D$137,MATCH($AJ12,'DATA MAP'!$A$8:$A$137,0))="",""," | "&amp;INDEX('DATA MAP'!$D$8:$D$137,MATCH($AJ12,'DATA MAP'!$A$8:$A$137,0))),"Not provided")</f>
        <v>Target: Underwriting | I13</v>
      </c>
      <c r="AT12" s="588"/>
      <c r="AU12" s="588" t="str">
        <f>IFERROR(INDEX('DATA MAP'!$I$8:$I$137,MATCH($AJ12,'DATA MAP'!$A$8:$A$137,0)),"Review Required")</f>
        <v>Mapped</v>
      </c>
      <c r="AV12" s="588" t="str">
        <f>IF(OR($AU12="Conflict",$AU12="Review Required",$AU12="New Input Required",$AU12="Unsupported"),"Management","Model owner")</f>
        <v>Model owner</v>
      </c>
      <c r="AW12" s="588" t="str">
        <f>IFERROR(INDEX('DATA MAP'!$K$8:$K$137,MATCH($AJ12,'DATA MAP'!$A$8:$A$137,0)),"Management confirmation required.")</f>
        <v>Country is Australia; retained target input because no conflicting source exists.</v>
      </c>
      <c r="AX12" t="str">
        <v>Hard-coded model input</v>
      </c>
      <c r="AY12" s="2440" t="str">
        <f>$H$40</f>
        <v>Australia</v>
      </c>
      <c r="AZ12" t="str">
        <v>Yes</v>
      </c>
      <c r="BA12" t="str">
        <v>Underwriting</v>
      </c>
      <c r="BB12" t="str">
        <v>I13</v>
      </c>
      <c r="BC12" t="str">
        <v>Target model</v>
      </c>
      <c r="BD12" t="str">
        <v>No</v>
      </c>
      <c r="BE12" t="str">
        <v>None — technical mapping complete.</v>
      </c>
      <c r="BF12" s="2442" t="n">
        <v>46231</v>
      </c>
      <c r="BG12" t="str">
        <f>IF($AZ12="No","PASS",IF(OR($AX12="Owner decision outstanding",$BD12="OWNER DECISION"),"WARNING",IF(OR($AP12="",$AN12="",$AS12="",$AV12=""),"FAIL","PASS")))</f>
        <v>PASS</v>
      </c>
    </row>
    <row r="13" ht="26" customHeight="1">
      <c r="A13" s="2003" t="str">
        <v>Area reconciliation</v>
      </c>
      <c r="B13" s="2003" t="str">
        <f>IF(ABS(INDEX($AY$8:$AY$257,MATCH("AREA-CONTROL-TOTAL",$AJ$8:$AJ$257,0))-Underwriting!$E$18)&lt;0.01,"PASS","FAIL")</f>
        <v>PASS</v>
      </c>
      <c r="C13" s="2003" t="str">
        <v>CAPEX reconciliation</v>
      </c>
      <c r="D13" s="2008" t="str">
        <f>IF(ABS(INDEX($AY$8:$AY$257,MATCH("CAPEX-TOTAL-001",$AJ$8:$AJ$257,0))*1000000-Underwriting!$I$34)&lt;1,"PASS","FAIL")</f>
        <v>PASS</v>
      </c>
      <c r="E13" s="2003" t="str">
        <v>Sources &amp; uses</v>
      </c>
      <c r="F13" s="2003" t="str">
        <f>IF(Summary!$O$13="PASS","PASS","FAIL")</f>
        <v>PASS</v>
      </c>
      <c r="G13" s="2003" t="str">
        <v>Debt roll-forward</v>
      </c>
      <c r="H13" s="2003" t="str">
        <f>IF(Summary!$O$14="PASS","PASS","FAIL")</f>
        <v>PASS</v>
      </c>
      <c r="I13" s="2003" t="str">
        <v>Balance sheet</v>
      </c>
      <c r="J13" s="2003" t="str">
        <f>IF(Summary!$O$12="PASS","PASS","FAIL")</f>
        <v>FAIL</v>
      </c>
      <c r="K13" s="2003"/>
      <c r="L13" s="614" t="s">
        <v>3202</v>
      </c>
      <c r="M13" s="614" t="s">
        <v>515</v>
      </c>
      <c r="N13" s="621">
        <v>0.89800537999999996</v>
      </c>
      <c r="O13" s="621">
        <v>1.3882596079999998</v>
      </c>
      <c r="P13" s="621">
        <v>1.3882596079999998</v>
      </c>
      <c r="Q13" s="621">
        <v>1.3882596079999998</v>
      </c>
      <c r="R13" s="621">
        <v>1.3882596079999998</v>
      </c>
      <c r="S13" s="621">
        <v>1.3882596079999998</v>
      </c>
      <c r="T13" s="621">
        <v>1.3882596079999998</v>
      </c>
      <c r="U13" s="621">
        <v>1.3882596079999998</v>
      </c>
      <c r="V13" s="621">
        <v>1.3882596079999998</v>
      </c>
      <c r="W13" s="621">
        <v>1.3882596079999998</v>
      </c>
      <c r="X13" s="621">
        <v>1.3882596079999998</v>
      </c>
      <c r="Y13" s="621">
        <v>1.4229660981999996</v>
      </c>
      <c r="Z13" s="621">
        <v>1.4585402506549996</v>
      </c>
      <c r="AA13" s="621">
        <v>1.4950037569213745</v>
      </c>
      <c r="AB13" s="621">
        <v>1.5323788508444087</v>
      </c>
      <c r="AC13" s="621">
        <v>1.5706883221155188</v>
      </c>
      <c r="AD13" s="621">
        <v>1.6099555301684065</v>
      </c>
      <c r="AE13" s="621">
        <v>1.6502044184226166</v>
      </c>
      <c r="AF13" s="621">
        <v>1.6914595288831817</v>
      </c>
      <c r="AG13" s="621">
        <v>1.7337460171052612</v>
      </c>
      <c r="AH13" s="621">
        <v>1.7770896675328927</v>
      </c>
      <c r="AI13" s="621">
        <v>1.8215169092212149</v>
      </c>
      <c r="AJ13" s="578" t="str">
        <v>PRJ-006</v>
      </c>
      <c r="AK13" s="579" t="str">
        <v>Project and programme</v>
      </c>
      <c r="AL13" s="579" t="str">
        <v>Programme</v>
      </c>
      <c r="AM13" s="579" t="str">
        <v>Model start date</v>
      </c>
      <c r="AN13" s="579" t="str">
        <v>Date</v>
      </c>
      <c r="AO13" s="579" t="str">
        <v>Monthly model</v>
      </c>
      <c r="AP13" s="581" t="n">
        <f>IF($E$46="","",$E$46)</f>
        <v>46204</v>
      </c>
      <c r="AQ13" s="581" t="str">
        <f>IF($F$46="","",$F$46)</f>
      </c>
      <c r="AR13" s="581" t="str">
        <f>IF($G$46="","",$G$46)</f>
      </c>
      <c r="AS13" s="588" t="str">
        <f>IFERROR(INDEX('DATA MAP'!$C$8:$C$137,MATCH($AJ13,'DATA MAP'!$A$8:$A$137,0))&amp;IF(INDEX('DATA MAP'!$D$8:$D$137,MATCH($AJ13,'DATA MAP'!$A$8:$A$137,0))="",""," | "&amp;INDEX('DATA MAP'!$D$8:$D$137,MATCH($AJ13,'DATA MAP'!$A$8:$A$137,0))),"Not provided")</f>
        <v>MODEL DESIGN | C12</v>
      </c>
      <c r="AT13" s="588"/>
      <c r="AU13" s="588" t="str">
        <f>IFERROR(INDEX('DATA MAP'!$I$8:$I$137,MATCH($AJ13,'DATA MAP'!$A$8:$A$137,0)),"Review Required")</f>
        <v>Mapped</v>
      </c>
      <c r="AV13" s="588" t="str">
        <f>IF(OR($AU13="Conflict",$AU13="Review Required",$AU13="New Input Required",$AU13="Unsupported"),"Management","Model owner")</f>
        <v>Model owner</v>
      </c>
      <c r="AW13" s="588" t="str">
        <f>IFERROR(INDEX('DATA MAP'!$K$8:$K$137,MATCH($AJ13,'DATA MAP'!$A$8:$A$137,0)),"Management confirmation required.")</f>
        <v>Target monthly date provides the precise start within the source quarter.</v>
      </c>
      <c r="AX13" t="str">
        <v>Hard-coded model input</v>
      </c>
      <c r="AY13" s="2440" t="n">
        <f>$H$46</f>
        <v>46204</v>
      </c>
      <c r="AZ13" t="str">
        <v>Yes</v>
      </c>
      <c r="BA13" t="str">
        <v>Underwriting</v>
      </c>
      <c r="BB13" t="str">
        <v>E13</v>
      </c>
      <c r="BC13" t="str">
        <v>PROJECTS register book(4).xlsm</v>
      </c>
      <c r="BD13" t="str">
        <v>No</v>
      </c>
      <c r="BE13" t="str">
        <v>None — technical mapping complete.</v>
      </c>
      <c r="BF13" s="2442" t="n">
        <v>46231</v>
      </c>
      <c r="BG13" t="str">
        <f>IF($AZ13="No","PASS",IF(OR($AX13="Owner decision outstanding",$BD13="OWNER DECISION"),"WARNING",IF(OR($AP13="",$AN13="",$AS13="",$AV13=""),"FAIL","PASS")))</f>
        <v>PASS</v>
      </c>
    </row>
    <row r="14" ht="14.5" customHeight="1">
      <c r="A14" s="2003"/>
      <c r="B14" s="2003"/>
      <c r="C14" s="2003"/>
      <c r="D14" s="2009"/>
      <c r="E14" s="2003"/>
      <c r="F14" s="2003"/>
      <c r="G14" s="2003"/>
      <c r="H14" s="2003"/>
      <c r="I14" s="2003"/>
      <c r="J14" s="2003"/>
      <c r="K14" s="2003"/>
      <c r="L14" s="614" t="s">
        <v>3203</v>
      </c>
      <c r="M14" s="614" t="s">
        <v>515</v>
      </c>
      <c r="N14" s="621">
        <v>0.25205253911217151</v>
      </c>
      <c r="O14" s="621">
        <v>1.3522160624904069</v>
      </c>
      <c r="P14" s="621">
        <v>1.4649060110485748</v>
      </c>
      <c r="Q14" s="621">
        <v>1.5219962640312785</v>
      </c>
      <c r="R14" s="621">
        <v>1.5734089425801274</v>
      </c>
      <c r="S14" s="621">
        <v>1.6254827688912881</v>
      </c>
      <c r="T14" s="621">
        <v>1.5871418327474611</v>
      </c>
      <c r="U14" s="621">
        <v>1.6412258077582591</v>
      </c>
      <c r="V14" s="621">
        <v>1.6972438093330553</v>
      </c>
      <c r="W14" s="621">
        <v>1.7552827785263743</v>
      </c>
      <c r="X14" s="621">
        <v>1.8153925454334707</v>
      </c>
      <c r="Y14" s="621">
        <v>1.8660826487006146</v>
      </c>
      <c r="Z14" s="621">
        <v>1.9185179104396091</v>
      </c>
      <c r="AA14" s="621">
        <v>1.9727586863184052</v>
      </c>
      <c r="AB14" s="621">
        <v>2.0288674263313702</v>
      </c>
      <c r="AC14" s="621">
        <v>2.0869087476476604</v>
      </c>
      <c r="AD14" s="621">
        <v>2.1469495099979641</v>
      </c>
      <c r="AE14" s="621">
        <v>2.209058893688169</v>
      </c>
      <c r="AF14" s="621">
        <v>2.2733084803316141</v>
      </c>
      <c r="AG14" s="621">
        <v>2.3397723363947649</v>
      </c>
      <c r="AH14" s="621">
        <v>2.5213227542803947</v>
      </c>
      <c r="AI14" s="621">
        <v>2.6060104270961499</v>
      </c>
      <c r="AJ14" s="578" t="str">
        <v>PRJ-007</v>
      </c>
      <c r="AK14" s="579" t="str">
        <v>Project and programme</v>
      </c>
      <c r="AL14" s="579" t="str">
        <v>Programme</v>
      </c>
      <c r="AM14" s="579" t="str">
        <v>Construction duration</v>
      </c>
      <c r="AN14" s="579" t="str">
        <v>Months</v>
      </c>
      <c r="AO14" s="579" t="str">
        <v>Monthly model</v>
      </c>
      <c r="AP14" s="582" t="n">
        <v>36</v>
      </c>
      <c r="AQ14" s="582"/>
      <c r="AR14" s="582"/>
      <c r="AS14" s="588" t="str">
        <f>IFERROR(INDEX('DATA MAP'!$C$8:$C$137,MATCH($AJ14,'DATA MAP'!$A$8:$A$137,0))&amp;IF(INDEX('DATA MAP'!$D$8:$D$137,MATCH($AJ14,'DATA MAP'!$A$8:$A$137,0))="",""," | "&amp;INDEX('DATA MAP'!$D$8:$D$137,MATCH($AJ14,'DATA MAP'!$A$8:$A$137,0))),"Not provided")</f>
        <v>MODEL DESIGN | C13</v>
      </c>
      <c r="AT14" s="588"/>
      <c r="AU14" s="588" t="str">
        <f>IFERROR(INDEX('DATA MAP'!$I$8:$I$137,MATCH($AJ14,'DATA MAP'!$A$8:$A$137,0)),"Review Required")</f>
        <v>Mapped</v>
      </c>
      <c r="AV14" s="588" t="str">
        <f>IF(OR($AU14="Conflict",$AU14="Review Required",$AU14="New Input Required",$AU14="Unsupported"),"Management","Model owner")</f>
        <v>Model owner</v>
      </c>
      <c r="AW14" s="588" t="str">
        <f>IFERROR(INDEX('DATA MAP'!$K$8:$K$137,MATCH($AJ14,'DATA MAP'!$A$8:$A$137,0)),"Management confirmation required.")</f>
        <v>Q2 2029 completion selected and linked to the 36-month construction programme. | The documented source hierarchy has been applied; the controlling target schedule is identified and no amount is double counted.</v>
      </c>
      <c r="AX14" t="str">
        <v>Derived calculation</v>
      </c>
      <c r="AY14" s="2440" t="n">
        <f>$H$47</f>
        <v>36</v>
      </c>
      <c r="AZ14" t="str">
        <v>Yes</v>
      </c>
      <c r="BA14" t="str">
        <v>Underwriting</v>
      </c>
      <c r="BB14" t="str">
        <v>E34</v>
      </c>
      <c r="BC14" t="str">
        <v>PROJECTS register book(4).xlsm</v>
      </c>
      <c r="BD14" t="str">
        <v>Resolved</v>
      </c>
      <c r="BE14" t="str">
        <v>Confirm the approved programme, milestones and longstop dates.</v>
      </c>
      <c r="BF14" s="2442" t="n">
        <v>46231</v>
      </c>
      <c r="BG14" t="str">
        <f>IF($AZ14="No","PASS",IF(OR($AX14="Owner decision outstanding",$BD14="OWNER DECISION"),"WARNING",IF(OR($AP14="",$AN14="",$AS14="",$AV14=""),"FAIL","PASS")))</f>
        <v>PASS</v>
      </c>
    </row>
    <row r="15" ht="18" customHeight="1">
      <c r="A15" s="2134" t="str">
        <v>COMPONENT AREA &amp; CAPEX MATRIX</v>
      </c>
      <c r="B15" s="2134"/>
      <c r="C15" s="2134"/>
      <c r="D15" s="2134"/>
      <c r="E15" s="2134"/>
      <c r="F15" s="2134"/>
      <c r="G15" s="2134"/>
      <c r="H15" s="2134"/>
      <c r="I15" s="2134"/>
      <c r="J15" s="2134"/>
      <c r="K15" s="2134"/>
      <c r="L15" s="616" t="s">
        <v>3204</v>
      </c>
      <c r="M15" s="616" t="s">
        <v>515</v>
      </c>
      <c r="N15" s="619" t="n">
        <f>SUM(N13:N14)</f>
        <v>1.1500579191121716</v>
      </c>
      <c r="O15" s="619" t="n">
        <f>SUM(O13:O14)</f>
        <v>2.7404756704904067</v>
      </c>
      <c r="P15" s="619" t="n">
        <f>SUM(P13:P14)</f>
        <v>2.853165619048575</v>
      </c>
      <c r="Q15" s="619" t="n">
        <f>SUM(Q13:Q14)</f>
        <v>2.9102558720312786</v>
      </c>
      <c r="R15" s="619" t="n">
        <f>SUM(R13:R14)</f>
        <v>2.9616685505801272</v>
      </c>
      <c r="S15" s="619" t="n">
        <f>SUM(S13:S14)</f>
        <v>3.0137423768912877</v>
      </c>
      <c r="T15" s="619" t="n">
        <f>SUM(T13:T14)</f>
        <v>2.975401440747461</v>
      </c>
      <c r="U15" s="619" t="n">
        <f>SUM(U13:U14)</f>
        <v>3.029485415758259</v>
      </c>
      <c r="V15" s="619" t="n">
        <f>SUM(V13:V14)</f>
        <v>3.0855034173330553</v>
      </c>
      <c r="W15" s="619" t="n">
        <f>SUM(W13:W14)</f>
        <v>3.143542386526374</v>
      </c>
      <c r="X15" s="619" t="n">
        <f>SUM(X13:X14)</f>
        <v>3.2036521534334703</v>
      </c>
      <c r="Y15" s="619" t="n">
        <f>SUM(Y13:Y14)</f>
        <v>3.2890487469006144</v>
      </c>
      <c r="Z15" s="619" t="n">
        <f>SUM(Z13:Z14)</f>
        <v>3.3770581610946087</v>
      </c>
      <c r="AA15" s="619" t="n">
        <f>SUM(AA13:AA14)</f>
        <v>3.4677624432397796</v>
      </c>
      <c r="AB15" s="619" t="n">
        <f>SUM(AB13:AB14)</f>
        <v>3.561246277175779</v>
      </c>
      <c r="AC15" s="619" t="n">
        <f>SUM(AC13:AC14)</f>
        <v>3.657597069763179</v>
      </c>
      <c r="AD15" s="619" t="n">
        <f>SUM(AD13:AD14)</f>
        <v>3.7569050401663704</v>
      </c>
      <c r="AE15" s="619" t="n">
        <f>SUM(AE13:AE14)</f>
        <v>3.8592633121107855</v>
      </c>
      <c r="AF15" s="619" t="n">
        <f>SUM(AF13:AF14)</f>
        <v>3.964768009214796</v>
      </c>
      <c r="AG15" s="619" t="n">
        <f>SUM(AG13:AG14)</f>
        <v>4.073518353500026</v>
      </c>
      <c r="AH15" s="619" t="n">
        <f>SUM(AH13:AH14)</f>
        <v>4.298412421813287</v>
      </c>
      <c r="AI15" s="619" t="n">
        <f>SUM(AI13:AI14)</f>
        <v>4.427527336317365</v>
      </c>
      <c r="AJ15" s="578" t="str">
        <v>PRJ-008</v>
      </c>
      <c r="AK15" s="579" t="str">
        <v>Project and programme</v>
      </c>
      <c r="AL15" s="579" t="str">
        <v>Programme</v>
      </c>
      <c r="AM15" s="579" t="str">
        <v>Operations commence</v>
      </c>
      <c r="AN15" s="579" t="str">
        <v>Model month</v>
      </c>
      <c r="AO15" s="579" t="str">
        <v>Monthly model</v>
      </c>
      <c r="AP15" s="582" t="n">
        <v>19</v>
      </c>
      <c r="AQ15" s="582"/>
      <c r="AR15" s="582"/>
      <c r="AS15" s="588" t="str">
        <f>IFERROR(INDEX('DATA MAP'!$C$8:$C$137,MATCH($AJ15,'DATA MAP'!$A$8:$A$137,0))&amp;IF(INDEX('DATA MAP'!$D$8:$D$137,MATCH($AJ15,'DATA MAP'!$A$8:$A$137,0))="",""," | "&amp;INDEX('DATA MAP'!$D$8:$D$137,MATCH($AJ15,'DATA MAP'!$A$8:$A$137,0))),"Not provided")</f>
        <v>MODEL DESIGN | C14</v>
      </c>
      <c r="AT15" s="588"/>
      <c r="AU15" s="588" t="str">
        <f>IFERROR(INDEX('DATA MAP'!$I$8:$I$137,MATCH($AJ15,'DATA MAP'!$A$8:$A$137,0)),"Review Required")</f>
        <v>Formula Preserved</v>
      </c>
      <c r="AV15" s="588" t="str">
        <f>IF(OR($AU15="Conflict",$AU15="Review Required",$AU15="New Input Required",$AU15="Unsupported"),"Management","Model owner")</f>
        <v>Model owner</v>
      </c>
      <c r="AW15" s="588" t="str">
        <f>IFERROR(INDEX('DATA MAP'!$K$8:$K$137,MATCH($AJ15,'DATA MAP'!$A$8:$A$137,0)),"Management confirmation required.")</f>
        <v>Formula preserved; source states Q3 2029. | The documented source hierarchy has been applied; the controlling target schedule is identified and no amount is double counted.</v>
      </c>
      <c r="AX15" t="str">
        <v>Derived calculation</v>
      </c>
      <c r="AY15" s="2440" t="n">
        <f>$H$48</f>
        <v>19</v>
      </c>
      <c r="AZ15" t="str">
        <v>Yes</v>
      </c>
      <c r="BA15" t="str">
        <v>Underwriting</v>
      </c>
      <c r="BB15" t="str">
        <v>D88</v>
      </c>
      <c r="BC15" t="str">
        <v>PROJECTS register book(4).xlsm</v>
      </c>
      <c r="BD15" t="str">
        <v>Resolved</v>
      </c>
      <c r="BE15" t="str">
        <v>None — technical mapping complete.</v>
      </c>
      <c r="BF15" s="2442" t="n">
        <v>46231</v>
      </c>
      <c r="BG15" t="str">
        <f>IF($AZ15="No","PASS",IF(OR($AX15="Owner decision outstanding",$BD15="OWNER DECISION"),"WARNING",IF(OR($AP15="",$AN15="",$AS15="",$AV15=""),"FAIL","PASS")))</f>
        <v>PASS</v>
      </c>
    </row>
    <row r="16" ht="24" customHeight="1">
      <c r="A16" s="2182" t="str">
        <v>Component</v>
      </c>
      <c r="B16" s="2182" t="str">
        <v>Area (sqm)</v>
      </c>
      <c r="C16" s="2182" t="str">
        <v>Capacity</v>
      </c>
      <c r="D16" s="2182" t="str">
        <v>Core / Shell (A$m)</v>
      </c>
      <c r="E16" s="2182" t="str">
        <v>Fitout (A$m)</v>
      </c>
      <c r="F16" s="2182" t="str">
        <v>Total CAPEX (A$m)</v>
      </c>
      <c r="G16" s="2182" t="str">
        <v>CAPEX / sqm (A$)</v>
      </c>
      <c r="H16" s="2182" t="str">
        <v>Area Field ID</v>
      </c>
      <c r="I16" s="2182" t="str">
        <v>CAPEX Field ID</v>
      </c>
      <c r="J16" s="2182" t="str">
        <v>Status</v>
      </c>
      <c r="K16" s="2182" t="str">
        <v>Note</v>
      </c>
      <c r="L16" s="614"/>
      <c r="M16" s="614"/>
      <c r="N16" s="618"/>
      <c r="O16" s="618"/>
      <c r="P16" s="618"/>
      <c r="Q16" s="618"/>
      <c r="R16" s="618"/>
      <c r="S16" s="618"/>
      <c r="T16" s="618"/>
      <c r="U16" s="618"/>
      <c r="V16" s="618"/>
      <c r="W16" s="618"/>
      <c r="X16" s="618"/>
      <c r="Y16" s="618"/>
      <c r="Z16" s="618"/>
      <c r="AA16" s="618"/>
      <c r="AB16" s="618"/>
      <c r="AC16" s="618"/>
      <c r="AD16" s="618"/>
      <c r="AE16" s="618"/>
      <c r="AF16" s="618"/>
      <c r="AG16" s="618"/>
      <c r="AH16" s="618"/>
      <c r="AI16" s="618"/>
      <c r="AJ16" s="578" t="str">
        <v>PRJ-009</v>
      </c>
      <c r="AK16" s="579" t="str">
        <v>Project and programme</v>
      </c>
      <c r="AL16" s="579" t="str">
        <v>Programme</v>
      </c>
      <c r="AM16" s="579" t="str">
        <v>First stabilised month</v>
      </c>
      <c r="AN16" s="579" t="str">
        <v>Model month</v>
      </c>
      <c r="AO16" s="579" t="str">
        <v>Monthly model</v>
      </c>
      <c r="AP16" s="582" t="n">
        <f>AP14+13</f>
        <v>49</v>
      </c>
      <c r="AQ16" s="582"/>
      <c r="AR16" s="582"/>
      <c r="AS16" s="588" t="str">
        <f>IFERROR(INDEX('DATA MAP'!$C$8:$C$137,MATCH($AJ16,'DATA MAP'!$A$8:$A$137,0))&amp;IF(INDEX('DATA MAP'!$D$8:$D$137,MATCH($AJ16,'DATA MAP'!$A$8:$A$137,0))="",""," | "&amp;INDEX('DATA MAP'!$D$8:$D$137,MATCH($AJ16,'DATA MAP'!$A$8:$A$137,0))),"Not provided")</f>
        <v>Target: Underwriting | D89</v>
      </c>
      <c r="AT16" s="588"/>
      <c r="AU16" s="588" t="str">
        <f>IFERROR(INDEX('DATA MAP'!$I$8:$I$137,MATCH($AJ16,'DATA MAP'!$A$8:$A$137,0)),"Review Required")</f>
        <v>Formula Preserved</v>
      </c>
      <c r="AV16" s="588" t="str">
        <f>IF(OR($AU16="Conflict",$AU16="Review Required",$AU16="New Input Required",$AU16="Unsupported"),"Management","Model owner")</f>
        <v>Model owner</v>
      </c>
      <c r="AW16" s="588" t="str">
        <f>IFERROR(INDEX('DATA MAP'!$K$8:$K$137,MATCH($AJ16,'DATA MAP'!$A$8:$A$137,0)),"Management confirmation required.")</f>
        <v>Existing lease-up formula preserved.</v>
      </c>
      <c r="AX16" t="str">
        <v>Formula-linked source input</v>
      </c>
      <c r="AY16" s="2440" t="n">
        <f>$H$49</f>
        <v>49</v>
      </c>
      <c r="AZ16" t="str">
        <v>Yes</v>
      </c>
      <c r="BA16" t="str">
        <v>Underwriting</v>
      </c>
      <c r="BB16" t="str">
        <v>D89</v>
      </c>
      <c r="BC16" t="str">
        <v>Target model</v>
      </c>
      <c r="BD16" t="str">
        <v>No</v>
      </c>
      <c r="BE16" t="str">
        <v>None — technical mapping complete.</v>
      </c>
      <c r="BF16" s="2442" t="n">
        <v>46231</v>
      </c>
      <c r="BG16" t="str">
        <f>IF($AZ16="No","PASS",IF(OR($AX16="Owner decision outstanding",$BD16="OWNER DECISION"),"WARNING",IF(OR($AP16="",$AN16="",$AS16="",$AV16=""),"FAIL","PASS")))</f>
        <v>PASS</v>
      </c>
    </row>
    <row r="17" ht="30" customHeight="1">
      <c r="A17" s="2504" t="str">
        <v>URWLD</v>
      </c>
      <c r="B17" s="2505" t="n">
        <f>INDEX($AY$8:$AY$257,MATCH("AREA-URWLD",$AJ$8:$AJ$257,0))</f>
        <v>21500</v>
      </c>
      <c r="C17" s="2505"/>
      <c r="D17" s="2506" t="n">
        <f>INDEX($AY$8:$AY$257,MATCH("CMP-URWLD-CORE",$AJ$8:$AJ$257,0))</f>
        <v>90.78148148148148</v>
      </c>
      <c r="E17" s="2506" t="n">
        <f>INDEX($AY$8:$AY$257,MATCH("CMP-URWLD-FIT",$AJ$8:$AJ$257,0))</f>
        <v>0</v>
      </c>
      <c r="F17" s="2506" t="n">
        <f>INDEX($AY$8:$AY$257,MATCH("CAPEX-URWLD",$AJ$8:$AJ$257,0))</f>
        <v>90.7814814814815</v>
      </c>
      <c r="G17" s="2507" t="n">
        <f>IF(OR(B17="",B17=0),0,F17*1000000/B17)</f>
        <v>4222.394487510768</v>
      </c>
      <c r="H17" s="2504" t="str">
        <v>AREA-URWLD</v>
      </c>
      <c r="I17" s="2504" t="str">
        <v>CAPEX-URWLD</v>
      </c>
      <c r="J17" s="2504" t="str">
        <f>IF(F17&lt;0,"WARNING","PASS")</f>
        <v>PASS</v>
      </c>
      <c r="K17" s="2504" t="str">
        <v>Major component</v>
      </c>
      <c r="L17" s="614" t="s">
        <v>3205</v>
      </c>
      <c r="M17" s="614" t="s">
        <v>515</v>
      </c>
      <c r="N17" s="621">
        <v>0.18</v>
      </c>
      <c r="O17" s="621">
        <v>0.18540000000000001</v>
      </c>
      <c r="P17" s="621">
        <v>0.19096200000000002</v>
      </c>
      <c r="Q17" s="621">
        <v>0.19669086000000002</v>
      </c>
      <c r="R17" s="621">
        <v>0.20259158580000003</v>
      </c>
      <c r="S17" s="621">
        <v>0.20866933337400004</v>
      </c>
      <c r="T17" s="621">
        <v>0.21492941337522004</v>
      </c>
      <c r="U17" s="621">
        <v>0.22137729577647663</v>
      </c>
      <c r="V17" s="621">
        <v>0.22801861464977094</v>
      </c>
      <c r="W17" s="621">
        <v>0.23485917308926407</v>
      </c>
      <c r="X17" s="621">
        <v>0.24190494828194201</v>
      </c>
      <c r="Y17" s="621">
        <v>0.24916209673040027</v>
      </c>
      <c r="Z17" s="621">
        <v>0.25663695963231226</v>
      </c>
      <c r="AA17" s="621">
        <v>0.26433606842128166</v>
      </c>
      <c r="AB17" s="621">
        <v>0.27226615047392011</v>
      </c>
      <c r="AC17" s="621">
        <v>0.28043413498813774</v>
      </c>
      <c r="AD17" s="621">
        <v>0.28884715903778185</v>
      </c>
      <c r="AE17" s="621">
        <v>0.29751257380891533</v>
      </c>
      <c r="AF17" s="621">
        <v>0.30643795102318278</v>
      </c>
      <c r="AG17" s="621">
        <v>0.31563108955387825</v>
      </c>
      <c r="AH17" s="621">
        <v>0.32510002224049461</v>
      </c>
      <c r="AI17" s="621">
        <v>0.33485302290770946</v>
      </c>
      <c r="AJ17" s="578" t="str">
        <v>PRJ-010</v>
      </c>
      <c r="AK17" s="579" t="str">
        <v>Project and programme</v>
      </c>
      <c r="AL17" s="579" t="str">
        <v>Model</v>
      </c>
      <c r="AM17" s="579" t="str">
        <v>Periodicity</v>
      </c>
      <c r="AN17" s="579" t="str">
        <v>Text</v>
      </c>
      <c r="AO17" s="579"/>
      <c r="AP17" s="580" t="str">
        <v>Monthly</v>
      </c>
      <c r="AQ17" s="580"/>
      <c r="AR17" s="580"/>
      <c r="AS17" s="588" t="str">
        <f>IFERROR(INDEX('DATA MAP'!$C$8:$C$137,MATCH($AJ17,'DATA MAP'!$A$8:$A$137,0))&amp;IF(INDEX('DATA MAP'!$D$8:$D$137,MATCH($AJ17,'DATA MAP'!$A$8:$A$137,0))="",""," | "&amp;INDEX('DATA MAP'!$D$8:$D$137,MATCH($AJ17,'DATA MAP'!$A$8:$A$137,0))),"Not provided")</f>
        <v>Target: Underwriting | L24:EB24</v>
      </c>
      <c r="AT17" s="588"/>
      <c r="AU17" s="588" t="str">
        <f>IFERROR(INDEX('DATA MAP'!$I$8:$I$137,MATCH($AJ17,'DATA MAP'!$A$8:$A$137,0)),"Review Required")</f>
        <v>Formula Preserved</v>
      </c>
      <c r="AV17" s="588" t="str">
        <f>IF(OR($AU17="Conflict",$AU17="Review Required",$AU17="New Input Required",$AU17="Unsupported"),"Management","Model owner")</f>
        <v>Model owner</v>
      </c>
      <c r="AW17" s="588" t="str">
        <f>IFERROR(INDEX('DATA MAP'!$K$8:$K$137,MATCH($AJ17,'DATA MAP'!$A$8:$A$137,0)),"Management confirmation required.")</f>
        <v>Target model uses 121 monthly periods; source schedules are mainly quarterly and annual.</v>
      </c>
      <c r="AX17" t="str">
        <v>Formula-linked source input</v>
      </c>
      <c r="AY17" s="2440" t="str">
        <f>$H$41</f>
        <v>Monthly</v>
      </c>
      <c r="AZ17" t="str">
        <v>Yes</v>
      </c>
      <c r="BA17" t="str">
        <v>Underwriting</v>
      </c>
      <c r="BB17" t="str">
        <v>L24:EB24</v>
      </c>
      <c r="BC17" t="str">
        <v>Target model</v>
      </c>
      <c r="BD17" t="str">
        <v>No</v>
      </c>
      <c r="BE17" t="str">
        <v>None — technical mapping complete.</v>
      </c>
      <c r="BF17" s="2442" t="n">
        <v>46231</v>
      </c>
      <c r="BG17" t="str">
        <f>IF($AZ17="No","PASS",IF(OR($AX17="Owner decision outstanding",$BD17="OWNER DECISION"),"WARNING",IF(OR($AP17="",$AN17="",$AS17="",$AV17=""),"FAIL","PASS")))</f>
        <v>PASS</v>
      </c>
    </row>
    <row r="18" ht="30" customHeight="1">
      <c r="A18" s="2508" t="str">
        <v>PBSA / Student accommodation</v>
      </c>
      <c r="B18" s="2509" t="n">
        <f>INDEX($AY$8:$AY$257,MATCH("AREA-PBSA",$AJ$8:$AJ$257,0))</f>
        <v>20000</v>
      </c>
      <c r="C18" s="2509" t="n">
        <f>INDEX($AY$8:$AY$257,MATCH("CAP-PBSA-001",$AJ$8:$AJ$257,0))</f>
        <v>580</v>
      </c>
      <c r="D18" s="2510" t="n">
        <f>INDEX($AY$8:$AY$257,MATCH("CMP-PBSA-CORE",$AJ$8:$AJ$257,0))</f>
        <v>87.57</v>
      </c>
      <c r="E18" s="2510" t="n">
        <f>INDEX($AY$8:$AY$257,MATCH("CMP-PBSA-FIT",$AJ$8:$AJ$257,0))</f>
        <v>26.63</v>
      </c>
      <c r="F18" s="2510" t="n">
        <f>INDEX($AY$8:$AY$257,MATCH("CAPEX-PBSA",$AJ$8:$AJ$257,0))</f>
        <v>114.2</v>
      </c>
      <c r="G18" s="2511" t="n">
        <f>IF(OR(B18="",B18=0),0,F18*1000000/B18)</f>
        <v>5710</v>
      </c>
      <c r="H18" s="2508" t="str">
        <v>AREA-PBSA</v>
      </c>
      <c r="I18" s="2504" t="str">
        <v>CAPEX-PBSA</v>
      </c>
      <c r="J18" s="2504" t="str">
        <f>IF(F18&lt;0,"WARNING","PASS")</f>
        <v>PASS</v>
      </c>
      <c r="K18" s="2504" t="str">
        <v>Classification remains subject to final documentation.</v>
      </c>
      <c r="L18" s="614" t="s">
        <v>3206</v>
      </c>
      <c r="M18" s="614" t="s">
        <v>515</v>
      </c>
      <c r="N18" s="621">
        <v>4.2008756518695255E-2</v>
      </c>
      <c r="O18" s="621">
        <v>0.22536934374840115</v>
      </c>
      <c r="P18" s="621">
        <v>0.24415100184142915</v>
      </c>
      <c r="Q18" s="621">
        <v>0.25366604400521309</v>
      </c>
      <c r="R18" s="621">
        <v>0.26223482376335461</v>
      </c>
      <c r="S18" s="621">
        <v>0.27091379481521466</v>
      </c>
      <c r="T18" s="621">
        <v>0.26452363879124352</v>
      </c>
      <c r="U18" s="621">
        <v>0.27353763462637654</v>
      </c>
      <c r="V18" s="621">
        <v>0.28287396822217592</v>
      </c>
      <c r="W18" s="621">
        <v>0.29254712975439573</v>
      </c>
      <c r="X18" s="621">
        <v>0.30256542423891181</v>
      </c>
      <c r="Y18" s="621">
        <v>0.31101377478343578</v>
      </c>
      <c r="Z18" s="621">
        <v>0.31975298507326821</v>
      </c>
      <c r="AA18" s="621">
        <v>0.32879311438640085</v>
      </c>
      <c r="AB18" s="621">
        <v>0.33814457105522844</v>
      </c>
      <c r="AC18" s="621">
        <v>0.34781812460794342</v>
      </c>
      <c r="AD18" s="621">
        <v>0.35782491833299401</v>
      </c>
      <c r="AE18" s="621">
        <v>0.36817648228136152</v>
      </c>
      <c r="AF18" s="621">
        <v>0.37888474672193573</v>
      </c>
      <c r="AG18" s="621">
        <v>0.38996205606579415</v>
      </c>
      <c r="AH18" s="621">
        <v>0.4202204590467325</v>
      </c>
      <c r="AI18" s="621">
        <v>0.43433507118269171</v>
      </c>
      <c r="AJ18" s="578" t="str">
        <v>PRJ-011</v>
      </c>
      <c r="AK18" s="579" t="str">
        <v>Project and programme</v>
      </c>
      <c r="AL18" s="579" t="str">
        <v>Model</v>
      </c>
      <c r="AM18" s="579" t="str">
        <v>Currency and scale</v>
      </c>
      <c r="AN18" s="579" t="str">
        <v>Text</v>
      </c>
      <c r="AO18" s="579"/>
      <c r="AP18" s="580" t="str">
        <f>IF($E$42="","",$E$42)</f>
        <v>AUD; target in dollars, reporting tabs may show A$m</v>
      </c>
      <c r="AQ18" s="580" t="str">
        <f>IF($F$42="","",$F$42)</f>
      </c>
      <c r="AR18" s="580" t="str">
        <f>IF($G$42="","",$G$42)</f>
      </c>
      <c r="AS18" s="588" t="str">
        <f>IFERROR(INDEX('DATA MAP'!$C$8:$C$137,MATCH($AJ18,'DATA MAP'!$A$8:$A$137,0))&amp;IF(INDEX('DATA MAP'!$D$8:$D$137,MATCH($AJ18,'DATA MAP'!$A$8:$A$137,0))="",""," | "&amp;INDEX('DATA MAP'!$D$8:$D$137,MATCH($AJ18,'DATA MAP'!$A$8:$A$137,0))),"Not provided")</f>
        <v>MODEL DESIGN | C18</v>
      </c>
      <c r="AT18" s="588"/>
      <c r="AU18" s="588" t="str">
        <f>IFERROR(INDEX('DATA MAP'!$I$8:$I$137,MATCH($AJ18,'DATA MAP'!$A$8:$A$137,0)),"Review Required")</f>
        <v>Mapped</v>
      </c>
      <c r="AV18" s="588" t="str">
        <f>IF(OR($AU18="Conflict",$AU18="Review Required",$AU18="New Input Required",$AU18="Unsupported"),"Management","Model owner")</f>
        <v>Model owner</v>
      </c>
      <c r="AW18" s="588" t="str">
        <f>IFERROR(INDEX('DATA MAP'!$K$8:$K$137,MATCH($AJ18,'DATA MAP'!$A$8:$A$137,0)),"Management confirmation required.")</f>
        <v>Source is largely A$m. Target input links use native target units.</v>
      </c>
      <c r="AX18" t="str">
        <v>Hard-coded model input</v>
      </c>
      <c r="AY18" s="2440" t="str">
        <f>$H$42</f>
        <v>AUD; target in dollars, reporting tabs may show A$m</v>
      </c>
      <c r="AZ18" t="str">
        <v>Yes</v>
      </c>
      <c r="BA18" t="str">
        <v>All financial tabs</v>
      </c>
      <c r="BB18" t="str">
        <v>Various</v>
      </c>
      <c r="BC18" t="str">
        <v>PROJECTS register book(4).xlsm</v>
      </c>
      <c r="BD18" t="str">
        <v>No</v>
      </c>
      <c r="BE18" t="str">
        <v>None — technical mapping complete.</v>
      </c>
      <c r="BF18" s="2442" t="n">
        <v>46231</v>
      </c>
      <c r="BG18" t="str">
        <f>IF($AZ18="No","PASS",IF(OR($AX18="Owner decision outstanding",$BD18="OWNER DECISION"),"WARNING",IF(OR($AP18="",$AN18="",$AS18="",$AV18=""),"FAIL","PASS")))</f>
        <v>PASS</v>
      </c>
    </row>
    <row r="19" ht="30" customHeight="1">
      <c r="A19" s="2512" t="str">
        <v>LiveHouse</v>
      </c>
      <c r="B19" s="2509" t="n">
        <f>INDEX($AY$8:$AY$257,MATCH("AREA-LIVE",$AJ$8:$AJ$257,0))</f>
        <v>6500</v>
      </c>
      <c r="C19" s="2509"/>
      <c r="D19" s="2510" t="n">
        <f>INDEX($AY$8:$AY$257,MATCH("CMP-LIVE-CORE",$AJ$8:$AJ$257,0))</f>
        <v>12.84499125</v>
      </c>
      <c r="E19" s="2510" t="n">
        <f>INDEX($AY$8:$AY$257,MATCH("CMP-LIVE-FIT",$AJ$8:$AJ$257,0))</f>
        <v>6.91653375</v>
      </c>
      <c r="F19" s="2510" t="n">
        <f>INDEX($AY$8:$AY$257,MATCH("CAPEX-LIVE",$AJ$8:$AJ$257,0))</f>
        <v>19.761525</v>
      </c>
      <c r="G19" s="2511" t="n">
        <f>IF(OR(B19="",B19=0),0,F19*1000000/B19)</f>
        <v>3040.2346153846156</v>
      </c>
      <c r="H19" s="2512" t="str">
        <v>AREA-LIVE</v>
      </c>
      <c r="I19" s="2504" t="str">
        <v>CAPEX-LIVE</v>
      </c>
      <c r="J19" s="2504" t="str">
        <f>IF(F19&lt;0,"WARNING","PASS")</f>
        <v>PASS</v>
      </c>
      <c r="K19" s="2504" t="str">
        <v>Venue KPIs remain an owner decision.</v>
      </c>
      <c r="L19" s="616" t="s">
        <v>3207</v>
      </c>
      <c r="M19" s="616" t="s">
        <v>515</v>
      </c>
      <c r="N19" s="619" t="n">
        <f>SUM(N17:N18)</f>
        <v>0.22200875651869525</v>
      </c>
      <c r="O19" s="619" t="n">
        <f>SUM(O17:O18)</f>
        <v>0.41076934374840113</v>
      </c>
      <c r="P19" s="619" t="n">
        <f>SUM(P17:P18)</f>
        <v>0.4351130018414292</v>
      </c>
      <c r="Q19" s="619" t="n">
        <f>SUM(Q17:Q18)</f>
        <v>0.4503569040052131</v>
      </c>
      <c r="R19" s="619" t="n">
        <f>SUM(R17:R18)</f>
        <v>0.46482640956335464</v>
      </c>
      <c r="S19" s="619" t="n">
        <f>SUM(S17:S18)</f>
        <v>0.47958312818921467</v>
      </c>
      <c r="T19" s="619" t="n">
        <f>SUM(T17:T18)</f>
        <v>0.47945305216646356</v>
      </c>
      <c r="U19" s="619" t="n">
        <f>SUM(U17:U18)</f>
        <v>0.49491493040285317</v>
      </c>
      <c r="V19" s="619" t="n">
        <f>SUM(V17:V18)</f>
        <v>0.5108925828719468</v>
      </c>
      <c r="W19" s="619" t="n">
        <f>SUM(W17:W18)</f>
        <v>0.5274063028436597</v>
      </c>
      <c r="X19" s="619" t="n">
        <f>SUM(X17:X18)</f>
        <v>0.5444703725208538</v>
      </c>
      <c r="Y19" s="619" t="n">
        <f>SUM(Y17:Y18)</f>
        <v>0.5601758715138361</v>
      </c>
      <c r="Z19" s="619" t="n">
        <f>SUM(Z17:Z18)</f>
        <v>0.5763899447055805</v>
      </c>
      <c r="AA19" s="619" t="n">
        <f>SUM(AA17:AA18)</f>
        <v>0.5931291828076826</v>
      </c>
      <c r="AB19" s="619" t="n">
        <f>SUM(AB17:AB18)</f>
        <v>0.6104107215291485</v>
      </c>
      <c r="AC19" s="619" t="n">
        <f>SUM(AC17:AC18)</f>
        <v>0.6282522595960811</v>
      </c>
      <c r="AD19" s="619" t="n">
        <f>SUM(AD17:AD18)</f>
        <v>0.6466720773707759</v>
      </c>
      <c r="AE19" s="619" t="n">
        <f>SUM(AE17:AE18)</f>
        <v>0.6656890560902768</v>
      </c>
      <c r="AF19" s="619" t="n">
        <f>SUM(AF17:AF18)</f>
        <v>0.6853226977451186</v>
      </c>
      <c r="AG19" s="619" t="n">
        <f>SUM(AG17:AG18)</f>
        <v>0.7055931456196725</v>
      </c>
      <c r="AH19" s="619" t="n">
        <f>SUM(AH17:AH18)</f>
        <v>0.7453204812872272</v>
      </c>
      <c r="AI19" s="619" t="n">
        <f>SUM(AI17:AI18)</f>
        <v>0.7691880940904012</v>
      </c>
      <c r="AJ19" s="578" t="str">
        <v>AREA-001</v>
      </c>
      <c r="AK19" s="579" t="str">
        <v>Areas and capacities</v>
      </c>
      <c r="AL19" s="579" t="str">
        <v>Site</v>
      </c>
      <c r="AM19" s="579" t="str">
        <v>Site area</v>
      </c>
      <c r="AN19" s="579" t="str">
        <v>sqm</v>
      </c>
      <c r="AO19" s="579" t="str">
        <v>Current</v>
      </c>
      <c r="AP19" s="583" t="n">
        <f>IF($E$57="","",$E$57)</f>
        <v>34400</v>
      </c>
      <c r="AQ19" s="583" t="str">
        <f>IF($F$57="","",$F$57)</f>
      </c>
      <c r="AR19" s="583" t="str">
        <f>IF($G$57="","",$G$57)</f>
      </c>
      <c r="AS19" s="588" t="str">
        <f>IFERROR(INDEX('DATA MAP'!$C$8:$C$137,MATCH($AJ19,'DATA MAP'!$A$8:$A$137,0))&amp;IF(INDEX('DATA MAP'!$D$8:$D$137,MATCH($AJ19,'DATA MAP'!$A$8:$A$137,0))="",""," | "&amp;INDEX('DATA MAP'!$D$8:$D$137,MATCH($AJ19,'DATA MAP'!$A$8:$A$137,0))),"Not provided")</f>
        <v>ASSUMPTIONS | B35</v>
      </c>
      <c r="AT19" s="588"/>
      <c r="AU19" s="588" t="str">
        <f>IFERROR(INDEX('DATA MAP'!$I$8:$I$137,MATCH($AJ19,'DATA MAP'!$A$8:$A$137,0)),"Review Required")</f>
        <v>Mapped</v>
      </c>
      <c r="AV19" s="588" t="str">
        <f>IF(OR($AU19="Conflict",$AU19="Review Required",$AU19="New Input Required",$AU19="Unsupported"),"Management","Model owner")</f>
        <v>Model owner</v>
      </c>
      <c r="AW19" s="588" t="str">
        <f>IFERROR(INDEX('DATA MAP'!$K$8:$K$137,MATCH($AJ19,'DATA MAP'!$A$8:$A$137,0)),"Management confirmation required.")</f>
        <v>34,400 sqm equals target 8.5004 acres.</v>
      </c>
      <c r="AX19" t="str">
        <v>Hard-coded model input</v>
      </c>
      <c r="AY19" s="2440" t="n">
        <f>$H$57</f>
        <v>34400</v>
      </c>
      <c r="AZ19" t="str">
        <v>Yes</v>
      </c>
      <c r="BA19" t="str">
        <v>Underwriting</v>
      </c>
      <c r="BB19" t="str">
        <v>E17</v>
      </c>
      <c r="BC19" t="str">
        <v>PROJECTS register book(4).xlsm</v>
      </c>
      <c r="BD19" t="str">
        <v>No</v>
      </c>
      <c r="BE19" t="str">
        <v>None — technical mapping complete.</v>
      </c>
      <c r="BF19" s="2442" t="n">
        <v>46231</v>
      </c>
      <c r="BG19" t="str">
        <f>IF($AZ19="No","PASS",IF(OR($AX19="Owner decision outstanding",$BD19="OWNER DECISION"),"WARNING",IF(OR($AP19="",$AN19="",$AS19="",$AV19=""),"FAIL","PASS")))</f>
        <v>PASS</v>
      </c>
    </row>
    <row r="20" ht="30" customHeight="1">
      <c r="A20" s="2504" t="str">
        <v>Genesis</v>
      </c>
      <c r="B20" s="2505" t="n">
        <f>INDEX($AY$8:$AY$257,MATCH("AREA-GEN",$AJ$8:$AJ$257,0))</f>
        <v>4000</v>
      </c>
      <c r="C20" s="2505"/>
      <c r="D20" s="2506" t="n">
        <f>INDEX($AY$8:$AY$257,MATCH("CMP-GEN-CORE",$AJ$8:$AJ$257,0))</f>
        <v>14.5</v>
      </c>
      <c r="E20" s="2506" t="n">
        <f>INDEX($AY$8:$AY$257,MATCH("CMP-GEN-FIT",$AJ$8:$AJ$257,0))</f>
        <v>0</v>
      </c>
      <c r="F20" s="2506" t="n">
        <f>INDEX($AY$8:$AY$257,MATCH("CAPEX-GEN",$AJ$8:$AJ$257,0))</f>
        <v>14.5</v>
      </c>
      <c r="G20" s="2507" t="n">
        <f>IF(OR(B20="",B20=0),0,F20*1000000/B20)</f>
        <v>3625</v>
      </c>
      <c r="H20" s="2504" t="str">
        <v>AREA-GEN</v>
      </c>
      <c r="I20" s="2504" t="str">
        <v>CAPEX-GEN</v>
      </c>
      <c r="J20" s="2504" t="str">
        <f>IF(F20&lt;0,"WARNING","PASS")</f>
        <v>PASS</v>
      </c>
      <c r="K20" s="2504" t="str">
        <v>Major component</v>
      </c>
      <c r="L20" s="614"/>
      <c r="M20" s="614"/>
      <c r="N20" s="618"/>
      <c r="O20" s="618"/>
      <c r="P20" s="618"/>
      <c r="Q20" s="618"/>
      <c r="R20" s="618"/>
      <c r="S20" s="618"/>
      <c r="T20" s="618"/>
      <c r="U20" s="618"/>
      <c r="V20" s="618"/>
      <c r="W20" s="618"/>
      <c r="X20" s="618"/>
      <c r="Y20" s="618"/>
      <c r="Z20" s="618"/>
      <c r="AA20" s="618"/>
      <c r="AB20" s="618"/>
      <c r="AC20" s="618"/>
      <c r="AD20" s="618"/>
      <c r="AE20" s="618"/>
      <c r="AF20" s="618"/>
      <c r="AG20" s="618"/>
      <c r="AH20" s="618"/>
      <c r="AI20" s="618"/>
      <c r="AJ20" s="578" t="str">
        <v>AREA-URWLD</v>
      </c>
      <c r="AK20" s="579" t="str">
        <v>Areas and capacities</v>
      </c>
      <c r="AL20" s="579" t="str">
        <v>URWLD</v>
      </c>
      <c r="AM20" s="579" t="str">
        <v>URWLD area</v>
      </c>
      <c r="AN20" s="579" t="str">
        <v>sqm</v>
      </c>
      <c r="AO20" s="579" t="str">
        <v>Current</v>
      </c>
      <c r="AP20" s="583" t="n">
        <f>IF($E$58="","",$E$58)</f>
        <v>21500</v>
      </c>
      <c r="AQ20" s="583" t="str">
        <f>IF($F$58="","",$F$58)</f>
      </c>
      <c r="AR20" s="583" t="str">
        <f>IF($G$58="","",$G$58)</f>
      </c>
      <c r="AS20" s="588" t="str">
        <f>IFERROR(INDEX('DATA MAP'!$C$8:$C$137,MATCH($AJ20,'DATA MAP'!$A$8:$A$137,0))&amp;IF(INDEX('DATA MAP'!$D$8:$D$137,MATCH($AJ20,'DATA MAP'!$A$8:$A$137,0))="",""," | "&amp;INDEX('DATA MAP'!$D$8:$D$137,MATCH($AJ20,'DATA MAP'!$A$8:$A$137,0))),"Not provided")</f>
        <v>PROJECT CASH FLOW | G8</v>
      </c>
      <c r="AT20" s="588"/>
      <c r="AU20" s="588" t="str">
        <f>IFERROR(INDEX('DATA MAP'!$I$8:$I$137,MATCH($AJ20,'DATA MAP'!$A$8:$A$137,0)),"Review Required")</f>
        <v>Mapped</v>
      </c>
      <c r="AV20" s="588" t="str">
        <f>IF(OR($AU20="Conflict",$AU20="Review Required",$AU20="New Input Required",$AU20="Unsupported"),"Management","Model owner")</f>
        <v>Model owner</v>
      </c>
      <c r="AW20" s="588" t="str">
        <f>IFERROR(INDEX('DATA MAP'!$K$8:$K$137,MATCH($AJ20,'DATA MAP'!$A$8:$A$137,0)),"Management confirmation required.")</f>
        <v>Detailed source and target values agree.</v>
      </c>
      <c r="AX20" t="str">
        <v>Hard-coded model input</v>
      </c>
      <c r="AY20" s="2440" t="n">
        <f>$H$58</f>
        <v>21500</v>
      </c>
      <c r="AZ20" t="str">
        <v>Yes</v>
      </c>
      <c r="BA20" t="str">
        <v>Underwriting</v>
      </c>
      <c r="BB20" t="str">
        <v>E93</v>
      </c>
      <c r="BC20" t="str">
        <v>PROJECTS register book(4).xlsm</v>
      </c>
      <c r="BD20" t="str">
        <v>No</v>
      </c>
      <c r="BE20" t="str">
        <v>None — technical mapping complete.</v>
      </c>
      <c r="BF20" s="2442" t="n">
        <v>46231</v>
      </c>
      <c r="BG20" t="str">
        <f>IF($AZ20="No","PASS",IF(OR($AX20="Owner decision outstanding",$BD20="OWNER DECISION"),"WARNING",IF(OR($AP20="",$AN20="",$AS20="",$AV20=""),"FAIL","PASS")))</f>
        <v>PASS</v>
      </c>
    </row>
    <row r="21" ht="30" customHeight="1">
      <c r="A21" s="2513" t="str">
        <v>Snowtunnel</v>
      </c>
      <c r="B21" s="2514" t="n">
        <f>INDEX($AY$8:$AY$257,MATCH("AREA-SNOW",$AJ$8:$AJ$257,0))</f>
        <v>3800</v>
      </c>
      <c r="C21" s="2514"/>
      <c r="D21" s="2515" t="n">
        <f>INDEX($AY$8:$AY$257,MATCH("CMP-SNOW-CORE",$AJ$8:$AJ$257,0))</f>
        <v>13</v>
      </c>
      <c r="E21" s="2515" t="n">
        <f>INDEX($AY$8:$AY$257,MATCH("CMP-SNOW-FIT",$AJ$8:$AJ$257,0))</f>
        <v>0</v>
      </c>
      <c r="F21" s="2515" t="n">
        <f>INDEX($AY$8:$AY$257,MATCH("CAPEX-SNOW",$AJ$8:$AJ$257,0))</f>
        <v>13</v>
      </c>
      <c r="G21" s="2516" t="n">
        <f>IF(OR(B21="",B21=0),0,F21*1000000/B21)</f>
        <v>3421.0526315789475</v>
      </c>
      <c r="H21" s="2513" t="str">
        <v>AREA-SNOW</v>
      </c>
      <c r="I21" s="2504" t="str">
        <v>CAPEX-SNOW</v>
      </c>
      <c r="J21" s="2504" t="str">
        <f>IF(F21&lt;0,"WARNING","PASS")</f>
        <v>PASS</v>
      </c>
      <c r="K21" s="2504" t="str">
        <v>Major component</v>
      </c>
      <c r="L21" s="617" t="s">
        <v>3208</v>
      </c>
      <c r="M21" s="617" t="s">
        <v>515</v>
      </c>
      <c r="N21" s="620" t="n">
        <f>N11-N15-N19</f>
        <v>7.029684628108184</v>
      </c>
      <c r="O21" s="620" t="n">
        <f>O11-O15-O19</f>
        <v>41.92262373544143</v>
      </c>
      <c r="P21" s="620" t="n">
        <f>P11-P15-P19</f>
        <v>45.541921747395826</v>
      </c>
      <c r="Q21" s="620" t="n">
        <f>Q11-Q15-Q19</f>
        <v>47.37259602500613</v>
      </c>
      <c r="R21" s="620" t="n">
        <f>R11-R15-R19</f>
        <v>49.02046979252743</v>
      </c>
      <c r="S21" s="620" t="n">
        <f>S11-S15-S19</f>
        <v>50.68943345796244</v>
      </c>
      <c r="T21" s="620" t="n">
        <f>T11-T15-T19</f>
        <v>49.44987326533478</v>
      </c>
      <c r="U21" s="620" t="n">
        <f>U11-U15-U19</f>
        <v>51.18312657911419</v>
      </c>
      <c r="V21" s="620" t="n">
        <f>V11-V15-V19</f>
        <v>52.97839764423018</v>
      </c>
      <c r="W21" s="620" t="n">
        <f>W11-W15-W19</f>
        <v>54.838477261509105</v>
      </c>
      <c r="X21" s="620" t="n">
        <f>X11-X15-X19</f>
        <v>56.76496232182803</v>
      </c>
      <c r="Y21" s="620" t="n">
        <f>Y11-Y15-Y19</f>
        <v>58.35353033827271</v>
      </c>
      <c r="Z21" s="620" t="n">
        <f>Z11-Z15-Z19</f>
        <v>59.99714890885345</v>
      </c>
      <c r="AA21" s="620" t="n">
        <f>AA11-AA15-AA19</f>
        <v>61.69773125123272</v>
      </c>
      <c r="AB21" s="620" t="n">
        <f>AB11-AB15-AB19</f>
        <v>63.45725721234075</v>
      </c>
      <c r="AC21" s="620" t="n">
        <f>AC11-AC15-AC19</f>
        <v>65.27777559222942</v>
      </c>
      <c r="AD21" s="620" t="n">
        <f>AD11-AD15-AD19</f>
        <v>67.16140654906165</v>
      </c>
      <c r="AE21" s="620" t="n">
        <f>AE11-AE15-AE19</f>
        <v>69.11034408807124</v>
      </c>
      <c r="AF21" s="620" t="n">
        <f>AF11-AF15-AF19</f>
        <v>71.12685863742723</v>
      </c>
      <c r="AG21" s="620" t="n">
        <f>AG11-AG15-AG19</f>
        <v>73.21329971403914</v>
      </c>
      <c r="AH21" s="620" t="n">
        <f>AH11-AH15-AH19</f>
        <v>79.00035890624599</v>
      </c>
      <c r="AI21" s="620" t="n">
        <f>AI11-AI15-AI19</f>
        <v>81.67029880613057</v>
      </c>
      <c r="AJ21" s="578" t="str">
        <v>AREA-PBSA</v>
      </c>
      <c r="AK21" s="579" t="str">
        <v>Areas and capacities</v>
      </c>
      <c r="AL21" s="579" t="str">
        <v>PBSA/student accommodation</v>
      </c>
      <c r="AM21" s="579" t="str">
        <v>PBSA area</v>
      </c>
      <c r="AN21" s="579" t="str">
        <v>sqm</v>
      </c>
      <c r="AO21" s="579" t="str">
        <v>Current</v>
      </c>
      <c r="AP21" s="583" t="n">
        <f>IF($E$59="","",$E$59)</f>
        <v>20000</v>
      </c>
      <c r="AQ21" s="583" t="str">
        <f>IF($F$59="","",$F$59)</f>
      </c>
      <c r="AR21" s="583" t="str">
        <f>IF($G$59="","",$G$59)</f>
      </c>
      <c r="AS21" s="588" t="str">
        <f>IFERROR(INDEX('DATA MAP'!$C$8:$C$137,MATCH($AJ21,'DATA MAP'!$A$8:$A$137,0))&amp;IF(INDEX('DATA MAP'!$D$8:$D$137,MATCH($AJ21,'DATA MAP'!$A$8:$A$137,0))="",""," | "&amp;INDEX('DATA MAP'!$D$8:$D$137,MATCH($AJ21,'DATA MAP'!$A$8:$A$137,0))),"Not provided")</f>
        <v>PROJECT CASH FLOW | G9</v>
      </c>
      <c r="AT21" s="588"/>
      <c r="AU21" s="588" t="str">
        <f>IFERROR(INDEX('DATA MAP'!$I$8:$I$137,MATCH($AJ21,'DATA MAP'!$A$8:$A$137,0)),"Review Required")</f>
        <v>Mapped</v>
      </c>
      <c r="AV21" s="588" t="str">
        <f>IF(OR($AU21="Conflict",$AU21="Review Required",$AU21="New Input Required",$AU21="Unsupported"),"Management","Model owner")</f>
        <v>Model owner</v>
      </c>
      <c r="AW21" s="588" t="str">
        <f>IFERROR(INDEX('DATA MAP'!$K$8:$K$137,MATCH($AJ21,'DATA MAP'!$A$8:$A$137,0)),"Management confirmation required.")</f>
        <v>Detailed source and target values agree.</v>
      </c>
      <c r="AX21" t="str">
        <v>Hard-coded model input</v>
      </c>
      <c r="AY21" s="2440" t="n">
        <f>$H$59</f>
        <v>20000</v>
      </c>
      <c r="AZ21" t="str">
        <v>Yes</v>
      </c>
      <c r="BA21" t="str">
        <v>Underwriting</v>
      </c>
      <c r="BB21" t="str">
        <v>E94</v>
      </c>
      <c r="BC21" t="str">
        <v>PROJECTS register book(4).xlsm</v>
      </c>
      <c r="BD21" t="str">
        <v>No</v>
      </c>
      <c r="BE21" t="str">
        <v>None — technical mapping complete.</v>
      </c>
      <c r="BF21" s="2442" t="n">
        <v>46231</v>
      </c>
      <c r="BG21" t="str">
        <f>IF($AZ21="No","PASS",IF(OR($AX21="Owner decision outstanding",$BD21="OWNER DECISION"),"WARNING",IF(OR($AP21="",$AN21="",$AS21="",$AV21=""),"FAIL","PASS")))</f>
        <v>PASS</v>
      </c>
    </row>
    <row r="22" ht="30" customHeight="1">
      <c r="A22" s="2508" t="str">
        <v>Parking</v>
      </c>
      <c r="B22" s="2509" t="n">
        <f>INDEX($AY$8:$AY$257,MATCH("AREA-PARK",$AJ$8:$AJ$257,0))</f>
        <v>19500.38</v>
      </c>
      <c r="C22" s="2509" t="n">
        <f>INDEX($AY$8:$AY$257,MATCH("CAP-PARK-001",$AJ$8:$AJ$257,0))</f>
        <v>800</v>
      </c>
      <c r="D22" s="2510" t="n">
        <f>INDEX($AY$8:$AY$257,MATCH("CMP-PARK-CORE",$AJ$8:$AJ$257,0))</f>
        <v>30.22</v>
      </c>
      <c r="E22" s="2510" t="n">
        <f>INDEX($AY$8:$AY$257,MATCH("CMP-PARK-FIT",$AJ$8:$AJ$257,0))</f>
        <v>0</v>
      </c>
      <c r="F22" s="2510" t="n">
        <f>INDEX($AY$8:$AY$257,MATCH("CAPEX-PARK",$AJ$8:$AJ$257,0))</f>
        <v>30.22</v>
      </c>
      <c r="G22" s="2511" t="n">
        <f>IF(OR(B22="",B22=0),0,F22*1000000/B22)</f>
        <v>1549.7133902006012</v>
      </c>
      <c r="H22" s="2508" t="str">
        <v>AREA-PARK</v>
      </c>
      <c r="I22" s="2504" t="str">
        <v>CAPEX-PARK</v>
      </c>
      <c r="J22" s="2504" t="str">
        <f>IF(F22&lt;0,"WARNING","PASS")</f>
        <v>PASS</v>
      </c>
      <c r="K22" s="2504" t="str">
        <v>Capacity in spaces.</v>
      </c>
      <c r="L22" s="617" t="s">
        <v>3209</v>
      </c>
      <c r="M22" s="617" t="s">
        <v>78</v>
      </c>
      <c r="N22" s="632" t="n">
        <f>N21/N11</f>
        <v>0.8366927767761642</v>
      </c>
      <c r="O22" s="632" t="n">
        <f>O21/O11</f>
        <v>0.9300870969887367</v>
      </c>
      <c r="P22" s="632" t="n">
        <f>P21/P11</f>
        <v>0.9326589160787947</v>
      </c>
      <c r="Q22" s="632" t="n">
        <f>Q21/Q11</f>
        <v>0.9337591125131548</v>
      </c>
      <c r="R22" s="632" t="n">
        <f>R21/R11</f>
        <v>0.934667430683508</v>
      </c>
      <c r="S22" s="632" t="n">
        <f>S21/S11</f>
        <v>0.9355269910219368</v>
      </c>
      <c r="T22" s="632" t="n">
        <f>T21/T11</f>
        <v>0.9346966776069412</v>
      </c>
      <c r="U22" s="632" t="n">
        <f>U21/U11</f>
        <v>0.935577414219892</v>
      </c>
      <c r="V22" s="632" t="n">
        <f>V21/V11</f>
        <v>0.9364311247371425</v>
      </c>
      <c r="W22" s="632" t="n">
        <f>W21/W11</f>
        <v>0.9372588496689075</v>
      </c>
      <c r="X22" s="632" t="n">
        <f>X21/X11</f>
        <v>0.9380609576361453</v>
      </c>
      <c r="Y22" s="632" t="n">
        <f>Y21/Y11</f>
        <v>0.9381181006999654</v>
      </c>
      <c r="Z22" s="632" t="n">
        <f>Z21/Z11</f>
        <v>0.9381796528827667</v>
      </c>
      <c r="AA22" s="632" t="n">
        <f>AA21/AA11</f>
        <v>0.9382454886011533</v>
      </c>
      <c r="AB22" s="632" t="n">
        <f>AB21/AB11</f>
        <v>0.9383154816638534</v>
      </c>
      <c r="AC22" s="632" t="n">
        <f>AC21/AC11</f>
        <v>0.9383895055182903</v>
      </c>
      <c r="AD22" s="632" t="n">
        <f>AD21/AD11</f>
        <v>0.9384674334860162</v>
      </c>
      <c r="AE22" s="632" t="n">
        <f>AE21/AE11</f>
        <v>0.9385491389867879</v>
      </c>
      <c r="AF22" s="632" t="n">
        <f>AF21/AF11</f>
        <v>0.9386344957511231</v>
      </c>
      <c r="AG22" s="632" t="n">
        <f>AG21/AG11</f>
        <v>0.9387233780212534</v>
      </c>
      <c r="AH22" s="632" t="n">
        <f>AH21/AH11</f>
        <v>0.9399870616182969</v>
      </c>
      <c r="AI22" s="632" t="n">
        <f>AI21/AI11</f>
        <v>0.940176193736127</v>
      </c>
      <c r="AJ22" s="578" t="str">
        <v>AREA-LIVE</v>
      </c>
      <c r="AK22" s="579" t="str">
        <v>Areas and capacities</v>
      </c>
      <c r="AL22" s="579" t="str">
        <v>LiveHouse</v>
      </c>
      <c r="AM22" s="579" t="str">
        <v>LiveHouse area</v>
      </c>
      <c r="AN22" s="579" t="str">
        <v>sqm</v>
      </c>
      <c r="AO22" s="579" t="str">
        <v>Current</v>
      </c>
      <c r="AP22" s="583" t="n">
        <f>IF($E$60="","",$E$60)</f>
        <v>6500</v>
      </c>
      <c r="AQ22" s="583" t="str">
        <f>IF($F$60="","",$F$60)</f>
      </c>
      <c r="AR22" s="583" t="str">
        <f>IF($G$60="","",$G$60)</f>
      </c>
      <c r="AS22" s="588" t="str">
        <f>IFERROR(INDEX('DATA MAP'!$C$8:$C$137,MATCH($AJ22,'DATA MAP'!$A$8:$A$137,0))&amp;IF(INDEX('DATA MAP'!$D$8:$D$137,MATCH($AJ22,'DATA MAP'!$A$8:$A$137,0))="",""," | "&amp;INDEX('DATA MAP'!$D$8:$D$137,MATCH($AJ22,'DATA MAP'!$A$8:$A$137,0))),"Not provided")</f>
        <v>PROJECT CASH FLOW | G10</v>
      </c>
      <c r="AT22" s="588"/>
      <c r="AU22" s="588" t="str">
        <f>IFERROR(INDEX('DATA MAP'!$I$8:$I$137,MATCH($AJ22,'DATA MAP'!$A$8:$A$137,0)),"Review Required")</f>
        <v>Mapped</v>
      </c>
      <c r="AV22" s="588" t="str">
        <f>IF(OR($AU22="Conflict",$AU22="Review Required",$AU22="New Input Required",$AU22="Unsupported"),"Management","Model owner")</f>
        <v>Model owner</v>
      </c>
      <c r="AW22" s="588" t="str">
        <f>IFERROR(INDEX('DATA MAP'!$K$8:$K$137,MATCH($AJ22,'DATA MAP'!$A$8:$A$137,0)),"Management confirmation required.")</f>
        <v>Detailed source and target values agree.</v>
      </c>
      <c r="AX22" t="str">
        <v>Hard-coded model input</v>
      </c>
      <c r="AY22" s="2440" t="n">
        <f>$H$60</f>
        <v>6500</v>
      </c>
      <c r="AZ22" t="str">
        <v>Yes</v>
      </c>
      <c r="BA22" t="str">
        <v>Underwriting</v>
      </c>
      <c r="BB22" t="str">
        <v>E95</v>
      </c>
      <c r="BC22" t="str">
        <v>PROJECTS register book(4).xlsm</v>
      </c>
      <c r="BD22" t="str">
        <v>No</v>
      </c>
      <c r="BE22" t="str">
        <v>None — technical mapping complete.</v>
      </c>
      <c r="BF22" s="2442" t="n">
        <v>46231</v>
      </c>
      <c r="BG22" t="str">
        <f>IF($AZ22="No","PASS",IF(OR($AX22="Owner decision outstanding",$BD22="OWNER DECISION"),"WARNING",IF(OR($AP22="",$AN22="",$AS22="",$AV22=""),"FAIL","PASS")))</f>
        <v>PASS</v>
      </c>
    </row>
    <row r="23" ht="30" customHeight="1">
      <c r="A23" s="2517" t="str">
        <v>Storage</v>
      </c>
      <c r="B23" s="2518" t="n">
        <f>INDEX($AY$8:$AY$257,MATCH("AREA-STORAGE",$AJ$8:$AJ$257,0))</f>
        <v>600</v>
      </c>
      <c r="C23" s="2518"/>
      <c r="D23" s="2506" t="n">
        <f>INDEX($AY$8:$AY$257,MATCH("CMP-STOR-CORE",$AJ$8:$AJ$257,0))</f>
        <v>1</v>
      </c>
      <c r="E23" s="2506" t="n">
        <f>INDEX($AY$8:$AY$257,MATCH("CMP-STOR-FIT",$AJ$8:$AJ$257,0))</f>
        <v>0.5</v>
      </c>
      <c r="F23" s="2506" t="n">
        <f>INDEX($AY$8:$AY$257,MATCH("CAPEX-STORAGE",$AJ$8:$AJ$257,0))</f>
        <v>1.5</v>
      </c>
      <c r="G23" s="2507" t="n">
        <f>IF(OR(B23="",B23=0),0,F23*1000000/B23)</f>
        <v>2500</v>
      </c>
      <c r="H23" s="2504" t="str">
        <v>AREA-STORAGE</v>
      </c>
      <c r="I23" s="2504" t="str">
        <v>CAPEX-STORAGE</v>
      </c>
      <c r="J23" s="2504" t="str">
        <f>IF(F23&lt;0,"WARNING","PASS")</f>
        <v>PASS</v>
      </c>
      <c r="K23" s="2504" t="str">
        <v>Self-storage.</v>
      </c>
      <c r="L23" s="614"/>
      <c r="M23" s="614"/>
      <c r="N23" s="614"/>
      <c r="O23" s="614"/>
      <c r="P23" s="614"/>
      <c r="Q23" s="614"/>
      <c r="R23" s="614"/>
      <c r="S23" s="614"/>
      <c r="T23" s="614"/>
      <c r="U23" s="614"/>
      <c r="V23" s="614"/>
      <c r="W23" s="614"/>
      <c r="X23" s="614"/>
      <c r="Y23" s="614"/>
      <c r="Z23" s="614"/>
      <c r="AA23" s="614"/>
      <c r="AB23" s="614"/>
      <c r="AC23" s="614"/>
      <c r="AD23" s="614"/>
      <c r="AE23" s="614"/>
      <c r="AF23" s="614"/>
      <c r="AG23" s="614"/>
      <c r="AH23" s="614"/>
      <c r="AI23" s="614"/>
      <c r="AJ23" s="578" t="str">
        <v>AREA-RETAIL</v>
      </c>
      <c r="AK23" s="579" t="str">
        <v>Areas and capacities</v>
      </c>
      <c r="AL23" s="579" t="str">
        <v>Retail and ancillary uses</v>
      </c>
      <c r="AM23" s="579" t="str">
        <v>Flexible retail/F&amp;B area</v>
      </c>
      <c r="AN23" s="579" t="str">
        <v>sqm</v>
      </c>
      <c r="AO23" s="579" t="str">
        <v>Current</v>
      </c>
      <c r="AP23" s="583" t="n">
        <f>IF($E$61="","",$E$61)</f>
        <v>150</v>
      </c>
      <c r="AQ23" s="583" t="str">
        <f>IF($F$61="","",$F$61)</f>
      </c>
      <c r="AR23" s="583" t="str">
        <f>IF($G$61="","",$G$61)</f>
      </c>
      <c r="AS23" s="588" t="str">
        <f>IFERROR(INDEX('DATA MAP'!$C$8:$C$137,MATCH($AJ23,'DATA MAP'!$A$8:$A$137,0))&amp;IF(INDEX('DATA MAP'!$D$8:$D$137,MATCH($AJ23,'DATA MAP'!$A$8:$A$137,0))="",""," | "&amp;INDEX('DATA MAP'!$D$8:$D$137,MATCH($AJ23,'DATA MAP'!$A$8:$A$137,0))),"Not provided")</f>
        <v>PROJECT CASH FLOW | G11</v>
      </c>
      <c r="AT23" s="588"/>
      <c r="AU23" s="588" t="str">
        <f>IFERROR(INDEX('DATA MAP'!$I$8:$I$137,MATCH($AJ23,'DATA MAP'!$A$8:$A$137,0)),"Review Required")</f>
        <v>Mapped</v>
      </c>
      <c r="AV23" s="588" t="str">
        <f>IF(OR($AU23="Conflict",$AU23="Review Required",$AU23="New Input Required",$AU23="Unsupported"),"Management","Model owner")</f>
        <v>Model owner</v>
      </c>
      <c r="AW23" s="588" t="str">
        <f>IFERROR(INDEX('DATA MAP'!$K$8:$K$137,MATCH($AJ23,'DATA MAP'!$A$8:$A$137,0)),"Management confirmation required.")</f>
        <v>Detailed source and target values agree.</v>
      </c>
      <c r="AX23" t="str">
        <v>Hard-coded model input</v>
      </c>
      <c r="AY23" s="2440" t="n">
        <f>$H$61</f>
        <v>150</v>
      </c>
      <c r="AZ23" t="str">
        <v>Yes</v>
      </c>
      <c r="BA23" t="str">
        <v>Underwriting</v>
      </c>
      <c r="BB23" t="str">
        <v>E96</v>
      </c>
      <c r="BC23" t="str">
        <v>PROJECTS register book(4).xlsm</v>
      </c>
      <c r="BD23" t="str">
        <v>No</v>
      </c>
      <c r="BE23" t="str">
        <v>None — technical mapping complete.</v>
      </c>
      <c r="BF23" s="2442" t="n">
        <v>46231</v>
      </c>
      <c r="BG23" t="str">
        <f>IF($AZ23="No","PASS",IF(OR($AX23="Owner decision outstanding",$BD23="OWNER DECISION"),"WARNING",IF(OR($AP23="",$AN23="",$AS23="",$AV23=""),"FAIL","PASS")))</f>
        <v>PASS</v>
      </c>
    </row>
    <row r="24" ht="30" customHeight="1">
      <c r="A24" s="2504" t="str">
        <v>Retail &amp; ancillary</v>
      </c>
      <c r="B24" s="2509" t="n">
        <f>INDEX($AY$8:$AY$257,MATCH("AREA-RETAIL",$AJ$8:$AJ$257,0))+INDEX($AY$8:$AY$257,MATCH("AREA-GOKART",$AJ$8:$AJ$257,0))+INDEX($AY$8:$AY$257,MATCH("AREA-CONV",$AJ$8:$AJ$257,0))+INDEX($AY$8:$AY$257,MATCH("AREA-EBIKE",$AJ$8:$AJ$257,0))</f>
        <v>2262</v>
      </c>
      <c r="C24" s="2505"/>
      <c r="D24" s="2506"/>
      <c r="E24" s="2506"/>
      <c r="F24" s="2506" t="n">
        <f>INDEX($AY$8:$AY$257,MATCH("CAPEX-RETAIL",$AJ$8:$AJ$257,0))+INDEX($AY$8:$AY$257,MATCH("CAPEX-CONV",$AJ$8:$AJ$257,0))+INDEX($AY$8:$AY$257,MATCH("CAPEX-LAUND",$AJ$8:$AJ$257,0))+INDEX($AY$8:$AY$257,MATCH("CAPEX-EBIKE",$AJ$8:$AJ$257,0))</f>
        <v>2.79</v>
      </c>
      <c r="G24" s="2507" t="n">
        <f>IF(OR(B24="",B24=0),0,F24*1000000/B24)</f>
        <v>1233.42175066313</v>
      </c>
      <c r="H24" s="2504" t="str">
        <v>AREA-RETAIL + AREA-GOKART + AREA-CONV + AREA-EBIKE</v>
      </c>
      <c r="I24" s="2504" t="str">
        <v>Retail + ancillary</v>
      </c>
      <c r="J24" s="2504" t="str">
        <f>IF(F24&lt;0,"WARNING","PASS")</f>
        <v>PASS</v>
      </c>
      <c r="K24" s="2504" t="str">
        <v>Includes flexible retail/F&amp;B, go-kart, convenience/laundromat and eBike/eScooter areas.</v>
      </c>
      <c r="L24" s="614"/>
      <c r="M24" s="614"/>
      <c r="N24" s="614"/>
      <c r="O24" s="614"/>
      <c r="P24" s="614"/>
      <c r="Q24" s="614"/>
      <c r="R24" s="614"/>
      <c r="S24" s="614"/>
      <c r="T24" s="614"/>
      <c r="U24" s="614"/>
      <c r="V24" s="614"/>
      <c r="W24" s="614"/>
      <c r="X24" s="614"/>
      <c r="Y24" s="614"/>
      <c r="Z24" s="614"/>
      <c r="AA24" s="614"/>
      <c r="AB24" s="614"/>
      <c r="AC24" s="614"/>
      <c r="AD24" s="614"/>
      <c r="AE24" s="614"/>
      <c r="AF24" s="614"/>
      <c r="AG24" s="614"/>
      <c r="AH24" s="614"/>
      <c r="AI24" s="614"/>
      <c r="AJ24" s="578" t="str">
        <v>AREA-GEN</v>
      </c>
      <c r="AK24" s="579" t="str">
        <v>Areas and capacities</v>
      </c>
      <c r="AL24" s="579" t="str">
        <v>Genesis</v>
      </c>
      <c r="AM24" s="579" t="str">
        <v>Genesis area</v>
      </c>
      <c r="AN24" s="579" t="str">
        <v>sqm</v>
      </c>
      <c r="AO24" s="579" t="str">
        <v>Current</v>
      </c>
      <c r="AP24" s="583" t="n">
        <f>IF($E$62="","",$E$62)</f>
        <v>4000</v>
      </c>
      <c r="AQ24" s="583" t="str">
        <f>IF($F$62="","",$F$62)</f>
      </c>
      <c r="AR24" s="583" t="str">
        <f>IF($G$62="","",$G$62)</f>
      </c>
      <c r="AS24" s="588" t="str">
        <f>IFERROR(INDEX('DATA MAP'!$C$8:$C$137,MATCH($AJ24,'DATA MAP'!$A$8:$A$137,0))&amp;IF(INDEX('DATA MAP'!$D$8:$D$137,MATCH($AJ24,'DATA MAP'!$A$8:$A$137,0))="",""," | "&amp;INDEX('DATA MAP'!$D$8:$D$137,MATCH($AJ24,'DATA MAP'!$A$8:$A$137,0))),"Not provided")</f>
        <v>PROJECT CASH FLOW | G12</v>
      </c>
      <c r="AT24" s="588"/>
      <c r="AU24" s="588" t="str">
        <f>IFERROR(INDEX('DATA MAP'!$I$8:$I$137,MATCH($AJ24,'DATA MAP'!$A$8:$A$137,0)),"Review Required")</f>
        <v>Mapped</v>
      </c>
      <c r="AV24" s="588" t="str">
        <f>IF(OR($AU24="Conflict",$AU24="Review Required",$AU24="New Input Required",$AU24="Unsupported"),"Management","Model owner")</f>
        <v>Model owner</v>
      </c>
      <c r="AW24" s="588" t="str">
        <f>IFERROR(INDEX('DATA MAP'!$K$8:$K$137,MATCH($AJ24,'DATA MAP'!$A$8:$A$137,0)),"Management confirmation required.")</f>
        <v>Detailed source and target values agree.</v>
      </c>
      <c r="AX24" t="str">
        <v>Hard-coded model input</v>
      </c>
      <c r="AY24" s="2440" t="n">
        <f>$H$62</f>
        <v>4000</v>
      </c>
      <c r="AZ24" t="str">
        <v>Yes</v>
      </c>
      <c r="BA24" t="str">
        <v>Underwriting</v>
      </c>
      <c r="BB24" t="str">
        <v>E97</v>
      </c>
      <c r="BC24" t="str">
        <v>PROJECTS register book(4).xlsm</v>
      </c>
      <c r="BD24" t="str">
        <v>No</v>
      </c>
      <c r="BE24" t="str">
        <v>None — technical mapping complete.</v>
      </c>
      <c r="BF24" s="2442" t="n">
        <v>46231</v>
      </c>
      <c r="BG24" t="str">
        <f>IF($AZ24="No","PASS",IF(OR($AX24="Owner decision outstanding",$BD24="OWNER DECISION"),"WARNING",IF(OR($AP24="",$AN24="",$AS24="",$AV24=""),"FAIL","PASS")))</f>
        <v>PASS</v>
      </c>
    </row>
    <row r="25" ht="30" customHeight="1">
      <c r="A25" s="2504" t="str">
        <v>Landscape / public realm</v>
      </c>
      <c r="B25" s="2509" t="n">
        <f>INDEX($AY$8:$AY$257,MATCH("AREA-LANDSCAPE",$AJ$8:$AJ$257,0))</f>
        <v>150</v>
      </c>
      <c r="C25" s="2505"/>
      <c r="D25" s="2506"/>
      <c r="E25" s="2506"/>
      <c r="F25" s="2506" t="n">
        <f>INDEX($AY$8:$AY$257,MATCH("CAPEX-LANDATTR",$AJ$8:$AJ$257,0))+INDEX($AY$8:$AY$257,MATCH("CAPEX-COMMON",$AJ$8:$AJ$257,0))</f>
        <v>15.57</v>
      </c>
      <c r="G25" s="2507" t="n">
        <f>IF(OR(B25="",B25=0),0,F25*1000000/B25)</f>
        <v>103800</v>
      </c>
      <c r="H25" s="2504" t="str">
        <v>AREA-LANDSCAPE</v>
      </c>
      <c r="I25" s="2504" t="str">
        <v>Landscape + common</v>
      </c>
      <c r="J25" s="2504" t="str">
        <f>IF(F25&lt;0,"WARNING","PASS")</f>
        <v>PASS</v>
      </c>
      <c r="K25" s="2504" t="str">
        <v>Landscape attraction and public realm.</v>
      </c>
      <c r="L25" s="733" t="s">
        <v>3210</v>
      </c>
      <c r="M25" s="733"/>
      <c r="N25" s="733"/>
      <c r="O25" s="733"/>
      <c r="P25" s="733"/>
      <c r="Q25" s="733"/>
      <c r="R25" s="614"/>
      <c r="S25" s="614"/>
      <c r="T25" s="614"/>
      <c r="U25" s="614"/>
      <c r="V25" s="614"/>
      <c r="W25" s="614"/>
      <c r="X25" s="614"/>
      <c r="Y25" s="614"/>
      <c r="Z25" s="614"/>
      <c r="AA25" s="614"/>
      <c r="AB25" s="614"/>
      <c r="AC25" s="614"/>
      <c r="AD25" s="614"/>
      <c r="AE25" s="614"/>
      <c r="AF25" s="614"/>
      <c r="AG25" s="614"/>
      <c r="AH25" s="614"/>
      <c r="AI25" s="614"/>
      <c r="AJ25" s="578" t="str">
        <v>AREA-PARK</v>
      </c>
      <c r="AK25" s="579" t="str">
        <v>Areas and capacities</v>
      </c>
      <c r="AL25" s="579" t="str">
        <v>Parking</v>
      </c>
      <c r="AM25" s="579" t="str">
        <v>Car park area</v>
      </c>
      <c r="AN25" s="579" t="str">
        <v>sqm</v>
      </c>
      <c r="AO25" s="579" t="str">
        <v>Current</v>
      </c>
      <c r="AP25" s="583" t="n">
        <f>IF($E$63="","",$E$63)</f>
        <v>19500.38</v>
      </c>
      <c r="AQ25" s="583" t="str">
        <f>IF($F$63="","",$F$63)</f>
      </c>
      <c r="AR25" s="583" t="str">
        <f>IF($G$63="","",$G$63)</f>
      </c>
      <c r="AS25" s="588" t="str">
        <f>IFERROR(INDEX('DATA MAP'!$C$8:$C$137,MATCH($AJ25,'DATA MAP'!$A$8:$A$137,0))&amp;IF(INDEX('DATA MAP'!$D$8:$D$137,MATCH($AJ25,'DATA MAP'!$A$8:$A$137,0))="",""," | "&amp;INDEX('DATA MAP'!$D$8:$D$137,MATCH($AJ25,'DATA MAP'!$A$8:$A$137,0))),"Not provided")</f>
        <v>PROJECT CASH FLOW | G13</v>
      </c>
      <c r="AT25" s="588"/>
      <c r="AU25" s="588" t="str">
        <f>IFERROR(INDEX('DATA MAP'!$I$8:$I$137,MATCH($AJ25,'DATA MAP'!$A$8:$A$137,0)),"Review Required")</f>
        <v>Mapped</v>
      </c>
      <c r="AV25" s="588" t="str">
        <f>IF(OR($AU25="Conflict",$AU25="Review Required",$AU25="New Input Required",$AU25="Unsupported"),"Management","Model owner")</f>
        <v>Model owner</v>
      </c>
      <c r="AW25" s="588" t="str">
        <f>IFERROR(INDEX('DATA MAP'!$K$8:$K$137,MATCH($AJ25,'DATA MAP'!$A$8:$A$137,0)),"Management confirmation required.")</f>
        <v>Detailed source and target values agree.</v>
      </c>
      <c r="AX25" t="str">
        <v>Hard-coded model input</v>
      </c>
      <c r="AY25" s="2440" t="n">
        <f>$H$63</f>
        <v>19500.38</v>
      </c>
      <c r="AZ25" t="str">
        <v>Yes</v>
      </c>
      <c r="BA25" t="str">
        <v>Underwriting</v>
      </c>
      <c r="BB25" t="str">
        <v>E98</v>
      </c>
      <c r="BC25" t="str">
        <v>PROJECTS register book(4).xlsm</v>
      </c>
      <c r="BD25" t="str">
        <v>No</v>
      </c>
      <c r="BE25" t="str">
        <v>None — technical mapping complete.</v>
      </c>
      <c r="BF25" s="2442" t="n">
        <v>46231</v>
      </c>
      <c r="BG25" t="str">
        <f>IF($AZ25="No","PASS",IF(OR($AX25="Owner decision outstanding",$BD25="OWNER DECISION"),"WARNING",IF(OR($AP25="",$AN25="",$AS25="",$AV25=""),"FAIL","PASS")))</f>
        <v>PASS</v>
      </c>
    </row>
    <row r="26" ht="30" customHeight="1">
      <c r="A26" s="2504" t="str">
        <v>Infrastructure</v>
      </c>
      <c r="B26" s="2509"/>
      <c r="C26" s="2505"/>
      <c r="D26" s="2506"/>
      <c r="E26" s="2506"/>
      <c r="F26" s="2506" t="n">
        <f>INDEX($AY$8:$AY$257,MATCH("CAPEX-ROADS",$AJ$8:$AJ$257,0))+INDEX($AY$8:$AY$257,MATCH("CAPEX-WATER",$AJ$8:$AJ$257,0))+INDEX($AY$8:$AY$257,MATCH("CAPEX-WATERSYS",$AJ$8:$AJ$257,0))</f>
        <v>10.1</v>
      </c>
      <c r="G26" s="2507" t="n">
        <f>IF(OR(B26="",B26=0),0,F26*1000000/B26)</f>
        <v>0</v>
      </c>
      <c r="H26" s="2504"/>
      <c r="I26" s="2504" t="str">
        <v>Roads + water</v>
      </c>
      <c r="J26" s="2504" t="str">
        <f>IF(F26&lt;0,"WARNING","PASS")</f>
        <v>PASS</v>
      </c>
      <c r="K26" s="2504" t="str">
        <v>Roads, paths and water.</v>
      </c>
      <c r="L26" s="615" t="s">
        <v>3211</v>
      </c>
      <c r="M26" s="615" t="s">
        <v>1004</v>
      </c>
      <c r="N26" s="615" t="s">
        <v>1385</v>
      </c>
      <c r="O26" s="614"/>
      <c r="P26" s="614"/>
      <c r="Q26" s="614"/>
      <c r="R26" s="614"/>
      <c r="S26" s="614"/>
      <c r="T26" s="614"/>
      <c r="U26" s="614"/>
      <c r="V26" s="614"/>
      <c r="W26" s="614"/>
      <c r="X26" s="614"/>
      <c r="Y26" s="614"/>
      <c r="Z26" s="614"/>
      <c r="AA26" s="614"/>
      <c r="AB26" s="614"/>
      <c r="AC26" s="614"/>
      <c r="AD26" s="614"/>
      <c r="AE26" s="614"/>
      <c r="AF26" s="614"/>
      <c r="AG26" s="614"/>
      <c r="AH26" s="614"/>
      <c r="AI26" s="614"/>
      <c r="AJ26" s="578" t="str">
        <v>AREA-SNOW</v>
      </c>
      <c r="AK26" s="579" t="str">
        <v>Areas and capacities</v>
      </c>
      <c r="AL26" s="579" t="str">
        <v>Snowtunnel</v>
      </c>
      <c r="AM26" s="579" t="str">
        <v>Snowtunnel area</v>
      </c>
      <c r="AN26" s="579" t="str">
        <v>sqm</v>
      </c>
      <c r="AO26" s="579" t="str">
        <v>Current</v>
      </c>
      <c r="AP26" s="583" t="n">
        <f>IF($E$64="","",$E$64)</f>
        <v>3800</v>
      </c>
      <c r="AQ26" s="583" t="str">
        <f>IF($F$64="","",$F$64)</f>
      </c>
      <c r="AR26" s="583" t="str">
        <f>IF($G$64="","",$G$64)</f>
      </c>
      <c r="AS26" s="588" t="str">
        <f>IFERROR(INDEX('DATA MAP'!$C$8:$C$137,MATCH($AJ26,'DATA MAP'!$A$8:$A$137,0))&amp;IF(INDEX('DATA MAP'!$D$8:$D$137,MATCH($AJ26,'DATA MAP'!$A$8:$A$137,0))="",""," | "&amp;INDEX('DATA MAP'!$D$8:$D$137,MATCH($AJ26,'DATA MAP'!$A$8:$A$137,0))),"Not provided")</f>
        <v>PROJECT CASH FLOW | G14</v>
      </c>
      <c r="AT26" s="588"/>
      <c r="AU26" s="588" t="str">
        <f>IFERROR(INDEX('DATA MAP'!$I$8:$I$137,MATCH($AJ26,'DATA MAP'!$A$8:$A$137,0)),"Review Required")</f>
        <v>Mapped</v>
      </c>
      <c r="AV26" s="588" t="str">
        <f>IF(OR($AU26="Conflict",$AU26="Review Required",$AU26="New Input Required",$AU26="Unsupported"),"Management","Model owner")</f>
        <v>Model owner</v>
      </c>
      <c r="AW26" s="588" t="str">
        <f>IFERROR(INDEX('DATA MAP'!$K$8:$K$137,MATCH($AJ26,'DATA MAP'!$A$8:$A$137,0)),"Management confirmation required.")</f>
        <v>Detailed source and target values agree.</v>
      </c>
      <c r="AX26" t="str">
        <v>Hard-coded model input</v>
      </c>
      <c r="AY26" s="2440" t="n">
        <f>$H$64</f>
        <v>3800</v>
      </c>
      <c r="AZ26" t="str">
        <v>Yes</v>
      </c>
      <c r="BA26" t="str">
        <v>Underwriting</v>
      </c>
      <c r="BB26" t="str">
        <v>E99</v>
      </c>
      <c r="BC26" t="str">
        <v>PROJECTS register book(4).xlsm</v>
      </c>
      <c r="BD26" t="str">
        <v>No</v>
      </c>
      <c r="BE26" t="str">
        <v>None — technical mapping complete.</v>
      </c>
      <c r="BF26" s="2442" t="n">
        <v>46231</v>
      </c>
      <c r="BG26" t="str">
        <f>IF($AZ26="No","PASS",IF(OR($AX26="Owner decision outstanding",$BD26="OWNER DECISION"),"WARNING",IF(OR($AP26="",$AN26="",$AS26="",$AV26=""),"FAIL","PASS")))</f>
        <v>PASS</v>
      </c>
    </row>
    <row r="27" ht="30" customHeight="1">
      <c r="A27" s="2504" t="str">
        <v>Precinct roof / solar</v>
      </c>
      <c r="B27" s="2505"/>
      <c r="C27" s="2505"/>
      <c r="D27" s="2506"/>
      <c r="E27" s="2506"/>
      <c r="F27" s="2506" t="n">
        <f>INDEX($AY$8:$AY$257,MATCH("CAPEX-SOLAR",$AJ$8:$AJ$257,0))</f>
        <v>12</v>
      </c>
      <c r="G27" s="2507" t="n">
        <f>IF(OR(B27="",B27=0),0,F27*1000000/B27)</f>
        <v>0</v>
      </c>
      <c r="H27" s="2504"/>
      <c r="I27" s="2504" t="str">
        <v>CAPEX-SOLAR</v>
      </c>
      <c r="J27" s="2504" t="str">
        <f>IF(F27&lt;0,"WARNING","PASS")</f>
        <v>PASS</v>
      </c>
      <c r="K27" s="2504" t="str">
        <v>Central allowance; no duplicate.</v>
      </c>
      <c r="L27" s="614" t="s">
        <v>2805</v>
      </c>
      <c r="M27" s="614" t="s">
        <v>515</v>
      </c>
      <c r="N27" s="622" t="n">
        <f>INDEX($N$11:$AI$11,1,MATCH($N$31,$N$7:$AI$7,0))</f>
        <v>48.83020036828583</v>
      </c>
      <c r="O27" s="614"/>
      <c r="P27" s="614"/>
      <c r="Q27" s="614"/>
      <c r="R27" s="614"/>
      <c r="S27" s="614"/>
      <c r="T27" s="614"/>
      <c r="U27" s="614"/>
      <c r="V27" s="614"/>
      <c r="W27" s="614"/>
      <c r="X27" s="614"/>
      <c r="Y27" s="614"/>
      <c r="Z27" s="614"/>
      <c r="AA27" s="614"/>
      <c r="AB27" s="614"/>
      <c r="AC27" s="614"/>
      <c r="AD27" s="614"/>
      <c r="AE27" s="614"/>
      <c r="AF27" s="614"/>
      <c r="AG27" s="614"/>
      <c r="AH27" s="614"/>
      <c r="AI27" s="614"/>
      <c r="AJ27" s="578" t="str">
        <v>AREA-GOKART</v>
      </c>
      <c r="AK27" s="579" t="str">
        <v>Areas and capacities</v>
      </c>
      <c r="AL27" s="579" t="str">
        <v>Retail and ancillary uses</v>
      </c>
      <c r="AM27" s="579" t="str">
        <v>Go-kart area</v>
      </c>
      <c r="AN27" s="579" t="str">
        <v>sqm</v>
      </c>
      <c r="AO27" s="579" t="str">
        <v>Current</v>
      </c>
      <c r="AP27" s="583" t="n">
        <f>IF($E$65="","",$E$65)</f>
        <v>2000</v>
      </c>
      <c r="AQ27" s="583" t="str">
        <f>IF($F$65="","",$F$65)</f>
      </c>
      <c r="AR27" s="583" t="str">
        <f>IF($G$65="","",$G$65)</f>
      </c>
      <c r="AS27" s="588" t="str">
        <f>IFERROR(INDEX('DATA MAP'!$C$8:$C$137,MATCH($AJ27,'DATA MAP'!$A$8:$A$137,0))&amp;IF(INDEX('DATA MAP'!$D$8:$D$137,MATCH($AJ27,'DATA MAP'!$A$8:$A$137,0))="",""," | "&amp;INDEX('DATA MAP'!$D$8:$D$137,MATCH($AJ27,'DATA MAP'!$A$8:$A$137,0))),"Not provided")</f>
        <v>Target: Underwriting | E100</v>
      </c>
      <c r="AT27" s="588"/>
      <c r="AU27" s="588" t="str">
        <f>IFERROR(INDEX('DATA MAP'!$I$8:$I$137,MATCH($AJ27,'DATA MAP'!$A$8:$A$137,0)),"Review Required")</f>
        <v>Mapped</v>
      </c>
      <c r="AV27" s="588" t="str">
        <f>IF(OR($AU27="Conflict",$AU27="Review Required",$AU27="New Input Required",$AU27="Unsupported"),"Management","Model owner")</f>
        <v>Model owner</v>
      </c>
      <c r="AW27" s="588" t="str">
        <f>IFERROR(INDEX('DATA MAP'!$K$8:$K$137,MATCH($AJ27,'DATA MAP'!$A$8:$A$137,0)),"Management confirmation required.")</f>
        <v>No discrete go-kart GFA was identified in the data book.</v>
      </c>
      <c r="AX27" t="str">
        <v>Hard-coded model input</v>
      </c>
      <c r="AY27" s="2440" t="n">
        <f>$H$65</f>
        <v>2000</v>
      </c>
      <c r="AZ27" t="str">
        <v>Yes</v>
      </c>
      <c r="BA27" t="str">
        <v>Underwriting</v>
      </c>
      <c r="BB27" t="str">
        <v>E100</v>
      </c>
      <c r="BC27" t="str">
        <v>Target model</v>
      </c>
      <c r="BD27" t="str">
        <v>No</v>
      </c>
      <c r="BE27" t="str">
        <v>None — technical mapping complete.</v>
      </c>
      <c r="BF27" s="2442" t="n">
        <v>46231</v>
      </c>
      <c r="BG27" t="str">
        <f>IF($AZ27="No","PASS",IF(OR($AX27="Owner decision outstanding",$BD27="OWNER DECISION"),"WARNING",IF(OR($AP27="",$AN27="",$AS27="",$AV27=""),"FAIL","PASS")))</f>
        <v>PASS</v>
      </c>
    </row>
    <row r="28" ht="30" customHeight="1">
      <c r="A28" s="2504" t="str">
        <v>Professional fees / PM</v>
      </c>
      <c r="B28" s="2505"/>
      <c r="C28" s="2505"/>
      <c r="D28" s="2506"/>
      <c r="E28" s="2506"/>
      <c r="F28" s="2506" t="n">
        <f>INDEX($AY$8:$AY$257,MATCH("CAPEX-PM",$AJ$8:$AJ$257,0))</f>
        <v>18</v>
      </c>
      <c r="G28" s="2507" t="n">
        <f>IF(OR(B28="",B28=0),0,F28*1000000/B28)</f>
        <v>0</v>
      </c>
      <c r="H28" s="2504"/>
      <c r="I28" s="2504" t="str">
        <v>CAPEX-PM</v>
      </c>
      <c r="J28" s="2504" t="str">
        <f>IF(F28&lt;0,"WARNING","PASS")</f>
        <v>PASS</v>
      </c>
      <c r="K28" s="2504" t="str">
        <v>Professional fees and project management.</v>
      </c>
      <c r="L28" s="614" t="s">
        <v>2812</v>
      </c>
      <c r="M28" s="614" t="s">
        <v>515</v>
      </c>
      <c r="N28" s="622" t="n">
        <f>INDEX($N$21:$AI$21,1,MATCH($N$31,$N$7:$AI$7,0))</f>
        <v>45.541921747395826</v>
      </c>
      <c r="O28" s="614"/>
      <c r="P28" s="614"/>
      <c r="Q28" s="614"/>
      <c r="R28" s="614"/>
      <c r="S28" s="614"/>
      <c r="T28" s="614"/>
      <c r="U28" s="614"/>
      <c r="V28" s="614"/>
      <c r="W28" s="614"/>
      <c r="X28" s="614"/>
      <c r="Y28" s="614"/>
      <c r="Z28" s="614"/>
      <c r="AA28" s="614"/>
      <c r="AB28" s="614"/>
      <c r="AC28" s="614"/>
      <c r="AD28" s="614"/>
      <c r="AE28" s="614"/>
      <c r="AF28" s="614"/>
      <c r="AG28" s="614"/>
      <c r="AH28" s="614"/>
      <c r="AI28" s="614"/>
      <c r="AJ28" s="578" t="str">
        <v>AREA-LANDSCAPE</v>
      </c>
      <c r="AK28" s="579" t="str">
        <v>Areas and capacities</v>
      </c>
      <c r="AL28" s="579" t="str">
        <v>Retail and ancillary uses</v>
      </c>
      <c r="AM28" s="579" t="str">
        <v>Landscape attraction area</v>
      </c>
      <c r="AN28" s="579" t="str">
        <v>sqm</v>
      </c>
      <c r="AO28" s="579" t="str">
        <v>Current</v>
      </c>
      <c r="AP28" s="583" t="n">
        <f>IF($E$66="","",$E$66)</f>
        <v>150</v>
      </c>
      <c r="AQ28" s="583" t="str">
        <f>IF($F$66="","",$F$66)</f>
      </c>
      <c r="AR28" s="583" t="str">
        <f>IF($G$66="","",$G$66)</f>
      </c>
      <c r="AS28" s="588" t="str">
        <f>IFERROR(INDEX('DATA MAP'!$C$8:$C$137,MATCH($AJ28,'DATA MAP'!$A$8:$A$137,0))&amp;IF(INDEX('DATA MAP'!$D$8:$D$137,MATCH($AJ28,'DATA MAP'!$A$8:$A$137,0))="",""," | "&amp;INDEX('DATA MAP'!$D$8:$D$137,MATCH($AJ28,'DATA MAP'!$A$8:$A$137,0))),"Not provided")</f>
        <v>PROJECT CASH FLOW | G15</v>
      </c>
      <c r="AT28" s="588"/>
      <c r="AU28" s="588" t="str">
        <f>IFERROR(INDEX('DATA MAP'!$I$8:$I$137,MATCH($AJ28,'DATA MAP'!$A$8:$A$137,0)),"Review Required")</f>
        <v>Mapped</v>
      </c>
      <c r="AV28" s="588" t="str">
        <f>IF(OR($AU28="Conflict",$AU28="Review Required",$AU28="New Input Required",$AU28="Unsupported"),"Management","Model owner")</f>
        <v>Model owner</v>
      </c>
      <c r="AW28" s="588" t="str">
        <f>IFERROR(INDEX('DATA MAP'!$K$8:$K$137,MATCH($AJ28,'DATA MAP'!$A$8:$A$137,0)),"Management confirmation required.")</f>
        <v>Detailed source and target values agree.</v>
      </c>
      <c r="AX28" t="str">
        <v>Hard-coded model input</v>
      </c>
      <c r="AY28" s="2440" t="n">
        <f>$H$66</f>
        <v>150</v>
      </c>
      <c r="AZ28" t="str">
        <v>Yes</v>
      </c>
      <c r="BA28" t="str">
        <v>Underwriting</v>
      </c>
      <c r="BB28" t="str">
        <v>E101</v>
      </c>
      <c r="BC28" t="str">
        <v>PROJECTS register book(4).xlsm</v>
      </c>
      <c r="BD28" t="str">
        <v>No</v>
      </c>
      <c r="BE28" t="str">
        <v>None — technical mapping complete.</v>
      </c>
      <c r="BF28" s="2442" t="n">
        <v>46231</v>
      </c>
      <c r="BG28" t="str">
        <f>IF($AZ28="No","PASS",IF(OR($AX28="Owner decision outstanding",$BD28="OWNER DECISION"),"WARNING",IF(OR($AP28="",$AN28="",$AS28="",$AV28=""),"FAIL","PASS")))</f>
        <v>PASS</v>
      </c>
    </row>
    <row r="29" ht="14.5" customHeight="1">
      <c r="A29" s="2299" t="str">
        <v>TOTAL / CONTROL</v>
      </c>
      <c r="B29" s="2300" t="n">
        <f>SUM(B17:B28)</f>
        <v>78312.38</v>
      </c>
      <c r="C29" s="2300"/>
      <c r="D29" s="2301"/>
      <c r="E29" s="2301"/>
      <c r="F29" s="2301" t="n">
        <f>SUM(F17:F28)</f>
        <v>342.4230064814816</v>
      </c>
      <c r="G29" s="2302" t="n">
        <f>IF(B29=0,0,F29*1000000/B29)</f>
        <v>4372.527134042939</v>
      </c>
      <c r="H29" s="2299" t="str">
        <v>AREA-CONTROL-TOTAL</v>
      </c>
      <c r="I29" s="2299" t="str">
        <v>CAPEX-TOTAL-001</v>
      </c>
      <c r="J29" s="2299" t="str">
        <f>IF(AND(ABS(B29-INDEX($AY$8:$AY$257,MATCH("AREA-CONTROL-TOTAL",$AJ$8:$AJ$257,0)))&lt;0.01,ABS(F29-INDEX($AY$8:$AY$257,MATCH("CAPEX-TOTAL-001",$AJ$8:$AJ$257,0)))&lt;0.000001),"PASS","FAIL")</f>
        <v>PASS</v>
      </c>
      <c r="K29" s="2299" t="str">
        <v>Reconciles to controlling area and CAPEX.</v>
      </c>
      <c r="L29" s="614" t="s">
        <v>3212</v>
      </c>
      <c r="M29" s="614" t="s">
        <v>515</v>
      </c>
      <c r="N29" s="622" t="n">
        <f>N27-N28</f>
        <v>3.2882786208900043</v>
      </c>
      <c r="O29" s="614"/>
      <c r="P29" s="614"/>
      <c r="Q29" s="614"/>
      <c r="R29" s="614"/>
      <c r="S29" s="614"/>
      <c r="T29" s="614"/>
      <c r="U29" s="614"/>
      <c r="V29" s="614"/>
      <c r="W29" s="614"/>
      <c r="X29" s="614"/>
      <c r="Y29" s="614"/>
      <c r="Z29" s="614"/>
      <c r="AA29" s="614"/>
      <c r="AB29" s="614"/>
      <c r="AC29" s="614"/>
      <c r="AD29" s="614"/>
      <c r="AE29" s="614"/>
      <c r="AF29" s="614"/>
      <c r="AG29" s="614"/>
      <c r="AH29" s="614"/>
      <c r="AI29" s="614"/>
      <c r="AJ29" s="578" t="str">
        <v>AREA-STORAGE</v>
      </c>
      <c r="AK29" s="579" t="str">
        <v>Areas and capacities</v>
      </c>
      <c r="AL29" s="579" t="str">
        <v>Storage</v>
      </c>
      <c r="AM29" s="579" t="str">
        <v>Self-storage area</v>
      </c>
      <c r="AN29" s="579" t="str">
        <v>sqm</v>
      </c>
      <c r="AO29" s="579" t="str">
        <v>Current</v>
      </c>
      <c r="AP29" s="583" t="n">
        <f>IF($E$67="","",$E$67)</f>
        <v>600</v>
      </c>
      <c r="AQ29" s="583" t="str">
        <f>IF($F$67="","",$F$67)</f>
      </c>
      <c r="AR29" s="583" t="str">
        <f>IF($G$67="","",$G$67)</f>
      </c>
      <c r="AS29" s="588" t="str">
        <f>IFERROR(INDEX('DATA MAP'!$C$8:$C$137,MATCH($AJ29,'DATA MAP'!$A$8:$A$137,0))&amp;IF(INDEX('DATA MAP'!$D$8:$D$137,MATCH($AJ29,'DATA MAP'!$A$8:$A$137,0))="",""," | "&amp;INDEX('DATA MAP'!$D$8:$D$137,MATCH($AJ29,'DATA MAP'!$A$8:$A$137,0))),"Not provided")</f>
        <v>PROJECT CASH FLOW | G17</v>
      </c>
      <c r="AT29" s="588"/>
      <c r="AU29" s="588" t="str">
        <f>IFERROR(INDEX('DATA MAP'!$I$8:$I$137,MATCH($AJ29,'DATA MAP'!$A$8:$A$137,0)),"Review Required")</f>
        <v>Mapped</v>
      </c>
      <c r="AV29" s="588" t="str">
        <f>IF(OR($AU29="Conflict",$AU29="Review Required",$AU29="New Input Required",$AU29="Unsupported"),"Management","Model owner")</f>
        <v>Model owner</v>
      </c>
      <c r="AW29" s="588" t="str">
        <f>IFERROR(INDEX('DATA MAP'!$K$8:$K$137,MATCH($AJ29,'DATA MAP'!$A$8:$A$137,0)),"Management confirmation required.")</f>
        <v>Detailed source and target values agree.</v>
      </c>
      <c r="AX29" t="str">
        <v>Hard-coded model input</v>
      </c>
      <c r="AY29" s="2440" t="n">
        <f>$H$67</f>
        <v>600</v>
      </c>
      <c r="AZ29" t="str">
        <v>Yes</v>
      </c>
      <c r="BA29" t="str">
        <v>Underwriting</v>
      </c>
      <c r="BB29" t="str">
        <v>E102</v>
      </c>
      <c r="BC29" t="str">
        <v>PROJECTS register book(4).xlsm</v>
      </c>
      <c r="BD29" t="str">
        <v>No</v>
      </c>
      <c r="BE29" t="str">
        <v>None — technical mapping complete.</v>
      </c>
      <c r="BF29" s="2442" t="n">
        <v>46231</v>
      </c>
      <c r="BG29" t="str">
        <f>IF($AZ29="No","PASS",IF(OR($AX29="Owner decision outstanding",$BD29="OWNER DECISION"),"WARNING",IF(OR($AP29="",$AN29="",$AS29="",$AV29=""),"FAIL","PASS")))</f>
        <v>PASS</v>
      </c>
    </row>
    <row r="30" ht="14.5" customHeight="1">
      <c r="A30" s="2002"/>
      <c r="B30" s="2003"/>
      <c r="C30" s="2003"/>
      <c r="D30" s="2002"/>
      <c r="E30" s="2002"/>
      <c r="F30" s="2002"/>
      <c r="G30" s="2002"/>
      <c r="H30" s="2003"/>
      <c r="I30" s="2003"/>
      <c r="J30" s="2003"/>
      <c r="K30" s="2003"/>
      <c r="L30" s="614" t="s">
        <v>3213</v>
      </c>
      <c r="M30" s="614" t="s">
        <v>78</v>
      </c>
      <c r="N30" s="633" t="n">
        <f>N28/N27</f>
        <v>0.9326589160787947</v>
      </c>
      <c r="O30" s="614"/>
      <c r="P30" s="614"/>
      <c r="Q30" s="614"/>
      <c r="R30" s="614"/>
      <c r="S30" s="614"/>
      <c r="T30" s="614"/>
      <c r="U30" s="614"/>
      <c r="V30" s="614"/>
      <c r="W30" s="614"/>
      <c r="X30" s="614"/>
      <c r="Y30" s="614"/>
      <c r="Z30" s="614"/>
      <c r="AA30" s="614"/>
      <c r="AB30" s="614"/>
      <c r="AC30" s="614"/>
      <c r="AD30" s="614"/>
      <c r="AE30" s="614"/>
      <c r="AF30" s="614"/>
      <c r="AG30" s="614"/>
      <c r="AH30" s="614"/>
      <c r="AI30" s="614"/>
      <c r="AJ30" s="578" t="str">
        <v>AREA-CONV</v>
      </c>
      <c r="AK30" s="579" t="str">
        <v>Areas and capacities</v>
      </c>
      <c r="AL30" s="579" t="str">
        <v>Retail and ancillary uses</v>
      </c>
      <c r="AM30" s="579" t="str">
        <v>Convenience/laundromat area</v>
      </c>
      <c r="AN30" s="579" t="str">
        <v>sqm</v>
      </c>
      <c r="AO30" s="579" t="str">
        <v>Current</v>
      </c>
      <c r="AP30" s="583" t="n">
        <v>64</v>
      </c>
      <c r="AQ30" s="583"/>
      <c r="AR30" s="583"/>
      <c r="AS30" s="588" t="str">
        <f>IFERROR(INDEX('DATA MAP'!$C$8:$C$137,MATCH($AJ30,'DATA MAP'!$A$8:$A$137,0))&amp;IF(INDEX('DATA MAP'!$D$8:$D$137,MATCH($AJ30,'DATA MAP'!$A$8:$A$137,0))="",""," | "&amp;INDEX('DATA MAP'!$D$8:$D$137,MATCH($AJ30,'DATA MAP'!$A$8:$A$137,0))),"Not provided")</f>
        <v>PROJECT CASH FLOW | G18:G19</v>
      </c>
      <c r="AT30" s="588"/>
      <c r="AU30" s="588" t="str">
        <f>IFERROR(INDEX('DATA MAP'!$I$8:$I$137,MATCH($AJ30,'DATA MAP'!$A$8:$A$137,0)),"Review Required")</f>
        <v>Mapped — reconciled</v>
      </c>
      <c r="AV30" s="588" t="str">
        <f>IF(OR($AU30="Conflict",$AU30="Review Required",$AU30="New Input Required",$AU30="Unsupported"),"Management","Model owner")</f>
        <v>Model owner</v>
      </c>
      <c r="AW30" s="588" t="str">
        <f>IFERROR(INDEX('DATA MAP'!$K$8:$K$137,MATCH($AJ30,'DATA MAP'!$A$8:$A$137,0)),"Management confirmation required.")</f>
        <v>Detailed target ancillary area retained; wider source figure treated as shared precinct space to prevent double counting. | The detailed component area schedule controls; wider summary areas are treated as shared precinct space to prevent double counting.</v>
      </c>
      <c r="AX30" t="str">
        <v>Derived calculation</v>
      </c>
      <c r="AY30" s="2440" t="n">
        <f>$H$68</f>
        <v>64</v>
      </c>
      <c r="AZ30" t="str">
        <v>Yes</v>
      </c>
      <c r="BA30" t="str">
        <v>Underwriting</v>
      </c>
      <c r="BB30" t="str">
        <v>E103</v>
      </c>
      <c r="BC30" t="str">
        <v>PROJECTS register book(4).xlsm</v>
      </c>
      <c r="BD30" t="str">
        <v>Resolved</v>
      </c>
      <c r="BE30" t="str">
        <v>None — technical mapping complete.</v>
      </c>
      <c r="BF30" s="2442" t="n">
        <v>46231</v>
      </c>
      <c r="BG30" t="str">
        <f>IF($AZ30="No","PASS",IF(OR($AX30="Owner decision outstanding",$BD30="OWNER DECISION"),"WARNING",IF(OR($AP30="",$AN30="",$AS30="",$AV30=""),"FAIL","PASS")))</f>
        <v>PASS</v>
      </c>
    </row>
    <row r="31" ht="18" customHeight="1">
      <c r="A31" s="2144" t="str">
        <v>DETAILED FIELD-ID INPUT REGISTER</v>
      </c>
      <c r="B31" s="2144"/>
      <c r="C31" s="2144"/>
      <c r="D31" s="2144"/>
      <c r="E31" s="2144"/>
      <c r="F31" s="2144"/>
      <c r="G31" s="2144"/>
      <c r="H31" s="2144"/>
      <c r="I31" s="2134"/>
      <c r="J31" s="2134"/>
      <c r="K31" s="2134"/>
      <c r="L31" s="614" t="s">
        <v>3214</v>
      </c>
      <c r="M31" s="614" t="s">
        <v>1125</v>
      </c>
      <c r="N31" s="631" t="n">
        <f>PROJECTS!$AP$216</f>
        <v>2029</v>
      </c>
      <c r="O31" s="614"/>
      <c r="P31" s="614"/>
      <c r="Q31" s="614"/>
      <c r="R31" s="614"/>
      <c r="S31" s="614"/>
      <c r="T31" s="614"/>
      <c r="U31" s="614"/>
      <c r="V31" s="614"/>
      <c r="W31" s="614"/>
      <c r="X31" s="614"/>
      <c r="Y31" s="614"/>
      <c r="Z31" s="614"/>
      <c r="AA31" s="614"/>
      <c r="AB31" s="614"/>
      <c r="AC31" s="614"/>
      <c r="AD31" s="614"/>
      <c r="AE31" s="614"/>
      <c r="AF31" s="614"/>
      <c r="AG31" s="614"/>
      <c r="AH31" s="614"/>
      <c r="AI31" s="614"/>
      <c r="AJ31" s="578" t="str">
        <v>AREA-EBIKE</v>
      </c>
      <c r="AK31" s="579" t="str">
        <v>Areas and capacities</v>
      </c>
      <c r="AL31" s="579" t="str">
        <v>Retail and ancillary uses</v>
      </c>
      <c r="AM31" s="579" t="str">
        <v>eBike/eScooter storage area</v>
      </c>
      <c r="AN31" s="579" t="str">
        <v>sqm</v>
      </c>
      <c r="AO31" s="579" t="str">
        <v>Current</v>
      </c>
      <c r="AP31" s="583" t="n">
        <v>48</v>
      </c>
      <c r="AQ31" s="583"/>
      <c r="AR31" s="583"/>
      <c r="AS31" s="588" t="str">
        <f>IFERROR(INDEX('DATA MAP'!$C$8:$C$137,MATCH($AJ31,'DATA MAP'!$A$8:$A$137,0))&amp;IF(INDEX('DATA MAP'!$D$8:$D$137,MATCH($AJ31,'DATA MAP'!$A$8:$A$137,0))="",""," | "&amp;INDEX('DATA MAP'!$D$8:$D$137,MATCH($AJ31,'DATA MAP'!$A$8:$A$137,0))),"Not provided")</f>
        <v>PROJECT CASH FLOW | G16</v>
      </c>
      <c r="AT31" s="588"/>
      <c r="AU31" s="588" t="str">
        <f>IFERROR(INDEX('DATA MAP'!$I$8:$I$137,MATCH($AJ31,'DATA MAP'!$A$8:$A$137,0)),"Review Required")</f>
        <v>Mapped — reconciled</v>
      </c>
      <c r="AV31" s="588" t="str">
        <f>IF(OR($AU31="Conflict",$AU31="Review Required",$AU31="New Input Required",$AU31="Unsupported"),"Management","Model owner")</f>
        <v>Model owner</v>
      </c>
      <c r="AW31" s="588" t="str">
        <f>IFERROR(INDEX('DATA MAP'!$K$8:$K$137,MATCH($AJ31,'DATA MAP'!$A$8:$A$137,0)),"Management confirmation required.")</f>
        <v>Detailed target eBike area retained; source alternative disclosed but not added. | The detailed component area schedule controls; wider summary areas are treated as shared precinct space to prevent double counting.</v>
      </c>
      <c r="AX31" t="str">
        <v>Derived calculation</v>
      </c>
      <c r="AY31" s="2440" t="n">
        <f>$H$69</f>
        <v>48</v>
      </c>
      <c r="AZ31" t="str">
        <v>Yes</v>
      </c>
      <c r="BA31" t="str">
        <v>Underwriting</v>
      </c>
      <c r="BB31" t="str">
        <v>E104</v>
      </c>
      <c r="BC31" t="str">
        <v>PROJECTS register book(4).xlsm</v>
      </c>
      <c r="BD31" t="str">
        <v>Resolved</v>
      </c>
      <c r="BE31" t="str">
        <v>None — technical mapping complete.</v>
      </c>
      <c r="BF31" s="2442" t="n">
        <v>46231</v>
      </c>
      <c r="BG31" t="str">
        <f>IF($AZ31="No","PASS",IF(OR($AX31="Owner decision outstanding",$BD31="OWNER DECISION"),"WARNING",IF(OR($AP31="",$AN31="",$AS31="",$AV31=""),"FAIL","PASS")))</f>
        <v>PASS</v>
      </c>
    </row>
    <row r="32" ht="24" customHeight="1">
      <c r="A32" s="2098" t="str">
        <v>Every atomic assumption is shown once below. Only blue cells are editable.</v>
      </c>
      <c r="B32" s="2098"/>
      <c r="C32" s="2098"/>
      <c r="D32" s="2098"/>
      <c r="E32" s="2098"/>
      <c r="F32" s="2098"/>
      <c r="G32" s="2098"/>
      <c r="H32" s="2098"/>
      <c r="I32" s="2098"/>
      <c r="J32" s="2098"/>
      <c r="K32" s="2098"/>
      <c r="L32" s="614"/>
      <c r="M32" s="614"/>
      <c r="N32" s="614"/>
      <c r="O32" s="614"/>
      <c r="P32" s="614"/>
      <c r="Q32" s="614"/>
      <c r="R32" s="614"/>
      <c r="S32" s="614"/>
      <c r="T32" s="614"/>
      <c r="U32" s="614"/>
      <c r="V32" s="614"/>
      <c r="W32" s="614"/>
      <c r="X32" s="614"/>
      <c r="Y32" s="614"/>
      <c r="Z32" s="614"/>
      <c r="AA32" s="614"/>
      <c r="AB32" s="614"/>
      <c r="AC32" s="614"/>
      <c r="AD32" s="614"/>
      <c r="AE32" s="614"/>
      <c r="AF32" s="614"/>
      <c r="AG32" s="614"/>
      <c r="AH32" s="614"/>
      <c r="AI32" s="614"/>
      <c r="AJ32" s="578" t="str">
        <v>CAP-PBSA-001</v>
      </c>
      <c r="AK32" s="579" t="str">
        <v>Areas and capacities</v>
      </c>
      <c r="AL32" s="579" t="str">
        <v>PBSA/student accommodation</v>
      </c>
      <c r="AM32" s="579" t="str">
        <v>PBSA capacity</v>
      </c>
      <c r="AN32" s="579" t="str">
        <v>Beds</v>
      </c>
      <c r="AO32" s="579" t="str">
        <v>At completion</v>
      </c>
      <c r="AP32" s="582" t="n">
        <f>IF($E$70="","",$E$70)</f>
        <v>580</v>
      </c>
      <c r="AQ32" s="582" t="str">
        <f>IF($F$70="","",$F$70)</f>
      </c>
      <c r="AR32" s="582" t="str">
        <f>IF($G$70="","",$G$70)</f>
      </c>
      <c r="AS32" s="588" t="str">
        <f>IFERROR(INDEX('DATA MAP'!$C$8:$C$137,MATCH($AJ32,'DATA MAP'!$A$8:$A$137,0))&amp;IF(INDEX('DATA MAP'!$D$8:$D$137,MATCH($AJ32,'DATA MAP'!$A$8:$A$137,0))="",""," | "&amp;INDEX('DATA MAP'!$D$8:$D$137,MATCH($AJ32,'DATA MAP'!$A$8:$A$137,0))),"Not provided")</f>
        <v>MODEL DESIGN | C82</v>
      </c>
      <c r="AT32" s="588"/>
      <c r="AU32" s="588" t="str">
        <v>Mapped</v>
      </c>
      <c r="AV32" s="588" t="str">
        <f>IF(OR($AU32="Conflict",$AU32="Review Required",$AU32="New Input Required",$AU32="Unsupported"),"Management","Model owner")</f>
        <v>Model owner</v>
      </c>
      <c r="AW32" s="588" t="str">
        <v>Data-book capacity input adopted. Property-rent versus operating-business classification remains disclosed in valuation notes.</v>
      </c>
      <c r="AX32" t="str">
        <v>Hard-coded model input</v>
      </c>
      <c r="AY32" s="2440" t="n">
        <f>$H$70</f>
        <v>580</v>
      </c>
      <c r="AZ32" t="str">
        <v>Yes</v>
      </c>
      <c r="BA32" t="str">
        <v>760</v>
      </c>
      <c r="BB32" t="str">
        <v>760</v>
      </c>
      <c r="BC32" t="str">
        <v>PROJECTS register book(4).xlsm</v>
      </c>
      <c r="BD32" t="str">
        <v>No</v>
      </c>
      <c r="BE32" t="str">
        <v>None — technical mapping complete.</v>
      </c>
      <c r="BF32" s="2442" t="n">
        <v>46231</v>
      </c>
      <c r="BG32" t="str">
        <f>IF($AZ32="No","PASS",IF(OR($AX32="Owner decision outstanding",$BD32="OWNER DECISION"),"WARNING",IF(OR($AP32="",$AN32="",$AS32="",$AV32=""),"FAIL","PASS")))</f>
        <v>PASS</v>
      </c>
    </row>
    <row r="33" ht="14.5" customHeight="1">
      <c r="A33" s="2004"/>
      <c r="B33" s="2005"/>
      <c r="C33" s="2005"/>
      <c r="D33" s="2004"/>
      <c r="E33" s="2004"/>
      <c r="F33" s="2004"/>
      <c r="G33" s="2004"/>
      <c r="H33" s="2005"/>
      <c r="I33" s="2003"/>
      <c r="J33" s="2003"/>
      <c r="K33" s="2003"/>
      <c r="L33" s="614"/>
      <c r="M33" s="614"/>
      <c r="N33" s="614"/>
      <c r="O33" s="614"/>
      <c r="P33" s="614"/>
      <c r="Q33" s="614"/>
      <c r="R33" s="614"/>
      <c r="S33" s="614"/>
      <c r="T33" s="614"/>
      <c r="U33" s="614"/>
      <c r="V33" s="614"/>
      <c r="W33" s="614"/>
      <c r="X33" s="614"/>
      <c r="Y33" s="614"/>
      <c r="Z33" s="614"/>
      <c r="AA33" s="614"/>
      <c r="AB33" s="614"/>
      <c r="AC33" s="614"/>
      <c r="AD33" s="614"/>
      <c r="AE33" s="614"/>
      <c r="AF33" s="614"/>
      <c r="AG33" s="614"/>
      <c r="AH33" s="614"/>
      <c r="AI33" s="614"/>
      <c r="AJ33" s="578" t="str">
        <v>CAP-PARK-001</v>
      </c>
      <c r="AK33" s="579" t="str">
        <v>Areas and capacities</v>
      </c>
      <c r="AL33" s="579" t="str">
        <v>Parking</v>
      </c>
      <c r="AM33" s="579" t="str">
        <v>Car park capacity</v>
      </c>
      <c r="AN33" s="579" t="str">
        <v>Spaces</v>
      </c>
      <c r="AO33" s="579" t="str">
        <v>At completion</v>
      </c>
      <c r="AP33" s="582" t="n">
        <f>IF($E$71="","",$E$71)</f>
        <v>800</v>
      </c>
      <c r="AQ33" s="582" t="str">
        <f>IF($F$71="","",$F$71)</f>
      </c>
      <c r="AR33" s="582" t="str">
        <f>IF($G$71="","",$G$71)</f>
      </c>
      <c r="AS33" s="588" t="str">
        <f>IFERROR(INDEX('DATA MAP'!$C$8:$C$137,MATCH($AJ33,'DATA MAP'!$A$8:$A$137,0))&amp;IF(INDEX('DATA MAP'!$D$8:$D$137,MATCH($AJ33,'DATA MAP'!$A$8:$A$137,0))="",""," | "&amp;INDEX('DATA MAP'!$D$8:$D$137,MATCH($AJ33,'DATA MAP'!$A$8:$A$137,0))),"Not provided")</f>
        <v>MODEL DESIGN | C89</v>
      </c>
      <c r="AT33" s="588"/>
      <c r="AU33" s="588" t="str">
        <v>Mapped</v>
      </c>
      <c r="AV33" s="588" t="str">
        <f>IF(OR($AU33="Conflict",$AU33="Review Required",$AU33="New Input Required",$AU33="Unsupported"),"Management","Model owner")</f>
        <v>Model owner</v>
      </c>
      <c r="AW33" s="588" t="str">
        <v>Data-book capacity input adopted; revenue remains linked through the detailed management forecast.</v>
      </c>
      <c r="AX33" t="str">
        <v>Hard-coded model input</v>
      </c>
      <c r="AY33" s="2440" t="n">
        <f>$H$71</f>
        <v>800</v>
      </c>
      <c r="AZ33" t="str">
        <v>Yes</v>
      </c>
      <c r="BA33" t="str">
        <v>760</v>
      </c>
      <c r="BB33" t="str">
        <v>760</v>
      </c>
      <c r="BC33" t="str">
        <v>PROJECTS register book(4).xlsm</v>
      </c>
      <c r="BD33" t="str">
        <v>No</v>
      </c>
      <c r="BE33" t="str">
        <v>None — technical mapping complete.</v>
      </c>
      <c r="BF33" s="2442" t="n">
        <v>46231</v>
      </c>
      <c r="BG33" t="str">
        <f>IF($AZ33="No","PASS",IF(OR($AX33="Owner decision outstanding",$BD33="OWNER DECISION"),"WARNING",IF(OR($AP33="",$AN33="",$AS33="",$AV33=""),"FAIL","PASS")))</f>
        <v>PASS</v>
      </c>
    </row>
    <row r="34" ht="18" customHeight="1">
      <c r="A34" s="2534" t="str">
        <v>PROJECT IDENTITY</v>
      </c>
      <c r="B34" s="2534"/>
      <c r="C34" s="2534"/>
      <c r="D34" s="2534"/>
      <c r="E34" s="2535"/>
      <c r="F34" s="2535"/>
      <c r="G34" s="2535"/>
      <c r="H34" s="2535"/>
      <c r="I34" s="2536"/>
      <c r="J34" s="2537"/>
      <c r="K34" s="2537"/>
      <c r="L34" s="733" t="s">
        <v>3176</v>
      </c>
      <c r="M34" s="733"/>
      <c r="N34" s="733"/>
      <c r="O34" s="733"/>
      <c r="P34" s="733"/>
      <c r="Q34" s="733"/>
      <c r="R34" s="614"/>
      <c r="S34" s="614"/>
      <c r="T34" s="614"/>
      <c r="U34" s="614"/>
      <c r="V34" s="614"/>
      <c r="W34" s="614"/>
      <c r="X34" s="614"/>
      <c r="Y34" s="614"/>
      <c r="Z34" s="614"/>
      <c r="AA34" s="614"/>
      <c r="AB34" s="614"/>
      <c r="AC34" s="614"/>
      <c r="AD34" s="614"/>
      <c r="AE34" s="614"/>
      <c r="AF34" s="614"/>
      <c r="AG34" s="614"/>
      <c r="AH34" s="614"/>
      <c r="AI34" s="614"/>
      <c r="AJ34" s="578" t="str">
        <v>CAPEX-URWLD</v>
      </c>
      <c r="AK34" s="579" t="str">
        <v>Development capex</v>
      </c>
      <c r="AL34" s="579" t="str">
        <v>URWLD</v>
      </c>
      <c r="AM34" s="579" t="str">
        <v>URWLD capex</v>
      </c>
      <c r="AN34" s="579" t="str">
        <v>A$m</v>
      </c>
      <c r="AO34" s="579" t="str">
        <v>Outturn source estimate</v>
      </c>
      <c r="AP34" s="584" t="n">
        <v>90.7814814814815</v>
      </c>
      <c r="AQ34" s="584" t="n">
        <f>$AP34*1.1</f>
        <v>99.85962962962967</v>
      </c>
      <c r="AR34" s="584" t="n">
        <f>$AP34*0.95</f>
        <v>86.24240740740743</v>
      </c>
      <c r="AS34" s="588" t="str">
        <f>IFERROR(INDEX('DATA MAP'!$C$8:$C$137,MATCH($AJ34,'DATA MAP'!$A$8:$A$137,0))&amp;IF(INDEX('DATA MAP'!$D$8:$D$137,MATCH($AJ34,'DATA MAP'!$A$8:$A$137,0))="",""," | "&amp;INDEX('DATA MAP'!$D$8:$D$137,MATCH($AJ34,'DATA MAP'!$A$8:$A$137,0))),"Not provided")</f>
        <v>PROJECT CASH FLOW | J8</v>
      </c>
      <c r="AT34" s="588" t="n">
        <v>46228</v>
      </c>
      <c r="AU34" s="588" t="str">
        <v>Mapped</v>
      </c>
      <c r="AV34" s="588" t="str">
        <f>IF(OR($AU34="Conflict",$AU34="Review Required",$AU34="New Input Required",$AU34="Unsupported"),"Management","Model owner")</f>
        <v>Model owner</v>
      </c>
      <c r="AW34" s="588" t="str">
        <v>Current detailed data-book budget adopted; the older higher scope is superseded. Scenario columns show the source cost-factor cross-check.</v>
      </c>
      <c r="AX34" t="str">
        <v>Derived calculation</v>
      </c>
      <c r="AY34" s="2440" t="n">
        <f>$H$90</f>
        <v>90.7814814814815</v>
      </c>
      <c r="AZ34" t="str">
        <v>Yes</v>
      </c>
      <c r="BA34" t="str">
        <v>Underwriting</v>
      </c>
      <c r="BB34" t="str">
        <v>Detailed cost schedule</v>
      </c>
      <c r="BC34" t="str">
        <v>PROJECTS register book(4).xlsm</v>
      </c>
      <c r="BD34" t="str">
        <v>Resolved</v>
      </c>
      <c r="BE34" t="str">
        <v>None — technical mapping complete.</v>
      </c>
      <c r="BF34" s="2442" t="n">
        <v>46231</v>
      </c>
      <c r="BG34" t="str">
        <f>IF($AZ34="No","PASS",IF(OR($AX34="Owner decision outstanding",$BD34="OWNER DECISION"),"WARNING",IF(OR($AP34="",$AN34="",$AS34="",$AV34=""),"FAIL","PASS")))</f>
        <v>PASS</v>
      </c>
    </row>
    <row r="35" ht="24" customHeight="1">
      <c r="A35" s="2512" t="str">
        <v>Field ID</v>
      </c>
      <c r="B35" s="2512" t="str">
        <v>Component</v>
      </c>
      <c r="C35" s="2512" t="str">
        <v>Assumption</v>
      </c>
      <c r="D35" s="2538" t="str">
        <v>Unit / Period</v>
      </c>
      <c r="E35" s="2539" t="str">
        <v>Base</v>
      </c>
      <c r="F35" s="2539" t="str">
        <v>Downside</v>
      </c>
      <c r="G35" s="2539" t="str">
        <v>Upside</v>
      </c>
      <c r="H35" s="2539" t="str">
        <v>Selected Value</v>
      </c>
      <c r="I35" s="2540" t="str">
        <v>Status / Source</v>
      </c>
      <c r="J35" s="2512" t="str">
        <v>Owner / Input Type</v>
      </c>
      <c r="K35" s="2512" t="str">
        <v>Notes</v>
      </c>
      <c r="L35" s="615" t="s">
        <v>1056</v>
      </c>
      <c r="M35" s="615" t="s">
        <v>1057</v>
      </c>
      <c r="N35" s="615" t="s">
        <v>996</v>
      </c>
      <c r="O35" s="614"/>
      <c r="P35" s="614"/>
      <c r="Q35" s="614"/>
      <c r="R35" s="614"/>
      <c r="S35" s="614"/>
      <c r="T35" s="614"/>
      <c r="U35" s="614"/>
      <c r="V35" s="614"/>
      <c r="W35" s="614"/>
      <c r="X35" s="614"/>
      <c r="Y35" s="614"/>
      <c r="Z35" s="614"/>
      <c r="AA35" s="614"/>
      <c r="AB35" s="614"/>
      <c r="AC35" s="614"/>
      <c r="AD35" s="614"/>
      <c r="AE35" s="614"/>
      <c r="AF35" s="614"/>
      <c r="AG35" s="614"/>
      <c r="AH35" s="614"/>
      <c r="AI35" s="614"/>
      <c r="AJ35" s="578" t="str">
        <v>CAPEX-PBSA</v>
      </c>
      <c r="AK35" s="579" t="str">
        <v>Development capex</v>
      </c>
      <c r="AL35" s="579" t="str">
        <v>PBSA/student accommodation</v>
      </c>
      <c r="AM35" s="579" t="str">
        <v>PBSA capex</v>
      </c>
      <c r="AN35" s="579" t="str">
        <v>A$m</v>
      </c>
      <c r="AO35" s="579" t="str">
        <v>Outturn source estimate</v>
      </c>
      <c r="AP35" s="584" t="n">
        <v>114.2</v>
      </c>
      <c r="AQ35" s="584" t="n">
        <f>$AP35*1.1</f>
        <v>125.62000000000002</v>
      </c>
      <c r="AR35" s="584" t="n">
        <f>$AP35*0.95</f>
        <v>108.49</v>
      </c>
      <c r="AS35" s="588" t="str">
        <f>IFERROR(INDEX('DATA MAP'!$C$8:$C$137,MATCH($AJ35,'DATA MAP'!$A$8:$A$137,0))&amp;IF(INDEX('DATA MAP'!$D$8:$D$137,MATCH($AJ35,'DATA MAP'!$A$8:$A$137,0))="",""," | "&amp;INDEX('DATA MAP'!$D$8:$D$137,MATCH($AJ35,'DATA MAP'!$A$8:$A$137,0))),"Not provided")</f>
        <v>PROJECT CASH FLOW | J9</v>
      </c>
      <c r="AT35" s="588" t="n">
        <v>46228</v>
      </c>
      <c r="AU35" s="588" t="str">
        <v>Mapped</v>
      </c>
      <c r="AV35" s="588" t="str">
        <f>IF(OR($AU35="Conflict",$AU35="Review Required",$AU35="New Input Required",$AU35="Unsupported"),"Management","Model owner")</f>
        <v>Model owner</v>
      </c>
      <c r="AW35" s="588" t="str">
        <v>Current detailed data-book budget adopted; the older higher scope is superseded. Scenario columns show the source cost-factor cross-check.</v>
      </c>
      <c r="AX35" t="str">
        <v>Derived calculation</v>
      </c>
      <c r="AY35" s="2440" t="n">
        <f>$H$91</f>
        <v>114.2</v>
      </c>
      <c r="AZ35" t="str">
        <v>Yes</v>
      </c>
      <c r="BA35" t="str">
        <v>Underwriting</v>
      </c>
      <c r="BB35" t="str">
        <v>Detailed cost schedule</v>
      </c>
      <c r="BC35" t="str">
        <v>PROJECTS register book(4).xlsm</v>
      </c>
      <c r="BD35" t="str">
        <v>Resolved</v>
      </c>
      <c r="BE35" t="str">
        <v>None — technical mapping complete.</v>
      </c>
      <c r="BF35" s="2442" t="n">
        <v>46231</v>
      </c>
      <c r="BG35" t="str">
        <f>IF($AZ35="No","PASS",IF(OR($AX35="Owner decision outstanding",$BD35="OWNER DECISION"),"WARNING",IF(OR($AP35="",$AN35="",$AS35="",$AV35=""),"FAIL","PASS")))</f>
        <v>PASS</v>
      </c>
    </row>
    <row r="36" ht="24" customHeight="1">
      <c r="A36" s="2504" t="str">
        <f>$AJ$8</f>
        <v>PRJ-001</v>
      </c>
      <c r="B36" s="2504" t="str">
        <f>$AL$8</f>
        <v>Project</v>
      </c>
      <c r="C36" s="2504" t="str">
        <f>$AM$8</f>
        <v>Project name</v>
      </c>
      <c r="D36" s="2541" t="str">
        <f>$AN$8&amp;IF($AO$8="",""," | "&amp;IF($AN$8="Date",TEXT($AO$8,"dd mmm yyyy"),$AO$8))</f>
        <v>Text</v>
      </c>
      <c r="E36" s="2633" t="str">
        <v>The Bend Precinct</v>
      </c>
      <c r="F36" s="2542"/>
      <c r="G36" s="2542"/>
      <c r="H36" s="2542" t="str">
        <f>IF($A36="","",$E36)</f>
        <v>The Bend Precinct</v>
      </c>
      <c r="I36" s="2543" t="str">
        <f>$AU$8&amp;IF($AS$8="",""," | "&amp;$AS$8)</f>
        <v>Mapped | MODEL DESIGN | C8</v>
      </c>
      <c r="J36" s="2504" t="str">
        <f>$AV$8&amp;" | "&amp;$AX$8</f>
        <v>Model owner | Hard-coded model input</v>
      </c>
      <c r="K36" s="2504" t="str">
        <f>$AW$8</f>
        <v>Target wording retained; source wording is consistent.</v>
      </c>
      <c r="L36" s="614" t="s">
        <v>3215</v>
      </c>
      <c r="M36" s="617" t="str">
        <f>IF(AND(ABS(N11-SUM(N8:N10))&lt;0.000001,ABS(O11-SUM(O8:O10))&lt;0.000001,ABS(P11-SUM(P8:P10))&lt;0.000001,ABS(Q11-SUM(Q8:Q10))&lt;0.000001,ABS(R11-SUM(R8:R10))&lt;0.000001,ABS(S11-SUM(S8:S10))&lt;0.000001,ABS(T11-SUM(T8:T10))&lt;0.000001,ABS(U11-SUM(U8:U10))&lt;0.000001,ABS(V11-SUM(V8:V10))&lt;0.000001,ABS(W11-SUM(W8:W10))&lt;0.000001,ABS(X11-SUM(X8:X10))&lt;0.000001,ABS(Y11-SUM(Y8:Y10))&lt;0.000001,ABS(Z11-SUM(Z8:Z10))&lt;0.000001,ABS(AA11-SUM(AA8:AA10))&lt;0.000001,ABS(AB11-SUM(AB8:AB10))&lt;0.000001,ABS(AC11-SUM(AC8:AC10))&lt;0.000001,ABS(AD11-SUM(AD8:AD10))&lt;0.000001,ABS(AE11-SUM(AE8:AE10))&lt;0.000001,ABS(AF11-SUM(AF8:AF10))&lt;0.000001,ABS(AG11-SUM(AG8:AG10))&lt;0.000001,ABS(AH11-SUM(AH8:AH10))&lt;0.000001,ABS(AI11-SUM(AI8:AI10))&lt;0.000001),"OK","EXCEPTION: operating revenue")</f>
        <v>OK</v>
      </c>
      <c r="N36" s="614" t="s">
        <v>3216</v>
      </c>
      <c r="O36" s="614"/>
      <c r="P36" s="614"/>
      <c r="Q36" s="614"/>
      <c r="R36" s="614"/>
      <c r="S36" s="614"/>
      <c r="T36" s="614"/>
      <c r="U36" s="614"/>
      <c r="V36" s="614"/>
      <c r="W36" s="614"/>
      <c r="X36" s="614"/>
      <c r="Y36" s="614"/>
      <c r="Z36" s="614"/>
      <c r="AA36" s="614"/>
      <c r="AB36" s="614"/>
      <c r="AC36" s="614"/>
      <c r="AD36" s="614"/>
      <c r="AE36" s="614"/>
      <c r="AF36" s="614"/>
      <c r="AG36" s="614"/>
      <c r="AH36" s="614"/>
      <c r="AI36" s="614"/>
      <c r="AJ36" s="578" t="str">
        <v>CAPEX-LIVE</v>
      </c>
      <c r="AK36" s="579" t="str">
        <v>Development capex</v>
      </c>
      <c r="AL36" s="579" t="str">
        <v>LiveHouse</v>
      </c>
      <c r="AM36" s="579" t="str">
        <v>LiveHouse capex</v>
      </c>
      <c r="AN36" s="579" t="str">
        <v>A$m</v>
      </c>
      <c r="AO36" s="579" t="str">
        <v>Outturn source estimate</v>
      </c>
      <c r="AP36" s="584" t="n">
        <v>19.761525</v>
      </c>
      <c r="AQ36" s="584" t="n">
        <f>$AP36*1.1</f>
        <v>21.7376775</v>
      </c>
      <c r="AR36" s="584" t="n">
        <f>$AP36*0.95</f>
        <v>18.773448749999996</v>
      </c>
      <c r="AS36" s="588" t="str">
        <f>IFERROR(INDEX('DATA MAP'!$C$8:$C$137,MATCH($AJ36,'DATA MAP'!$A$8:$A$137,0))&amp;IF(INDEX('DATA MAP'!$D$8:$D$137,MATCH($AJ36,'DATA MAP'!$A$8:$A$137,0))="",""," | "&amp;INDEX('DATA MAP'!$D$8:$D$137,MATCH($AJ36,'DATA MAP'!$A$8:$A$137,0))),"Not provided")</f>
        <v>PROJECT CASH FLOW | J10</v>
      </c>
      <c r="AT36" s="588" t="n">
        <v>46228</v>
      </c>
      <c r="AU36" s="588" t="str">
        <v>Mapped</v>
      </c>
      <c r="AV36" s="588" t="str">
        <f>IF(OR($AU36="Conflict",$AU36="Review Required",$AU36="New Input Required",$AU36="Unsupported"),"Management","Model owner")</f>
        <v>Model owner</v>
      </c>
      <c r="AW36" s="588" t="str">
        <v>Current detailed data-book budget adopted; the older higher scope is superseded. Scenario columns show the source cost-factor cross-check.</v>
      </c>
      <c r="AX36" t="str">
        <v>Derived calculation</v>
      </c>
      <c r="AY36" s="2440" t="n">
        <f>$H$92</f>
        <v>19.761525</v>
      </c>
      <c r="AZ36" t="str">
        <v>Yes</v>
      </c>
      <c r="BA36" t="str">
        <v>Underwriting</v>
      </c>
      <c r="BB36" t="str">
        <v>Detailed cost schedule</v>
      </c>
      <c r="BC36" t="str">
        <v>PROJECTS register book(4).xlsm</v>
      </c>
      <c r="BD36" t="str">
        <v>Resolved</v>
      </c>
      <c r="BE36" t="str">
        <v>None — technical mapping complete.</v>
      </c>
      <c r="BF36" s="2442" t="n">
        <v>46231</v>
      </c>
      <c r="BG36" t="str">
        <f>IF($AZ36="No","PASS",IF(OR($AX36="Owner decision outstanding",$BD36="OWNER DECISION"),"WARNING",IF(OR($AP36="",$AN36="",$AS36="",$AV36=""),"FAIL","PASS")))</f>
        <v>PASS</v>
      </c>
    </row>
    <row r="37" ht="24" customHeight="1">
      <c r="A37" s="2504" t="str">
        <f>$AJ$9</f>
        <v>PRJ-002</v>
      </c>
      <c r="B37" s="2504" t="str">
        <f>$AL$9</f>
        <v>Project</v>
      </c>
      <c r="C37" s="2504" t="str">
        <f>$AM$9</f>
        <v>Street address</v>
      </c>
      <c r="D37" s="2541" t="str">
        <f>$AN$9&amp;IF($AO$9="",""," | "&amp;IF($AN$9="Date",TEXT($AO$9,"dd mmm yyyy"),$AO$9))</f>
        <v>Text</v>
      </c>
      <c r="E37" s="2633" t="str">
        <v>349 Bridge Street</v>
      </c>
      <c r="F37" s="2542"/>
      <c r="G37" s="2542"/>
      <c r="H37" s="2542" t="str">
        <f>IF($A37="","",$E37)</f>
        <v>349 Bridge Street</v>
      </c>
      <c r="I37" s="2543" t="str">
        <f>$AU$9&amp;IF($AS$9="",""," | "&amp;$AS$9)</f>
        <v>Mapped | Target: Underwriting | E10</v>
      </c>
      <c r="J37" s="2504" t="str">
        <f>$AV$9&amp;" | "&amp;$AX$9</f>
        <v>Model owner | Hard-coded model input</v>
      </c>
      <c r="K37" s="2504" t="str">
        <f>$AW$9</f>
        <v>No equivalent street address identified in the data book.</v>
      </c>
      <c r="L37" s="614" t="s">
        <v>3217</v>
      </c>
      <c r="M37" s="617" t="str">
        <f>IF(AND(ABS(N15+N19-SUM(N13:N14,N17:N18))&lt;0.000001,ABS(O15+O19-SUM(O13:O14,O17:O18))&lt;0.000001,ABS(P15+P19-SUM(P13:P14,P17:P18))&lt;0.000001,ABS(Q15+Q19-SUM(Q13:Q14,Q17:Q18))&lt;0.000001,ABS(R15+R19-SUM(R13:R14,R17:R18))&lt;0.000001,ABS(S15+S19-SUM(S13:S14,S17:S18))&lt;0.000001,ABS(T15+T19-SUM(T13:T14,T17:T18))&lt;0.000001,ABS(U15+U19-SUM(U13:U14,U17:U18))&lt;0.000001,ABS(V15+V19-SUM(V13:V14,V17:V18))&lt;0.000001,ABS(W15+W19-SUM(W13:W14,W17:W18))&lt;0.000001,ABS(X15+X19-SUM(X13:X14,X17:X18))&lt;0.000001,ABS(Y15+Y19-SUM(Y13:Y14,Y17:Y18))&lt;0.000001,ABS(Z15+Z19-SUM(Z13:Z14,Z17:Z18))&lt;0.000001,ABS(AA15+AA19-SUM(AA13:AA14,AA17:AA18))&lt;0.000001,ABS(AB15+AB19-SUM(AB13:AB14,AB17:AB18))&lt;0.000001,ABS(AC15+AC19-SUM(AC13:AC14,AC17:AC18))&lt;0.000001,ABS(AD15+AD19-SUM(AD13:AD14,AD17:AD18))&lt;0.000001,ABS(AE15+AE19-SUM(AE13:AE14,AE17:AE18))&lt;0.000001,ABS(AF15+AF19-SUM(AF13:AF14,AF17:AF18))&lt;0.000001,ABS(AG15+AG19-SUM(AG13:AG14,AG17:AG18))&lt;0.000001,ABS(AH15+AH19-SUM(AH13:AH14,AH17:AH18))&lt;0.000001,ABS(AI15+AI19-SUM(AI13:AI14,AI17:AI18))&lt;0.000001),"OK","EXCEPTION: operating costs")</f>
        <v>OK</v>
      </c>
      <c r="N37" s="614" t="s">
        <v>3218</v>
      </c>
      <c r="O37" s="614"/>
      <c r="P37" s="614"/>
      <c r="Q37" s="614"/>
      <c r="R37" s="614"/>
      <c r="S37" s="614"/>
      <c r="T37" s="614"/>
      <c r="U37" s="614"/>
      <c r="V37" s="614"/>
      <c r="W37" s="614"/>
      <c r="X37" s="614"/>
      <c r="Y37" s="614"/>
      <c r="Z37" s="614"/>
      <c r="AA37" s="614"/>
      <c r="AB37" s="614"/>
      <c r="AC37" s="614"/>
      <c r="AD37" s="614"/>
      <c r="AE37" s="614"/>
      <c r="AF37" s="614"/>
      <c r="AG37" s="614"/>
      <c r="AH37" s="614"/>
      <c r="AI37" s="614"/>
      <c r="AJ37" s="578" t="str">
        <v>CAPEX-RETAIL</v>
      </c>
      <c r="AK37" s="579" t="str">
        <v>Development capex</v>
      </c>
      <c r="AL37" s="579" t="str">
        <v>Retail and ancillary uses</v>
      </c>
      <c r="AM37" s="579" t="str">
        <v>Flexible retail/F&amp;B capex</v>
      </c>
      <c r="AN37" s="579" t="str">
        <v>A$m</v>
      </c>
      <c r="AO37" s="579" t="str">
        <v>Outturn source estimate</v>
      </c>
      <c r="AP37" s="584" t="n">
        <v>1.35</v>
      </c>
      <c r="AQ37" s="584" t="n">
        <f>$AP37*1.1</f>
        <v>1.4850000000000003</v>
      </c>
      <c r="AR37" s="584" t="n">
        <f>$AP37*0.95</f>
        <v>1.2825</v>
      </c>
      <c r="AS37" s="588" t="str">
        <f>IFERROR(INDEX('DATA MAP'!$C$8:$C$137,MATCH($AJ37,'DATA MAP'!$A$8:$A$137,0))&amp;IF(INDEX('DATA MAP'!$D$8:$D$137,MATCH($AJ37,'DATA MAP'!$A$8:$A$137,0))="",""," | "&amp;INDEX('DATA MAP'!$D$8:$D$137,MATCH($AJ37,'DATA MAP'!$A$8:$A$137,0))),"Not provided")</f>
        <v>PROJECT CASH FLOW | J11</v>
      </c>
      <c r="AT37" s="588" t="n">
        <v>46228</v>
      </c>
      <c r="AU37" s="588" t="str">
        <v>Mapped</v>
      </c>
      <c r="AV37" s="588" t="str">
        <f>IF(OR($AU37="Conflict",$AU37="Review Required",$AU37="New Input Required",$AU37="Unsupported"),"Management","Model owner")</f>
        <v>Model owner</v>
      </c>
      <c r="AW37" s="588" t="str">
        <v>Current detailed data-book budget adopted; the older higher scope is superseded. Scenario columns show the source cost-factor cross-check.</v>
      </c>
      <c r="AX37" t="str">
        <v>Derived calculation</v>
      </c>
      <c r="AY37" s="2440" t="n">
        <f>$H$93</f>
        <v>1.35</v>
      </c>
      <c r="AZ37" t="str">
        <v>Yes</v>
      </c>
      <c r="BA37" t="str">
        <v>Underwriting</v>
      </c>
      <c r="BB37" t="str">
        <v>Detailed cost schedule</v>
      </c>
      <c r="BC37" t="str">
        <v>PROJECTS register book(4).xlsm</v>
      </c>
      <c r="BD37" t="str">
        <v>Resolved</v>
      </c>
      <c r="BE37" t="str">
        <v>None — technical mapping complete.</v>
      </c>
      <c r="BF37" s="2442" t="n">
        <v>46231</v>
      </c>
      <c r="BG37" t="str">
        <f>IF($AZ37="No","PASS",IF(OR($AX37="Owner decision outstanding",$BD37="OWNER DECISION"),"WARNING",IF(OR($AP37="",$AN37="",$AS37="",$AV37=""),"FAIL","PASS")))</f>
        <v>PASS</v>
      </c>
    </row>
    <row r="38" ht="24" customHeight="1">
      <c r="A38" s="2504" t="str">
        <f>$AJ$10</f>
        <v>PRJ-003</v>
      </c>
      <c r="B38" s="2504" t="str">
        <f>$AL$10</f>
        <v>Project</v>
      </c>
      <c r="C38" s="2504" t="str">
        <f>$AM$10</f>
        <v>Suburb / municipality</v>
      </c>
      <c r="D38" s="2544" t="str">
        <f>$AN$10&amp;IF($AO$10="",""," | "&amp;IF($AN$10="Date",TEXT($AO$10,"dd mmm yyyy"),$AO$10))</f>
        <v>Text</v>
      </c>
      <c r="E38" s="2633" t="str">
        <v>Port Melbourne</v>
      </c>
      <c r="F38" s="2542"/>
      <c r="G38" s="2542"/>
      <c r="H38" s="2542" t="str">
        <f>IF($A38="","",$E38)</f>
        <v>Port Melbourne</v>
      </c>
      <c r="I38" s="2543" t="str">
        <f>$AU$10&amp;IF($AS$10="",""," | "&amp;$AS$10)</f>
        <v>Mapped | MODEL DESIGN | C9</v>
      </c>
      <c r="J38" s="2504" t="str">
        <f>$AV$10&amp;" | "&amp;$AX$10</f>
        <v>Model owner | Hard-coded model input</v>
      </c>
      <c r="K38" s="2504" t="str">
        <f>$AW$10</f>
        <v>Port Melbourne is consistent across both workbooks.</v>
      </c>
      <c r="L38" s="614" t="s">
        <v>3219</v>
      </c>
      <c r="M38" s="617" t="str">
        <f>IF(AND(ABS(N21-(N11-N15-N19))&lt;0.000001,ABS(O21-(O11-O15-O19))&lt;0.000001,ABS(P21-(P11-P15-P19))&lt;0.000001,ABS(Q21-(Q11-Q15-Q19))&lt;0.000001,ABS(R21-(R11-R15-R19))&lt;0.000001,ABS(S21-(S11-S15-S19))&lt;0.000001,ABS(T21-(T11-T15-T19))&lt;0.000001,ABS(U21-(U11-U15-U19))&lt;0.000001,ABS(V21-(V11-V15-V19))&lt;0.000001,ABS(W21-(W11-W15-W19))&lt;0.000001,ABS(X21-(X11-X15-X19))&lt;0.000001,ABS(Y21-(Y11-Y15-Y19))&lt;0.000001,ABS(Z21-(Z11-Z15-Z19))&lt;0.000001,ABS(AA21-(AA11-AA15-AA19))&lt;0.000001,ABS(AB21-(AB11-AB15-AB19))&lt;0.000001,ABS(AC21-(AC11-AC15-AC19))&lt;0.000001,ABS(AD21-(AD11-AD15-AD19))&lt;0.000001,ABS(AE21-(AE11-AE15-AE19))&lt;0.000001,ABS(AF21-(AF11-AF15-AF19))&lt;0.000001,ABS(AG21-(AG11-AG15-AG19))&lt;0.000001,ABS(AH21-(AH11-AH15-AH19))&lt;0.000001,ABS(AI21-(AI11-AI15-AI19))&lt;0.000001),"OK","EXCEPTION: EBITDA / NOI")</f>
        <v>OK</v>
      </c>
      <c r="N38" s="614" t="s">
        <v>3220</v>
      </c>
      <c r="O38" s="614"/>
      <c r="P38" s="614"/>
      <c r="Q38" s="614"/>
      <c r="R38" s="614"/>
      <c r="S38" s="614"/>
      <c r="T38" s="614"/>
      <c r="U38" s="614"/>
      <c r="V38" s="614"/>
      <c r="W38" s="614"/>
      <c r="X38" s="614"/>
      <c r="Y38" s="614"/>
      <c r="Z38" s="614"/>
      <c r="AA38" s="614"/>
      <c r="AB38" s="614"/>
      <c r="AC38" s="614"/>
      <c r="AD38" s="614"/>
      <c r="AE38" s="614"/>
      <c r="AF38" s="614"/>
      <c r="AG38" s="614"/>
      <c r="AH38" s="614"/>
      <c r="AI38" s="614"/>
      <c r="AJ38" s="578" t="str">
        <v>CAPEX-GEN</v>
      </c>
      <c r="AK38" s="579" t="str">
        <v>Development capex</v>
      </c>
      <c r="AL38" s="579" t="str">
        <v>Genesis</v>
      </c>
      <c r="AM38" s="579" t="str">
        <v>Genesis capex</v>
      </c>
      <c r="AN38" s="579" t="str">
        <v>A$m</v>
      </c>
      <c r="AO38" s="579" t="str">
        <v>Outturn source estimate</v>
      </c>
      <c r="AP38" s="584" t="n">
        <v>14.5</v>
      </c>
      <c r="AQ38" s="584" t="n">
        <f>$AP38*1.1</f>
        <v>15.950000000000001</v>
      </c>
      <c r="AR38" s="584" t="n">
        <f>$AP38*0.95</f>
        <v>13.774999999999999</v>
      </c>
      <c r="AS38" s="588" t="str">
        <f>IFERROR(INDEX('DATA MAP'!$C$8:$C$137,MATCH($AJ38,'DATA MAP'!$A$8:$A$137,0))&amp;IF(INDEX('DATA MAP'!$D$8:$D$137,MATCH($AJ38,'DATA MAP'!$A$8:$A$137,0))="",""," | "&amp;INDEX('DATA MAP'!$D$8:$D$137,MATCH($AJ38,'DATA MAP'!$A$8:$A$137,0))),"Not provided")</f>
        <v>PROJECT CASH FLOW | J12</v>
      </c>
      <c r="AT38" s="588" t="n">
        <v>46228</v>
      </c>
      <c r="AU38" s="588" t="str">
        <v>Mapped</v>
      </c>
      <c r="AV38" s="588" t="str">
        <f>IF(OR($AU38="Conflict",$AU38="Review Required",$AU38="New Input Required",$AU38="Unsupported"),"Management","Model owner")</f>
        <v>Model owner</v>
      </c>
      <c r="AW38" s="588" t="str">
        <v>Current detailed data-book budget adopted; the older higher scope is superseded. Scenario columns show the source cost-factor cross-check.</v>
      </c>
      <c r="AX38" t="str">
        <v>Derived calculation</v>
      </c>
      <c r="AY38" s="2440" t="n">
        <f>$H$94</f>
        <v>14.5</v>
      </c>
      <c r="AZ38" t="str">
        <v>Yes</v>
      </c>
      <c r="BA38" t="str">
        <v>Underwriting</v>
      </c>
      <c r="BB38" t="str">
        <v>Detailed cost schedule</v>
      </c>
      <c r="BC38" t="str">
        <v>PROJECTS register book(4).xlsm</v>
      </c>
      <c r="BD38" t="str">
        <v>Resolved</v>
      </c>
      <c r="BE38" t="str">
        <v>None — technical mapping complete.</v>
      </c>
      <c r="BF38" s="2442" t="n">
        <v>46231</v>
      </c>
      <c r="BG38" t="str">
        <f>IF($AZ38="No","PASS",IF(OR($AX38="Owner decision outstanding",$BD38="OWNER DECISION"),"WARNING",IF(OR($AP38="",$AN38="",$AS38="",$AV38=""),"FAIL","PASS")))</f>
        <v>PASS</v>
      </c>
    </row>
    <row r="39" ht="24" customHeight="1">
      <c r="A39" s="2504" t="str">
        <f>$AJ$11</f>
        <v>PRJ-004</v>
      </c>
      <c r="B39" s="2504" t="str">
        <f>$AL$11</f>
        <v>Project</v>
      </c>
      <c r="C39" s="2504" t="str">
        <f>$AM$11</f>
        <v>State</v>
      </c>
      <c r="D39" s="2544" t="str">
        <f>$AN$11&amp;IF($AO$11="",""," | "&amp;IF($AN$11="Date",TEXT($AO$11,"dd mmm yyyy"),$AO$11))</f>
        <v>Text</v>
      </c>
      <c r="E39" s="2633" t="str">
        <v>Victoria</v>
      </c>
      <c r="F39" s="2542"/>
      <c r="G39" s="2542"/>
      <c r="H39" s="2542" t="str">
        <f>IF($A39="","",$E39)</f>
        <v>Victoria</v>
      </c>
      <c r="I39" s="2543" t="str">
        <f>$AU$11&amp;IF($AS$11="",""," | "&amp;$AS$11)</f>
        <v>Mapped | MODEL DESIGN | C9</v>
      </c>
      <c r="J39" s="2504" t="str">
        <f>$AV$11&amp;" | "&amp;$AX$11</f>
        <v>Model owner | Hard-coded model input</v>
      </c>
      <c r="K39" s="2504" t="str">
        <f>$AW$11</f>
        <v>State is Victoria; source and target are consistent.</v>
      </c>
      <c r="L39" s="614" t="s">
        <v>3221</v>
      </c>
      <c r="M39" s="617" t="str">
        <f>IF(COUNTIF($N$7:$AI$7,$N$31)=1,"OK","EXCEPTION: selected operating year")</f>
        <v>OK</v>
      </c>
      <c r="N39" s="614" t="s">
        <v>3222</v>
      </c>
      <c r="O39" s="614"/>
      <c r="P39" s="614"/>
      <c r="Q39" s="614"/>
      <c r="R39" s="614"/>
      <c r="S39" s="614"/>
      <c r="T39" s="614"/>
      <c r="U39" s="614"/>
      <c r="V39" s="614"/>
      <c r="W39" s="614"/>
      <c r="X39" s="614"/>
      <c r="Y39" s="614"/>
      <c r="Z39" s="614"/>
      <c r="AA39" s="614"/>
      <c r="AB39" s="614"/>
      <c r="AC39" s="614"/>
      <c r="AD39" s="614"/>
      <c r="AE39" s="614"/>
      <c r="AF39" s="614"/>
      <c r="AG39" s="614"/>
      <c r="AH39" s="614"/>
      <c r="AI39" s="614"/>
      <c r="AJ39" s="578" t="str">
        <v>CAPEX-PARK</v>
      </c>
      <c r="AK39" s="579" t="str">
        <v>Development capex</v>
      </c>
      <c r="AL39" s="579" t="str">
        <v>Parking</v>
      </c>
      <c r="AM39" s="579" t="str">
        <v>Car park capex</v>
      </c>
      <c r="AN39" s="579" t="str">
        <v>A$m</v>
      </c>
      <c r="AO39" s="579" t="str">
        <v>Outturn source estimate</v>
      </c>
      <c r="AP39" s="584" t="n">
        <v>30.22</v>
      </c>
      <c r="AQ39" s="584" t="n">
        <f>$AP39*1.1</f>
        <v>33.242000000000004</v>
      </c>
      <c r="AR39" s="584" t="n">
        <f>$AP39*0.95</f>
        <v>28.708999999999996</v>
      </c>
      <c r="AS39" s="588" t="str">
        <f>IFERROR(INDEX('DATA MAP'!$C$8:$C$137,MATCH($AJ39,'DATA MAP'!$A$8:$A$137,0))&amp;IF(INDEX('DATA MAP'!$D$8:$D$137,MATCH($AJ39,'DATA MAP'!$A$8:$A$137,0))="",""," | "&amp;INDEX('DATA MAP'!$D$8:$D$137,MATCH($AJ39,'DATA MAP'!$A$8:$A$137,0))),"Not provided")</f>
        <v>PROJECT CASH FLOW | J13</v>
      </c>
      <c r="AT39" s="588" t="n">
        <v>46228</v>
      </c>
      <c r="AU39" s="588" t="str">
        <v>Mapped</v>
      </c>
      <c r="AV39" s="588" t="str">
        <f>IF(OR($AU39="Conflict",$AU39="Review Required",$AU39="New Input Required",$AU39="Unsupported"),"Management","Model owner")</f>
        <v>Model owner</v>
      </c>
      <c r="AW39" s="588" t="str">
        <v>Current detailed data-book budget adopted; the older higher scope is superseded. Scenario columns show the source cost-factor cross-check.</v>
      </c>
      <c r="AX39" t="str">
        <v>Derived calculation</v>
      </c>
      <c r="AY39" s="2440" t="n">
        <f>$H$95</f>
        <v>30.22</v>
      </c>
      <c r="AZ39" t="str">
        <v>Yes</v>
      </c>
      <c r="BA39" t="str">
        <v>Underwriting</v>
      </c>
      <c r="BB39" t="str">
        <v>Detailed cost schedule</v>
      </c>
      <c r="BC39" t="str">
        <v>PROJECTS register book(4).xlsm</v>
      </c>
      <c r="BD39" t="str">
        <v>Resolved</v>
      </c>
      <c r="BE39" t="str">
        <v>None — technical mapping complete.</v>
      </c>
      <c r="BF39" s="2442" t="n">
        <v>46231</v>
      </c>
      <c r="BG39" t="str">
        <f>IF($AZ39="No","PASS",IF(OR($AX39="Owner decision outstanding",$BD39="OWNER DECISION"),"WARNING",IF(OR($AP39="",$AN39="",$AS39="",$AV39=""),"FAIL","PASS")))</f>
        <v>PASS</v>
      </c>
    </row>
    <row r="40" ht="24" customHeight="1">
      <c r="A40" s="2504" t="str">
        <f>$AJ$12</f>
        <v>PRJ-005</v>
      </c>
      <c r="B40" s="2504" t="str">
        <f>$AL$12</f>
        <v>Project</v>
      </c>
      <c r="C40" s="2504" t="str">
        <f>$AM$12</f>
        <v>Country</v>
      </c>
      <c r="D40" s="2544" t="str">
        <f>$AN$12&amp;IF($AO$12="",""," | "&amp;IF($AN$12="Date",TEXT($AO$12,"dd mmm yyyy"),$AO$12))</f>
        <v>Text</v>
      </c>
      <c r="E40" s="2633" t="str">
        <v>Australia</v>
      </c>
      <c r="F40" s="2542"/>
      <c r="G40" s="2542"/>
      <c r="H40" s="2542" t="str">
        <f>IF($A40="","",$E40)</f>
        <v>Australia</v>
      </c>
      <c r="I40" s="2543" t="str">
        <f>$AU$12&amp;IF($AS$12="",""," | "&amp;$AS$12)</f>
        <v>Mapped | Target: Underwriting | I13</v>
      </c>
      <c r="J40" s="2504" t="str">
        <f>$AV$12&amp;" | "&amp;$AX$12</f>
        <v>Model owner | Hard-coded model input</v>
      </c>
      <c r="K40" s="2504" t="str">
        <f>$AW$12</f>
        <v>Country is Australia; retained target input because no conflicting source exists.</v>
      </c>
      <c r="AJ40" s="578" t="str">
        <v>CAPEX-SNOW</v>
      </c>
      <c r="AK40" s="579" t="str">
        <v>Development capex</v>
      </c>
      <c r="AL40" s="579" t="str">
        <v>Snowtunnel</v>
      </c>
      <c r="AM40" s="579" t="str">
        <v>Snowtunnel capex</v>
      </c>
      <c r="AN40" s="579" t="str">
        <v>A$m</v>
      </c>
      <c r="AO40" s="579" t="str">
        <v>Outturn source estimate</v>
      </c>
      <c r="AP40" s="584" t="n">
        <v>13</v>
      </c>
      <c r="AQ40" s="584" t="n">
        <f>$AP40*1.1</f>
        <v>14.3</v>
      </c>
      <c r="AR40" s="584" t="n">
        <f>$AP40*0.95</f>
        <v>12.35</v>
      </c>
      <c r="AS40" s="588" t="str">
        <f>IFERROR(INDEX('DATA MAP'!$C$8:$C$137,MATCH($AJ40,'DATA MAP'!$A$8:$A$137,0))&amp;IF(INDEX('DATA MAP'!$D$8:$D$137,MATCH($AJ40,'DATA MAP'!$A$8:$A$137,0))="",""," | "&amp;INDEX('DATA MAP'!$D$8:$D$137,MATCH($AJ40,'DATA MAP'!$A$8:$A$137,0))),"Not provided")</f>
        <v>PROJECT CASH FLOW | J14</v>
      </c>
      <c r="AT40" s="588" t="n">
        <v>46228</v>
      </c>
      <c r="AU40" s="588" t="str">
        <v>Mapped</v>
      </c>
      <c r="AV40" s="588" t="str">
        <f>IF(OR($AU40="Conflict",$AU40="Review Required",$AU40="New Input Required",$AU40="Unsupported"),"Management","Model owner")</f>
        <v>Model owner</v>
      </c>
      <c r="AW40" s="588" t="str">
        <v>Current detailed data-book budget adopted; the older higher scope is superseded. Scenario columns show the source cost-factor cross-check.</v>
      </c>
      <c r="AX40" t="str">
        <v>Derived calculation</v>
      </c>
      <c r="AY40" s="2440" t="n">
        <f>$H$96</f>
        <v>13</v>
      </c>
      <c r="AZ40" t="str">
        <v>Yes</v>
      </c>
      <c r="BA40" t="str">
        <v>Underwriting</v>
      </c>
      <c r="BB40" t="str">
        <v>Detailed cost schedule</v>
      </c>
      <c r="BC40" t="str">
        <v>PROJECTS register book(4).xlsm</v>
      </c>
      <c r="BD40" t="str">
        <v>Resolved</v>
      </c>
      <c r="BE40" t="str">
        <v>None — technical mapping complete.</v>
      </c>
      <c r="BF40" s="2442" t="n">
        <v>46231</v>
      </c>
      <c r="BG40" t="str">
        <f>IF($AZ40="No","PASS",IF(OR($AX40="Owner decision outstanding",$BD40="OWNER DECISION"),"WARNING",IF(OR($AP40="",$AN40="",$AS40="",$AV40=""),"FAIL","PASS")))</f>
        <v>PASS</v>
      </c>
    </row>
    <row r="41" ht="24" customHeight="1">
      <c r="A41" s="2504" t="str">
        <f>$AJ$17</f>
        <v>PRJ-010</v>
      </c>
      <c r="B41" s="2504" t="str">
        <f>$AL$17</f>
        <v>Model</v>
      </c>
      <c r="C41" s="2504" t="str">
        <f>$AM$17</f>
        <v>Periodicity</v>
      </c>
      <c r="D41" s="2545" t="str">
        <f>$AN$17&amp;IF($AO$17="",""," | "&amp;IF($AN$17="Date",TEXT($AO$17,"dd mmm yyyy"),$AO$17))</f>
        <v>Text</v>
      </c>
      <c r="E41" s="2542" t="str">
        <f>$AP$17</f>
        <v>Monthly</v>
      </c>
      <c r="F41" s="2542"/>
      <c r="G41" s="2542"/>
      <c r="H41" s="2542" t="str">
        <f>IF($A41="","",$E41)</f>
        <v>Monthly</v>
      </c>
      <c r="I41" s="2543" t="str">
        <f>$AU$17&amp;IF($AS$17="",""," | "&amp;$AS$17)</f>
        <v>Formula Preserved | Target: Underwriting | L24:EB24</v>
      </c>
      <c r="J41" s="2504" t="str">
        <f>$AV$17&amp;" | "&amp;$AX$17</f>
        <v>Model owner | Formula-linked source input</v>
      </c>
      <c r="K41" s="2504" t="str">
        <f>$AW$17</f>
        <v>Target model uses 121 monthly periods; source schedules are mainly quarterly and annual.</v>
      </c>
      <c r="AJ41" s="578" t="str">
        <v>CAPEX-LANDATTR</v>
      </c>
      <c r="AK41" s="579" t="str">
        <v>Development capex</v>
      </c>
      <c r="AL41" s="579" t="str">
        <v>Retail and ancillary uses</v>
      </c>
      <c r="AM41" s="579" t="str">
        <v>Landscape attraction capex</v>
      </c>
      <c r="AN41" s="579" t="str">
        <v>A$m</v>
      </c>
      <c r="AO41" s="579" t="str">
        <v>Outturn source estimate</v>
      </c>
      <c r="AP41" s="584" t="n">
        <v>0.5</v>
      </c>
      <c r="AQ41" s="584" t="n">
        <f>$AP41*1.1</f>
        <v>0.55</v>
      </c>
      <c r="AR41" s="584" t="n">
        <f>$AP41*0.95</f>
        <v>0.475</v>
      </c>
      <c r="AS41" s="588" t="str">
        <f>IFERROR(INDEX('DATA MAP'!$C$8:$C$137,MATCH($AJ41,'DATA MAP'!$A$8:$A$137,0))&amp;IF(INDEX('DATA MAP'!$D$8:$D$137,MATCH($AJ41,'DATA MAP'!$A$8:$A$137,0))="",""," | "&amp;INDEX('DATA MAP'!$D$8:$D$137,MATCH($AJ41,'DATA MAP'!$A$8:$A$137,0))),"Not provided")</f>
        <v>PROJECT CASH FLOW | J15</v>
      </c>
      <c r="AT41" s="588" t="n">
        <v>46228</v>
      </c>
      <c r="AU41" s="588" t="str">
        <v>Mapped</v>
      </c>
      <c r="AV41" s="588" t="str">
        <f>IF(OR($AU41="Conflict",$AU41="Review Required",$AU41="New Input Required",$AU41="Unsupported"),"Management","Model owner")</f>
        <v>Model owner</v>
      </c>
      <c r="AW41" s="588" t="str">
        <v>Current detailed data-book budget adopted; the older higher scope is superseded. Scenario columns show the source cost-factor cross-check.</v>
      </c>
      <c r="AX41" t="str">
        <v>Derived calculation</v>
      </c>
      <c r="AY41" s="2440" t="n">
        <f>$H$97</f>
        <v>0.5</v>
      </c>
      <c r="AZ41" t="str">
        <v>Yes</v>
      </c>
      <c r="BA41" t="str">
        <v>Underwriting</v>
      </c>
      <c r="BB41" t="str">
        <v>Detailed cost schedule</v>
      </c>
      <c r="BC41" t="str">
        <v>PROJECTS register book(4).xlsm</v>
      </c>
      <c r="BD41" t="str">
        <v>Resolved</v>
      </c>
      <c r="BE41" t="str">
        <v>None — technical mapping complete.</v>
      </c>
      <c r="BF41" s="2442" t="n">
        <v>46231</v>
      </c>
      <c r="BG41" t="str">
        <f>IF($AZ41="No","PASS",IF(OR($AX41="Owner decision outstanding",$BD41="OWNER DECISION"),"WARNING",IF(OR($AP41="",$AN41="",$AS41="",$AV41=""),"FAIL","PASS")))</f>
        <v>PASS</v>
      </c>
    </row>
    <row r="42" ht="24" customHeight="1">
      <c r="A42" s="2504" t="str">
        <f>$AJ$18</f>
        <v>PRJ-011</v>
      </c>
      <c r="B42" s="2504" t="str">
        <f>$AL$18</f>
        <v>Model</v>
      </c>
      <c r="C42" s="2504" t="str">
        <f>$AM$18</f>
        <v>Currency and scale</v>
      </c>
      <c r="D42" s="2504" t="str">
        <f>$AN$18&amp;IF($AO$18="",""," | "&amp;IF($AN$18="Date",TEXT($AO$18,"dd mmm yyyy"),$AO$18))</f>
        <v>Text</v>
      </c>
      <c r="E42" s="2633" t="str">
        <v>AUD; target in dollars, reporting tabs may show A$m</v>
      </c>
      <c r="F42" s="2542"/>
      <c r="G42" s="2542"/>
      <c r="H42" s="2542" t="str">
        <f>IF($A42="","",$E42)</f>
        <v>AUD; target in dollars, reporting tabs may show A$m</v>
      </c>
      <c r="I42" s="2543" t="str">
        <f>$AU$18&amp;IF($AS$18="",""," | "&amp;$AS$18)</f>
        <v>Mapped | MODEL DESIGN | C18</v>
      </c>
      <c r="J42" s="2504" t="str">
        <f>$AV$18&amp;" | "&amp;$AX$18</f>
        <v>Model owner | Hard-coded model input</v>
      </c>
      <c r="K42" s="2504" t="str">
        <f>$AW$18</f>
        <v>Source is largely A$m. Target input links use native target units.</v>
      </c>
      <c r="AJ42" s="578" t="str">
        <v>CAPEX-EBIKE</v>
      </c>
      <c r="AK42" s="579" t="str">
        <v>Development capex</v>
      </c>
      <c r="AL42" s="579" t="str">
        <v>Retail and ancillary uses</v>
      </c>
      <c r="AM42" s="579" t="str">
        <v>eBike/eScooter capex</v>
      </c>
      <c r="AN42" s="579" t="str">
        <v>A$m</v>
      </c>
      <c r="AO42" s="579" t="str">
        <v>Outturn source estimate</v>
      </c>
      <c r="AP42" s="584" t="n">
        <v>0.223</v>
      </c>
      <c r="AQ42" s="584" t="n">
        <f>$AP42*1.1</f>
        <v>0.24530000000000002</v>
      </c>
      <c r="AR42" s="584" t="n">
        <f>$AP42*0.95</f>
        <v>0.21184999999999998</v>
      </c>
      <c r="AS42" s="588" t="str">
        <f>IFERROR(INDEX('DATA MAP'!$C$8:$C$137,MATCH($AJ42,'DATA MAP'!$A$8:$A$137,0))&amp;IF(INDEX('DATA MAP'!$D$8:$D$137,MATCH($AJ42,'DATA MAP'!$A$8:$A$137,0))="",""," | "&amp;INDEX('DATA MAP'!$D$8:$D$137,MATCH($AJ42,'DATA MAP'!$A$8:$A$137,0))),"Not provided")</f>
        <v>PROJECT CASH FLOW | J16</v>
      </c>
      <c r="AT42" s="588" t="n">
        <v>46228</v>
      </c>
      <c r="AU42" s="588" t="str">
        <v>Mapped</v>
      </c>
      <c r="AV42" s="588" t="str">
        <f>IF(OR($AU42="Conflict",$AU42="Review Required",$AU42="New Input Required",$AU42="Unsupported"),"Management","Model owner")</f>
        <v>Model owner</v>
      </c>
      <c r="AW42" s="588" t="str">
        <v>Current detailed data-book budget adopted; the older higher scope is superseded. Scenario columns show the source cost-factor cross-check.</v>
      </c>
      <c r="AX42" t="str">
        <v>Derived calculation</v>
      </c>
      <c r="AY42" s="2440" t="n">
        <f>$H$98</f>
        <v>0.223</v>
      </c>
      <c r="AZ42" t="str">
        <v>Yes</v>
      </c>
      <c r="BA42" t="str">
        <v>Underwriting</v>
      </c>
      <c r="BB42" t="str">
        <v>Detailed cost schedule</v>
      </c>
      <c r="BC42" t="str">
        <v>PROJECTS register book(4).xlsm</v>
      </c>
      <c r="BD42" t="str">
        <v>Resolved</v>
      </c>
      <c r="BE42" t="str">
        <v>None — technical mapping complete.</v>
      </c>
      <c r="BF42" s="2442" t="n">
        <v>46231</v>
      </c>
      <c r="BG42" t="str">
        <f>IF($AZ42="No","PASS",IF(OR($AX42="Owner decision outstanding",$BD42="OWNER DECISION"),"WARNING",IF(OR($AP42="",$AN42="",$AS42="",$AV42=""),"FAIL","PASS")))</f>
        <v>PASS</v>
      </c>
    </row>
    <row r="43" ht="24" customHeight="1">
      <c r="A43" s="2504"/>
      <c r="B43" s="2504"/>
      <c r="C43" s="2504"/>
      <c r="D43" s="2504"/>
      <c r="E43" s="2546"/>
      <c r="F43" s="2546"/>
      <c r="G43" s="2546"/>
      <c r="H43" s="2546"/>
      <c r="I43" s="2543"/>
      <c r="J43" s="2504"/>
      <c r="K43" s="2504"/>
      <c r="AJ43" s="578" t="str">
        <v>CAPEX-STORAGE</v>
      </c>
      <c r="AK43" s="579" t="str">
        <v>Development capex</v>
      </c>
      <c r="AL43" s="579" t="str">
        <v>Storage</v>
      </c>
      <c r="AM43" s="579" t="str">
        <v>Self-storage capex</v>
      </c>
      <c r="AN43" s="579" t="str">
        <v>A$m</v>
      </c>
      <c r="AO43" s="579" t="str">
        <v>Outturn source estimate</v>
      </c>
      <c r="AP43" s="584" t="n">
        <v>1.5</v>
      </c>
      <c r="AQ43" s="584" t="n">
        <f>$AP43*1.1</f>
        <v>1.6500000000000001</v>
      </c>
      <c r="AR43" s="584" t="n">
        <f>$AP43*0.95</f>
        <v>1.4249999999999998</v>
      </c>
      <c r="AS43" s="588" t="str">
        <f>IFERROR(INDEX('DATA MAP'!$C$8:$C$137,MATCH($AJ43,'DATA MAP'!$A$8:$A$137,0))&amp;IF(INDEX('DATA MAP'!$D$8:$D$137,MATCH($AJ43,'DATA MAP'!$A$8:$A$137,0))="",""," | "&amp;INDEX('DATA MAP'!$D$8:$D$137,MATCH($AJ43,'DATA MAP'!$A$8:$A$137,0))),"Not provided")</f>
        <v>PROJECT CASH FLOW | J17</v>
      </c>
      <c r="AT43" s="588" t="n">
        <v>46228</v>
      </c>
      <c r="AU43" s="588" t="str">
        <v>Mapped</v>
      </c>
      <c r="AV43" s="588" t="str">
        <f>IF(OR($AU43="Conflict",$AU43="Review Required",$AU43="New Input Required",$AU43="Unsupported"),"Management","Model owner")</f>
        <v>Model owner</v>
      </c>
      <c r="AW43" s="588" t="str">
        <v>Current detailed data-book budget adopted; the older higher scope is superseded. Scenario columns show the source cost-factor cross-check.</v>
      </c>
      <c r="AX43" t="str">
        <v>Derived calculation</v>
      </c>
      <c r="AY43" s="2440" t="n">
        <f>$H$99</f>
        <v>1.5</v>
      </c>
      <c r="AZ43" t="str">
        <v>Yes</v>
      </c>
      <c r="BA43" t="str">
        <v>Underwriting</v>
      </c>
      <c r="BB43" t="str">
        <v>Detailed cost schedule</v>
      </c>
      <c r="BC43" t="str">
        <v>PROJECTS register book(4).xlsm</v>
      </c>
      <c r="BD43" t="str">
        <v>Resolved</v>
      </c>
      <c r="BE43" t="str">
        <v>None — technical mapping complete.</v>
      </c>
      <c r="BF43" s="2442" t="n">
        <v>46231</v>
      </c>
      <c r="BG43" t="str">
        <f>IF($AZ43="No","PASS",IF(OR($AX43="Owner decision outstanding",$BD43="OWNER DECISION"),"WARNING",IF(OR($AP43="",$AN43="",$AS43="",$AV43=""),"FAIL","PASS")))</f>
        <v>PASS</v>
      </c>
    </row>
    <row r="44" ht="24" customHeight="1">
      <c r="A44" s="2537" t="str">
        <v>PROGRAMME &amp; MILESTONES</v>
      </c>
      <c r="B44" s="2537"/>
      <c r="C44" s="2537"/>
      <c r="D44" s="2537"/>
      <c r="E44" s="2539"/>
      <c r="F44" s="2539"/>
      <c r="G44" s="2539"/>
      <c r="H44" s="2539"/>
      <c r="I44" s="2536"/>
      <c r="J44" s="2537"/>
      <c r="K44" s="2537"/>
      <c r="AJ44" s="578" t="str">
        <v>CAPEX-CONV</v>
      </c>
      <c r="AK44" s="579" t="str">
        <v>Development capex</v>
      </c>
      <c r="AL44" s="579" t="str">
        <v>Retail and ancillary uses</v>
      </c>
      <c r="AM44" s="579" t="str">
        <v>Convenience store capex</v>
      </c>
      <c r="AN44" s="579" t="str">
        <v>A$m</v>
      </c>
      <c r="AO44" s="579" t="str">
        <v>Outturn source estimate</v>
      </c>
      <c r="AP44" s="584" t="n">
        <v>0.417</v>
      </c>
      <c r="AQ44" s="584" t="n">
        <f>$AP44*1.1</f>
        <v>0.4587</v>
      </c>
      <c r="AR44" s="584" t="n">
        <f>$AP44*0.95</f>
        <v>0.39614999999999995</v>
      </c>
      <c r="AS44" s="588" t="str">
        <f>IFERROR(INDEX('DATA MAP'!$C$8:$C$137,MATCH($AJ44,'DATA MAP'!$A$8:$A$137,0))&amp;IF(INDEX('DATA MAP'!$D$8:$D$137,MATCH($AJ44,'DATA MAP'!$A$8:$A$137,0))="",""," | "&amp;INDEX('DATA MAP'!$D$8:$D$137,MATCH($AJ44,'DATA MAP'!$A$8:$A$137,0))),"Not provided")</f>
        <v>PROJECT CASH FLOW | J18</v>
      </c>
      <c r="AT44" s="588" t="n">
        <v>46228</v>
      </c>
      <c r="AU44" s="588" t="str">
        <v>Mapped</v>
      </c>
      <c r="AV44" s="588" t="str">
        <f>IF(OR($AU44="Conflict",$AU44="Review Required",$AU44="New Input Required",$AU44="Unsupported"),"Management","Model owner")</f>
        <v>Model owner</v>
      </c>
      <c r="AW44" s="588" t="str">
        <v>Current detailed data-book budget adopted; the older higher scope is superseded. Scenario columns show the source cost-factor cross-check.</v>
      </c>
      <c r="AX44" t="str">
        <v>Derived calculation</v>
      </c>
      <c r="AY44" s="2440" t="n">
        <f>$H$100</f>
        <v>0.417</v>
      </c>
      <c r="AZ44" t="str">
        <v>Yes</v>
      </c>
      <c r="BA44" t="str">
        <v>Underwriting</v>
      </c>
      <c r="BB44" t="str">
        <v>Detailed cost schedule</v>
      </c>
      <c r="BC44" t="str">
        <v>PROJECTS register book(4).xlsm</v>
      </c>
      <c r="BD44" t="str">
        <v>Resolved</v>
      </c>
      <c r="BE44" t="str">
        <v>None — technical mapping complete.</v>
      </c>
      <c r="BF44" s="2442" t="n">
        <v>46231</v>
      </c>
      <c r="BG44" t="str">
        <f>IF($AZ44="No","PASS",IF(OR($AX44="Owner decision outstanding",$BD44="OWNER DECISION"),"WARNING",IF(OR($AP44="",$AN44="",$AS44="",$AV44=""),"FAIL","PASS")))</f>
        <v>PASS</v>
      </c>
    </row>
    <row r="45" ht="24" customHeight="1">
      <c r="A45" s="2512" t="str">
        <v>Field ID</v>
      </c>
      <c r="B45" s="2512" t="str">
        <v>Component</v>
      </c>
      <c r="C45" s="2512" t="str">
        <v>Assumption</v>
      </c>
      <c r="D45" s="2512" t="str">
        <v>Unit / Period</v>
      </c>
      <c r="E45" s="2539" t="str">
        <v>Base</v>
      </c>
      <c r="F45" s="2539" t="str">
        <v>Downside</v>
      </c>
      <c r="G45" s="2539" t="str">
        <v>Upside</v>
      </c>
      <c r="H45" s="2539" t="str">
        <v>Selected Value</v>
      </c>
      <c r="I45" s="2540" t="str">
        <v>Status / Source</v>
      </c>
      <c r="J45" s="2512" t="str">
        <v>Owner / Input Type</v>
      </c>
      <c r="K45" s="2512" t="str">
        <v>Notes</v>
      </c>
      <c r="AJ45" s="578" t="str">
        <v>CAPEX-LAUND</v>
      </c>
      <c r="AK45" s="579" t="str">
        <v>Development capex</v>
      </c>
      <c r="AL45" s="579" t="str">
        <v>Retail and ancillary uses</v>
      </c>
      <c r="AM45" s="579" t="str">
        <v>Laundromat capex</v>
      </c>
      <c r="AN45" s="579" t="str">
        <v>A$m</v>
      </c>
      <c r="AO45" s="579" t="str">
        <v>Outturn source estimate</v>
      </c>
      <c r="AP45" s="584" t="n">
        <v>0.8</v>
      </c>
      <c r="AQ45" s="584" t="n">
        <f>$AP45*1.1</f>
        <v>0.8800000000000001</v>
      </c>
      <c r="AR45" s="584" t="n">
        <f>$AP45*0.95</f>
        <v>0.76</v>
      </c>
      <c r="AS45" s="588" t="str">
        <f>IFERROR(INDEX('DATA MAP'!$C$8:$C$137,MATCH($AJ45,'DATA MAP'!$A$8:$A$137,0))&amp;IF(INDEX('DATA MAP'!$D$8:$D$137,MATCH($AJ45,'DATA MAP'!$A$8:$A$137,0))="",""," | "&amp;INDEX('DATA MAP'!$D$8:$D$137,MATCH($AJ45,'DATA MAP'!$A$8:$A$137,0))),"Not provided")</f>
        <v>PROJECT CASH FLOW | J19</v>
      </c>
      <c r="AT45" s="588" t="n">
        <v>46228</v>
      </c>
      <c r="AU45" s="588" t="str">
        <v>Mapped</v>
      </c>
      <c r="AV45" s="588" t="str">
        <f>IF(OR($AU45="Conflict",$AU45="Review Required",$AU45="New Input Required",$AU45="Unsupported"),"Management","Model owner")</f>
        <v>Model owner</v>
      </c>
      <c r="AW45" s="588" t="str">
        <v>Current detailed data-book budget adopted; the older higher scope is superseded. Scenario columns show the source cost-factor cross-check.</v>
      </c>
      <c r="AX45" t="str">
        <v>Derived calculation</v>
      </c>
      <c r="AY45" s="2440" t="n">
        <f>$H$101</f>
        <v>0.8</v>
      </c>
      <c r="AZ45" t="str">
        <v>Yes</v>
      </c>
      <c r="BA45" t="str">
        <v>Underwriting</v>
      </c>
      <c r="BB45" t="str">
        <v>Detailed cost schedule</v>
      </c>
      <c r="BC45" t="str">
        <v>PROJECTS register book(4).xlsm</v>
      </c>
      <c r="BD45" t="str">
        <v>Resolved</v>
      </c>
      <c r="BE45" t="str">
        <v>None — technical mapping complete.</v>
      </c>
      <c r="BF45" s="2442" t="n">
        <v>46231</v>
      </c>
      <c r="BG45" t="str">
        <f>IF($AZ45="No","PASS",IF(OR($AX45="Owner decision outstanding",$BD45="OWNER DECISION"),"WARNING",IF(OR($AP45="",$AN45="",$AS45="",$AV45=""),"FAIL","PASS")))</f>
        <v>PASS</v>
      </c>
    </row>
    <row r="46" ht="24" customHeight="1">
      <c r="A46" s="2512" t="str">
        <f>$AJ$13</f>
        <v>PRJ-006</v>
      </c>
      <c r="B46" s="2512" t="str">
        <f>$AL$13</f>
        <v>Programme</v>
      </c>
      <c r="C46" s="2512" t="str">
        <f>$AM$13</f>
        <v>Model start date</v>
      </c>
      <c r="D46" s="2512" t="str">
        <f>$AN$13&amp;IF($AO$13="",""," | "&amp;IF($AN$13="Date",TEXT($AO$13,"dd mmm yyyy"),$AO$13))</f>
        <v>Date | Monthly model</v>
      </c>
      <c r="E46" s="2634" t="n">
        <v>46204</v>
      </c>
      <c r="F46" s="2547"/>
      <c r="G46" s="2547"/>
      <c r="H46" s="2547" t="n">
        <f>IF($A46="","",$E46)</f>
        <v>46204</v>
      </c>
      <c r="I46" s="2543" t="str">
        <f>$AU$13&amp;IF($AS$13="",""," | "&amp;$AS$13)</f>
        <v>Mapped | MODEL DESIGN | C12</v>
      </c>
      <c r="J46" s="2504" t="str">
        <f>$AV$13&amp;" | "&amp;$AX$13</f>
        <v>Model owner | Hard-coded model input</v>
      </c>
      <c r="K46" s="2504" t="str">
        <f>$AW$13</f>
        <v>Target monthly date provides the precise start within the source quarter.</v>
      </c>
      <c r="AJ46" s="578" t="str">
        <v>CAPEX-ROADS</v>
      </c>
      <c r="AK46" s="579" t="str">
        <v>Development capex</v>
      </c>
      <c r="AL46" s="579" t="str">
        <v>Development capex</v>
      </c>
      <c r="AM46" s="579" t="str">
        <v>Roads and paths capex</v>
      </c>
      <c r="AN46" s="579" t="str">
        <v>A$m</v>
      </c>
      <c r="AO46" s="579" t="str">
        <v>Outturn source estimate</v>
      </c>
      <c r="AP46" s="584" t="n">
        <v>6</v>
      </c>
      <c r="AQ46" s="584" t="n">
        <f>$AP46*1.1</f>
        <v>6.6000000000000005</v>
      </c>
      <c r="AR46" s="584" t="n">
        <f>$AP46*0.95</f>
        <v>5.699999999999999</v>
      </c>
      <c r="AS46" s="588" t="str">
        <f>IFERROR(INDEX('DATA MAP'!$C$8:$C$137,MATCH($AJ46,'DATA MAP'!$A$8:$A$137,0))&amp;IF(INDEX('DATA MAP'!$D$8:$D$137,MATCH($AJ46,'DATA MAP'!$A$8:$A$137,0))="",""," | "&amp;INDEX('DATA MAP'!$D$8:$D$137,MATCH($AJ46,'DATA MAP'!$A$8:$A$137,0))),"Not provided")</f>
        <v>PROJECT CASH FLOW | J20</v>
      </c>
      <c r="AT46" s="588" t="n">
        <v>46228</v>
      </c>
      <c r="AU46" s="588" t="str">
        <v>Mapped</v>
      </c>
      <c r="AV46" s="588" t="str">
        <f>IF(OR($AU46="Conflict",$AU46="Review Required",$AU46="New Input Required",$AU46="Unsupported"),"Management","Model owner")</f>
        <v>Model owner</v>
      </c>
      <c r="AW46" s="588" t="str">
        <v>Current detailed data-book budget adopted; the older higher scope is superseded. Scenario columns show the source cost-factor cross-check.</v>
      </c>
      <c r="AX46" t="str">
        <v>Derived calculation</v>
      </c>
      <c r="AY46" s="2440" t="n">
        <f>$H$102</f>
        <v>6</v>
      </c>
      <c r="AZ46" t="str">
        <v>Yes</v>
      </c>
      <c r="BA46" t="str">
        <v>Underwriting</v>
      </c>
      <c r="BB46" t="str">
        <v>Detailed cost schedule</v>
      </c>
      <c r="BC46" t="str">
        <v>PROJECTS register book(4).xlsm</v>
      </c>
      <c r="BD46" t="str">
        <v>Resolved</v>
      </c>
      <c r="BE46" t="str">
        <v>None — technical mapping complete.</v>
      </c>
      <c r="BF46" s="2442" t="n">
        <v>46231</v>
      </c>
      <c r="BG46" t="str">
        <f>IF($AZ46="No","PASS",IF(OR($AX46="Owner decision outstanding",$BD46="OWNER DECISION"),"WARNING",IF(OR($AP46="",$AN46="",$AS46="",$AV46=""),"FAIL","PASS")))</f>
        <v>PASS</v>
      </c>
    </row>
    <row r="47" ht="24" customHeight="1">
      <c r="A47" s="2504" t="str">
        <f>$AJ$14</f>
        <v>PRJ-007</v>
      </c>
      <c r="B47" s="2504" t="str">
        <f>$AL$14</f>
        <v>Programme</v>
      </c>
      <c r="C47" s="2541" t="str">
        <f>$AM$14</f>
        <v>Construction duration</v>
      </c>
      <c r="D47" s="2544" t="str">
        <f>$AN$14&amp;IF($AO$14="",""," | "&amp;IF($AN$14="Date",TEXT($AO$14,"dd mmm yyyy"),$AO$14))</f>
        <v>Months | Monthly model</v>
      </c>
      <c r="E47" s="2505" t="n">
        <f>$AP$14</f>
        <v>36</v>
      </c>
      <c r="F47" s="2505"/>
      <c r="G47" s="2505"/>
      <c r="H47" s="2505" t="n">
        <f>IF($A47="","",$E47)</f>
        <v>36</v>
      </c>
      <c r="I47" s="2543" t="str">
        <f>$AU$14&amp;IF($AS$14="",""," | "&amp;$AS$14)</f>
        <v>Mapped | MODEL DESIGN | C13</v>
      </c>
      <c r="J47" s="2504" t="str">
        <f>$AV$14&amp;" | "&amp;$AX$14</f>
        <v>Model owner | Derived calculation</v>
      </c>
      <c r="K47" s="2504" t="str">
        <f>$AW$14</f>
        <v>Q2 2029 completion selected and linked to the 36-month construction programme. | The documented source hierarchy has been applied; the controlling target schedule is identified and no amount is double counted.</v>
      </c>
      <c r="AJ47" s="578" t="str">
        <v>CAPEX-WATER</v>
      </c>
      <c r="AK47" s="579" t="str">
        <v>Development capex</v>
      </c>
      <c r="AL47" s="579" t="str">
        <v>Development capex</v>
      </c>
      <c r="AM47" s="579" t="str">
        <v>Water treatment plant capex</v>
      </c>
      <c r="AN47" s="579" t="str">
        <v>A$m</v>
      </c>
      <c r="AO47" s="579" t="str">
        <v>Outturn source estimate</v>
      </c>
      <c r="AP47" s="584" t="n">
        <v>2</v>
      </c>
      <c r="AQ47" s="584" t="n">
        <f>$AP47*1.1</f>
        <v>2.2</v>
      </c>
      <c r="AR47" s="584" t="n">
        <f>$AP47*0.95</f>
        <v>1.9</v>
      </c>
      <c r="AS47" s="588" t="str">
        <f>IFERROR(INDEX('DATA MAP'!$C$8:$C$137,MATCH($AJ47,'DATA MAP'!$A$8:$A$137,0))&amp;IF(INDEX('DATA MAP'!$D$8:$D$137,MATCH($AJ47,'DATA MAP'!$A$8:$A$137,0))="",""," | "&amp;INDEX('DATA MAP'!$D$8:$D$137,MATCH($AJ47,'DATA MAP'!$A$8:$A$137,0))),"Not provided")</f>
        <v>PROJECT CASH FLOW | J21</v>
      </c>
      <c r="AT47" s="588" t="n">
        <v>46228</v>
      </c>
      <c r="AU47" s="588" t="str">
        <v>Mapped</v>
      </c>
      <c r="AV47" s="588" t="str">
        <f>IF(OR($AU47="Conflict",$AU47="Review Required",$AU47="New Input Required",$AU47="Unsupported"),"Management","Model owner")</f>
        <v>Model owner</v>
      </c>
      <c r="AW47" s="588" t="str">
        <v>Current detailed data-book budget adopted; the older higher scope is superseded. Scenario columns show the source cost-factor cross-check.</v>
      </c>
      <c r="AX47" t="str">
        <v>Derived calculation</v>
      </c>
      <c r="AY47" s="2440" t="n">
        <f>$H$103</f>
        <v>2</v>
      </c>
      <c r="AZ47" t="str">
        <v>Yes</v>
      </c>
      <c r="BA47" t="str">
        <v>Underwriting</v>
      </c>
      <c r="BB47" t="str">
        <v>Detailed cost schedule</v>
      </c>
      <c r="BC47" t="str">
        <v>PROJECTS register book(4).xlsm</v>
      </c>
      <c r="BD47" t="str">
        <v>Resolved</v>
      </c>
      <c r="BE47" t="str">
        <v>None — technical mapping complete.</v>
      </c>
      <c r="BF47" s="2442" t="n">
        <v>46231</v>
      </c>
      <c r="BG47" t="str">
        <f>IF($AZ47="No","PASS",IF(OR($AX47="Owner decision outstanding",$BD47="OWNER DECISION"),"WARNING",IF(OR($AP47="",$AN47="",$AS47="",$AV47=""),"FAIL","PASS")))</f>
        <v>PASS</v>
      </c>
    </row>
    <row r="48" ht="24" customHeight="1">
      <c r="A48" s="2513" t="str">
        <f>$AJ$15</f>
        <v>PRJ-008</v>
      </c>
      <c r="B48" s="2513" t="str">
        <f>$AL$15</f>
        <v>Programme</v>
      </c>
      <c r="C48" s="2513" t="str">
        <f>$AM$15</f>
        <v>Operations commence</v>
      </c>
      <c r="D48" s="2513" t="str">
        <f>$AN$15&amp;IF($AO$15="",""," | "&amp;IF($AN$15="Date",TEXT($AO$15,"dd mmm yyyy"),$AO$15))</f>
        <v>Model month | Monthly model</v>
      </c>
      <c r="E48" s="2514" t="n">
        <f>$AP$15</f>
        <v>19</v>
      </c>
      <c r="F48" s="2514"/>
      <c r="G48" s="2514"/>
      <c r="H48" s="2514" t="n">
        <f>IF($A48="","",$E48)</f>
        <v>19</v>
      </c>
      <c r="I48" s="2543" t="str">
        <f>$AU$15&amp;IF($AS$15="",""," | "&amp;$AS$15)</f>
        <v>Formula Preserved | MODEL DESIGN | C14</v>
      </c>
      <c r="J48" s="2504" t="str">
        <f>$AV$15&amp;" | "&amp;$AX$15</f>
        <v>Model owner | Derived calculation</v>
      </c>
      <c r="K48" s="2504" t="str">
        <f>$AW$15</f>
        <v>Formula preserved; source states Q3 2029. | The documented source hierarchy has been applied; the controlling target schedule is identified and no amount is double counted.</v>
      </c>
      <c r="AJ48" s="578" t="str">
        <v>CAPEX-WATERSYS</v>
      </c>
      <c r="AK48" s="579" t="str">
        <v>Development capex</v>
      </c>
      <c r="AL48" s="579" t="str">
        <v>Development capex</v>
      </c>
      <c r="AM48" s="579" t="str">
        <v>Water systems capex</v>
      </c>
      <c r="AN48" s="579" t="str">
        <v>A$m</v>
      </c>
      <c r="AO48" s="579" t="str">
        <v>Outturn source estimate</v>
      </c>
      <c r="AP48" s="584" t="n">
        <v>2.1</v>
      </c>
      <c r="AQ48" s="584" t="n">
        <f>$AP48*1.1</f>
        <v>2.3100000000000005</v>
      </c>
      <c r="AR48" s="584" t="n">
        <f>$AP48*0.95</f>
        <v>1.9949999999999999</v>
      </c>
      <c r="AS48" s="588" t="str">
        <f>IFERROR(INDEX('DATA MAP'!$C$8:$C$137,MATCH($AJ48,'DATA MAP'!$A$8:$A$137,0))&amp;IF(INDEX('DATA MAP'!$D$8:$D$137,MATCH($AJ48,'DATA MAP'!$A$8:$A$137,0))="",""," | "&amp;INDEX('DATA MAP'!$D$8:$D$137,MATCH($AJ48,'DATA MAP'!$A$8:$A$137,0))),"Not provided")</f>
        <v>PROJECT CASH FLOW | J22</v>
      </c>
      <c r="AT48" s="588" t="n">
        <v>46228</v>
      </c>
      <c r="AU48" s="588" t="str">
        <v>Mapped</v>
      </c>
      <c r="AV48" s="588" t="str">
        <f>IF(OR($AU48="Conflict",$AU48="Review Required",$AU48="New Input Required",$AU48="Unsupported"),"Management","Model owner")</f>
        <v>Model owner</v>
      </c>
      <c r="AW48" s="588" t="str">
        <v>Current detailed data-book budget adopted; the older higher scope is superseded. Scenario columns show the source cost-factor cross-check.</v>
      </c>
      <c r="AX48" t="str">
        <v>Derived calculation</v>
      </c>
      <c r="AY48" s="2440" t="n">
        <f>$H$104</f>
        <v>2.1</v>
      </c>
      <c r="AZ48" t="str">
        <v>Yes</v>
      </c>
      <c r="BA48" t="str">
        <v>Underwriting</v>
      </c>
      <c r="BB48" t="str">
        <v>Detailed cost schedule</v>
      </c>
      <c r="BC48" t="str">
        <v>PROJECTS register book(4).xlsm</v>
      </c>
      <c r="BD48" t="str">
        <v>Resolved</v>
      </c>
      <c r="BE48" t="str">
        <v>None — technical mapping complete.</v>
      </c>
      <c r="BF48" s="2442" t="n">
        <v>46231</v>
      </c>
      <c r="BG48" t="str">
        <f>IF($AZ48="No","PASS",IF(OR($AX48="Owner decision outstanding",$BD48="OWNER DECISION"),"WARNING",IF(OR($AP48="",$AN48="",$AS48="",$AV48=""),"FAIL","PASS")))</f>
        <v>PASS</v>
      </c>
    </row>
    <row r="49" ht="24" customHeight="1">
      <c r="A49" s="2508" t="str">
        <f>$AJ$16</f>
        <v>PRJ-009</v>
      </c>
      <c r="B49" s="2508" t="str">
        <f>$AL$16</f>
        <v>Programme</v>
      </c>
      <c r="C49" s="2508" t="str">
        <f>$AM$16</f>
        <v>First stabilised month</v>
      </c>
      <c r="D49" s="2508" t="str">
        <f>$AN$16&amp;IF($AO$16="",""," | "&amp;IF($AN$16="Date",TEXT($AO$16,"dd mmm yyyy"),$AO$16))</f>
        <v>Model month | Monthly model</v>
      </c>
      <c r="E49" s="2509" t="n">
        <f>$AP$16</f>
        <v>49</v>
      </c>
      <c r="F49" s="2509"/>
      <c r="G49" s="2509"/>
      <c r="H49" s="2509" t="n">
        <f>IF($A49="","",$E49)</f>
        <v>49</v>
      </c>
      <c r="I49" s="2543" t="str">
        <f>$AU$16&amp;IF($AS$16="",""," | "&amp;$AS$16)</f>
        <v>Formula Preserved | Target: Underwriting | D89</v>
      </c>
      <c r="J49" s="2504" t="str">
        <f>$AV$16&amp;" | "&amp;$AX$16</f>
        <v>Model owner | Formula-linked source input</v>
      </c>
      <c r="K49" s="2504" t="str">
        <f>$AW$16</f>
        <v>Existing lease-up formula preserved.</v>
      </c>
      <c r="AJ49" s="578" t="str">
        <v>CAPEX-SOLAR</v>
      </c>
      <c r="AK49" s="579" t="str">
        <v>Development capex</v>
      </c>
      <c r="AL49" s="579" t="str">
        <v>Development capex</v>
      </c>
      <c r="AM49" s="579" t="str">
        <v>Solar/battery capex</v>
      </c>
      <c r="AN49" s="579" t="str">
        <v>A$m</v>
      </c>
      <c r="AO49" s="579" t="str">
        <v>Outturn source estimate</v>
      </c>
      <c r="AP49" s="584" t="n">
        <v>12</v>
      </c>
      <c r="AQ49" s="584" t="n">
        <f>$AP49*1.1</f>
        <v>13.200000000000001</v>
      </c>
      <c r="AR49" s="584" t="n">
        <f>$AP49*0.95</f>
        <v>11.399999999999999</v>
      </c>
      <c r="AS49" s="588" t="str">
        <f>IFERROR(INDEX('DATA MAP'!$C$8:$C$137,MATCH($AJ49,'DATA MAP'!$A$8:$A$137,0))&amp;IF(INDEX('DATA MAP'!$D$8:$D$137,MATCH($AJ49,'DATA MAP'!$A$8:$A$137,0))="",""," | "&amp;INDEX('DATA MAP'!$D$8:$D$137,MATCH($AJ49,'DATA MAP'!$A$8:$A$137,0))),"Not provided")</f>
        <v>PROJECT CASH FLOW | J23</v>
      </c>
      <c r="AT49" s="588" t="n">
        <v>46228</v>
      </c>
      <c r="AU49" s="588" t="str">
        <v>Mapped</v>
      </c>
      <c r="AV49" s="588" t="str">
        <f>IF(OR($AU49="Conflict",$AU49="Review Required",$AU49="New Input Required",$AU49="Unsupported"),"Management","Model owner")</f>
        <v>Model owner</v>
      </c>
      <c r="AW49" s="588" t="str">
        <v>Current detailed data-book budget adopted; the older higher scope is superseded. Scenario columns show the source cost-factor cross-check.</v>
      </c>
      <c r="AX49" t="str">
        <v>Derived calculation</v>
      </c>
      <c r="AY49" s="2440" t="n">
        <f>$H$105</f>
        <v>12</v>
      </c>
      <c r="AZ49" t="str">
        <v>Yes</v>
      </c>
      <c r="BA49" t="str">
        <v>Underwriting</v>
      </c>
      <c r="BB49" t="str">
        <v>Detailed cost schedule</v>
      </c>
      <c r="BC49" t="str">
        <v>PROJECTS register book(4).xlsm</v>
      </c>
      <c r="BD49" t="str">
        <v>Resolved</v>
      </c>
      <c r="BE49" t="str">
        <v>None — technical mapping complete.</v>
      </c>
      <c r="BF49" s="2442" t="n">
        <v>46231</v>
      </c>
      <c r="BG49" t="str">
        <f>IF($AZ49="No","PASS",IF(OR($AX49="Owner decision outstanding",$BD49="OWNER DECISION"),"WARNING",IF(OR($AP49="",$AN49="",$AS49="",$AV49=""),"FAIL","PASS")))</f>
        <v>PASS</v>
      </c>
    </row>
    <row r="50" ht="24" customHeight="1">
      <c r="A50" s="2517" t="str">
        <f>$AJ$179</f>
        <v>PRG-PC-DATE</v>
      </c>
      <c r="B50" s="2517" t="str">
        <f>$AL$179</f>
        <v>Programme</v>
      </c>
      <c r="C50" s="2517" t="str">
        <f>$AM$179</f>
        <v>Practical completion date</v>
      </c>
      <c r="D50" s="2504" t="str">
        <f>$AN$179&amp;IF($AO$179="",""," | "&amp;IF($AN$179="Date",TEXT($AO$179,"dd mmm yyyy"),$AO$179))</f>
        <v>Date | Base case</v>
      </c>
      <c r="E50" s="2548" t="n">
        <f>$AP$179</f>
        <v>47299</v>
      </c>
      <c r="F50" s="2548"/>
      <c r="G50" s="2548"/>
      <c r="H50" s="2548" t="n">
        <f>IF($A50="","",$E50)</f>
        <v>47299</v>
      </c>
      <c r="I50" s="2543" t="str">
        <f>$AU$179&amp;IF($AS$179="",""," | "&amp;$AS$179)</f>
        <v>Mapped — provisional | Source programme / management selection</v>
      </c>
      <c r="J50" s="2504" t="str">
        <f>$AV$179&amp;" | "&amp;$AX$179</f>
        <v>Management | Derived calculation</v>
      </c>
      <c r="K50" s="2504" t="str">
        <f>$AW$179</f>
        <v>Q2 2029 selected as the controlling completion programme; the model uses 30 June 2029. | The field is live and formula-linked; its commercial or specialist basis remains provisional where stated.</v>
      </c>
      <c r="AJ50" s="578" t="str">
        <v>CAPEX-COMMON</v>
      </c>
      <c r="AK50" s="579" t="str">
        <v>Development capex</v>
      </c>
      <c r="AL50" s="579" t="str">
        <v>Development capex</v>
      </c>
      <c r="AM50" s="579" t="str">
        <v>Landscape/common capex</v>
      </c>
      <c r="AN50" s="579" t="str">
        <v>A$m</v>
      </c>
      <c r="AO50" s="579" t="str">
        <v>Outturn source estimate</v>
      </c>
      <c r="AP50" s="584" t="n">
        <v>15.07</v>
      </c>
      <c r="AQ50" s="584" t="n">
        <f>$AP50*1.1</f>
        <v>16.577</v>
      </c>
      <c r="AR50" s="584" t="n">
        <f>$AP50*0.95</f>
        <v>14.3165</v>
      </c>
      <c r="AS50" s="588" t="str">
        <f>IFERROR(INDEX('DATA MAP'!$C$8:$C$137,MATCH($AJ50,'DATA MAP'!$A$8:$A$137,0))&amp;IF(INDEX('DATA MAP'!$D$8:$D$137,MATCH($AJ50,'DATA MAP'!$A$8:$A$137,0))="",""," | "&amp;INDEX('DATA MAP'!$D$8:$D$137,MATCH($AJ50,'DATA MAP'!$A$8:$A$137,0))),"Not provided")</f>
        <v>PROJECT CASH FLOW | J24</v>
      </c>
      <c r="AT50" s="588" t="n">
        <v>46228</v>
      </c>
      <c r="AU50" s="588" t="str">
        <v>Mapped</v>
      </c>
      <c r="AV50" s="588" t="str">
        <f>IF(OR($AU50="Conflict",$AU50="Review Required",$AU50="New Input Required",$AU50="Unsupported"),"Management","Model owner")</f>
        <v>Model owner</v>
      </c>
      <c r="AW50" s="588" t="str">
        <v>Current detailed data-book budget adopted; the older higher scope is superseded. Scenario columns show the source cost-factor cross-check.</v>
      </c>
      <c r="AX50" t="str">
        <v>Derived calculation</v>
      </c>
      <c r="AY50" s="2440" t="n">
        <f>$H$106</f>
        <v>15.07</v>
      </c>
      <c r="AZ50" t="str">
        <v>Yes</v>
      </c>
      <c r="BA50" t="str">
        <v>Underwriting</v>
      </c>
      <c r="BB50" t="str">
        <v>Detailed cost schedule</v>
      </c>
      <c r="BC50" t="str">
        <v>PROJECTS register book(4).xlsm</v>
      </c>
      <c r="BD50" t="str">
        <v>Resolved</v>
      </c>
      <c r="BE50" t="str">
        <v>None — technical mapping complete.</v>
      </c>
      <c r="BF50" s="2442" t="n">
        <v>46231</v>
      </c>
      <c r="BG50" t="str">
        <f>IF($AZ50="No","PASS",IF(OR($AX50="Owner decision outstanding",$BD50="OWNER DECISION"),"WARNING",IF(OR($AP50="",$AN50="",$AS50="",$AV50=""),"FAIL","PASS")))</f>
        <v>PASS</v>
      </c>
    </row>
    <row r="51" ht="24" customHeight="1">
      <c r="A51" s="2504" t="str">
        <f>$AJ$180</f>
        <v>PRG-OPEN-DATE</v>
      </c>
      <c r="B51" s="2508" t="str">
        <f>$AL$180</f>
        <v>Programme</v>
      </c>
      <c r="C51" s="2504" t="str">
        <f>$AM$180</f>
        <v>Operations commencement date</v>
      </c>
      <c r="D51" s="2504" t="str">
        <f>$AN$180&amp;IF($AO$180="",""," | "&amp;IF($AN$180="Date",TEXT($AO$180,"dd mmm yyyy"),$AO$180))</f>
        <v>Date | Base case</v>
      </c>
      <c r="E51" s="2548" t="n">
        <f>$AP$180</f>
        <v>47330</v>
      </c>
      <c r="F51" s="2548"/>
      <c r="G51" s="2548"/>
      <c r="H51" s="2548" t="n">
        <f>IF($A51="","",$E51)</f>
        <v>47330</v>
      </c>
      <c r="I51" s="2543" t="str">
        <f>$AU$180&amp;IF($AS$180="",""," | "&amp;$AS$180)</f>
        <v>Formula Preserved | Live monthly model</v>
      </c>
      <c r="J51" s="2504" t="str">
        <f>$AV$180&amp;" | "&amp;$AX$180</f>
        <v>Model owner | Formula-linked source input</v>
      </c>
      <c r="K51" s="2504" t="str">
        <f>$AW$180</f>
        <v>First month after practical completion.</v>
      </c>
      <c r="AJ51" s="578" t="str">
        <v>CAPEX-PM</v>
      </c>
      <c r="AK51" s="579" t="str">
        <v>Development capex</v>
      </c>
      <c r="AL51" s="579" t="str">
        <v>Development capex</v>
      </c>
      <c r="AM51" s="579" t="str">
        <v>Project management/consultants</v>
      </c>
      <c r="AN51" s="579" t="str">
        <v>A$m</v>
      </c>
      <c r="AO51" s="579" t="str">
        <v>Outturn source estimate</v>
      </c>
      <c r="AP51" s="584" t="n">
        <v>18</v>
      </c>
      <c r="AQ51" s="584" t="n">
        <f>$AP51*1.1</f>
        <v>19.8</v>
      </c>
      <c r="AR51" s="584" t="n">
        <f>$AP51*0.95</f>
        <v>17.099999999999998</v>
      </c>
      <c r="AS51" s="588" t="str">
        <f>IFERROR(INDEX('DATA MAP'!$C$8:$C$137,MATCH($AJ51,'DATA MAP'!$A$8:$A$137,0))&amp;IF(INDEX('DATA MAP'!$D$8:$D$137,MATCH($AJ51,'DATA MAP'!$A$8:$A$137,0))="",""," | "&amp;INDEX('DATA MAP'!$D$8:$D$137,MATCH($AJ51,'DATA MAP'!$A$8:$A$137,0))),"Not provided")</f>
        <v>PROJECT CASH FLOW | J25</v>
      </c>
      <c r="AT51" s="588" t="n">
        <v>46228</v>
      </c>
      <c r="AU51" s="588" t="str">
        <v>Mapped</v>
      </c>
      <c r="AV51" s="588" t="str">
        <f>IF(OR($AU51="Conflict",$AU51="Review Required",$AU51="New Input Required",$AU51="Unsupported"),"Management","Model owner")</f>
        <v>Model owner</v>
      </c>
      <c r="AW51" s="588" t="str">
        <v>Current detailed data-book budget adopted; the older higher scope is superseded. Scenario columns show the source cost-factor cross-check.</v>
      </c>
      <c r="AX51" t="str">
        <v>Derived calculation</v>
      </c>
      <c r="AY51" s="2440" t="n">
        <f>$H$107</f>
        <v>18</v>
      </c>
      <c r="AZ51" t="str">
        <v>Yes</v>
      </c>
      <c r="BA51" t="str">
        <v>Underwriting</v>
      </c>
      <c r="BB51" t="str">
        <v>Detailed cost schedule</v>
      </c>
      <c r="BC51" t="str">
        <v>PROJECTS register book(4).xlsm</v>
      </c>
      <c r="BD51" t="str">
        <v>Resolved</v>
      </c>
      <c r="BE51" t="str">
        <v>None — technical mapping complete.</v>
      </c>
      <c r="BF51" s="2442" t="n">
        <v>46231</v>
      </c>
      <c r="BG51" t="str">
        <f>IF($AZ51="No","PASS",IF(OR($AX51="Owner decision outstanding",$BD51="OWNER DECISION"),"WARNING",IF(OR($AP51="",$AN51="",$AS51="",$AV51=""),"FAIL","PASS")))</f>
        <v>PASS</v>
      </c>
    </row>
    <row r="52" ht="24" customHeight="1">
      <c r="A52" s="2504" t="str">
        <f>$AJ$181</f>
        <v>PRG-STAB-DATE</v>
      </c>
      <c r="B52" s="2508" t="str">
        <f>$AL$181</f>
        <v>Programme</v>
      </c>
      <c r="C52" s="2504" t="str">
        <f>$AM$181</f>
        <v>First stabilised date</v>
      </c>
      <c r="D52" s="2504" t="str">
        <f>$AN$181&amp;IF($AO$181="",""," | "&amp;IF($AN$181="Date",TEXT($AO$181,"dd mmm yyyy"),$AO$181))</f>
        <v>Date | Base case</v>
      </c>
      <c r="E52" s="2548" t="n">
        <f>$AP$181</f>
        <v>47695</v>
      </c>
      <c r="F52" s="2548"/>
      <c r="G52" s="2548"/>
      <c r="H52" s="2548" t="n">
        <f>IF($A52="","",$E52)</f>
        <v>47695</v>
      </c>
      <c r="I52" s="2543" t="str">
        <f>$AU$181&amp;IF($AS$181="",""," | "&amp;$AS$181)</f>
        <v>Formula Preserved | Live monthly lease-up schedule</v>
      </c>
      <c r="J52" s="2504" t="str">
        <f>$AV$181&amp;" | "&amp;$AX$181</f>
        <v>Model owner | Formula-linked source input</v>
      </c>
      <c r="K52" s="2504" t="str">
        <f>$AW$181</f>
        <v>Existing twelve-month operating ramp retained after the revised opening date.</v>
      </c>
      <c r="AJ52" s="578" t="str">
        <v>CAPEX-TOTAL-001</v>
      </c>
      <c r="AK52" s="579" t="str">
        <v>Development capex</v>
      </c>
      <c r="AL52" s="579" t="str">
        <v>Project</v>
      </c>
      <c r="AM52" s="579" t="str">
        <v>Source component capex total</v>
      </c>
      <c r="AN52" s="579" t="str">
        <v>A$m</v>
      </c>
      <c r="AO52" s="579" t="str">
        <v>Outturn source estimate</v>
      </c>
      <c r="AP52" s="584" t="n">
        <v>342.423006481481</v>
      </c>
      <c r="AQ52" s="584" t="n">
        <f>$AP52*1.1</f>
        <v>376.6653071296292</v>
      </c>
      <c r="AR52" s="584" t="n">
        <f>$AP52*0.95</f>
        <v>325.301856157407</v>
      </c>
      <c r="AS52" s="588" t="str">
        <f>IFERROR(INDEX('DATA MAP'!$C$8:$C$137,MATCH($AJ52,'DATA MAP'!$A$8:$A$137,0))&amp;IF(INDEX('DATA MAP'!$D$8:$D$137,MATCH($AJ52,'DATA MAP'!$A$8:$A$137,0))="",""," | "&amp;INDEX('DATA MAP'!$D$8:$D$137,MATCH($AJ52,'DATA MAP'!$A$8:$A$137,0))),"Not provided")</f>
        <v>PROJECT CASH FLOW | J26</v>
      </c>
      <c r="AT52" s="588" t="n">
        <v>46228</v>
      </c>
      <c r="AU52" s="588" t="str">
        <v>Mapped</v>
      </c>
      <c r="AV52" s="588" t="str">
        <f>IF(OR($AU52="Conflict",$AU52="Review Required",$AU52="New Input Required",$AU52="Unsupported"),"Management","Model owner")</f>
        <v>Model owner</v>
      </c>
      <c r="AW52" s="588" t="str">
        <v>Controlling component CAPEX from the current detailed data book, including landscape and one central precinct roof/solar allowance.</v>
      </c>
      <c r="AX52" t="str">
        <v>Derived calculation</v>
      </c>
      <c r="AY52" s="2440" t="n">
        <f>$H$108</f>
        <v>342.423006481481</v>
      </c>
      <c r="AZ52" t="str">
        <v>Yes</v>
      </c>
      <c r="BA52" t="str">
        <v>760</v>
      </c>
      <c r="BB52" t="str">
        <v>760</v>
      </c>
      <c r="BC52" t="str">
        <v>PROJECTS register book(4).xlsm</v>
      </c>
      <c r="BD52" t="str">
        <v>No</v>
      </c>
      <c r="BE52" t="str">
        <v>None — technical mapping complete.</v>
      </c>
      <c r="BF52" s="2442" t="n">
        <v>46231</v>
      </c>
      <c r="BG52" t="str">
        <f>IF($AZ52="No","PASS",IF(OR($AX52="Owner decision outstanding",$BD52="OWNER DECISION"),"WARNING",IF(OR($AP52="",$AN52="",$AS52="",$AV52=""),"FAIL","PASS")))</f>
        <v>PASS</v>
      </c>
    </row>
    <row r="53" ht="24" customHeight="1">
      <c r="A53" s="2504" t="str">
        <f>$AJ$257</f>
        <v>TIMING-ACTUALS-CUTOFF</v>
      </c>
      <c r="B53" s="2508" t="str">
        <f>$AL$257</f>
        <v>Project</v>
      </c>
      <c r="C53" s="2504" t="str">
        <f>$AM$257</f>
        <v>Actuals through date</v>
      </c>
      <c r="D53" s="2504" t="str">
        <f>$AN$257&amp;IF($AO$257="",""," | "&amp;IF($AN$257="Date",TEXT($AO$257,"dd mmm yyyy"),$AO$257))</f>
        <v>Date | Current</v>
      </c>
      <c r="E53" s="2548" t="n">
        <f>$AP$257</f>
        <v>46173</v>
      </c>
      <c r="F53" s="2548"/>
      <c r="G53" s="2548"/>
      <c r="H53" s="2548" t="n">
        <f>IF($A53="","",$E53)</f>
        <v>46173</v>
      </c>
      <c r="I53" s="2543" t="str">
        <f>$AU$257&amp;IF($AS$257="",""," | "&amp;$AS$257)</f>
        <v>Formula Preserved | Model governance / period-status control</v>
      </c>
      <c r="J53" s="2504" t="str">
        <f>$AV$257&amp;" | "&amp;$AX$257</f>
        <v>Model owner | Formula-linked source input</v>
      </c>
      <c r="K53" s="2504" t="str">
        <f>$AW$257</f>
        <v>The current workbook is forecast-only. Set this date only when actual results are loaded and locked.</v>
      </c>
      <c r="AJ53" s="578" t="str">
        <v>CAPEX-LAND-001</v>
      </c>
      <c r="AK53" s="579" t="str">
        <v>Development capex</v>
      </c>
      <c r="AL53" s="579" t="str">
        <v>Land</v>
      </c>
      <c r="AM53" s="579" t="str">
        <v>Source site acquisition incl. stamp duty</v>
      </c>
      <c r="AN53" s="579" t="str">
        <v>A$m</v>
      </c>
      <c r="AO53" s="579" t="str">
        <v>Source development period</v>
      </c>
      <c r="AP53" s="584" t="n">
        <f>IF($E$109="","",$E$109)</f>
        <v>91.57</v>
      </c>
      <c r="AQ53" s="584" t="str">
        <f>IF($F$109="","",$F$109)</f>
      </c>
      <c r="AR53" s="584" t="str">
        <f>IF($G$109="","",$G$109)</f>
      </c>
      <c r="AS53" s="588" t="str">
        <f>IFERROR(INDEX('DATA MAP'!$C$8:$C$137,MATCH($AJ53,'DATA MAP'!$A$8:$A$137,0))&amp;IF(INDEX('DATA MAP'!$D$8:$D$137,MATCH($AJ53,'DATA MAP'!$A$8:$A$137,0))="",""," | "&amp;INDEX('DATA MAP'!$D$8:$D$137,MATCH($AJ53,'DATA MAP'!$A$8:$A$137,0))),"Not provided")</f>
        <v>PROJECT CASH FLOW | H30</v>
      </c>
      <c r="AT53" s="588" t="n">
        <v>46228</v>
      </c>
      <c r="AU53" s="588" t="str">
        <v>Mapped</v>
      </c>
      <c r="AV53" s="588" t="str">
        <f>IF(OR($AU53="Conflict",$AU53="Review Required",$AU53="New Input Required",$AU53="Unsupported"),"Management","Model owner")</f>
        <v>Model owner</v>
      </c>
      <c r="AW53" s="588" t="str">
        <f>IFERROR(INDEX('DATA MAP'!$K$8:$K$137,MATCH($AJ53,'DATA MAP'!$A$8:$A$137,0)),"Management confirmation required.")</f>
        <v>Target land purchase is A$3.0m; target value retained. | The detailed component build and PROJECTS CAPEX sections are authoritative; conflicting summaries are evidence only and are not double counted.</v>
      </c>
      <c r="AX53" t="str">
        <v>Hard-coded model input</v>
      </c>
      <c r="AY53" s="2440" t="n">
        <f>$H$109</f>
        <v>91.57</v>
      </c>
      <c r="AZ53" t="str">
        <v>Yes</v>
      </c>
      <c r="BA53" t="str">
        <v>Underwriting</v>
      </c>
      <c r="BB53" t="str">
        <v>I27</v>
      </c>
      <c r="BC53" t="str">
        <v>PROJECTS register book(4).xlsm</v>
      </c>
      <c r="BD53" t="str">
        <v>Resolved</v>
      </c>
      <c r="BE53" t="str">
        <v>None — technical mapping complete.</v>
      </c>
      <c r="BF53" s="2442" t="n">
        <v>46231</v>
      </c>
      <c r="BG53" t="str">
        <f>IF($AZ53="No","PASS",IF(OR($AX53="Owner decision outstanding",$BD53="OWNER DECISION"),"WARNING",IF(OR($AP53="",$AN53="",$AS53="",$AV53=""),"FAIL","PASS")))</f>
        <v>PASS</v>
      </c>
    </row>
    <row r="54" ht="24" customHeight="1">
      <c r="A54" s="2504"/>
      <c r="B54" s="2504"/>
      <c r="C54" s="2504"/>
      <c r="D54" s="2504"/>
      <c r="E54" s="2546"/>
      <c r="F54" s="2546"/>
      <c r="G54" s="2546"/>
      <c r="H54" s="2546"/>
      <c r="I54" s="2543"/>
      <c r="J54" s="2504"/>
      <c r="K54" s="2504"/>
      <c r="AJ54" s="578" t="str">
        <v>CAPEX-INFRA-001</v>
      </c>
      <c r="AK54" s="579" t="str">
        <v>Development capex</v>
      </c>
      <c r="AL54" s="579" t="str">
        <v>Infrastructure</v>
      </c>
      <c r="AM54" s="579" t="str">
        <v>Infrastructure fund</v>
      </c>
      <c r="AN54" s="579" t="str">
        <v>A$m</v>
      </c>
      <c r="AO54" s="579" t="str">
        <v>Source development period</v>
      </c>
      <c r="AP54" s="584" t="n">
        <f>IF($E$110="","",$E$110)</f>
        <v>22.11362868</v>
      </c>
      <c r="AQ54" s="584" t="str">
        <f>IF($F$110="","",$F$110)</f>
      </c>
      <c r="AR54" s="584" t="str">
        <f>IF($G$110="","",$G$110)</f>
      </c>
      <c r="AS54" s="588" t="str">
        <f>IFERROR(INDEX('DATA MAP'!$C$8:$C$137,MATCH($AJ54,'DATA MAP'!$A$8:$A$137,0))&amp;IF(INDEX('DATA MAP'!$D$8:$D$137,MATCH($AJ54,'DATA MAP'!$A$8:$A$137,0))="",""," | "&amp;INDEX('DATA MAP'!$D$8:$D$137,MATCH($AJ54,'DATA MAP'!$A$8:$A$137,0))),"Not provided")</f>
        <v>PROJECT CASH FLOW | H36</v>
      </c>
      <c r="AT54" s="588" t="n">
        <v>46228</v>
      </c>
      <c r="AU54" s="588" t="str">
        <v>Mapped</v>
      </c>
      <c r="AV54" s="588" t="str">
        <f>IF(OR($AU54="Conflict",$AU54="Review Required",$AU54="New Input Required",$AU54="Unsupported"),"Management","Model owner")</f>
        <v>Model owner</v>
      </c>
      <c r="AW54" s="588" t="str">
        <f>IFERROR(INDEX('DATA MAP'!$K$8:$K$137,MATCH($AJ54,'DATA MAP'!$A$8:$A$137,0)),"Management confirmation required.")</f>
        <v>760 | The detailed component build and PROJECTS CAPEX sections are authoritative; conflicting summaries are evidence only and are not double counted.</v>
      </c>
      <c r="AX54" t="str">
        <v>Hard-coded model input</v>
      </c>
      <c r="AY54" s="2440" t="n">
        <f>$H$110</f>
        <v>22.11362868</v>
      </c>
      <c r="AZ54" t="str">
        <v>Yes</v>
      </c>
      <c r="BA54" t="str">
        <v>760</v>
      </c>
      <c r="BB54" t="str">
        <v>760</v>
      </c>
      <c r="BC54" t="str">
        <v>PROJECTS register book(4).xlsm</v>
      </c>
      <c r="BD54" t="str">
        <v>No</v>
      </c>
      <c r="BE54" t="str">
        <v>None — technical mapping complete.</v>
      </c>
      <c r="BF54" s="2442" t="n">
        <v>46231</v>
      </c>
      <c r="BG54" t="str">
        <f>IF($AZ54="No","PASS",IF(OR($AX54="Owner decision outstanding",$BD54="OWNER DECISION"),"WARNING",IF(OR($AP54="",$AN54="",$AS54="",$AV54=""),"FAIL","PASS")))</f>
        <v>PASS</v>
      </c>
    </row>
    <row r="55" ht="24" customHeight="1">
      <c r="A55" s="2537" t="str">
        <v>SITE, AREAS &amp; CAPACITIES</v>
      </c>
      <c r="B55" s="2537"/>
      <c r="C55" s="2537"/>
      <c r="D55" s="2537"/>
      <c r="E55" s="2539"/>
      <c r="F55" s="2539"/>
      <c r="G55" s="2539"/>
      <c r="H55" s="2539"/>
      <c r="I55" s="2536"/>
      <c r="J55" s="2537"/>
      <c r="K55" s="2537"/>
      <c r="AJ55" s="578" t="str">
        <v>CAPEX-INFRA-002</v>
      </c>
      <c r="AK55" s="579" t="str">
        <v>Development capex</v>
      </c>
      <c r="AL55" s="579" t="str">
        <v>Infrastructure</v>
      </c>
      <c r="AM55" s="579" t="str">
        <v>Infrastructure fund reduction</v>
      </c>
      <c r="AN55" s="579" t="str">
        <v>A$m</v>
      </c>
      <c r="AO55" s="579" t="str">
        <v>Source development period</v>
      </c>
      <c r="AP55" s="584" t="n">
        <f>IF($E$111="","",$E$111)</f>
        <v>-8</v>
      </c>
      <c r="AQ55" s="584" t="str">
        <f>IF($F$111="","",$F$111)</f>
      </c>
      <c r="AR55" s="584" t="str">
        <f>IF($G$111="","",$G$111)</f>
      </c>
      <c r="AS55" s="588" t="str">
        <f>IFERROR(INDEX('DATA MAP'!$C$8:$C$137,MATCH($AJ55,'DATA MAP'!$A$8:$A$137,0))&amp;IF(INDEX('DATA MAP'!$D$8:$D$137,MATCH($AJ55,'DATA MAP'!$A$8:$A$137,0))="",""," | "&amp;INDEX('DATA MAP'!$D$8:$D$137,MATCH($AJ55,'DATA MAP'!$A$8:$A$137,0))),"Not provided")</f>
        <v>PROJECT CASH FLOW | H37</v>
      </c>
      <c r="AT55" s="588" t="n">
        <v>46228</v>
      </c>
      <c r="AU55" s="588" t="str">
        <v>Mapped</v>
      </c>
      <c r="AV55" s="588" t="str">
        <f>IF(OR($AU55="Conflict",$AU55="Review Required",$AU55="New Input Required",$AU55="Unsupported"),"Management","Model owner")</f>
        <v>Model owner</v>
      </c>
      <c r="AW55" s="588" t="str">
        <f>IFERROR(INDEX('DATA MAP'!$K$8:$K$137,MATCH($AJ55,'DATA MAP'!$A$8:$A$137,0)),"Management confirmation required.")</f>
        <v>760 | The detailed component build and PROJECTS CAPEX sections are authoritative; conflicting summaries are evidence only and are not double counted.</v>
      </c>
      <c r="AX55" t="str">
        <v>Hard-coded model input</v>
      </c>
      <c r="AY55" s="2440" t="n">
        <f>$H$111</f>
        <v>-8</v>
      </c>
      <c r="AZ55" t="str">
        <v>Yes</v>
      </c>
      <c r="BA55" t="str">
        <v>760</v>
      </c>
      <c r="BB55" t="str">
        <v>760</v>
      </c>
      <c r="BC55" t="str">
        <v>PROJECTS register book(4).xlsm</v>
      </c>
      <c r="BD55" t="str">
        <v>No</v>
      </c>
      <c r="BE55" t="str">
        <v>None — technical mapping complete.</v>
      </c>
      <c r="BF55" s="2442" t="n">
        <v>46231</v>
      </c>
      <c r="BG55" t="str">
        <f>IF($AZ55="No","PASS",IF(OR($AX55="Owner decision outstanding",$BD55="OWNER DECISION"),"WARNING",IF(OR($AP55="",$AN55="",$AS55="",$AV55=""),"FAIL","PASS")))</f>
        <v>PASS</v>
      </c>
    </row>
    <row r="56" ht="24" customHeight="1">
      <c r="A56" s="2512" t="str">
        <v>Field ID</v>
      </c>
      <c r="B56" s="2512" t="str">
        <v>Component</v>
      </c>
      <c r="C56" s="2512" t="str">
        <v>Assumption</v>
      </c>
      <c r="D56" s="2512" t="str">
        <v>Unit / Period</v>
      </c>
      <c r="E56" s="2539" t="str">
        <v>Base</v>
      </c>
      <c r="F56" s="2539" t="str">
        <v>Downside</v>
      </c>
      <c r="G56" s="2539" t="str">
        <v>Upside</v>
      </c>
      <c r="H56" s="2539" t="str">
        <v>Selected Value</v>
      </c>
      <c r="I56" s="2540" t="str">
        <v>Status / Source</v>
      </c>
      <c r="J56" s="2512" t="str">
        <v>Owner / Input Type</v>
      </c>
      <c r="K56" s="2512" t="str">
        <v>Notes</v>
      </c>
      <c r="AJ56" s="578" t="str">
        <v>CAPEX-GRANT-001</v>
      </c>
      <c r="AK56" s="579" t="str">
        <v>Development capex</v>
      </c>
      <c r="AL56" s="579" t="str">
        <v>Grant</v>
      </c>
      <c r="AM56" s="579" t="str">
        <v>ARENA grant</v>
      </c>
      <c r="AN56" s="579" t="str">
        <v>A$m</v>
      </c>
      <c r="AO56" s="579" t="str">
        <v>Source development period</v>
      </c>
      <c r="AP56" s="584" t="n">
        <f>IF($E$112="","",$E$112)</f>
        <v>-5</v>
      </c>
      <c r="AQ56" s="584" t="str">
        <f>IF($F$112="","",$F$112)</f>
      </c>
      <c r="AR56" s="584" t="str">
        <f>IF($G$112="","",$G$112)</f>
      </c>
      <c r="AS56" s="588" t="str">
        <f>IFERROR(INDEX('DATA MAP'!$C$8:$C$137,MATCH($AJ56,'DATA MAP'!$A$8:$A$137,0))&amp;IF(INDEX('DATA MAP'!$D$8:$D$137,MATCH($AJ56,'DATA MAP'!$A$8:$A$137,0))="",""," | "&amp;INDEX('DATA MAP'!$D$8:$D$137,MATCH($AJ56,'DATA MAP'!$A$8:$A$137,0))),"Not provided")</f>
        <v>PROJECT CASH FLOW | H39</v>
      </c>
      <c r="AT56" s="588" t="n">
        <v>46228</v>
      </c>
      <c r="AU56" s="588" t="str">
        <v>Mapped</v>
      </c>
      <c r="AV56" s="588" t="str">
        <f>IF(OR($AU56="Conflict",$AU56="Review Required",$AU56="New Input Required",$AU56="Unsupported"),"Management","Model owner")</f>
        <v>Model owner</v>
      </c>
      <c r="AW56" s="588" t="str">
        <f>IFERROR(INDEX('DATA MAP'!$K$8:$K$137,MATCH($AJ56,'DATA MAP'!$A$8:$A$137,0)),"Management confirmation required.")</f>
        <v>760 | The detailed component build and PROJECTS CAPEX sections are authoritative; conflicting summaries are evidence only and are not double counted.</v>
      </c>
      <c r="AX56" t="str">
        <v>Hard-coded model input</v>
      </c>
      <c r="AY56" s="2440" t="n">
        <f>$H$112</f>
        <v>-5</v>
      </c>
      <c r="AZ56" t="str">
        <v>Yes</v>
      </c>
      <c r="BA56" t="str">
        <v>760</v>
      </c>
      <c r="BB56" t="str">
        <v>760</v>
      </c>
      <c r="BC56" t="str">
        <v>PROJECTS register book(4).xlsm</v>
      </c>
      <c r="BD56" t="str">
        <v>No</v>
      </c>
      <c r="BE56" t="str">
        <v>None — technical mapping complete.</v>
      </c>
      <c r="BF56" s="2442" t="n">
        <v>46231</v>
      </c>
      <c r="BG56" t="str">
        <f>IF($AZ56="No","PASS",IF(OR($AX56="Owner decision outstanding",$BD56="OWNER DECISION"),"WARNING",IF(OR($AP56="",$AN56="",$AS56="",$AV56=""),"FAIL","PASS")))</f>
        <v>PASS</v>
      </c>
    </row>
    <row r="57" ht="24" customHeight="1">
      <c r="A57" s="2504" t="str">
        <f>$AJ$19</f>
        <v>AREA-001</v>
      </c>
      <c r="B57" s="2504" t="str">
        <f>$AL$19</f>
        <v>Site</v>
      </c>
      <c r="C57" s="2504" t="str">
        <f>$AM$19</f>
        <v>Site area</v>
      </c>
      <c r="D57" s="2504" t="str">
        <f>$AN$19&amp;IF($AO$19="",""," | "&amp;IF($AN$19="Date",TEXT($AO$19,"dd mmm yyyy"),$AO$19))</f>
        <v>sqm | Current</v>
      </c>
      <c r="E57" s="2623" t="n">
        <v>34400</v>
      </c>
      <c r="F57" s="2505"/>
      <c r="G57" s="2505"/>
      <c r="H57" s="2505" t="n">
        <f>IF($A57="","",$E57)</f>
        <v>34400</v>
      </c>
      <c r="I57" s="2543" t="str">
        <f>$AU$19&amp;IF($AS$19="",""," | "&amp;$AS$19)</f>
        <v>Mapped | ASSUMPTIONS | B35</v>
      </c>
      <c r="J57" s="2504" t="str">
        <f>$AV$19&amp;" | "&amp;$AX$19</f>
        <v>Model owner | Hard-coded model input</v>
      </c>
      <c r="K57" s="2504" t="str">
        <f>$AW$19</f>
        <v>34,400 sqm equals target 8.5004 acres.</v>
      </c>
      <c r="AJ57" s="578" t="str">
        <v>CAPEX-FUND-001</v>
      </c>
      <c r="AK57" s="579" t="str">
        <v>Development capex</v>
      </c>
      <c r="AL57" s="579" t="str">
        <v>Project</v>
      </c>
      <c r="AM57" s="579" t="str">
        <v>Source funding requirement after development revenue/expenses</v>
      </c>
      <c r="AN57" s="579" t="str">
        <v>A$m</v>
      </c>
      <c r="AO57" s="579" t="str">
        <v>Source development period</v>
      </c>
      <c r="AP57" s="584" t="n">
        <v>439.180309272078</v>
      </c>
      <c r="AQ57" s="584" t="n">
        <f>$AP57*1.1</f>
        <v>483.0983401992858</v>
      </c>
      <c r="AR57" s="584" t="n">
        <f>$AP57*0.95</f>
        <v>417.22129380847406</v>
      </c>
      <c r="AS57" s="588" t="str">
        <f>IFERROR(INDEX('DATA MAP'!$C$8:$C$137,MATCH($AJ57,'DATA MAP'!$A$8:$A$137,0))&amp;IF(INDEX('DATA MAP'!$D$8:$D$137,MATCH($AJ57,'DATA MAP'!$A$8:$A$137,0))="",""," | "&amp;INDEX('DATA MAP'!$D$8:$D$137,MATCH($AJ57,'DATA MAP'!$A$8:$A$137,0))),"Not provided")</f>
        <v>PROJECT CASH FLOW | H49</v>
      </c>
      <c r="AT57" s="588" t="n">
        <v>46228</v>
      </c>
      <c r="AU57" s="588" t="str">
        <v>Mapped</v>
      </c>
      <c r="AV57" s="588" t="str">
        <f>IF(OR($AU57="Conflict",$AU57="Review Required",$AU57="New Input Required",$AU57="Unsupported"),"Management","Model owner")</f>
        <v>Model owner</v>
      </c>
      <c r="AW57" s="588" t="str">
        <f>IFERROR(INDEX('DATA MAP'!$K$8:$K$137,MATCH($AJ57,'DATA MAP'!$A$8:$A$137,0)),"Management confirmation required.")</f>
        <v>Conflicts with both the target total and the source MODEL DESIGN total. | The detailed component build and PROJECTS CAPEX sections are authoritative; conflicting summaries are evidence only and are not double counted.</v>
      </c>
      <c r="AX57" t="str">
        <v>Derived calculation</v>
      </c>
      <c r="AY57" s="2440" t="n">
        <f>$H$113</f>
        <v>439.180309272078</v>
      </c>
      <c r="AZ57" t="str">
        <v>Yes</v>
      </c>
      <c r="BA57" t="str">
        <v>Underwriting</v>
      </c>
      <c r="BB57" t="str">
        <v>I57</v>
      </c>
      <c r="BC57" t="str">
        <v>PROJECTS register book(4).xlsm</v>
      </c>
      <c r="BD57" t="str">
        <v>Resolved</v>
      </c>
      <c r="BE57" t="str">
        <v>None — technical mapping complete.</v>
      </c>
      <c r="BF57" s="2442" t="n">
        <v>46231</v>
      </c>
      <c r="BG57" t="str">
        <f>IF($AZ57="No","PASS",IF(OR($AX57="Owner decision outstanding",$BD57="OWNER DECISION"),"WARNING",IF(OR($AP57="",$AN57="",$AS57="",$AV57=""),"FAIL","PASS")))</f>
        <v>PASS</v>
      </c>
    </row>
    <row r="58" ht="24" customHeight="1">
      <c r="A58" s="2513" t="str">
        <f>$AJ$20</f>
        <v>AREA-URWLD</v>
      </c>
      <c r="B58" s="2513" t="str">
        <f>$AL$20</f>
        <v>URWLD</v>
      </c>
      <c r="C58" s="2513" t="str">
        <f>$AM$20</f>
        <v>URWLD area</v>
      </c>
      <c r="D58" s="2513" t="str">
        <f>$AN$20&amp;IF($AO$20="",""," | "&amp;IF($AN$20="Date",TEXT($AO$20,"dd mmm yyyy"),$AO$20))</f>
        <v>sqm | Current</v>
      </c>
      <c r="E58" s="2629" t="n">
        <v>21500</v>
      </c>
      <c r="F58" s="2514"/>
      <c r="G58" s="2514"/>
      <c r="H58" s="2514" t="n">
        <f>IF($A58="","",$E58)</f>
        <v>21500</v>
      </c>
      <c r="I58" s="2543" t="str">
        <f>$AU$20&amp;IF($AS$20="",""," | "&amp;$AS$20)</f>
        <v>Mapped | PROJECT CASH FLOW | G8</v>
      </c>
      <c r="J58" s="2504" t="str">
        <f>$AV$20&amp;" | "&amp;$AX$20</f>
        <v>Model owner | Hard-coded model input</v>
      </c>
      <c r="K58" s="2504" t="str">
        <f>$AW$20</f>
        <v>Detailed source and target values agree.</v>
      </c>
      <c r="AJ58" s="578" t="str">
        <v>CAPEX-FUND-002</v>
      </c>
      <c r="AK58" s="579" t="str">
        <v>Development capex</v>
      </c>
      <c r="AL58" s="579" t="str">
        <v>Project</v>
      </c>
      <c r="AM58" s="579" t="str">
        <v>Source model-design total development cost</v>
      </c>
      <c r="AN58" s="579" t="str">
        <v>A$m</v>
      </c>
      <c r="AO58" s="579" t="str">
        <v>Source development period</v>
      </c>
      <c r="AP58" s="584" t="n">
        <v>462.75</v>
      </c>
      <c r="AQ58" s="584" t="n">
        <f>$AP58*1.1</f>
        <v>509.02500000000003</v>
      </c>
      <c r="AR58" s="584" t="n">
        <f>$AP58*0.95</f>
        <v>439.61249999999995</v>
      </c>
      <c r="AS58" s="588" t="str">
        <f>IFERROR(INDEX('DATA MAP'!$C$8:$C$137,MATCH($AJ58,'DATA MAP'!$A$8:$A$137,0))&amp;IF(INDEX('DATA MAP'!$D$8:$D$137,MATCH($AJ58,'DATA MAP'!$A$8:$A$137,0))="",""," | "&amp;INDEX('DATA MAP'!$D$8:$D$137,MATCH($AJ58,'DATA MAP'!$A$8:$A$137,0))),"Not provided")</f>
        <v>MODEL DESIGN | C35</v>
      </c>
      <c r="AT58" s="588" t="n">
        <v>46228</v>
      </c>
      <c r="AU58" s="588" t="str">
        <v>Waived — superseded duplicate</v>
      </c>
      <c r="AV58" s="588" t="str">
        <f>IF(OR($AU58="Conflict",$AU58="Review Required",$AU58="New Input Required",$AU58="Unsupported"),"Management","Model owner")</f>
        <v>Model owner</v>
      </c>
      <c r="AW58" s="588" t="str">
        <f>IFERROR(INDEX('DATA MAP'!$K$8:$K$137,MATCH($AJ58,'DATA MAP'!$A$8:$A$137,0)),"Management confirmation required.")</f>
        <v>Duplicate project-cost total retained for traceability; not selected because it conflicts with the detailed source schedule and target model. | The detailed component build and PROJECTS CAPEX sections are authoritative; conflicting summaries are evidence only and are not double counted.</v>
      </c>
      <c r="AX58" t="str">
        <v>Superseded / inactive</v>
      </c>
      <c r="AY58" s="2440" t="n">
        <f>$H$114</f>
        <v>462.75</v>
      </c>
      <c r="AZ58" t="str">
        <v>No</v>
      </c>
      <c r="BA58" t="str">
        <v>760</v>
      </c>
      <c r="BB58" t="str">
        <v>760</v>
      </c>
      <c r="BC58" t="str">
        <v>PROJECTS register book(4).xlsm</v>
      </c>
      <c r="BD58" t="str">
        <v>Resolved</v>
      </c>
      <c r="BE58" t="str">
        <v>None — retained for traceability but does not drive the model.</v>
      </c>
      <c r="BF58" s="2442" t="n">
        <v>46231</v>
      </c>
      <c r="BG58" t="str">
        <f>IF($AZ58="No","PASS",IF(OR($AX58="Owner decision outstanding",$BD58="OWNER DECISION"),"WARNING",IF(OR($AP58="",$AN58="",$AS58="",$AV58=""),"FAIL","PASS")))</f>
        <v>PASS</v>
      </c>
    </row>
    <row r="59" ht="24" customHeight="1">
      <c r="A59" s="2504" t="str">
        <f>$AJ$21</f>
        <v>AREA-PBSA</v>
      </c>
      <c r="B59" s="2504" t="str">
        <f>$AL$21</f>
        <v>PBSA/student accommodation</v>
      </c>
      <c r="C59" s="2504" t="str">
        <f>$AM$21</f>
        <v>PBSA area</v>
      </c>
      <c r="D59" s="2504" t="str">
        <f>$AN$21&amp;IF($AO$21="",""," | "&amp;IF($AN$21="Date",TEXT($AO$21,"dd mmm yyyy"),$AO$21))</f>
        <v>sqm | Current</v>
      </c>
      <c r="E59" s="2623" t="n">
        <v>20000</v>
      </c>
      <c r="F59" s="2505"/>
      <c r="G59" s="2505"/>
      <c r="H59" s="2505" t="n">
        <f>IF($A59="","",$E59)</f>
        <v>20000</v>
      </c>
      <c r="I59" s="2543" t="str">
        <f>$AU$21&amp;IF($AS$21="",""," | "&amp;$AS$21)</f>
        <v>Mapped | PROJECT CASH FLOW | G9</v>
      </c>
      <c r="J59" s="2504" t="str">
        <f>$AV$21&amp;" | "&amp;$AX$21</f>
        <v>Model owner | Hard-coded model input</v>
      </c>
      <c r="K59" s="2504" t="str">
        <f>$AW$21</f>
        <v>Detailed source and target values agree.</v>
      </c>
      <c r="AJ59" s="578" t="str">
        <v>CAPEX-TARGET-001</v>
      </c>
      <c r="AK59" s="579" t="str">
        <v>Development capex</v>
      </c>
      <c r="AL59" s="579" t="str">
        <v>Project</v>
      </c>
      <c r="AM59" s="579" t="str">
        <v>Target total development cost</v>
      </c>
      <c r="AN59" s="579" t="str">
        <v>A$m</v>
      </c>
      <c r="AO59" s="579" t="str">
        <v>Target monthly model</v>
      </c>
      <c r="AP59" s="584" t="n">
        <f>Underwriting!$I$57/1000000</f>
        <v>418.7585512846001</v>
      </c>
      <c r="AQ59" s="584" t="n">
        <f>$AP59*(1+DEBT!$K$31)</f>
        <v>460.63440641306016</v>
      </c>
      <c r="AR59" s="584" t="n">
        <f>$AP59*(1+DEBT!$K$33)</f>
        <v>397.82062372037007</v>
      </c>
      <c r="AS59" s="588" t="str">
        <f>IFERROR(INDEX('DATA MAP'!$C$8:$C$137,MATCH($AJ59,'DATA MAP'!$A$8:$A$137,0))&amp;IF(INDEX('DATA MAP'!$D$8:$D$137,MATCH($AJ59,'DATA MAP'!$A$8:$A$137,0))="",""," | "&amp;INDEX('DATA MAP'!$D$8:$D$137,MATCH($AJ59,'DATA MAP'!$A$8:$A$137,0))),"Not provided")</f>
        <v>Target: Underwriting | I57</v>
      </c>
      <c r="AT59" s="588"/>
      <c r="AU59" s="588" t="str">
        <f>IFERROR(INDEX('DATA MAP'!$I$8:$I$137,MATCH($AJ59,'DATA MAP'!$A$8:$A$137,0)),"Review Required")</f>
        <v>Mapped — reconciled</v>
      </c>
      <c r="AV59" s="588" t="str">
        <f>IF(OR($AU59="Conflict",$AU59="Review Required",$AU59="New Input Required",$AU59="Unsupported"),"Management","Model owner")</f>
        <v>Model owner</v>
      </c>
      <c r="AW59" s="588" t="str">
        <v>Live base total development cost. Downside and upside columns apply the controlled DEBT cost factors for scenario reference.</v>
      </c>
      <c r="AX59" t="str">
        <v>Derived calculation</v>
      </c>
      <c r="AY59" s="2440" t="n">
        <f>$H$115</f>
        <v>418.7585512846001</v>
      </c>
      <c r="AZ59" t="str">
        <v>Yes</v>
      </c>
      <c r="BA59" t="str">
        <v>Underwriting</v>
      </c>
      <c r="BB59" t="str">
        <v>I57</v>
      </c>
      <c r="BC59" t="str">
        <v>Target model</v>
      </c>
      <c r="BD59" t="str">
        <v>No</v>
      </c>
      <c r="BE59" t="str">
        <v>None — technical mapping complete.</v>
      </c>
      <c r="BF59" s="2442" t="n">
        <v>46231</v>
      </c>
      <c r="BG59" t="str">
        <f>IF($AZ59="No","PASS",IF(OR($AX59="Owner decision outstanding",$BD59="OWNER DECISION"),"WARNING",IF(OR($AP59="",$AN59="",$AS59="",$AV59=""),"FAIL","PASS")))</f>
        <v>PASS</v>
      </c>
    </row>
    <row r="60" ht="24" customHeight="1">
      <c r="A60" s="2508" t="str">
        <f>$AJ$22</f>
        <v>AREA-LIVE</v>
      </c>
      <c r="B60" s="2508" t="str">
        <f>$AL$22</f>
        <v>LiveHouse</v>
      </c>
      <c r="C60" s="2508" t="str">
        <f>$AM$22</f>
        <v>LiveHouse area</v>
      </c>
      <c r="D60" s="2508" t="str">
        <f>$AN$22&amp;IF($AO$22="",""," | "&amp;IF($AN$22="Date",TEXT($AO$22,"dd mmm yyyy"),$AO$22))</f>
        <v>sqm | Current</v>
      </c>
      <c r="E60" s="2626" t="n">
        <v>6500</v>
      </c>
      <c r="F60" s="2509"/>
      <c r="G60" s="2509"/>
      <c r="H60" s="2509" t="n">
        <f>IF($A60="","",$E60)</f>
        <v>6500</v>
      </c>
      <c r="I60" s="2543" t="str">
        <f>$AU$22&amp;IF($AS$22="",""," | "&amp;$AS$22)</f>
        <v>Mapped | PROJECT CASH FLOW | G10</v>
      </c>
      <c r="J60" s="2504" t="str">
        <f>$AV$22&amp;" | "&amp;$AX$22</f>
        <v>Model owner | Hard-coded model input</v>
      </c>
      <c r="K60" s="2504" t="str">
        <f>$AW$22</f>
        <v>Detailed source and target values agree.</v>
      </c>
      <c r="AJ60" s="578" t="str">
        <v>CAPEX-LAND-TGT</v>
      </c>
      <c r="AK60" s="579" t="str">
        <v>Development capex</v>
      </c>
      <c r="AL60" s="579" t="str">
        <v>Land</v>
      </c>
      <c r="AM60" s="579" t="str">
        <v>Target land purchase price</v>
      </c>
      <c r="AN60" s="579" t="str">
        <v>A$</v>
      </c>
      <c r="AO60" s="579" t="str">
        <v>Model month 0</v>
      </c>
      <c r="AP60" s="583" t="n">
        <f>Underwriting!$I$27/1000000</f>
        <v>91.57</v>
      </c>
      <c r="AQ60" s="583" t="n">
        <f>$AP60</f>
        <v>91.57</v>
      </c>
      <c r="AR60" s="583" t="n">
        <f>$AP60</f>
        <v>91.57</v>
      </c>
      <c r="AS60" s="588" t="str">
        <f>IFERROR(INDEX('DATA MAP'!$C$8:$C$137,MATCH($AJ60,'DATA MAP'!$A$8:$A$137,0))&amp;IF(INDEX('DATA MAP'!$D$8:$D$137,MATCH($AJ60,'DATA MAP'!$A$8:$A$137,0))="",""," | "&amp;INDEX('DATA MAP'!$D$8:$D$137,MATCH($AJ60,'DATA MAP'!$A$8:$A$137,0))),"Not provided")</f>
        <v>Target: Underwriting | I27</v>
      </c>
      <c r="AT60" s="588"/>
      <c r="AU60" s="588" t="str">
        <f>IFERROR(INDEX('DATA MAP'!$I$8:$I$137,MATCH($AJ60,'DATA MAP'!$A$8:$A$137,0)),"Review Required")</f>
        <v>Mapped — reconciled</v>
      </c>
      <c r="AV60" s="588" t="str">
        <f>IF(OR($AU60="Conflict",$AU60="Review Required",$AU60="New Input Required",$AU60="Unsupported"),"Management","Model owner")</f>
        <v>Model owner</v>
      </c>
      <c r="AW60" s="588" t="str">
        <f>IFERROR(INDEX('DATA MAP'!$K$8:$K$137,MATCH($AJ60,'DATA MAP'!$A$8:$A$137,0)),"Management confirmation required.")</f>
        <v>Retained because target detailed calculations rank above source summary values. | The detailed component build and PROJECTS CAPEX sections are authoritative; conflicting summaries are evidence only and are not double counted.</v>
      </c>
      <c r="AX60" t="str">
        <v>Formula-linked source input</v>
      </c>
      <c r="AY60" s="2440" t="n">
        <f>$H$116</f>
        <v>91.57</v>
      </c>
      <c r="AZ60" t="str">
        <v>Yes</v>
      </c>
      <c r="BA60" t="str">
        <v>Underwriting</v>
      </c>
      <c r="BB60" t="str">
        <v>I27</v>
      </c>
      <c r="BC60" t="str">
        <v>Target model</v>
      </c>
      <c r="BD60" t="str">
        <v>Resolved</v>
      </c>
      <c r="BE60" t="str">
        <v>None — technical mapping complete.</v>
      </c>
      <c r="BF60" s="2442" t="n">
        <v>46231</v>
      </c>
      <c r="BG60" t="str">
        <f>IF($AZ60="No","PASS",IF(OR($AX60="Owner decision outstanding",$BD60="OWNER DECISION"),"WARNING",IF(OR($AP60="",$AN60="",$AS60="",$AV60=""),"FAIL","PASS")))</f>
        <v>PASS</v>
      </c>
    </row>
    <row r="61" ht="24" customHeight="1">
      <c r="A61" s="2517" t="str">
        <f>$AJ$23</f>
        <v>AREA-RETAIL</v>
      </c>
      <c r="B61" s="2517" t="str">
        <f>$AL$23</f>
        <v>Retail and ancillary uses</v>
      </c>
      <c r="C61" s="2517" t="str">
        <f>$AM$23</f>
        <v>Flexible retail/F&amp;B area</v>
      </c>
      <c r="D61" s="2517" t="str">
        <f>$AN$23&amp;IF($AO$23="",""," | "&amp;IF($AN$23="Date",TEXT($AO$23,"dd mmm yyyy"),$AO$23))</f>
        <v>sqm | Current</v>
      </c>
      <c r="E61" s="2632" t="n">
        <v>150</v>
      </c>
      <c r="F61" s="2518"/>
      <c r="G61" s="2518"/>
      <c r="H61" s="2518" t="n">
        <f>IF($A61="","",$E61)</f>
        <v>150</v>
      </c>
      <c r="I61" s="2543" t="str">
        <f>$AU$23&amp;IF($AS$23="",""," | "&amp;$AS$23)</f>
        <v>Mapped | PROJECT CASH FLOW | G11</v>
      </c>
      <c r="J61" s="2504" t="str">
        <f>$AV$23&amp;" | "&amp;$AX$23</f>
        <v>Model owner | Hard-coded model input</v>
      </c>
      <c r="K61" s="2504" t="str">
        <f>$AW$23</f>
        <v>Detailed source and target values agree.</v>
      </c>
      <c r="AJ61" s="578" t="str">
        <v>OPS-001</v>
      </c>
      <c r="AK61" s="579" t="str">
        <v>Operating assumptions</v>
      </c>
      <c r="AL61" s="579" t="str">
        <v>Project</v>
      </c>
      <c r="AM61" s="579" t="str">
        <v>CPI</v>
      </c>
      <c r="AN61" s="579" t="str">
        <v>% p.a.</v>
      </c>
      <c r="AO61" s="579" t="str">
        <v>Annual</v>
      </c>
      <c r="AP61" s="585" t="n">
        <v>0.03</v>
      </c>
      <c r="AQ61" s="585" t="n">
        <v>0.03</v>
      </c>
      <c r="AR61" s="585" t="n">
        <v>0.03</v>
      </c>
      <c r="AS61" s="588" t="str">
        <f>IFERROR(INDEX('DATA MAP'!$C$8:$C$137,MATCH($AJ61,'DATA MAP'!$A$8:$A$137,0))&amp;IF(INDEX('DATA MAP'!$D$8:$D$137,MATCH($AJ61,'DATA MAP'!$A$8:$A$137,0))="",""," | "&amp;INDEX('DATA MAP'!$D$8:$D$137,MATCH($AJ61,'DATA MAP'!$A$8:$A$137,0))),"Not provided")</f>
        <v>MODEL DESIGN | C50</v>
      </c>
      <c r="AT61" s="588"/>
      <c r="AU61" s="588" t="str">
        <f>IFERROR(INDEX('DATA MAP'!$I$8:$I$137,MATCH($AJ61,'DATA MAP'!$A$8:$A$137,0)),"Review Required")</f>
        <v>Mapped — reconciled</v>
      </c>
      <c r="AV61" s="588" t="str">
        <f>IF(OR($AU61="Conflict",$AU61="Review Required",$AU61="New Input Required",$AU61="Unsupported"),"Management","Model owner")</f>
        <v>Model owner</v>
      </c>
      <c r="AW61" s="588" t="str">
        <f>IFERROR(INDEX('DATA MAP'!$K$8:$K$137,MATCH($AJ61,'DATA MAP'!$A$8:$A$137,0)),"Management confirmation required.")</f>
        <v>760 | The target monthly operating, tax and working-capital schedules control; specialist confirmation remains an OWNER DECISION where stated.</v>
      </c>
      <c r="AX61" t="str">
        <v>Derived calculation</v>
      </c>
      <c r="AY61" s="2440" t="n">
        <f>$H$144</f>
        <v>0.03</v>
      </c>
      <c r="AZ61" t="str">
        <v>Yes</v>
      </c>
      <c r="BA61" t="str">
        <v>760</v>
      </c>
      <c r="BB61" t="str">
        <v>760</v>
      </c>
      <c r="BC61" t="str">
        <v>PROJECTS register book(4).xlsm</v>
      </c>
      <c r="BD61" t="str">
        <v>No</v>
      </c>
      <c r="BE61" t="str">
        <v>Obtain tax-adviser and operating-budget schedules and update provisional assumptions.</v>
      </c>
      <c r="BF61" s="2442" t="n">
        <v>46231</v>
      </c>
      <c r="BG61" t="str">
        <f>IF($AZ61="No","PASS",IF(OR($AX61="Owner decision outstanding",$BD61="OWNER DECISION"),"WARNING",IF(OR($AP61="",$AN61="",$AS61="",$AV61=""),"FAIL","PASS")))</f>
        <v>PASS</v>
      </c>
    </row>
    <row r="62" ht="24" customHeight="1">
      <c r="A62" s="2504" t="str">
        <f>$AJ$24</f>
        <v>AREA-GEN</v>
      </c>
      <c r="B62" s="2504" t="str">
        <f>$AL$24</f>
        <v>Genesis</v>
      </c>
      <c r="C62" s="2504" t="str">
        <f>$AM$24</f>
        <v>Genesis area</v>
      </c>
      <c r="D62" s="2541" t="str">
        <f>$AN$24&amp;IF($AO$24="",""," | "&amp;IF($AN$24="Date",TEXT($AO$24,"dd mmm yyyy"),$AO$24))</f>
        <v>sqm | Current</v>
      </c>
      <c r="E62" s="2623" t="n">
        <v>4000</v>
      </c>
      <c r="F62" s="2505"/>
      <c r="G62" s="2505"/>
      <c r="H62" s="2505" t="n">
        <f>IF($A62="","",$E62)</f>
        <v>4000</v>
      </c>
      <c r="I62" s="2543" t="str">
        <f>$AU$24&amp;IF($AS$24="",""," | "&amp;$AS$24)</f>
        <v>Mapped | PROJECT CASH FLOW | G12</v>
      </c>
      <c r="J62" s="2504" t="str">
        <f>$AV$24&amp;" | "&amp;$AX$24</f>
        <v>Model owner | Hard-coded model input</v>
      </c>
      <c r="K62" s="2504" t="str">
        <f>$AW$24</f>
        <v>Detailed source and target values agree.</v>
      </c>
      <c r="AJ62" s="578" t="str">
        <v>OPS-002</v>
      </c>
      <c r="AK62" s="579" t="str">
        <v>Operating assumptions</v>
      </c>
      <c r="AL62" s="579" t="str">
        <v>Project</v>
      </c>
      <c r="AM62" s="579" t="str">
        <v>Operating expense growth</v>
      </c>
      <c r="AN62" s="579" t="str">
        <v>% p.a.</v>
      </c>
      <c r="AO62" s="579" t="str">
        <v>Annual</v>
      </c>
      <c r="AP62" s="585" t="n">
        <v>0.025</v>
      </c>
      <c r="AQ62" s="585" t="n">
        <v>0.03</v>
      </c>
      <c r="AR62" s="585" t="n">
        <v>0.02</v>
      </c>
      <c r="AS62" s="588" t="str">
        <f>IFERROR(INDEX('DATA MAP'!$C$8:$C$137,MATCH($AJ62,'DATA MAP'!$A$8:$A$137,0))&amp;IF(INDEX('DATA MAP'!$D$8:$D$137,MATCH($AJ62,'DATA MAP'!$A$8:$A$137,0))="",""," | "&amp;INDEX('DATA MAP'!$D$8:$D$137,MATCH($AJ62,'DATA MAP'!$A$8:$A$137,0))),"Not provided")</f>
        <v>ASSUMPTIONS | B8,E8,H8</v>
      </c>
      <c r="AT62" s="588"/>
      <c r="AU62" s="588" t="str">
        <f>IFERROR(INDEX('DATA MAP'!$I$8:$I$137,MATCH($AJ62,'DATA MAP'!$A$8:$A$137,0)),"Review Required")</f>
        <v>Mapped — reconciled</v>
      </c>
      <c r="AV62" s="588" t="str">
        <f>IF(OR($AU62="Conflict",$AU62="Review Required",$AU62="New Input Required",$AU62="Unsupported"),"Management","Model owner")</f>
        <v>Model owner</v>
      </c>
      <c r="AW62" s="588" t="str">
        <f>IFERROR(INDEX('DATA MAP'!$K$8:$K$137,MATCH($AJ62,'DATA MAP'!$A$8:$A$137,0)),"Management confirmation required.")</f>
        <v>760 | The target monthly operating, tax and working-capital schedules control; specialist confirmation remains an OWNER DECISION where stated.</v>
      </c>
      <c r="AX62" t="str">
        <v>Derived calculation</v>
      </c>
      <c r="AY62" s="2440" t="n">
        <f>$H$145</f>
        <v>0.025</v>
      </c>
      <c r="AZ62" t="str">
        <v>Yes</v>
      </c>
      <c r="BA62" t="str">
        <v>760</v>
      </c>
      <c r="BB62" t="str">
        <v>760</v>
      </c>
      <c r="BC62" t="str">
        <v>PROJECTS register book(4).xlsm</v>
      </c>
      <c r="BD62" t="str">
        <v>No</v>
      </c>
      <c r="BE62" t="str">
        <v>Obtain tax-adviser and operating-budget schedules and update provisional assumptions.</v>
      </c>
      <c r="BF62" s="2442" t="n">
        <v>46231</v>
      </c>
      <c r="BG62" t="str">
        <f>IF($AZ62="No","PASS",IF(OR($AX62="Owner decision outstanding",$BD62="OWNER DECISION"),"WARNING",IF(OR($AP62="",$AN62="",$AS62="",$AV62=""),"FAIL","PASS")))</f>
        <v>PASS</v>
      </c>
    </row>
    <row r="63" ht="24" customHeight="1">
      <c r="A63" s="2504" t="str">
        <f>$AJ$25</f>
        <v>AREA-PARK</v>
      </c>
      <c r="B63" s="2504" t="str">
        <f>$AL$25</f>
        <v>Parking</v>
      </c>
      <c r="C63" s="2504" t="str">
        <f>$AM$25</f>
        <v>Car park area</v>
      </c>
      <c r="D63" s="2541" t="str">
        <f>$AN$25&amp;IF($AO$25="",""," | "&amp;IF($AN$25="Date",TEXT($AO$25,"dd mmm yyyy"),$AO$25))</f>
        <v>sqm | Current</v>
      </c>
      <c r="E63" s="2623" t="n">
        <v>19500.38</v>
      </c>
      <c r="F63" s="2505"/>
      <c r="G63" s="2505"/>
      <c r="H63" s="2505" t="n">
        <f>IF($A63="","",$E63)</f>
        <v>19500.38</v>
      </c>
      <c r="I63" s="2543" t="str">
        <f>$AU$25&amp;IF($AS$25="",""," | "&amp;$AS$25)</f>
        <v>Mapped | PROJECT CASH FLOW | G13</v>
      </c>
      <c r="J63" s="2504" t="str">
        <f>$AV$25&amp;" | "&amp;$AX$25</f>
        <v>Model owner | Hard-coded model input</v>
      </c>
      <c r="K63" s="2504" t="str">
        <f>$AW$25</f>
        <v>Detailed source and target values agree.</v>
      </c>
      <c r="AJ63" s="578" t="str">
        <v>OPS-003</v>
      </c>
      <c r="AK63" s="579" t="str">
        <v>Operating assumptions</v>
      </c>
      <c r="AL63" s="579" t="str">
        <v>PBSA/student accommodation</v>
      </c>
      <c r="AM63" s="579" t="str">
        <v>Occupancy</v>
      </c>
      <c r="AN63" s="579" t="str">
        <v>%</v>
      </c>
      <c r="AO63" s="579" t="str">
        <v>Stabilised</v>
      </c>
      <c r="AP63" s="585" t="n">
        <v>0.95</v>
      </c>
      <c r="AQ63" s="585" t="n">
        <v>0.85</v>
      </c>
      <c r="AR63" s="585" t="n">
        <v>0.98</v>
      </c>
      <c r="AS63" s="588" t="str">
        <f>IFERROR(INDEX('DATA MAP'!$C$8:$C$137,MATCH($AJ63,'DATA MAP'!$A$8:$A$137,0))&amp;IF(INDEX('DATA MAP'!$D$8:$D$137,MATCH($AJ63,'DATA MAP'!$A$8:$A$137,0))="",""," | "&amp;INDEX('DATA MAP'!$D$8:$D$137,MATCH($AJ63,'DATA MAP'!$A$8:$A$137,0))),"Not provided")</f>
        <v>MODEL DESIGN | C112:C114</v>
      </c>
      <c r="AT63" s="588"/>
      <c r="AU63" s="588" t="str">
        <f>IFERROR(INDEX('DATA MAP'!$I$8:$I$137,MATCH($AJ63,'DATA MAP'!$A$8:$A$137,0)),"Review Required")</f>
        <v>Mapped — reconciled</v>
      </c>
      <c r="AV63" s="588" t="str">
        <f>IF(OR($AU63="Conflict",$AU63="Review Required",$AU63="New Input Required",$AU63="Unsupported"),"Management","Model owner")</f>
        <v>Model owner</v>
      </c>
      <c r="AW63" s="588" t="str">
        <f>IFERROR(INDEX('DATA MAP'!$K$8:$K$137,MATCH($AJ63,'DATA MAP'!$A$8:$A$137,0)),"Management confirmation required.")</f>
        <v>760 | The target monthly operating, tax and working-capital schedules control; specialist confirmation remains an OWNER DECISION where stated.</v>
      </c>
      <c r="AX63" t="str">
        <v>Derived calculation</v>
      </c>
      <c r="AY63" s="2440" t="n">
        <f>$H$146</f>
        <v>0.95</v>
      </c>
      <c r="AZ63" t="str">
        <v>Yes</v>
      </c>
      <c r="BA63" t="str">
        <v>760</v>
      </c>
      <c r="BB63" t="str">
        <v>760</v>
      </c>
      <c r="BC63" t="str">
        <v>PROJECTS register book(4).xlsm</v>
      </c>
      <c r="BD63" t="str">
        <v>No</v>
      </c>
      <c r="BE63" t="str">
        <v>Obtain tax-adviser and operating-budget schedules and update provisional assumptions.</v>
      </c>
      <c r="BF63" s="2442" t="n">
        <v>46231</v>
      </c>
      <c r="BG63" t="str">
        <f>IF($AZ63="No","PASS",IF(OR($AX63="Owner decision outstanding",$BD63="OWNER DECISION"),"WARNING",IF(OR($AP63="",$AN63="",$AS63="",$AV63=""),"FAIL","PASS")))</f>
        <v>PASS</v>
      </c>
    </row>
    <row r="64" ht="24" customHeight="1">
      <c r="A64" s="2504" t="str">
        <f>$AJ$26</f>
        <v>AREA-SNOW</v>
      </c>
      <c r="B64" s="2504" t="str">
        <f>$AL$26</f>
        <v>Snowtunnel</v>
      </c>
      <c r="C64" s="2504" t="str">
        <f>$AM$26</f>
        <v>Snowtunnel area</v>
      </c>
      <c r="D64" s="2541" t="str">
        <f>$AN$26&amp;IF($AO$26="",""," | "&amp;IF($AN$26="Date",TEXT($AO$26,"dd mmm yyyy"),$AO$26))</f>
        <v>sqm | Current</v>
      </c>
      <c r="E64" s="2623" t="n">
        <v>3800</v>
      </c>
      <c r="F64" s="2505"/>
      <c r="G64" s="2505"/>
      <c r="H64" s="2505" t="n">
        <f>IF($A64="","",$E64)</f>
        <v>3800</v>
      </c>
      <c r="I64" s="2543" t="str">
        <f>$AU$26&amp;IF($AS$26="",""," | "&amp;$AS$26)</f>
        <v>Mapped | PROJECT CASH FLOW | G14</v>
      </c>
      <c r="J64" s="2504" t="str">
        <f>$AV$26&amp;" | "&amp;$AX$26</f>
        <v>Model owner | Hard-coded model input</v>
      </c>
      <c r="K64" s="2504" t="str">
        <f>$AW$26</f>
        <v>Detailed source and target values agree.</v>
      </c>
      <c r="AJ64" s="578" t="str">
        <v>OPS-004</v>
      </c>
      <c r="AK64" s="579" t="str">
        <v>Operating assumptions</v>
      </c>
      <c r="AL64" s="579" t="str">
        <v>Project</v>
      </c>
      <c r="AM64" s="579" t="str">
        <v>Corporate tax rate</v>
      </c>
      <c r="AN64" s="579" t="str">
        <v>%</v>
      </c>
      <c r="AO64" s="579" t="str">
        <v>Annual</v>
      </c>
      <c r="AP64" s="585" t="n">
        <f>IF($E$147="","",$E$147)</f>
        <v>0.3</v>
      </c>
      <c r="AQ64" s="585" t="str">
        <f>IF($F$147="","",$F$147)</f>
      </c>
      <c r="AR64" s="585" t="str">
        <f>IF($G$147="","",$G$147)</f>
      </c>
      <c r="AS64" s="588" t="str">
        <v>MODEL DESIGN | D44; ASSUMPTIONS | B12:D12</v>
      </c>
      <c r="AT64" s="588"/>
      <c r="AU64" s="588" t="str">
        <v>Mapped</v>
      </c>
      <c r="AV64" s="588" t="str">
        <f>IF(OR($AU64="Conflict",$AU64="Review Required",$AU64="New Input Required",$AU64="Unsupported"),"Management","Model owner")</f>
        <v>Model owner</v>
      </c>
      <c r="AW64" s="588" t="str">
        <v>Source-backed 30% corporate tax rate; timing, tax depreciation and transaction-specific advice remain provisional.</v>
      </c>
      <c r="AX64" t="str">
        <v>Hard-coded model input</v>
      </c>
      <c r="AY64" s="2440" t="n">
        <f>$H$147</f>
        <v>0.3</v>
      </c>
      <c r="AZ64" t="str">
        <v>Yes</v>
      </c>
      <c r="BA64" t="str">
        <v>DEBT</v>
      </c>
      <c r="BB64" t="str">
        <v>Cash waterfall tax row</v>
      </c>
      <c r="BC64" t="str">
        <v>PROJECTS register book(4).xlsm</v>
      </c>
      <c r="BD64" t="str">
        <v>No</v>
      </c>
      <c r="BE64" t="str">
        <v>Obtain tax-adviser and operating-budget schedules and update provisional assumptions.</v>
      </c>
      <c r="BF64" s="2442" t="n">
        <v>46231</v>
      </c>
      <c r="BG64" t="str">
        <f>IF($AZ64="No","PASS",IF(OR($AX64="Owner decision outstanding",$BD64="OWNER DECISION"),"WARNING",IF(OR($AP64="",$AN64="",$AS64="",$AV64=""),"FAIL","PASS")))</f>
        <v>PASS</v>
      </c>
    </row>
    <row r="65" ht="24" customHeight="1">
      <c r="A65" s="2504" t="str">
        <f>$AJ$27</f>
        <v>AREA-GOKART</v>
      </c>
      <c r="B65" s="2504" t="str">
        <f>$AL$27</f>
        <v>Retail and ancillary uses</v>
      </c>
      <c r="C65" s="2504" t="str">
        <f>$AM$27</f>
        <v>Go-kart area</v>
      </c>
      <c r="D65" s="2544" t="str">
        <f>$AN$27&amp;IF($AO$27="",""," | "&amp;IF($AN$27="Date",TEXT($AO$27,"dd mmm yyyy"),$AO$27))</f>
        <v>sqm | Current</v>
      </c>
      <c r="E65" s="2623" t="n">
        <v>2000</v>
      </c>
      <c r="F65" s="2505"/>
      <c r="G65" s="2505"/>
      <c r="H65" s="2505" t="n">
        <f>IF($A65="","",$E65)</f>
        <v>2000</v>
      </c>
      <c r="I65" s="2543" t="str">
        <f>$AU$27&amp;IF($AS$27="",""," | "&amp;$AS$27)</f>
        <v>Mapped | Target: Underwriting | E100</v>
      </c>
      <c r="J65" s="2504" t="str">
        <f>$AV$27&amp;" | "&amp;$AX$27</f>
        <v>Model owner | Hard-coded model input</v>
      </c>
      <c r="K65" s="2504" t="str">
        <f>$AW$27</f>
        <v>No discrete go-kart GFA was identified in the data book.</v>
      </c>
      <c r="AJ65" s="578" t="str">
        <v>OPS-005</v>
      </c>
      <c r="AK65" s="579" t="str">
        <v>Operating assumptions</v>
      </c>
      <c r="AL65" s="579" t="str">
        <v>Project</v>
      </c>
      <c r="AM65" s="579" t="str">
        <v>Source operating revenue</v>
      </c>
      <c r="AN65" s="579" t="str">
        <v>A$m</v>
      </c>
      <c r="AO65" s="579" t="str">
        <v>2029</v>
      </c>
      <c r="AP65" s="584" t="n">
        <v>48.8302003682858</v>
      </c>
      <c r="AQ65" s="584"/>
      <c r="AR65" s="584"/>
      <c r="AS65" s="588" t="str">
        <f>IFERROR(INDEX('DATA MAP'!$C$8:$C$137,MATCH($AJ65,'DATA MAP'!$A$8:$A$137,0))&amp;IF(INDEX('DATA MAP'!$D$8:$D$137,MATCH($AJ65,'DATA MAP'!$A$8:$A$137,0))="",""," | "&amp;INDEX('DATA MAP'!$D$8:$D$137,MATCH($AJ65,'DATA MAP'!$A$8:$A$137,0))),"Not provided")</f>
        <v>PROJECT CASH FLOW | G93</v>
      </c>
      <c r="AT65" s="588"/>
      <c r="AU65" s="588" t="str">
        <f>IFERROR(INDEX('DATA MAP'!$I$8:$I$137,MATCH($AJ65,'DATA MAP'!$A$8:$A$137,0)),"Review Required")</f>
        <v>Mapped — reconciled</v>
      </c>
      <c r="AV65" s="588" t="str">
        <f>IF(OR($AU65="Conflict",$AU65="Review Required",$AU65="New Input Required",$AU65="Unsupported"),"Management","Model owner")</f>
        <v>Model owner</v>
      </c>
      <c r="AW65" s="588" t="str">
        <f>IFERROR(INDEX('DATA MAP'!$K$8:$K$137,MATCH($AJ65,'DATA MAP'!$A$8:$A$137,0)),"Management confirmation required.")</f>
        <v>Source annual revenue is not imported into the target monthly schedule because the scopes differ. | The target monthly operating, tax and working-capital schedules control; specialist confirmation remains an OWNER DECISION where stated.</v>
      </c>
      <c r="AX65" t="str">
        <v>Derived calculation</v>
      </c>
      <c r="AY65" s="2440" t="n">
        <f>$H$148</f>
        <v>48.8302003682858</v>
      </c>
      <c r="AZ65" t="str">
        <v>Yes</v>
      </c>
      <c r="BA65" t="str">
        <v>Underwriting</v>
      </c>
      <c r="BB65" t="str">
        <v>I130 / monthly operating rows</v>
      </c>
      <c r="BC65" t="str">
        <v>PROJECTS register book(4).xlsm</v>
      </c>
      <c r="BD65" t="str">
        <v>Resolved</v>
      </c>
      <c r="BE65" t="str">
        <v>Obtain tax-adviser and operating-budget schedules and update provisional assumptions.</v>
      </c>
      <c r="BF65" s="2442" t="n">
        <v>46231</v>
      </c>
      <c r="BG65" t="str">
        <f>IF($AZ65="No","PASS",IF(OR($AX65="Owner decision outstanding",$BD65="OWNER DECISION"),"WARNING",IF(OR($AP65="",$AN65="",$AS65="",$AV65=""),"FAIL","PASS")))</f>
        <v>PASS</v>
      </c>
    </row>
    <row r="66" ht="24" customHeight="1">
      <c r="A66" s="2504" t="str">
        <f>$AJ$28</f>
        <v>AREA-LANDSCAPE</v>
      </c>
      <c r="B66" s="2504" t="str">
        <f>$AL$28</f>
        <v>Retail and ancillary uses</v>
      </c>
      <c r="C66" s="2504" t="str">
        <f>$AM$28</f>
        <v>Landscape attraction area</v>
      </c>
      <c r="D66" s="2544" t="str">
        <f>$AN$28&amp;IF($AO$28="",""," | "&amp;IF($AN$28="Date",TEXT($AO$28,"dd mmm yyyy"),$AO$28))</f>
        <v>sqm | Current</v>
      </c>
      <c r="E66" s="2623" t="n">
        <v>150</v>
      </c>
      <c r="F66" s="2505"/>
      <c r="G66" s="2505"/>
      <c r="H66" s="2505" t="n">
        <f>IF($A66="","",$E66)</f>
        <v>150</v>
      </c>
      <c r="I66" s="2543" t="str">
        <f>$AU$28&amp;IF($AS$28="",""," | "&amp;$AS$28)</f>
        <v>Mapped | PROJECT CASH FLOW | G15</v>
      </c>
      <c r="J66" s="2504" t="str">
        <f>$AV$28&amp;" | "&amp;$AX$28</f>
        <v>Model owner | Hard-coded model input</v>
      </c>
      <c r="K66" s="2504" t="str">
        <f>$AW$28</f>
        <v>Detailed source and target values agree.</v>
      </c>
      <c r="AJ66" s="578" t="str">
        <v>OPS-006</v>
      </c>
      <c r="AK66" s="579" t="str">
        <v>Operating assumptions</v>
      </c>
      <c r="AL66" s="579" t="str">
        <v>Project</v>
      </c>
      <c r="AM66" s="579" t="str">
        <v>Target stabilised potential gross income</v>
      </c>
      <c r="AN66" s="579" t="str">
        <v>A$m</v>
      </c>
      <c r="AO66" s="579" t="str">
        <v>Stabilised</v>
      </c>
      <c r="AP66" s="584" t="n">
        <v>17.3265437456202</v>
      </c>
      <c r="AQ66" s="584"/>
      <c r="AR66" s="584"/>
      <c r="AS66" s="588" t="str">
        <f>IFERROR(INDEX('DATA MAP'!$C$8:$C$137,MATCH($AJ66,'DATA MAP'!$A$8:$A$137,0))&amp;IF(INDEX('DATA MAP'!$D$8:$D$137,MATCH($AJ66,'DATA MAP'!$A$8:$A$137,0))="",""," | "&amp;INDEX('DATA MAP'!$D$8:$D$137,MATCH($AJ66,'DATA MAP'!$A$8:$A$137,0))),"Not provided")</f>
        <v>Target: Underwriting | I130</v>
      </c>
      <c r="AT66" s="588"/>
      <c r="AU66" s="588" t="str">
        <f>IFERROR(INDEX('DATA MAP'!$I$8:$I$137,MATCH($AJ66,'DATA MAP'!$A$8:$A$137,0)),"Review Required")</f>
        <v>Mapped — reconciled</v>
      </c>
      <c r="AV66" s="588" t="str">
        <f>IF(OR($AU66="Conflict",$AU66="Review Required",$AU66="New Input Required",$AU66="Unsupported"),"Management","Model owner")</f>
        <v>Model owner</v>
      </c>
      <c r="AW66" s="588" t="str">
        <f>IFERROR(INDEX('DATA MAP'!$K$8:$K$137,MATCH($AJ66,'DATA MAP'!$A$8:$A$137,0)),"Management confirmation required.")</f>
        <v>760 | The target monthly operating, tax and working-capital schedules control; specialist confirmation remains an OWNER DECISION where stated.</v>
      </c>
      <c r="AX66" t="str">
        <v>Derived calculation</v>
      </c>
      <c r="AY66" s="2440" t="n">
        <f>$H$149</f>
        <v>17.3265437456202</v>
      </c>
      <c r="AZ66" t="str">
        <v>Yes</v>
      </c>
      <c r="BA66" t="str">
        <v>Underwriting</v>
      </c>
      <c r="BB66" t="str">
        <v>I130</v>
      </c>
      <c r="BC66" t="str">
        <v>Target model</v>
      </c>
      <c r="BD66" t="str">
        <v>No</v>
      </c>
      <c r="BE66" t="str">
        <v>Obtain tax-adviser and operating-budget schedules and update provisional assumptions.</v>
      </c>
      <c r="BF66" s="2442" t="n">
        <v>46231</v>
      </c>
      <c r="BG66" t="str">
        <f>IF($AZ66="No","PASS",IF(OR($AX66="Owner decision outstanding",$BD66="OWNER DECISION"),"WARNING",IF(OR($AP66="",$AN66="",$AS66="",$AV66=""),"FAIL","PASS")))</f>
        <v>PASS</v>
      </c>
    </row>
    <row r="67" ht="24" customHeight="1">
      <c r="A67" s="2504" t="str">
        <f>$AJ$29</f>
        <v>AREA-STORAGE</v>
      </c>
      <c r="B67" s="2504" t="str">
        <f>$AL$29</f>
        <v>Storage</v>
      </c>
      <c r="C67" s="2504" t="str">
        <f>$AM$29</f>
        <v>Self-storage area</v>
      </c>
      <c r="D67" s="2544" t="str">
        <f>$AN$29&amp;IF($AO$29="",""," | "&amp;IF($AN$29="Date",TEXT($AO$29,"dd mmm yyyy"),$AO$29))</f>
        <v>sqm | Current</v>
      </c>
      <c r="E67" s="2623" t="n">
        <v>600</v>
      </c>
      <c r="F67" s="2505"/>
      <c r="G67" s="2505"/>
      <c r="H67" s="2505" t="n">
        <f>IF($A67="","",$E67)</f>
        <v>600</v>
      </c>
      <c r="I67" s="2543" t="str">
        <f>$AU$29&amp;IF($AS$29="",""," | "&amp;$AS$29)</f>
        <v>Mapped | PROJECT CASH FLOW | G17</v>
      </c>
      <c r="J67" s="2504" t="str">
        <f>$AV$29&amp;" | "&amp;$AX$29</f>
        <v>Model owner | Hard-coded model input</v>
      </c>
      <c r="K67" s="2504" t="str">
        <f>$AW$29</f>
        <v>Detailed source and target values agree.</v>
      </c>
      <c r="AJ67" s="578" t="str">
        <v>OPS-007</v>
      </c>
      <c r="AK67" s="579" t="str">
        <v>Operating assumptions</v>
      </c>
      <c r="AL67" s="579" t="str">
        <v>Project</v>
      </c>
      <c r="AM67" s="579" t="str">
        <v>Target stabilised NOI</v>
      </c>
      <c r="AN67" s="579" t="str">
        <v>A$m</v>
      </c>
      <c r="AO67" s="579" t="str">
        <v>Stabilised</v>
      </c>
      <c r="AP67" s="584" t="n">
        <v>16.37</v>
      </c>
      <c r="AQ67" s="584"/>
      <c r="AR67" s="584"/>
      <c r="AS67" s="588" t="str">
        <f>IFERROR(INDEX('DATA MAP'!$C$8:$C$137,MATCH($AJ67,'DATA MAP'!$A$8:$A$137,0))&amp;IF(INDEX('DATA MAP'!$D$8:$D$137,MATCH($AJ67,'DATA MAP'!$A$8:$A$137,0))="",""," | "&amp;INDEX('DATA MAP'!$D$8:$D$137,MATCH($AJ67,'DATA MAP'!$A$8:$A$137,0))),"Not provided")</f>
        <v>Target: Underwriting | I140</v>
      </c>
      <c r="AT67" s="588"/>
      <c r="AU67" s="588" t="str">
        <f>IFERROR(INDEX('DATA MAP'!$I$8:$I$137,MATCH($AJ67,'DATA MAP'!$A$8:$A$137,0)),"Review Required")</f>
        <v>Mapped — reconciled</v>
      </c>
      <c r="AV67" s="588" t="str">
        <f>IF(OR($AU67="Conflict",$AU67="Review Required",$AU67="New Input Required",$AU67="Unsupported"),"Management","Model owner")</f>
        <v>Model owner</v>
      </c>
      <c r="AW67" s="588" t="str">
        <f>IFERROR(INDEX('DATA MAP'!$K$8:$K$137,MATCH($AJ67,'DATA MAP'!$A$8:$A$137,0)),"Management confirmation required.")</f>
        <v>760 | The target monthly operating, tax and working-capital schedules control; specialist confirmation remains an OWNER DECISION where stated.</v>
      </c>
      <c r="AX67" t="str">
        <v>Derived calculation</v>
      </c>
      <c r="AY67" s="2440" t="n">
        <f>$H$150</f>
        <v>16.37</v>
      </c>
      <c r="AZ67" t="str">
        <v>Yes</v>
      </c>
      <c r="BA67" t="str">
        <v>Underwriting</v>
      </c>
      <c r="BB67" t="str">
        <v>I140</v>
      </c>
      <c r="BC67" t="str">
        <v>Target model</v>
      </c>
      <c r="BD67" t="str">
        <v>No</v>
      </c>
      <c r="BE67" t="str">
        <v>Obtain tax-adviser and operating-budget schedules and update provisional assumptions.</v>
      </c>
      <c r="BF67" s="2442" t="n">
        <v>46231</v>
      </c>
      <c r="BG67" t="str">
        <f>IF($AZ67="No","PASS",IF(OR($AX67="Owner decision outstanding",$BD67="OWNER DECISION"),"WARNING",IF(OR($AP67="",$AN67="",$AS67="",$AV67=""),"FAIL","PASS")))</f>
        <v>PASS</v>
      </c>
    </row>
    <row r="68" ht="24" customHeight="1">
      <c r="A68" s="2504" t="str">
        <f>$AJ$30</f>
        <v>AREA-CONV</v>
      </c>
      <c r="B68" s="2504" t="str">
        <f>$AL$30</f>
        <v>Retail and ancillary uses</v>
      </c>
      <c r="C68" s="2504" t="str">
        <f>$AM$30</f>
        <v>Convenience/laundromat area</v>
      </c>
      <c r="D68" s="2545" t="str">
        <f>$AN$30&amp;IF($AO$30="",""," | "&amp;IF($AN$30="Date",TEXT($AO$30,"dd mmm yyyy"),$AO$30))</f>
        <v>sqm | Current</v>
      </c>
      <c r="E68" s="2505" t="n">
        <f>$AP$30</f>
        <v>64</v>
      </c>
      <c r="F68" s="2505"/>
      <c r="G68" s="2505"/>
      <c r="H68" s="2505" t="n">
        <f>IF($A68="","",$E68)</f>
        <v>64</v>
      </c>
      <c r="I68" s="2543" t="str">
        <f>$AU$30&amp;IF($AS$30="",""," | "&amp;$AS$30)</f>
        <v>Mapped — reconciled | PROJECT CASH FLOW | G18:G19</v>
      </c>
      <c r="J68" s="2504" t="str">
        <f>$AV$30&amp;" | "&amp;$AX$30</f>
        <v>Model owner | Derived calculation</v>
      </c>
      <c r="K68" s="2504" t="str">
        <f>$AW$30</f>
        <v>Detailed target ancillary area retained; wider source figure treated as shared precinct space to prevent double counting. | The detailed component area schedule controls; wider summary areas are treated as shared precinct space to prevent double counting.</v>
      </c>
      <c r="AJ68" s="578" t="str">
        <v>LEASE-001</v>
      </c>
      <c r="AK68" s="579" t="str">
        <v>Lease assumptions</v>
      </c>
      <c r="AL68" s="579" t="str">
        <v>Project</v>
      </c>
      <c r="AM68" s="579" t="str">
        <v>Annual rent escalation</v>
      </c>
      <c r="AN68" s="579" t="str">
        <v>% p.a.</v>
      </c>
      <c r="AO68" s="579" t="str">
        <v>Annual</v>
      </c>
      <c r="AP68" s="585" t="n">
        <f>IF($E$162="","",$E$162)</f>
        <v>0.035</v>
      </c>
      <c r="AQ68" s="585" t="str">
        <f>IF($F$162="","",$F$162)</f>
      </c>
      <c r="AR68" s="585" t="str">
        <f>IF($G$162="","",$G$162)</f>
      </c>
      <c r="AS68" s="588" t="str">
        <f>IFERROR(INDEX('DATA MAP'!$C$8:$C$137,MATCH($AJ68,'DATA MAP'!$A$8:$A$137,0))&amp;IF(INDEX('DATA MAP'!$D$8:$D$137,MATCH($AJ68,'DATA MAP'!$A$8:$A$137,0))="",""," | "&amp;INDEX('DATA MAP'!$D$8:$D$137,MATCH($AJ68,'DATA MAP'!$A$8:$A$137,0))),"Not provided")</f>
        <v>MODEL DESIGN | C51</v>
      </c>
      <c r="AT68" s="588"/>
      <c r="AU68" s="588" t="str">
        <f>IFERROR(INDEX('DATA MAP'!$I$8:$I$137,MATCH($AJ68,'DATA MAP'!$A$8:$A$137,0)),"Review Required")</f>
        <v>Mapped</v>
      </c>
      <c r="AV68" s="588" t="str">
        <f>IF(OR($AU68="Conflict",$AU68="Review Required",$AU68="New Input Required",$AU68="Unsupported"),"Management","Model owner")</f>
        <v>Model owner</v>
      </c>
      <c r="AW68" s="588" t="str">
        <f>IFERROR(INDEX('DATA MAP'!$K$8:$K$137,MATCH($AJ68,'DATA MAP'!$A$8:$A$137,0)),"Management confirmation required.")</f>
        <v>Linked to all twelve target component rent-growth inputs.</v>
      </c>
      <c r="AX68" t="str">
        <v>Hard-coded model input</v>
      </c>
      <c r="AY68" s="2440" t="n">
        <f>$H$162</f>
        <v>0.035</v>
      </c>
      <c r="AZ68" t="str">
        <v>Yes</v>
      </c>
      <c r="BA68" t="str">
        <v>Underwriting</v>
      </c>
      <c r="BB68" t="str">
        <v>G93:G104</v>
      </c>
      <c r="BC68" t="str">
        <v>PROJECTS register book(4).xlsm</v>
      </c>
      <c r="BD68" t="str">
        <v>No</v>
      </c>
      <c r="BE68" t="str">
        <v>None — technical mapping complete.</v>
      </c>
      <c r="BF68" s="2442" t="n">
        <v>46231</v>
      </c>
      <c r="BG68" t="str">
        <f>IF($AZ68="No","PASS",IF(OR($AX68="Owner decision outstanding",$BD68="OWNER DECISION"),"WARNING",IF(OR($AP68="",$AN68="",$AS68="",$AV68=""),"FAIL","PASS")))</f>
        <v>PASS</v>
      </c>
    </row>
    <row r="69" ht="24" customHeight="1">
      <c r="A69" s="2504" t="str">
        <f>$AJ$31</f>
        <v>AREA-EBIKE</v>
      </c>
      <c r="B69" s="2504" t="str">
        <f>$AL$31</f>
        <v>Retail and ancillary uses</v>
      </c>
      <c r="C69" s="2504" t="str">
        <f>$AM$31</f>
        <v>eBike/eScooter storage area</v>
      </c>
      <c r="D69" s="2504" t="str">
        <f>$AN$31&amp;IF($AO$31="",""," | "&amp;IF($AN$31="Date",TEXT($AO$31,"dd mmm yyyy"),$AO$31))</f>
        <v>sqm | Current</v>
      </c>
      <c r="E69" s="2505" t="n">
        <f>$AP$31</f>
        <v>48</v>
      </c>
      <c r="F69" s="2505"/>
      <c r="G69" s="2505"/>
      <c r="H69" s="2505" t="n">
        <f>IF($A69="","",$E69)</f>
        <v>48</v>
      </c>
      <c r="I69" s="2543" t="str">
        <f>$AU$31&amp;IF($AS$31="",""," | "&amp;$AS$31)</f>
        <v>Mapped — reconciled | PROJECT CASH FLOW | G16</v>
      </c>
      <c r="J69" s="2504" t="str">
        <f>$AV$31&amp;" | "&amp;$AX$31</f>
        <v>Model owner | Derived calculation</v>
      </c>
      <c r="K69" s="2504" t="str">
        <f>$AW$31</f>
        <v>Detailed target eBike area retained; source alternative disclosed but not added. | The detailed component area schedule controls; wider summary areas are treated as shared precinct space to prevent double counting.</v>
      </c>
      <c r="AJ69" s="578" t="str">
        <v>LEASE-URWLD</v>
      </c>
      <c r="AK69" s="579" t="str">
        <v>Lease assumptions</v>
      </c>
      <c r="AL69" s="579" t="str">
        <v>URWLD</v>
      </c>
      <c r="AM69" s="579" t="str">
        <v>URWLD rent</v>
      </c>
      <c r="AN69" s="579" t="str">
        <v>A$/sqm/year</v>
      </c>
      <c r="AO69" s="579" t="str">
        <v>Year 1</v>
      </c>
      <c r="AP69" s="583" t="n">
        <f>IF($E$163="","",$E$163)</f>
        <v>400</v>
      </c>
      <c r="AQ69" s="583" t="str">
        <f>IF($F$163="","",$F$163)</f>
      </c>
      <c r="AR69" s="583" t="str">
        <f>IF($G$163="","",$G$163)</f>
      </c>
      <c r="AS69" s="588" t="str">
        <f>IFERROR(INDEX('DATA MAP'!$C$8:$C$137,MATCH($AJ69,'DATA MAP'!$A$8:$A$137,0))&amp;IF(INDEX('DATA MAP'!$D$8:$D$137,MATCH($AJ69,'DATA MAP'!$A$8:$A$137,0))="",""," | "&amp;INDEX('DATA MAP'!$D$8:$D$137,MATCH($AJ69,'DATA MAP'!$A$8:$A$137,0))),"Not provided")</f>
        <v>Target: Underwriting | H93</v>
      </c>
      <c r="AT69" s="588"/>
      <c r="AU69" s="588" t="str">
        <f>IFERROR(INDEX('DATA MAP'!$I$8:$I$137,MATCH($AJ69,'DATA MAP'!$A$8:$A$137,0)),"Review Required")</f>
        <v>Mapped</v>
      </c>
      <c r="AV69" s="588" t="str">
        <f>IF(OR($AU69="Conflict",$AU69="Review Required",$AU69="New Input Required",$AU69="Unsupported"),"Management","Model owner")</f>
        <v>Model owner</v>
      </c>
      <c r="AW69" s="588" t="str">
        <f>IFERROR(INDEX('DATA MAP'!$K$8:$K$137,MATCH($AJ69,'DATA MAP'!$A$8:$A$137,0)),"Management confirmation required.")</f>
        <v>Data-book lease and operating schedules require scope reconciliation before replacement.</v>
      </c>
      <c r="AX69" t="str">
        <v>Hard-coded model input</v>
      </c>
      <c r="AY69" s="2440" t="n">
        <f>$H$163</f>
        <v>400</v>
      </c>
      <c r="AZ69" t="str">
        <v>Yes</v>
      </c>
      <c r="BA69" t="str">
        <v>Underwriting</v>
      </c>
      <c r="BB69" t="str">
        <v>H93</v>
      </c>
      <c r="BC69" t="str">
        <v>Target model</v>
      </c>
      <c r="BD69" t="str">
        <v>No</v>
      </c>
      <c r="BE69" t="str">
        <v>None — technical mapping complete.</v>
      </c>
      <c r="BF69" s="2442" t="n">
        <v>46231</v>
      </c>
      <c r="BG69" t="str">
        <f>IF($AZ69="No","PASS",IF(OR($AX69="Owner decision outstanding",$BD69="OWNER DECISION"),"WARNING",IF(OR($AP69="",$AN69="",$AS69="",$AV69=""),"FAIL","PASS")))</f>
        <v>PASS</v>
      </c>
    </row>
    <row r="70" ht="24" customHeight="1">
      <c r="A70" s="2504" t="str">
        <f>$AJ$32</f>
        <v>CAP-PBSA-001</v>
      </c>
      <c r="B70" s="2504" t="str">
        <f>$AL$32</f>
        <v>PBSA/student accommodation</v>
      </c>
      <c r="C70" s="2504" t="str">
        <f>$AM$32</f>
        <v>PBSA capacity</v>
      </c>
      <c r="D70" s="2504" t="str">
        <f>$AN$32&amp;IF($AO$32="",""," | "&amp;IF($AN$32="Date",TEXT($AO$32,"dd mmm yyyy"),$AO$32))</f>
        <v>Beds | At completion</v>
      </c>
      <c r="E70" s="2623" t="n">
        <v>580</v>
      </c>
      <c r="F70" s="2505"/>
      <c r="G70" s="2505"/>
      <c r="H70" s="2505" t="n">
        <f>IF($A70="","",$E70)</f>
        <v>580</v>
      </c>
      <c r="I70" s="2543" t="str">
        <f>$AU$32&amp;IF($AS$32="",""," | "&amp;$AS$32)</f>
        <v>Mapped | MODEL DESIGN | C82</v>
      </c>
      <c r="J70" s="2504" t="str">
        <f>$AV$32&amp;" | "&amp;$AX$32</f>
        <v>Model owner | Hard-coded model input</v>
      </c>
      <c r="K70" s="2504" t="str">
        <f>$AW$32</f>
        <v>Data-book capacity input adopted. Property-rent versus operating-business classification remains disclosed in valuation notes.</v>
      </c>
      <c r="AJ70" s="578" t="str">
        <v>LEASE-PBSA</v>
      </c>
      <c r="AK70" s="579" t="str">
        <v>Lease assumptions</v>
      </c>
      <c r="AL70" s="579" t="str">
        <v>PBSA/student accommodation</v>
      </c>
      <c r="AM70" s="579" t="str">
        <v>PBSA property rent</v>
      </c>
      <c r="AN70" s="579" t="str">
        <v>A$/sqm/year</v>
      </c>
      <c r="AO70" s="579" t="str">
        <v>Year 1</v>
      </c>
      <c r="AP70" s="583" t="str">
        <f>IF($E$164="","",$E$164)</f>
      </c>
      <c r="AQ70" s="583" t="str">
        <f>IF($F$164="","",$F$164)</f>
      </c>
      <c r="AR70" s="583" t="str">
        <f>IF($G$164="","",$G$164)</f>
      </c>
      <c r="AS70" s="588" t="str">
        <f>IFERROR(INDEX('DATA MAP'!$C$8:$C$137,MATCH($AJ70,'DATA MAP'!$A$8:$A$137,0))&amp;IF(INDEX('DATA MAP'!$D$8:$D$137,MATCH($AJ70,'DATA MAP'!$A$8:$A$137,0))="",""," | "&amp;INDEX('DATA MAP'!$D$8:$D$137,MATCH($AJ70,'DATA MAP'!$A$8:$A$137,0))),"Not provided")</f>
        <v>Target: Underwriting | H94</v>
      </c>
      <c r="AT70" s="588"/>
      <c r="AU70" s="588" t="str">
        <f>IFERROR(INDEX('DATA MAP'!$I$8:$I$137,MATCH($AJ70,'DATA MAP'!$A$8:$A$137,0)),"Review Required")</f>
        <v>Mapped</v>
      </c>
      <c r="AV70" s="588" t="str">
        <f>IF(OR($AU70="Conflict",$AU70="Review Required",$AU70="New Input Required",$AU70="Unsupported"),"Management","Model owner")</f>
        <v>Model owner</v>
      </c>
      <c r="AW70" s="588" t="str">
        <f>IFERROR(INDEX('DATA MAP'!$K$8:$K$137,MATCH($AJ70,'DATA MAP'!$A$8:$A$137,0)),"Management confirmation required.")</f>
        <v>Data-book lease and operating schedules require scope reconciliation before replacement.</v>
      </c>
      <c r="AX70" t="str">
        <v>Hard-coded model input</v>
      </c>
      <c r="AY70" s="2440" t="n">
        <f>$H$164</f>
        <v>0</v>
      </c>
      <c r="AZ70" t="str">
        <v>Yes</v>
      </c>
      <c r="BA70" t="str">
        <v>Underwriting</v>
      </c>
      <c r="BB70" t="str">
        <v>H94</v>
      </c>
      <c r="BC70" t="str">
        <v>Target model</v>
      </c>
      <c r="BD70" t="str">
        <v>No</v>
      </c>
      <c r="BE70" t="str">
        <v>None — technical mapping complete.</v>
      </c>
      <c r="BF70" s="2442" t="n">
        <v>46231</v>
      </c>
      <c r="BG70" t="str">
        <f>IF($AZ70="No","PASS",IF(OR($AX70="Owner decision outstanding",$BD70="OWNER DECISION"),"WARNING",IF(OR($AP70="",$AN70="",$AS70="",$AV70=""),"FAIL","PASS")))</f>
        <v>FAIL</v>
      </c>
    </row>
    <row r="71" ht="24" customHeight="1">
      <c r="A71" s="2504" t="str">
        <f>$AJ$33</f>
        <v>CAP-PARK-001</v>
      </c>
      <c r="B71" s="2504" t="str">
        <f>$AL$33</f>
        <v>Parking</v>
      </c>
      <c r="C71" s="2504" t="str">
        <f>$AM$33</f>
        <v>Car park capacity</v>
      </c>
      <c r="D71" s="2504" t="str">
        <f>$AN$33&amp;IF($AO$33="",""," | "&amp;IF($AN$33="Date",TEXT($AO$33,"dd mmm yyyy"),$AO$33))</f>
        <v>Spaces | At completion</v>
      </c>
      <c r="E71" s="2623" t="n">
        <v>800</v>
      </c>
      <c r="F71" s="2505"/>
      <c r="G71" s="2505"/>
      <c r="H71" s="2505" t="n">
        <f>IF($A71="","",$E71)</f>
        <v>800</v>
      </c>
      <c r="I71" s="2543" t="str">
        <f>$AU$33&amp;IF($AS$33="",""," | "&amp;$AS$33)</f>
        <v>Mapped | MODEL DESIGN | C89</v>
      </c>
      <c r="J71" s="2504" t="str">
        <f>$AV$33&amp;" | "&amp;$AX$33</f>
        <v>Model owner | Hard-coded model input</v>
      </c>
      <c r="K71" s="2504" t="str">
        <f>$AW$33</f>
        <v>Data-book capacity input adopted; revenue remains linked through the detailed management forecast.</v>
      </c>
      <c r="AJ71" s="578" t="str">
        <v>LEASE-LIVE</v>
      </c>
      <c r="AK71" s="579" t="str">
        <v>Lease assumptions</v>
      </c>
      <c r="AL71" s="579" t="str">
        <v>LiveHouse</v>
      </c>
      <c r="AM71" s="579" t="str">
        <v>LiveHouse rent</v>
      </c>
      <c r="AN71" s="579" t="str">
        <v>A$/sqm/year</v>
      </c>
      <c r="AO71" s="579" t="str">
        <v>Year 1</v>
      </c>
      <c r="AP71" s="583" t="n">
        <f>IF($E$165="","",$E$165)</f>
        <v>400</v>
      </c>
      <c r="AQ71" s="583" t="str">
        <f>IF($F$165="","",$F$165)</f>
      </c>
      <c r="AR71" s="583" t="str">
        <f>IF($G$165="","",$G$165)</f>
      </c>
      <c r="AS71" s="588" t="str">
        <f>IFERROR(INDEX('DATA MAP'!$C$8:$C$137,MATCH($AJ71,'DATA MAP'!$A$8:$A$137,0))&amp;IF(INDEX('DATA MAP'!$D$8:$D$137,MATCH($AJ71,'DATA MAP'!$A$8:$A$137,0))="",""," | "&amp;INDEX('DATA MAP'!$D$8:$D$137,MATCH($AJ71,'DATA MAP'!$A$8:$A$137,0))),"Not provided")</f>
        <v>Target: Underwriting | H95</v>
      </c>
      <c r="AT71" s="588"/>
      <c r="AU71" s="588" t="str">
        <f>IFERROR(INDEX('DATA MAP'!$I$8:$I$137,MATCH($AJ71,'DATA MAP'!$A$8:$A$137,0)),"Review Required")</f>
        <v>Mapped</v>
      </c>
      <c r="AV71" s="588" t="str">
        <f>IF(OR($AU71="Conflict",$AU71="Review Required",$AU71="New Input Required",$AU71="Unsupported"),"Management","Model owner")</f>
        <v>Model owner</v>
      </c>
      <c r="AW71" s="588" t="str">
        <f>IFERROR(INDEX('DATA MAP'!$K$8:$K$137,MATCH($AJ71,'DATA MAP'!$A$8:$A$137,0)),"Management confirmation required.")</f>
        <v>Data-book lease and operating schedules require scope reconciliation before replacement.</v>
      </c>
      <c r="AX71" t="str">
        <v>Hard-coded model input</v>
      </c>
      <c r="AY71" s="2440" t="n">
        <f>$H$165</f>
        <v>400</v>
      </c>
      <c r="AZ71" t="str">
        <v>Yes</v>
      </c>
      <c r="BA71" t="str">
        <v>Underwriting</v>
      </c>
      <c r="BB71" t="str">
        <v>H95</v>
      </c>
      <c r="BC71" t="str">
        <v>Target model</v>
      </c>
      <c r="BD71" t="str">
        <v>No</v>
      </c>
      <c r="BE71" t="str">
        <v>None — technical mapping complete.</v>
      </c>
      <c r="BF71" s="2442" t="n">
        <v>46231</v>
      </c>
      <c r="BG71" t="str">
        <f>IF($AZ71="No","PASS",IF(OR($AX71="Owner decision outstanding",$BD71="OWNER DECISION"),"WARNING",IF(OR($AP71="",$AN71="",$AS71="",$AV71=""),"FAIL","PASS")))</f>
        <v>PASS</v>
      </c>
    </row>
    <row r="72" ht="24" customHeight="1">
      <c r="A72" s="2508" t="str">
        <f>$AJ$182</f>
        <v>AREA-CONTROL-TOTAL</v>
      </c>
      <c r="B72" s="2508" t="str">
        <f>$AL$182</f>
        <v>Project</v>
      </c>
      <c r="C72" s="2508" t="str">
        <f>$AM$182</f>
        <v>Controlling detailed component area</v>
      </c>
      <c r="D72" s="2508" t="str">
        <f>$AN$182&amp;IF($AO$182="",""," | "&amp;IF($AN$182="Date",TEXT($AO$182,"dd mmm yyyy"),$AO$182))</f>
        <v>sqm | Current</v>
      </c>
      <c r="E72" s="2509" t="n">
        <f>$AP$182</f>
        <v>78312.38</v>
      </c>
      <c r="F72" s="2509"/>
      <c r="G72" s="2509"/>
      <c r="H72" s="2509" t="n">
        <f>IF($A72="","",$E72)</f>
        <v>78312.38</v>
      </c>
      <c r="I72" s="2543" t="str">
        <f>$AU$182&amp;IF($AS$182="",""," | "&amp;$AS$182)</f>
        <v>Mapped | Detailed target component schedule</v>
      </c>
      <c r="J72" s="2504" t="str">
        <f>$AV$182&amp;" | "&amp;$AX$182</f>
        <v>Model owner | Derived calculation</v>
      </c>
      <c r="K72" s="2504" t="str">
        <f>$AW$182</f>
        <v>Detailed live component schedule selected; source summary differences are not added because that would double count shared ancillary space.</v>
      </c>
      <c r="AJ72" s="578" t="str">
        <v>LEASE-RETAIL</v>
      </c>
      <c r="AK72" s="579" t="str">
        <v>Lease assumptions</v>
      </c>
      <c r="AL72" s="579" t="str">
        <v>Retail and ancillary uses</v>
      </c>
      <c r="AM72" s="579" t="str">
        <v>Retail/F&amp;B rent</v>
      </c>
      <c r="AN72" s="579" t="str">
        <v>A$/sqm/year</v>
      </c>
      <c r="AO72" s="579" t="str">
        <v>Year 1</v>
      </c>
      <c r="AP72" s="583" t="n">
        <f>IF($E$166="","",$E$166)</f>
        <v>600</v>
      </c>
      <c r="AQ72" s="583" t="str">
        <f>IF($F$166="","",$F$166)</f>
      </c>
      <c r="AR72" s="583" t="str">
        <f>IF($G$166="","",$G$166)</f>
      </c>
      <c r="AS72" s="588" t="str">
        <f>IFERROR(INDEX('DATA MAP'!$C$8:$C$137,MATCH($AJ72,'DATA MAP'!$A$8:$A$137,0))&amp;IF(INDEX('DATA MAP'!$D$8:$D$137,MATCH($AJ72,'DATA MAP'!$A$8:$A$137,0))="",""," | "&amp;INDEX('DATA MAP'!$D$8:$D$137,MATCH($AJ72,'DATA MAP'!$A$8:$A$137,0))),"Not provided")</f>
        <v>Target: Underwriting | H96</v>
      </c>
      <c r="AT72" s="588"/>
      <c r="AU72" s="588" t="str">
        <f>IFERROR(INDEX('DATA MAP'!$I$8:$I$137,MATCH($AJ72,'DATA MAP'!$A$8:$A$137,0)),"Review Required")</f>
        <v>Mapped</v>
      </c>
      <c r="AV72" s="588" t="str">
        <f>IF(OR($AU72="Conflict",$AU72="Review Required",$AU72="New Input Required",$AU72="Unsupported"),"Management","Model owner")</f>
        <v>Model owner</v>
      </c>
      <c r="AW72" s="588" t="str">
        <f>IFERROR(INDEX('DATA MAP'!$K$8:$K$137,MATCH($AJ72,'DATA MAP'!$A$8:$A$137,0)),"Management confirmation required.")</f>
        <v>Data-book lease and operating schedules require scope reconciliation before replacement.</v>
      </c>
      <c r="AX72" t="str">
        <v>Hard-coded model input</v>
      </c>
      <c r="AY72" s="2440" t="n">
        <f>$H$166</f>
        <v>600</v>
      </c>
      <c r="AZ72" t="str">
        <v>Yes</v>
      </c>
      <c r="BA72" t="str">
        <v>Underwriting</v>
      </c>
      <c r="BB72" t="str">
        <v>H96</v>
      </c>
      <c r="BC72" t="str">
        <v>Target model</v>
      </c>
      <c r="BD72" t="str">
        <v>No</v>
      </c>
      <c r="BE72" t="str">
        <v>None — technical mapping complete.</v>
      </c>
      <c r="BF72" s="2442" t="n">
        <v>46231</v>
      </c>
      <c r="BG72" t="str">
        <f>IF($AZ72="No","PASS",IF(OR($AX72="Owner decision outstanding",$BD72="OWNER DECISION"),"WARNING",IF(OR($AP72="",$AN72="",$AS72="",$AV72=""),"FAIL","PASS")))</f>
        <v>PASS</v>
      </c>
    </row>
    <row r="73" ht="24" customHeight="1">
      <c r="A73" s="2512" t="str">
        <f>$AJ$219</f>
        <v>CMP-URWLD-FP</v>
      </c>
      <c r="B73" s="2512" t="str">
        <f>$AL$219</f>
        <v>URWLD</v>
      </c>
      <c r="C73" s="2512" t="str">
        <f>$AM$219</f>
        <v>Component footprint</v>
      </c>
      <c r="D73" s="2512" t="str">
        <f>$AN$219&amp;IF($AO$219="",""," | "&amp;IF($AN$219="Date",TEXT($AO$219,"dd mmm yyyy"),$AO$219))</f>
        <v>sqm | Current</v>
      </c>
      <c r="E73" s="2626" t="n">
        <v>9500</v>
      </c>
      <c r="F73" s="2509"/>
      <c r="G73" s="2509"/>
      <c r="H73" s="2509" t="n">
        <f>IF($A73="","",$E73)</f>
        <v>9500</v>
      </c>
      <c r="I73" s="2543" t="str">
        <f>$AU$219&amp;IF($AS$219="",""," | "&amp;$AS$219)</f>
        <v>Mapped | PROJECT CASH FLOW | E8</v>
      </c>
      <c r="J73" s="2504" t="str">
        <f>$AV$219&amp;" | "&amp;$AX$219</f>
        <v>Model owner | Hard-coded model input</v>
      </c>
      <c r="K73" s="2504" t="str">
        <f>$AW$219</f>
        <v>Central source input for the URWLD component schedule.</v>
      </c>
      <c r="AJ73" s="578" t="str">
        <v>LEASE-GEN</v>
      </c>
      <c r="AK73" s="579" t="str">
        <v>Lease assumptions</v>
      </c>
      <c r="AL73" s="579" t="str">
        <v>Genesis</v>
      </c>
      <c r="AM73" s="579" t="str">
        <v>Genesis rent</v>
      </c>
      <c r="AN73" s="579" t="str">
        <v>A$/sqm/year</v>
      </c>
      <c r="AO73" s="579" t="str">
        <v>Year 1</v>
      </c>
      <c r="AP73" s="583" t="n">
        <f>IF($E$167="","",$E$167)</f>
        <v>500</v>
      </c>
      <c r="AQ73" s="583" t="str">
        <f>IF($F$167="","",$F$167)</f>
      </c>
      <c r="AR73" s="583" t="str">
        <f>IF($G$167="","",$G$167)</f>
      </c>
      <c r="AS73" s="588" t="str">
        <f>IFERROR(INDEX('DATA MAP'!$C$8:$C$137,MATCH($AJ73,'DATA MAP'!$A$8:$A$137,0))&amp;IF(INDEX('DATA MAP'!$D$8:$D$137,MATCH($AJ73,'DATA MAP'!$A$8:$A$137,0))="",""," | "&amp;INDEX('DATA MAP'!$D$8:$D$137,MATCH($AJ73,'DATA MAP'!$A$8:$A$137,0))),"Not provided")</f>
        <v>Target: Underwriting | H97</v>
      </c>
      <c r="AT73" s="588"/>
      <c r="AU73" s="588" t="str">
        <f>IFERROR(INDEX('DATA MAP'!$I$8:$I$137,MATCH($AJ73,'DATA MAP'!$A$8:$A$137,0)),"Review Required")</f>
        <v>Mapped</v>
      </c>
      <c r="AV73" s="588" t="str">
        <f>IF(OR($AU73="Conflict",$AU73="Review Required",$AU73="New Input Required",$AU73="Unsupported"),"Management","Model owner")</f>
        <v>Model owner</v>
      </c>
      <c r="AW73" s="588" t="str">
        <f>IFERROR(INDEX('DATA MAP'!$K$8:$K$137,MATCH($AJ73,'DATA MAP'!$A$8:$A$137,0)),"Management confirmation required.")</f>
        <v>Data-book lease and operating schedules require scope reconciliation before replacement.</v>
      </c>
      <c r="AX73" t="str">
        <v>Hard-coded model input</v>
      </c>
      <c r="AY73" s="2440" t="n">
        <f>$H$167</f>
        <v>500</v>
      </c>
      <c r="AZ73" t="str">
        <v>Yes</v>
      </c>
      <c r="BA73" t="str">
        <v>Underwriting</v>
      </c>
      <c r="BB73" t="str">
        <v>H97</v>
      </c>
      <c r="BC73" t="str">
        <v>Target model</v>
      </c>
      <c r="BD73" t="str">
        <v>No</v>
      </c>
      <c r="BE73" t="str">
        <v>None — technical mapping complete.</v>
      </c>
      <c r="BF73" s="2442" t="n">
        <v>46231</v>
      </c>
      <c r="BG73" t="str">
        <f>IF($AZ73="No","PASS",IF(OR($AX73="Owner decision outstanding",$BD73="OWNER DECISION"),"WARNING",IF(OR($AP73="",$AN73="",$AS73="",$AV73=""),"FAIL","PASS")))</f>
        <v>PASS</v>
      </c>
    </row>
    <row r="74" ht="24" customHeight="1">
      <c r="A74" s="2504" t="str">
        <f>$AJ$220</f>
        <v>CMP-URWLD-LAND</v>
      </c>
      <c r="B74" s="2504" t="str">
        <f>$AL$220</f>
        <v>URWLD</v>
      </c>
      <c r="C74" s="2541" t="str">
        <f>$AM$220</f>
        <v>Component land area</v>
      </c>
      <c r="D74" s="2544" t="str">
        <f>$AN$220&amp;IF($AO$220="",""," | "&amp;IF($AN$220="Date",TEXT($AO$220,"dd mmm yyyy"),$AO$220))</f>
        <v>sqm | Current</v>
      </c>
      <c r="E74" s="2505" t="n">
        <f>$AP$220</f>
        <v>10500</v>
      </c>
      <c r="F74" s="2505"/>
      <c r="G74" s="2505"/>
      <c r="H74" s="2505" t="n">
        <f>IF($A74="","",$E74)</f>
        <v>10500</v>
      </c>
      <c r="I74" s="2543" t="str">
        <f>$AU$220&amp;IF($AS$220="",""," | "&amp;$AS$220)</f>
        <v>Mapped | PROJECT CASH FLOW | F8</v>
      </c>
      <c r="J74" s="2504" t="str">
        <f>$AV$220&amp;" | "&amp;$AX$220</f>
        <v>Model owner | Derived calculation</v>
      </c>
      <c r="K74" s="2504" t="str">
        <f>$AW$220</f>
        <v>May overlap vertically or with shared precinct uses.</v>
      </c>
      <c r="AJ74" s="578" t="str">
        <v>LEASE-PARK</v>
      </c>
      <c r="AK74" s="579" t="str">
        <v>Lease assumptions</v>
      </c>
      <c r="AL74" s="579" t="str">
        <v>Parking</v>
      </c>
      <c r="AM74" s="579" t="str">
        <v>Car park property rent</v>
      </c>
      <c r="AN74" s="579" t="str">
        <v>A$/sqm/year</v>
      </c>
      <c r="AO74" s="579" t="str">
        <v>Year 1</v>
      </c>
      <c r="AP74" s="583" t="str">
        <f>IF($E$168="","",$E$168)</f>
      </c>
      <c r="AQ74" s="583" t="str">
        <f>IF($F$168="","",$F$168)</f>
      </c>
      <c r="AR74" s="583" t="str">
        <f>IF($G$168="","",$G$168)</f>
      </c>
      <c r="AS74" s="588" t="str">
        <f>IFERROR(INDEX('DATA MAP'!$C$8:$C$137,MATCH($AJ74,'DATA MAP'!$A$8:$A$137,0))&amp;IF(INDEX('DATA MAP'!$D$8:$D$137,MATCH($AJ74,'DATA MAP'!$A$8:$A$137,0))="",""," | "&amp;INDEX('DATA MAP'!$D$8:$D$137,MATCH($AJ74,'DATA MAP'!$A$8:$A$137,0))),"Not provided")</f>
        <v>Target: Underwriting | H98</v>
      </c>
      <c r="AT74" s="588"/>
      <c r="AU74" s="588" t="str">
        <f>IFERROR(INDEX('DATA MAP'!$I$8:$I$137,MATCH($AJ74,'DATA MAP'!$A$8:$A$137,0)),"Review Required")</f>
        <v>Mapped</v>
      </c>
      <c r="AV74" s="588" t="str">
        <f>IF(OR($AU74="Conflict",$AU74="Review Required",$AU74="New Input Required",$AU74="Unsupported"),"Management","Model owner")</f>
        <v>Model owner</v>
      </c>
      <c r="AW74" s="588" t="str">
        <f>IFERROR(INDEX('DATA MAP'!$K$8:$K$137,MATCH($AJ74,'DATA MAP'!$A$8:$A$137,0)),"Management confirmation required.")</f>
        <v>Data-book lease and operating schedules require scope reconciliation before replacement.</v>
      </c>
      <c r="AX74" t="str">
        <v>Hard-coded model input</v>
      </c>
      <c r="AY74" s="2440" t="n">
        <f>$H$168</f>
        <v>0</v>
      </c>
      <c r="AZ74" t="str">
        <v>Yes</v>
      </c>
      <c r="BA74" t="str">
        <v>Underwriting</v>
      </c>
      <c r="BB74" t="str">
        <v>H98</v>
      </c>
      <c r="BC74" t="str">
        <v>Target model</v>
      </c>
      <c r="BD74" t="str">
        <v>No</v>
      </c>
      <c r="BE74" t="str">
        <v>None — technical mapping complete.</v>
      </c>
      <c r="BF74" s="2442" t="n">
        <v>46231</v>
      </c>
      <c r="BG74" t="str">
        <f>IF($AZ74="No","PASS",IF(OR($AX74="Owner decision outstanding",$BD74="OWNER DECISION"),"WARNING",IF(OR($AP74="",$AN74="",$AS74="",$AV74=""),"FAIL","PASS")))</f>
        <v>FAIL</v>
      </c>
    </row>
    <row r="75" ht="24" customHeight="1">
      <c r="A75" s="2513" t="str">
        <f>$AJ$223</f>
        <v>CMP-PBSA-FP</v>
      </c>
      <c r="B75" s="2513" t="str">
        <f>$AL$223</f>
        <v>PBSA/student accommodation</v>
      </c>
      <c r="C75" s="2513" t="str">
        <f>$AM$223</f>
        <v>Component footprint</v>
      </c>
      <c r="D75" s="2513" t="str">
        <f>$AN$223&amp;IF($AO$223="",""," | "&amp;IF($AN$223="Date",TEXT($AO$223,"dd mmm yyyy"),$AO$223))</f>
        <v>sqm | Current</v>
      </c>
      <c r="E75" s="2629" t="n">
        <v>1400</v>
      </c>
      <c r="F75" s="2514"/>
      <c r="G75" s="2514"/>
      <c r="H75" s="2514" t="n">
        <f>IF($A75="","",$E75)</f>
        <v>1400</v>
      </c>
      <c r="I75" s="2543" t="str">
        <f>$AU$223&amp;IF($AS$223="",""," | "&amp;$AS$223)</f>
        <v>Mapped | PROJECT CASH FLOW | E9</v>
      </c>
      <c r="J75" s="2504" t="str">
        <f>$AV$223&amp;" | "&amp;$AX$223</f>
        <v>Model owner | Hard-coded model input</v>
      </c>
      <c r="K75" s="2504" t="str">
        <f>$AW$223</f>
        <v>Central source input for the PBSA component schedule.</v>
      </c>
      <c r="AJ75" s="578" t="str">
        <v>LEASE-SNOW</v>
      </c>
      <c r="AK75" s="579" t="str">
        <v>Lease assumptions</v>
      </c>
      <c r="AL75" s="579" t="str">
        <v>Snowtunnel</v>
      </c>
      <c r="AM75" s="579" t="str">
        <v>Snowtunnel rent</v>
      </c>
      <c r="AN75" s="579" t="str">
        <v>A$/sqm/year</v>
      </c>
      <c r="AO75" s="579" t="str">
        <v>Year 1</v>
      </c>
      <c r="AP75" s="583" t="n">
        <f>IF($E$169="","",$E$169)</f>
        <v>500</v>
      </c>
      <c r="AQ75" s="583" t="str">
        <f>IF($F$169="","",$F$169)</f>
      </c>
      <c r="AR75" s="583" t="str">
        <f>IF($G$169="","",$G$169)</f>
      </c>
      <c r="AS75" s="588" t="str">
        <f>IFERROR(INDEX('DATA MAP'!$C$8:$C$137,MATCH($AJ75,'DATA MAP'!$A$8:$A$137,0))&amp;IF(INDEX('DATA MAP'!$D$8:$D$137,MATCH($AJ75,'DATA MAP'!$A$8:$A$137,0))="",""," | "&amp;INDEX('DATA MAP'!$D$8:$D$137,MATCH($AJ75,'DATA MAP'!$A$8:$A$137,0))),"Not provided")</f>
        <v>Target: Underwriting | H99</v>
      </c>
      <c r="AT75" s="588"/>
      <c r="AU75" s="588" t="str">
        <f>IFERROR(INDEX('DATA MAP'!$I$8:$I$137,MATCH($AJ75,'DATA MAP'!$A$8:$A$137,0)),"Review Required")</f>
        <v>Mapped</v>
      </c>
      <c r="AV75" s="588" t="str">
        <f>IF(OR($AU75="Conflict",$AU75="Review Required",$AU75="New Input Required",$AU75="Unsupported"),"Management","Model owner")</f>
        <v>Model owner</v>
      </c>
      <c r="AW75" s="588" t="str">
        <f>IFERROR(INDEX('DATA MAP'!$K$8:$K$137,MATCH($AJ75,'DATA MAP'!$A$8:$A$137,0)),"Management confirmation required.")</f>
        <v>Data-book lease and operating schedules require scope reconciliation before replacement.</v>
      </c>
      <c r="AX75" t="str">
        <v>Hard-coded model input</v>
      </c>
      <c r="AY75" s="2440" t="n">
        <f>$H$169</f>
        <v>500</v>
      </c>
      <c r="AZ75" t="str">
        <v>Yes</v>
      </c>
      <c r="BA75" t="str">
        <v>Underwriting</v>
      </c>
      <c r="BB75" t="str">
        <v>H99</v>
      </c>
      <c r="BC75" t="str">
        <v>Target model</v>
      </c>
      <c r="BD75" t="str">
        <v>No</v>
      </c>
      <c r="BE75" t="str">
        <v>None — technical mapping complete.</v>
      </c>
      <c r="BF75" s="2442" t="n">
        <v>46231</v>
      </c>
      <c r="BG75" t="str">
        <f>IF($AZ75="No","PASS",IF(OR($AX75="Owner decision outstanding",$BD75="OWNER DECISION"),"WARNING",IF(OR($AP75="",$AN75="",$AS75="",$AV75=""),"FAIL","PASS")))</f>
        <v>PASS</v>
      </c>
    </row>
    <row r="76" ht="24" customHeight="1">
      <c r="A76" s="2508" t="str">
        <f>$AJ$224</f>
        <v>CMP-PBSA-LAND</v>
      </c>
      <c r="B76" s="2508" t="str">
        <f>$AL$224</f>
        <v>PBSA/student accommodation</v>
      </c>
      <c r="C76" s="2508" t="str">
        <f>$AM$224</f>
        <v>Component land area</v>
      </c>
      <c r="D76" s="2508" t="str">
        <f>$AN$224&amp;IF($AO$224="",""," | "&amp;IF($AN$224="Date",TEXT($AO$224,"dd mmm yyyy"),$AO$224))</f>
        <v>sqm | Current</v>
      </c>
      <c r="E76" s="2626" t="n">
        <v>0</v>
      </c>
      <c r="F76" s="2509"/>
      <c r="G76" s="2509"/>
      <c r="H76" s="2509" t="n">
        <f>IF($A76="","",$E76)</f>
        <v>0</v>
      </c>
      <c r="I76" s="2543" t="str">
        <f>$AU$224&amp;IF($AS$224="",""," | "&amp;$AS$224)</f>
        <v>Mapped | PROJECT CASH FLOW | F9</v>
      </c>
      <c r="J76" s="2504" t="str">
        <f>$AV$224&amp;" | "&amp;$AX$224</f>
        <v>Model owner | Hard-coded model input</v>
      </c>
      <c r="K76" s="2504" t="str">
        <f>$AW$224</f>
        <v>Vertically integrated use; no separate land area in the source schedule.</v>
      </c>
      <c r="AJ76" s="578" t="str">
        <v>LEASE-GOKART</v>
      </c>
      <c r="AK76" s="579" t="str">
        <v>Lease assumptions</v>
      </c>
      <c r="AL76" s="579" t="str">
        <v>Retail and ancillary uses</v>
      </c>
      <c r="AM76" s="579" t="str">
        <v>Go-kart rent</v>
      </c>
      <c r="AN76" s="579" t="str">
        <v>A$/sqm/year</v>
      </c>
      <c r="AO76" s="579" t="str">
        <v>Year 1</v>
      </c>
      <c r="AP76" s="583" t="n">
        <f>IF($E$170="","",$E$170)</f>
        <v>500</v>
      </c>
      <c r="AQ76" s="583" t="str">
        <f>IF($F$170="","",$F$170)</f>
      </c>
      <c r="AR76" s="583" t="str">
        <f>IF($G$170="","",$G$170)</f>
      </c>
      <c r="AS76" s="588" t="str">
        <f>IFERROR(INDEX('DATA MAP'!$C$8:$C$137,MATCH($AJ76,'DATA MAP'!$A$8:$A$137,0))&amp;IF(INDEX('DATA MAP'!$D$8:$D$137,MATCH($AJ76,'DATA MAP'!$A$8:$A$137,0))="",""," | "&amp;INDEX('DATA MAP'!$D$8:$D$137,MATCH($AJ76,'DATA MAP'!$A$8:$A$137,0))),"Not provided")</f>
        <v>Target: Underwriting | H100</v>
      </c>
      <c r="AT76" s="588"/>
      <c r="AU76" s="588" t="str">
        <f>IFERROR(INDEX('DATA MAP'!$I$8:$I$137,MATCH($AJ76,'DATA MAP'!$A$8:$A$137,0)),"Review Required")</f>
        <v>Mapped</v>
      </c>
      <c r="AV76" s="588" t="str">
        <f>IF(OR($AU76="Conflict",$AU76="Review Required",$AU76="New Input Required",$AU76="Unsupported"),"Management","Model owner")</f>
        <v>Model owner</v>
      </c>
      <c r="AW76" s="588" t="str">
        <f>IFERROR(INDEX('DATA MAP'!$K$8:$K$137,MATCH($AJ76,'DATA MAP'!$A$8:$A$137,0)),"Management confirmation required.")</f>
        <v>Data-book lease and operating schedules require scope reconciliation before replacement.</v>
      </c>
      <c r="AX76" t="str">
        <v>Hard-coded model input</v>
      </c>
      <c r="AY76" s="2440" t="n">
        <f>$H$170</f>
        <v>500</v>
      </c>
      <c r="AZ76" t="str">
        <v>Yes</v>
      </c>
      <c r="BA76" t="str">
        <v>Underwriting</v>
      </c>
      <c r="BB76" t="str">
        <v>H100</v>
      </c>
      <c r="BC76" t="str">
        <v>Target model</v>
      </c>
      <c r="BD76" t="str">
        <v>No</v>
      </c>
      <c r="BE76" t="str">
        <v>None — technical mapping complete.</v>
      </c>
      <c r="BF76" s="2442" t="n">
        <v>46231</v>
      </c>
      <c r="BG76" t="str">
        <f>IF($AZ76="No","PASS",IF(OR($AX76="Owner decision outstanding",$BD76="OWNER DECISION"),"WARNING",IF(OR($AP76="",$AN76="",$AS76="",$AV76=""),"FAIL","PASS")))</f>
        <v>PASS</v>
      </c>
    </row>
    <row r="77" ht="24" customHeight="1">
      <c r="A77" s="2517" t="str">
        <f>$AJ$227</f>
        <v>CMP-LIVE-FP</v>
      </c>
      <c r="B77" s="2517" t="str">
        <f>$AL$227</f>
        <v>LiveHouse</v>
      </c>
      <c r="C77" s="2517" t="str">
        <f>$AM$227</f>
        <v>Component footprint</v>
      </c>
      <c r="D77" s="2504" t="str">
        <f>$AN$227&amp;IF($AO$227="",""," | "&amp;IF($AN$227="Date",TEXT($AO$227,"dd mmm yyyy"),$AO$227))</f>
        <v>sqm | Current</v>
      </c>
      <c r="E77" s="2623" t="n">
        <v>9000</v>
      </c>
      <c r="F77" s="2505"/>
      <c r="G77" s="2505"/>
      <c r="H77" s="2505" t="n">
        <f>IF($A77="","",$E77)</f>
        <v>9000</v>
      </c>
      <c r="I77" s="2543" t="str">
        <f>$AU$227&amp;IF($AS$227="",""," | "&amp;$AS$227)</f>
        <v>Mapped | PROJECT CASH FLOW | E10</v>
      </c>
      <c r="J77" s="2504" t="str">
        <f>$AV$227&amp;" | "&amp;$AX$227</f>
        <v>Model owner | Hard-coded model input</v>
      </c>
      <c r="K77" s="2504" t="str">
        <f>$AW$227</f>
        <v>Central source input for the LiveHouse component schedule.</v>
      </c>
      <c r="AJ77" s="578" t="str">
        <v>LEASE-LAND</v>
      </c>
      <c r="AK77" s="579" t="str">
        <v>Lease assumptions</v>
      </c>
      <c r="AL77" s="579" t="str">
        <v>Retail and ancillary uses</v>
      </c>
      <c r="AM77" s="579" t="str">
        <v>Landscape attraction rent</v>
      </c>
      <c r="AN77" s="579" t="str">
        <v>A$/sqm/year</v>
      </c>
      <c r="AO77" s="579" t="str">
        <v>Year 1</v>
      </c>
      <c r="AP77" s="583" t="n">
        <f>IF($E$171="","",$E$171)</f>
        <v>600</v>
      </c>
      <c r="AQ77" s="583" t="str">
        <f>IF($F$171="","",$F$171)</f>
      </c>
      <c r="AR77" s="583" t="str">
        <f>IF($G$171="","",$G$171)</f>
      </c>
      <c r="AS77" s="588" t="str">
        <f>IFERROR(INDEX('DATA MAP'!$C$8:$C$137,MATCH($AJ77,'DATA MAP'!$A$8:$A$137,0))&amp;IF(INDEX('DATA MAP'!$D$8:$D$137,MATCH($AJ77,'DATA MAP'!$A$8:$A$137,0))="",""," | "&amp;INDEX('DATA MAP'!$D$8:$D$137,MATCH($AJ77,'DATA MAP'!$A$8:$A$137,0))),"Not provided")</f>
        <v>Target: Underwriting | H101</v>
      </c>
      <c r="AT77" s="588"/>
      <c r="AU77" s="588" t="str">
        <f>IFERROR(INDEX('DATA MAP'!$I$8:$I$137,MATCH($AJ77,'DATA MAP'!$A$8:$A$137,0)),"Review Required")</f>
        <v>Mapped</v>
      </c>
      <c r="AV77" s="588" t="str">
        <f>IF(OR($AU77="Conflict",$AU77="Review Required",$AU77="New Input Required",$AU77="Unsupported"),"Management","Model owner")</f>
        <v>Model owner</v>
      </c>
      <c r="AW77" s="588" t="str">
        <f>IFERROR(INDEX('DATA MAP'!$K$8:$K$137,MATCH($AJ77,'DATA MAP'!$A$8:$A$137,0)),"Management confirmation required.")</f>
        <v>Data-book lease and operating schedules require scope reconciliation before replacement.</v>
      </c>
      <c r="AX77" t="str">
        <v>Hard-coded model input</v>
      </c>
      <c r="AY77" s="2440" t="n">
        <f>$H$171</f>
        <v>600</v>
      </c>
      <c r="AZ77" t="str">
        <v>Yes</v>
      </c>
      <c r="BA77" t="str">
        <v>Underwriting</v>
      </c>
      <c r="BB77" t="str">
        <v>H101</v>
      </c>
      <c r="BC77" t="str">
        <v>Target model</v>
      </c>
      <c r="BD77" t="str">
        <v>No</v>
      </c>
      <c r="BE77" t="str">
        <v>None — technical mapping complete.</v>
      </c>
      <c r="BF77" s="2442" t="n">
        <v>46231</v>
      </c>
      <c r="BG77" t="str">
        <f>IF($AZ77="No","PASS",IF(OR($AX77="Owner decision outstanding",$BD77="OWNER DECISION"),"WARNING",IF(OR($AP77="",$AN77="",$AS77="",$AV77=""),"FAIL","PASS")))</f>
        <v>PASS</v>
      </c>
    </row>
    <row r="78" ht="24" customHeight="1">
      <c r="A78" s="2504" t="str">
        <f>$AJ$228</f>
        <v>CMP-LIVE-LAND</v>
      </c>
      <c r="B78" s="2508" t="str">
        <f>$AL$228</f>
        <v>LiveHouse</v>
      </c>
      <c r="C78" s="2504" t="str">
        <f>$AM$228</f>
        <v>Component land area</v>
      </c>
      <c r="D78" s="2504" t="str">
        <f>$AN$228&amp;IF($AO$228="",""," | "&amp;IF($AN$228="Date",TEXT($AO$228,"dd mmm yyyy"),$AO$228))</f>
        <v>sqm | Current</v>
      </c>
      <c r="E78" s="2623" t="n">
        <v>9000</v>
      </c>
      <c r="F78" s="2505"/>
      <c r="G78" s="2505"/>
      <c r="H78" s="2505" t="n">
        <f>IF($A78="","",$E78)</f>
        <v>9000</v>
      </c>
      <c r="I78" s="2543" t="str">
        <f>$AU$228&amp;IF($AS$228="",""," | "&amp;$AS$228)</f>
        <v>Mapped | PROJECT CASH FLOW | F10</v>
      </c>
      <c r="J78" s="2504" t="str">
        <f>$AV$228&amp;" | "&amp;$AX$228</f>
        <v>Model owner | Hard-coded model input</v>
      </c>
      <c r="K78" s="2504" t="str">
        <f>$AW$228</f>
        <v>Source component land allocation.</v>
      </c>
      <c r="AJ78" s="578" t="str">
        <v>LEASE-STOR</v>
      </c>
      <c r="AK78" s="579" t="str">
        <v>Lease assumptions</v>
      </c>
      <c r="AL78" s="579" t="str">
        <v>Storage</v>
      </c>
      <c r="AM78" s="579" t="str">
        <v>Self-storage property rent</v>
      </c>
      <c r="AN78" s="579" t="str">
        <v>A$/sqm/year</v>
      </c>
      <c r="AO78" s="579" t="str">
        <v>Year 1</v>
      </c>
      <c r="AP78" s="583" t="str">
        <f>IF($E$172="","",$E$172)</f>
      </c>
      <c r="AQ78" s="583" t="str">
        <f>IF($F$172="","",$F$172)</f>
      </c>
      <c r="AR78" s="583" t="str">
        <f>IF($G$172="","",$G$172)</f>
      </c>
      <c r="AS78" s="588" t="str">
        <f>IFERROR(INDEX('DATA MAP'!$C$8:$C$137,MATCH($AJ78,'DATA MAP'!$A$8:$A$137,0))&amp;IF(INDEX('DATA MAP'!$D$8:$D$137,MATCH($AJ78,'DATA MAP'!$A$8:$A$137,0))="",""," | "&amp;INDEX('DATA MAP'!$D$8:$D$137,MATCH($AJ78,'DATA MAP'!$A$8:$A$137,0))),"Not provided")</f>
        <v>Target: Underwriting | H102</v>
      </c>
      <c r="AT78" s="588"/>
      <c r="AU78" s="588" t="str">
        <f>IFERROR(INDEX('DATA MAP'!$I$8:$I$137,MATCH($AJ78,'DATA MAP'!$A$8:$A$137,0)),"Review Required")</f>
        <v>Mapped</v>
      </c>
      <c r="AV78" s="588" t="str">
        <f>IF(OR($AU78="Conflict",$AU78="Review Required",$AU78="New Input Required",$AU78="Unsupported"),"Management","Model owner")</f>
        <v>Model owner</v>
      </c>
      <c r="AW78" s="588" t="str">
        <f>IFERROR(INDEX('DATA MAP'!$K$8:$K$137,MATCH($AJ78,'DATA MAP'!$A$8:$A$137,0)),"Management confirmation required.")</f>
        <v>Data-book lease and operating schedules require scope reconciliation before replacement.</v>
      </c>
      <c r="AX78" t="str">
        <v>Hard-coded model input</v>
      </c>
      <c r="AY78" s="2440" t="n">
        <f>$H$172</f>
        <v>0</v>
      </c>
      <c r="AZ78" t="str">
        <v>Yes</v>
      </c>
      <c r="BA78" t="str">
        <v>Underwriting</v>
      </c>
      <c r="BB78" t="str">
        <v>H102</v>
      </c>
      <c r="BC78" t="str">
        <v>Target model</v>
      </c>
      <c r="BD78" t="str">
        <v>No</v>
      </c>
      <c r="BE78" t="str">
        <v>None — technical mapping complete.</v>
      </c>
      <c r="BF78" s="2442" t="n">
        <v>46231</v>
      </c>
      <c r="BG78" t="str">
        <f>IF($AZ78="No","PASS",IF(OR($AX78="Owner decision outstanding",$BD78="OWNER DECISION"),"WARNING",IF(OR($AP78="",$AN78="",$AS78="",$AV78=""),"FAIL","PASS")))</f>
        <v>FAIL</v>
      </c>
    </row>
    <row r="79" ht="24" customHeight="1">
      <c r="A79" s="2504" t="str">
        <f>$AJ$231</f>
        <v>CMP-SNOW-FP</v>
      </c>
      <c r="B79" s="2508" t="str">
        <f>$AL$231</f>
        <v>Snowtunnel</v>
      </c>
      <c r="C79" s="2504" t="str">
        <f>$AM$231</f>
        <v>Component footprint</v>
      </c>
      <c r="D79" s="2504" t="str">
        <f>$AN$231&amp;IF($AO$231="",""," | "&amp;IF($AN$231="Date",TEXT($AO$231,"dd mmm yyyy"),$AO$231))</f>
        <v>sqm | Current</v>
      </c>
      <c r="E79" s="2623" t="n">
        <v>3800</v>
      </c>
      <c r="F79" s="2505"/>
      <c r="G79" s="2505"/>
      <c r="H79" s="2505" t="n">
        <f>IF($A79="","",$E79)</f>
        <v>3800</v>
      </c>
      <c r="I79" s="2543" t="str">
        <f>$AU$231&amp;IF($AS$231="",""," | "&amp;$AS$231)</f>
        <v>Mapped | PROJECT CASH FLOW | E14</v>
      </c>
      <c r="J79" s="2504" t="str">
        <f>$AV$231&amp;" | "&amp;$AX$231</f>
        <v>Model owner | Hard-coded model input</v>
      </c>
      <c r="K79" s="2504" t="str">
        <f>$AW$231</f>
        <v>Central source input for the Snowtunnel component schedule.</v>
      </c>
      <c r="AJ79" s="578" t="str">
        <v>LEASE-CONV</v>
      </c>
      <c r="AK79" s="579" t="str">
        <v>Lease assumptions</v>
      </c>
      <c r="AL79" s="579" t="str">
        <v>Retail and ancillary uses</v>
      </c>
      <c r="AM79" s="579" t="str">
        <v>Convenience/laundromat property rent</v>
      </c>
      <c r="AN79" s="579" t="str">
        <v>A$/sqm/year</v>
      </c>
      <c r="AO79" s="579" t="str">
        <v>Year 1</v>
      </c>
      <c r="AP79" s="583" t="str">
        <f>IF($E$173="","",$E$173)</f>
      </c>
      <c r="AQ79" s="583" t="str">
        <f>IF($F$173="","",$F$173)</f>
      </c>
      <c r="AR79" s="583" t="str">
        <f>IF($G$173="","",$G$173)</f>
      </c>
      <c r="AS79" s="588" t="str">
        <f>IFERROR(INDEX('DATA MAP'!$C$8:$C$137,MATCH($AJ79,'DATA MAP'!$A$8:$A$137,0))&amp;IF(INDEX('DATA MAP'!$D$8:$D$137,MATCH($AJ79,'DATA MAP'!$A$8:$A$137,0))="",""," | "&amp;INDEX('DATA MAP'!$D$8:$D$137,MATCH($AJ79,'DATA MAP'!$A$8:$A$137,0))),"Not provided")</f>
        <v>Target: Underwriting | H103</v>
      </c>
      <c r="AT79" s="588"/>
      <c r="AU79" s="588" t="str">
        <f>IFERROR(INDEX('DATA MAP'!$I$8:$I$137,MATCH($AJ79,'DATA MAP'!$A$8:$A$137,0)),"Review Required")</f>
        <v>Mapped</v>
      </c>
      <c r="AV79" s="588" t="str">
        <f>IF(OR($AU79="Conflict",$AU79="Review Required",$AU79="New Input Required",$AU79="Unsupported"),"Management","Model owner")</f>
        <v>Model owner</v>
      </c>
      <c r="AW79" s="588" t="str">
        <f>IFERROR(INDEX('DATA MAP'!$K$8:$K$137,MATCH($AJ79,'DATA MAP'!$A$8:$A$137,0)),"Management confirmation required.")</f>
        <v>Data-book lease and operating schedules require scope reconciliation before replacement.</v>
      </c>
      <c r="AX79" t="str">
        <v>Hard-coded model input</v>
      </c>
      <c r="AY79" s="2440" t="n">
        <f>$H$173</f>
        <v>0</v>
      </c>
      <c r="AZ79" t="str">
        <v>Yes</v>
      </c>
      <c r="BA79" t="str">
        <v>Underwriting</v>
      </c>
      <c r="BB79" t="str">
        <v>H103</v>
      </c>
      <c r="BC79" t="str">
        <v>Target model</v>
      </c>
      <c r="BD79" t="str">
        <v>No</v>
      </c>
      <c r="BE79" t="str">
        <v>None — technical mapping complete.</v>
      </c>
      <c r="BF79" s="2442" t="n">
        <v>46231</v>
      </c>
      <c r="BG79" t="str">
        <f>IF($AZ79="No","PASS",IF(OR($AX79="Owner decision outstanding",$BD79="OWNER DECISION"),"WARNING",IF(OR($AP79="",$AN79="",$AS79="",$AV79=""),"FAIL","PASS")))</f>
        <v>FAIL</v>
      </c>
    </row>
    <row r="80" ht="24" customHeight="1">
      <c r="A80" s="2504" t="str">
        <f>$AJ$232</f>
        <v>CMP-SNOW-LAND</v>
      </c>
      <c r="B80" s="2508" t="str">
        <f>$AL$232</f>
        <v>Snowtunnel</v>
      </c>
      <c r="C80" s="2504" t="str">
        <f>$AM$232</f>
        <v>Component land area</v>
      </c>
      <c r="D80" s="2504" t="str">
        <f>$AN$232&amp;IF($AO$232="",""," | "&amp;IF($AN$232="Date",TEXT($AO$232,"dd mmm yyyy"),$AO$232))</f>
        <v>sqm | Current</v>
      </c>
      <c r="E80" s="2623" t="n">
        <v>300</v>
      </c>
      <c r="F80" s="2505"/>
      <c r="G80" s="2505"/>
      <c r="H80" s="2505" t="n">
        <f>IF($A80="","",$E80)</f>
        <v>300</v>
      </c>
      <c r="I80" s="2543" t="str">
        <f>$AU$232&amp;IF($AS$232="",""," | "&amp;$AS$232)</f>
        <v>Mapped | PROJECT CASH FLOW | F14</v>
      </c>
      <c r="J80" s="2504" t="str">
        <f>$AV$232&amp;" | "&amp;$AX$232</f>
        <v>Model owner | Hard-coded model input</v>
      </c>
      <c r="K80" s="2504" t="str">
        <f>$AW$232</f>
        <v>Source component land allocation.</v>
      </c>
      <c r="AJ80" s="578" t="str">
        <v>LEASE-EBIKE</v>
      </c>
      <c r="AK80" s="579" t="str">
        <v>Lease assumptions</v>
      </c>
      <c r="AL80" s="579" t="str">
        <v>Retail and ancillary uses</v>
      </c>
      <c r="AM80" s="579" t="str">
        <v>eBike/eScooter property rent</v>
      </c>
      <c r="AN80" s="579" t="str">
        <v>A$/sqm/year</v>
      </c>
      <c r="AO80" s="579" t="str">
        <v>Year 1</v>
      </c>
      <c r="AP80" s="583" t="str">
        <f>IF($E$174="","",$E$174)</f>
      </c>
      <c r="AQ80" s="583" t="str">
        <f>IF($F$174="","",$F$174)</f>
      </c>
      <c r="AR80" s="583" t="str">
        <f>IF($G$174="","",$G$174)</f>
      </c>
      <c r="AS80" s="588" t="str">
        <f>IFERROR(INDEX('DATA MAP'!$C$8:$C$137,MATCH($AJ80,'DATA MAP'!$A$8:$A$137,0))&amp;IF(INDEX('DATA MAP'!$D$8:$D$137,MATCH($AJ80,'DATA MAP'!$A$8:$A$137,0))="",""," | "&amp;INDEX('DATA MAP'!$D$8:$D$137,MATCH($AJ80,'DATA MAP'!$A$8:$A$137,0))),"Not provided")</f>
        <v>Target: Underwriting | H104</v>
      </c>
      <c r="AT80" s="588"/>
      <c r="AU80" s="588" t="str">
        <f>IFERROR(INDEX('DATA MAP'!$I$8:$I$137,MATCH($AJ80,'DATA MAP'!$A$8:$A$137,0)),"Review Required")</f>
        <v>Mapped</v>
      </c>
      <c r="AV80" s="588" t="str">
        <f>IF(OR($AU80="Conflict",$AU80="Review Required",$AU80="New Input Required",$AU80="Unsupported"),"Management","Model owner")</f>
        <v>Model owner</v>
      </c>
      <c r="AW80" s="588" t="str">
        <f>IFERROR(INDEX('DATA MAP'!$K$8:$K$137,MATCH($AJ80,'DATA MAP'!$A$8:$A$137,0)),"Management confirmation required.")</f>
        <v>Data-book lease and operating schedules require scope reconciliation before replacement.</v>
      </c>
      <c r="AX80" t="str">
        <v>Hard-coded model input</v>
      </c>
      <c r="AY80" s="2440" t="n">
        <f>$H$174</f>
        <v>0</v>
      </c>
      <c r="AZ80" t="str">
        <v>Yes</v>
      </c>
      <c r="BA80" t="str">
        <v>Underwriting</v>
      </c>
      <c r="BB80" t="str">
        <v>H104</v>
      </c>
      <c r="BC80" t="str">
        <v>Target model</v>
      </c>
      <c r="BD80" t="str">
        <v>No</v>
      </c>
      <c r="BE80" t="str">
        <v>None — technical mapping complete.</v>
      </c>
      <c r="BF80" s="2442" t="n">
        <v>46231</v>
      </c>
      <c r="BG80" t="str">
        <f>IF($AZ80="No","PASS",IF(OR($AX80="Owner decision outstanding",$BD80="OWNER DECISION"),"WARNING",IF(OR($AP80="",$AN80="",$AS80="",$AV80=""),"FAIL","PASS")))</f>
        <v>FAIL</v>
      </c>
    </row>
    <row r="81" ht="24" customHeight="1">
      <c r="A81" s="2504" t="str">
        <f>$AJ$235</f>
        <v>CMP-GEN-FP</v>
      </c>
      <c r="B81" s="2504" t="str">
        <f>$AL$235</f>
        <v>Genesis</v>
      </c>
      <c r="C81" s="2504" t="str">
        <f>$AM$235</f>
        <v>Component footprint</v>
      </c>
      <c r="D81" s="2504" t="str">
        <f>$AN$235&amp;IF($AO$235="",""," | "&amp;IF($AN$235="Date",TEXT($AO$235,"dd mmm yyyy"),$AO$235))</f>
        <v>sqm | Current</v>
      </c>
      <c r="E81" s="2623" t="n">
        <v>4000</v>
      </c>
      <c r="F81" s="2505"/>
      <c r="G81" s="2505"/>
      <c r="H81" s="2505" t="n">
        <f>IF($A81="","",$E81)</f>
        <v>4000</v>
      </c>
      <c r="I81" s="2543" t="str">
        <f>$AU$235&amp;IF($AS$235="",""," | "&amp;$AS$235)</f>
        <v>Mapped | PROJECT CASH FLOW | E12</v>
      </c>
      <c r="J81" s="2504" t="str">
        <f>$AV$235&amp;" | "&amp;$AX$235</f>
        <v>Model owner | Hard-coded model input</v>
      </c>
      <c r="K81" s="2504" t="str">
        <f>$AW$235</f>
        <v>Central source input for the Genesis component schedule.</v>
      </c>
      <c r="AJ81" s="578" t="str">
        <v>DEBT-001</v>
      </c>
      <c r="AK81" s="579" t="str">
        <v>Debt and funding</v>
      </c>
      <c r="AL81" s="579" t="str">
        <v>Construction facility</v>
      </c>
      <c r="AM81" s="579" t="str">
        <v>Construction LTC limit</v>
      </c>
      <c r="AN81" s="579" t="str">
        <v>%</v>
      </c>
      <c r="AO81" s="579" t="str">
        <v>Construction</v>
      </c>
      <c r="AP81" s="585" t="n">
        <f>IF($E$182="","",$E$182)</f>
        <v>0.5</v>
      </c>
      <c r="AQ81" s="585" t="n">
        <f>IF($F$182="","",$F$182)</f>
        <v>0.45</v>
      </c>
      <c r="AR81" s="585" t="n">
        <f>IF($G$182="","",$G$182)</f>
        <v>0.55</v>
      </c>
      <c r="AS81" s="588" t="str">
        <f>IFERROR(INDEX('DATA MAP'!$C$8:$C$137,MATCH($AJ81,'DATA MAP'!$A$8:$A$137,0))&amp;IF(INDEX('DATA MAP'!$D$8:$D$137,MATCH($AJ81,'DATA MAP'!$A$8:$A$137,0))="",""," | "&amp;INDEX('DATA MAP'!$D$8:$D$137,MATCH($AJ81,'DATA MAP'!$A$8:$A$137,0))),"Not provided")</f>
        <v>Target: Underwriting | C61,C65</v>
      </c>
      <c r="AT81" s="588"/>
      <c r="AU81" s="588" t="str">
        <f>IFERROR(INDEX('DATA MAP'!$I$8:$I$137,MATCH($AJ81,'DATA MAP'!$A$8:$A$137,0)),"Review Required")</f>
        <v>Mapped</v>
      </c>
      <c r="AV81" s="588" t="str">
        <f>IF(OR($AU81="Conflict",$AU81="Review Required",$AU81="New Input Required",$AU81="Unsupported"),"Management","Model owner")</f>
        <v>Model owner</v>
      </c>
      <c r="AW81" s="588" t="str">
        <f>IFERROR(INDEX('DATA MAP'!$K$8:$K$137,MATCH($AJ81,'DATA MAP'!$A$8:$A$137,0)),"Management confirmation required.")</f>
        <v>Source totals imply a different facility scale.</v>
      </c>
      <c r="AX81" t="str">
        <v>Hard-coded model input</v>
      </c>
      <c r="AY81" s="2440" t="n">
        <f>$H$182</f>
        <v>0.5</v>
      </c>
      <c r="AZ81" t="str">
        <v>Yes</v>
      </c>
      <c r="BA81" t="str">
        <v>Underwriting</v>
      </c>
      <c r="BB81" t="str">
        <v>C61,C65</v>
      </c>
      <c r="BC81" t="str">
        <v>Target model</v>
      </c>
      <c r="BD81" t="str">
        <v>No</v>
      </c>
      <c r="BE81" t="str">
        <v>Replace provisional financing assumptions with an executed lender term sheet.</v>
      </c>
      <c r="BF81" s="2442" t="n">
        <v>46231</v>
      </c>
      <c r="BG81" t="str">
        <f>IF($AZ81="No","PASS",IF(OR($AX81="Owner decision outstanding",$BD81="OWNER DECISION"),"WARNING",IF(OR($AP81="",$AN81="",$AS81="",$AV81=""),"FAIL","PASS")))</f>
        <v>PASS</v>
      </c>
    </row>
    <row r="82" ht="24" customHeight="1">
      <c r="A82" s="2504" t="str">
        <f>$AJ$236</f>
        <v>CMP-GEN-LAND</v>
      </c>
      <c r="B82" s="2504" t="str">
        <f>$AL$236</f>
        <v>Genesis</v>
      </c>
      <c r="C82" s="2504" t="str">
        <f>$AM$236</f>
        <v>Component land area</v>
      </c>
      <c r="D82" s="2504" t="str">
        <f>$AN$236&amp;IF($AO$236="",""," | "&amp;IF($AN$236="Date",TEXT($AO$236,"dd mmm yyyy"),$AO$236))</f>
        <v>sqm | Current</v>
      </c>
      <c r="E82" s="2623" t="n">
        <v>200</v>
      </c>
      <c r="F82" s="2505"/>
      <c r="G82" s="2505"/>
      <c r="H82" s="2505" t="n">
        <f>IF($A82="","",$E82)</f>
        <v>200</v>
      </c>
      <c r="I82" s="2543" t="str">
        <f>$AU$236&amp;IF($AS$236="",""," | "&amp;$AS$236)</f>
        <v>Mapped | PROJECT CASH FLOW | F12</v>
      </c>
      <c r="J82" s="2504" t="str">
        <f>$AV$236&amp;" | "&amp;$AX$236</f>
        <v>Model owner | Hard-coded model input</v>
      </c>
      <c r="K82" s="2504" t="str">
        <f>$AW$236</f>
        <v>Source component land allocation.</v>
      </c>
      <c r="AJ82" s="578" t="str">
        <v>DEBT-002</v>
      </c>
      <c r="AK82" s="579" t="str">
        <v>Debt and funding</v>
      </c>
      <c r="AL82" s="579" t="str">
        <v>Construction facility</v>
      </c>
      <c r="AM82" s="579" t="str">
        <v>Construction all-in interest rate</v>
      </c>
      <c r="AN82" s="579" t="str">
        <v>% p.a.</v>
      </c>
      <c r="AO82" s="579" t="str">
        <v>Construction</v>
      </c>
      <c r="AP82" s="585" t="n">
        <v>0.065</v>
      </c>
      <c r="AQ82" s="585" t="n">
        <v>0.0725</v>
      </c>
      <c r="AR82" s="585" t="n">
        <v>0.06</v>
      </c>
      <c r="AS82" s="588" t="str">
        <f>IFERROR(INDEX('DATA MAP'!$C$8:$C$137,MATCH($AJ82,'DATA MAP'!$A$8:$A$137,0))&amp;IF(INDEX('DATA MAP'!$D$8:$D$137,MATCH($AJ82,'DATA MAP'!$A$8:$A$137,0))="",""," | "&amp;INDEX('DATA MAP'!$D$8:$D$137,MATCH($AJ82,'DATA MAP'!$A$8:$A$137,0))),"Not provided")</f>
        <v>ASSUMPTIONS | B22,E22,H22</v>
      </c>
      <c r="AT82" s="588"/>
      <c r="AU82" s="588" t="str">
        <f>IFERROR(INDEX('DATA MAP'!$I$8:$I$137,MATCH($AJ82,'DATA MAP'!$A$8:$A$137,0)),"Review Required")</f>
        <v>Mapped</v>
      </c>
      <c r="AV82" s="588" t="str">
        <f>IF(OR($AU82="Conflict",$AU82="Review Required",$AU82="New Input Required",$AU82="Unsupported"),"Management","Model owner")</f>
        <v>Model owner</v>
      </c>
      <c r="AW82" s="588" t="str">
        <f>IFERROR(INDEX('DATA MAP'!$K$8:$K$137,MATCH($AJ82,'DATA MAP'!$A$8:$A$137,0)),"Management confirmation required.")</f>
        <v>Base 6.5% matches. Detailed source downside is 7.25%; MODEL DESIGN scenario says 7.5%. | The detailed scenario rate schedule controls; the conflicting source summary is retained as evidence only.</v>
      </c>
      <c r="AX82" t="str">
        <v>Derived calculation</v>
      </c>
      <c r="AY82" s="2440" t="n">
        <f>$H$183</f>
        <v>0.065</v>
      </c>
      <c r="AZ82" t="str">
        <v>Yes</v>
      </c>
      <c r="BA82" t="str">
        <v>Underwriting; DEBT</v>
      </c>
      <c r="BB82" t="str">
        <v>E65; B13/B26</v>
      </c>
      <c r="BC82" t="str">
        <v>PROJECTS register book(4).xlsm</v>
      </c>
      <c r="BD82" t="str">
        <v>Resolved</v>
      </c>
      <c r="BE82" t="str">
        <v>Replace provisional financing assumptions with an executed lender term sheet.</v>
      </c>
      <c r="BF82" s="2442" t="n">
        <v>46231</v>
      </c>
      <c r="BG82" t="str">
        <f>IF($AZ82="No","PASS",IF(OR($AX82="Owner decision outstanding",$BD82="OWNER DECISION"),"WARNING",IF(OR($AP82="",$AN82="",$AS82="",$AV82=""),"FAIL","PASS")))</f>
        <v>PASS</v>
      </c>
    </row>
    <row r="83" ht="24" customHeight="1">
      <c r="A83" s="2508" t="str">
        <f>$AJ$239</f>
        <v>CMP-PARK-FP</v>
      </c>
      <c r="B83" s="2508" t="str">
        <f>$AL$239</f>
        <v>Parking</v>
      </c>
      <c r="C83" s="2508" t="str">
        <f>$AM$239</f>
        <v>Component footprint</v>
      </c>
      <c r="D83" s="2508" t="str">
        <f>$AN$239&amp;IF($AO$239="",""," | "&amp;IF($AN$239="Date",TEXT($AO$239,"dd mmm yyyy"),$AO$239))</f>
        <v>sqm | Current</v>
      </c>
      <c r="E83" s="2626" t="n">
        <v>4000</v>
      </c>
      <c r="F83" s="2509"/>
      <c r="G83" s="2509"/>
      <c r="H83" s="2509" t="n">
        <f>IF($A83="","",$E83)</f>
        <v>4000</v>
      </c>
      <c r="I83" s="2543" t="str">
        <f>$AU$239&amp;IF($AS$239="",""," | "&amp;$AS$239)</f>
        <v>Mapped | PROJECT CASH FLOW | E13</v>
      </c>
      <c r="J83" s="2504" t="str">
        <f>$AV$239&amp;" | "&amp;$AX$239</f>
        <v>Model owner | Hard-coded model input</v>
      </c>
      <c r="K83" s="2504" t="str">
        <f>$AW$239</f>
        <v>Central source input for the parking component schedule.</v>
      </c>
      <c r="AJ83" s="578" t="str">
        <v>DEBT-003</v>
      </c>
      <c r="AK83" s="579" t="str">
        <v>Debt and funding</v>
      </c>
      <c r="AL83" s="579" t="str">
        <v>Term debt</v>
      </c>
      <c r="AM83" s="579" t="str">
        <v>Term debt all-in interest rate</v>
      </c>
      <c r="AN83" s="579" t="str">
        <v>% p.a.</v>
      </c>
      <c r="AO83" s="579" t="str">
        <v>Post-stabilisation</v>
      </c>
      <c r="AP83" s="585" t="n">
        <f>IF($E$184="","",$E$184)</f>
        <v>0.065</v>
      </c>
      <c r="AQ83" s="585" t="n">
        <f>IF($F$184="","",$F$184)</f>
        <v>0.0725</v>
      </c>
      <c r="AR83" s="585" t="n">
        <f>IF($G$184="","",$G$184)</f>
        <v>0.06</v>
      </c>
      <c r="AS83" s="588" t="str">
        <f>IFERROR(INDEX('DATA MAP'!$C$8:$C$137,MATCH($AJ83,'DATA MAP'!$A$8:$A$137,0))&amp;IF(INDEX('DATA MAP'!$D$8:$D$137,MATCH($AJ83,'DATA MAP'!$A$8:$A$137,0))="",""," | "&amp;INDEX('DATA MAP'!$D$8:$D$137,MATCH($AJ83,'DATA MAP'!$A$8:$A$137,0))),"Not provided")</f>
        <v>Target: Underwriting | E81</v>
      </c>
      <c r="AT83" s="588"/>
      <c r="AU83" s="588" t="str">
        <f>IFERROR(INDEX('DATA MAP'!$I$8:$I$137,MATCH($AJ83,'DATA MAP'!$A$8:$A$137,0)),"Review Required")</f>
        <v>Mapped</v>
      </c>
      <c r="AV83" s="588" t="str">
        <f>IF(OR($AU83="Conflict",$AU83="Review Required",$AU83="New Input Required",$AU83="Unsupported"),"Management","Model owner")</f>
        <v>Model owner</v>
      </c>
      <c r="AW83" s="588" t="str">
        <f>IFERROR(INDEX('DATA MAP'!$K$8:$K$137,MATCH($AJ83,'DATA MAP'!$A$8:$A$137,0)),"Management confirmation required.")</f>
        <v>Term-debt all-in interest rate is a provisional management case pending an executed lender term sheet.</v>
      </c>
      <c r="AX83" t="str">
        <v>Hard-coded model input</v>
      </c>
      <c r="AY83" s="2440" t="n">
        <f>$H$184</f>
        <v>0.065</v>
      </c>
      <c r="AZ83" t="str">
        <v>Yes</v>
      </c>
      <c r="BA83" t="str">
        <v>Underwriting; DEBT</v>
      </c>
      <c r="BB83" t="str">
        <v>E81; B40</v>
      </c>
      <c r="BC83" t="str">
        <v>Target model</v>
      </c>
      <c r="BD83" t="str">
        <v>No</v>
      </c>
      <c r="BE83" t="str">
        <v>Replace provisional financing assumptions with an executed lender term sheet.</v>
      </c>
      <c r="BF83" s="2442" t="n">
        <v>46231</v>
      </c>
      <c r="BG83" t="str">
        <f>IF($AZ83="No","PASS",IF(OR($AX83="Owner decision outstanding",$BD83="OWNER DECISION"),"WARNING",IF(OR($AP83="",$AN83="",$AS83="",$AV83=""),"FAIL","PASS")))</f>
        <v>PASS</v>
      </c>
    </row>
    <row r="84" ht="24" customHeight="1">
      <c r="A84" s="2504" t="str">
        <f>$AJ$240</f>
        <v>CMP-PARK-LAND</v>
      </c>
      <c r="B84" s="2504" t="str">
        <f>$AL$240</f>
        <v>Parking</v>
      </c>
      <c r="C84" s="2504" t="str">
        <f>$AM$240</f>
        <v>Component land area</v>
      </c>
      <c r="D84" s="2504" t="str">
        <f>$AN$240&amp;IF($AO$240="",""," | "&amp;IF($AN$240="Date",TEXT($AO$240,"dd mmm yyyy"),$AO$240))</f>
        <v>sqm | Current</v>
      </c>
      <c r="E84" s="2623" t="n">
        <v>4200</v>
      </c>
      <c r="F84" s="2505"/>
      <c r="G84" s="2505"/>
      <c r="H84" s="2505" t="n">
        <f>IF($A84="","",$E84)</f>
        <v>4200</v>
      </c>
      <c r="I84" s="2543" t="str">
        <f>$AU$240&amp;IF($AS$240="",""," | "&amp;$AS$240)</f>
        <v>Mapped | PROJECT CASH FLOW | F13</v>
      </c>
      <c r="J84" s="2504" t="str">
        <f>$AV$240&amp;" | "&amp;$AX$240</f>
        <v>Model owner | Hard-coded model input</v>
      </c>
      <c r="K84" s="2504" t="str">
        <f>$AW$240</f>
        <v>Source component land allocation.</v>
      </c>
      <c r="AJ84" s="578" t="str">
        <v>DEBT-004</v>
      </c>
      <c r="AK84" s="579" t="str">
        <v>Debt and funding</v>
      </c>
      <c r="AL84" s="579" t="str">
        <v>Term debt</v>
      </c>
      <c r="AM84" s="579" t="str">
        <v>Loan fee</v>
      </c>
      <c r="AN84" s="579" t="str">
        <v>%</v>
      </c>
      <c r="AO84" s="579" t="str">
        <v>At refinancing</v>
      </c>
      <c r="AP84" s="585" t="n">
        <f>IF($E$185="","",$E$185)</f>
        <v>0.01</v>
      </c>
      <c r="AQ84" s="585" t="str">
        <f>IF($F$185="","",$F$185)</f>
      </c>
      <c r="AR84" s="585" t="str">
        <f>IF($G$185="","",$G$185)</f>
      </c>
      <c r="AS84" s="588" t="str">
        <f>IFERROR(INDEX('DATA MAP'!$C$8:$C$137,MATCH($AJ84,'DATA MAP'!$A$8:$A$137,0))&amp;IF(INDEX('DATA MAP'!$D$8:$D$137,MATCH($AJ84,'DATA MAP'!$A$8:$A$137,0))="",""," | "&amp;INDEX('DATA MAP'!$D$8:$D$137,MATCH($AJ84,'DATA MAP'!$A$8:$A$137,0))),"Not provided")</f>
        <v>Target: Underwriting | H82</v>
      </c>
      <c r="AT84" s="588"/>
      <c r="AU84" s="588" t="str">
        <f>IFERROR(INDEX('DATA MAP'!$I$8:$I$137,MATCH($AJ84,'DATA MAP'!$A$8:$A$137,0)),"Review Required")</f>
        <v>Mapped</v>
      </c>
      <c r="AV84" s="588" t="str">
        <f>IF(OR($AU84="Conflict",$AU84="Review Required",$AU84="New Input Required",$AU84="Unsupported"),"Management","Model owner")</f>
        <v>Model owner</v>
      </c>
      <c r="AW84" s="588" t="str">
        <f>IFERROR(INDEX('DATA MAP'!$K$8:$K$137,MATCH($AJ84,'DATA MAP'!$A$8:$A$137,0)),"Management confirmation required.")</f>
        <v>The source facility description is retained for traceability; executed construction-facility terms remain required.</v>
      </c>
      <c r="AX84" t="str">
        <v>Hard-coded model input</v>
      </c>
      <c r="AY84" s="2440" t="n">
        <f>$H$185</f>
        <v>0.01</v>
      </c>
      <c r="AZ84" t="str">
        <v>Yes</v>
      </c>
      <c r="BA84" t="str">
        <v>Underwriting; DEBT</v>
      </c>
      <c r="BB84" t="str">
        <v>H82; B47</v>
      </c>
      <c r="BC84" t="str">
        <v>Target model</v>
      </c>
      <c r="BD84" t="str">
        <v>No</v>
      </c>
      <c r="BE84" t="str">
        <v>Replace provisional financing assumptions with an executed lender term sheet.</v>
      </c>
      <c r="BF84" s="2442" t="n">
        <v>46231</v>
      </c>
      <c r="BG84" t="str">
        <f>IF($AZ84="No","PASS",IF(OR($AX84="Owner decision outstanding",$BD84="OWNER DECISION"),"WARNING",IF(OR($AP84="",$AN84="",$AS84="",$AV84=""),"FAIL","PASS")))</f>
        <v>PASS</v>
      </c>
    </row>
    <row r="85" ht="24" customHeight="1">
      <c r="A85" s="2513" t="str">
        <f>$AJ$243</f>
        <v>CMP-STOR-FP</v>
      </c>
      <c r="B85" s="2513" t="str">
        <f>$AL$243</f>
        <v>Storage</v>
      </c>
      <c r="C85" s="2513" t="str">
        <f>$AM$243</f>
        <v>Component footprint</v>
      </c>
      <c r="D85" s="2513" t="str">
        <f>$AN$243&amp;IF($AO$243="",""," | "&amp;IF($AN$243="Date",TEXT($AO$243,"dd mmm yyyy"),$AO$243))</f>
        <v>sqm | Current</v>
      </c>
      <c r="E85" s="2629" t="n">
        <v>600</v>
      </c>
      <c r="F85" s="2514"/>
      <c r="G85" s="2514"/>
      <c r="H85" s="2514" t="n">
        <f>IF($A85="","",$E85)</f>
        <v>600</v>
      </c>
      <c r="I85" s="2543" t="str">
        <f>$AU$243&amp;IF($AS$243="",""," | "&amp;$AS$243)</f>
        <v>Mapped | PROJECT CASH FLOW | E17</v>
      </c>
      <c r="J85" s="2504" t="str">
        <f>$AV$243&amp;" | "&amp;$AX$243</f>
        <v>Model owner | Hard-coded model input</v>
      </c>
      <c r="K85" s="2504" t="str">
        <f>$AW$243</f>
        <v>Central source input for the storage component schedule.</v>
      </c>
      <c r="AJ85" s="578" t="str">
        <v>DEBT-005</v>
      </c>
      <c r="AK85" s="579" t="str">
        <v>Debt and funding</v>
      </c>
      <c r="AL85" s="579" t="str">
        <v>Construction facility</v>
      </c>
      <c r="AM85" s="579" t="str">
        <v>Funding selection</v>
      </c>
      <c r="AN85" s="579" t="str">
        <v>Text</v>
      </c>
      <c r="AO85" s="579" t="str">
        <v>Construction</v>
      </c>
      <c r="AP85" s="580" t="str">
        <f>IF($E$186="","",$E$186)</f>
        <v>Equity First</v>
      </c>
      <c r="AQ85" s="580" t="str">
        <f>IF($F$186="","",$F$186)</f>
      </c>
      <c r="AR85" s="580" t="str">
        <f>IF($G$186="","",$G$186)</f>
      </c>
      <c r="AS85" s="588" t="str">
        <v>Target: DEBT | B7</v>
      </c>
      <c r="AT85" s="588" t="n">
        <v>46231</v>
      </c>
      <c r="AU85" s="588" t="str">
        <v>Mapped</v>
      </c>
      <c r="AV85" s="588" t="str">
        <f>IF(OR($AU85="Conflict",$AU85="Review Required",$AU85="New Input Required",$AU85="Unsupported"),"Management","Model owner")</f>
        <v>Model owner</v>
      </c>
      <c r="AW85" s="588" t="str">
        <v>Not an agreed lender term. | Mapped to the live DEBT schedule as the management case. Executed lender terms remain an OWNER DECISION.</v>
      </c>
      <c r="AX85" t="str">
        <v>Hard-coded model input</v>
      </c>
      <c r="AY85" s="2440" t="str">
        <f>$H$186</f>
        <v>Equity First</v>
      </c>
      <c r="AZ85" t="str">
        <v>Yes</v>
      </c>
      <c r="BA85" t="str">
        <v>DEBT</v>
      </c>
      <c r="BB85" t="str">
        <v>B7</v>
      </c>
      <c r="BC85" t="str">
        <v>Target model</v>
      </c>
      <c r="BD85" t="str">
        <v>No</v>
      </c>
      <c r="BE85" t="str">
        <v>Replace provisional financing assumptions with an executed lender term sheet.</v>
      </c>
      <c r="BF85" s="2442" t="n">
        <v>46231</v>
      </c>
      <c r="BG85" t="str">
        <f>IF($AZ85="No","PASS",IF(OR($AX85="Owner decision outstanding",$BD85="OWNER DECISION"),"WARNING",IF(OR($AP85="",$AN85="",$AS85="",$AV85=""),"FAIL","PASS")))</f>
        <v>PASS</v>
      </c>
    </row>
    <row r="86" ht="24" customHeight="1">
      <c r="A86" s="2504" t="str">
        <f>$AJ$244</f>
        <v>CMP-STOR-LAND</v>
      </c>
      <c r="B86" s="2504" t="str">
        <f>$AL$244</f>
        <v>Storage</v>
      </c>
      <c r="C86" s="2504" t="str">
        <f>$AM$244</f>
        <v>Component land area</v>
      </c>
      <c r="D86" s="2504" t="str">
        <f>$AN$244&amp;IF($AO$244="",""," | "&amp;IF($AN$244="Date",TEXT($AO$244,"dd mmm yyyy"),$AO$244))</f>
        <v>sqm | Current</v>
      </c>
      <c r="E86" s="2623" t="n">
        <v>0</v>
      </c>
      <c r="F86" s="2505"/>
      <c r="G86" s="2505"/>
      <c r="H86" s="2505" t="n">
        <f>IF($A86="","",$E86)</f>
        <v>0</v>
      </c>
      <c r="I86" s="2543" t="str">
        <f>$AU$244&amp;IF($AS$244="",""," | "&amp;$AS$244)</f>
        <v>Mapped | PROJECT CASH FLOW | F17</v>
      </c>
      <c r="J86" s="2504" t="str">
        <f>$AV$244&amp;" | "&amp;$AX$244</f>
        <v>Model owner | Hard-coded model input</v>
      </c>
      <c r="K86" s="2504" t="str">
        <f>$AW$244</f>
        <v>No separate land area in the source schedule.</v>
      </c>
      <c r="AJ86" s="578" t="str">
        <v>DEBT-006</v>
      </c>
      <c r="AK86" s="579" t="str">
        <v>Debt and funding</v>
      </c>
      <c r="AL86" s="579" t="str">
        <v>Construction facility</v>
      </c>
      <c r="AM86" s="579" t="str">
        <v>LTV limit</v>
      </c>
      <c r="AN86" s="579" t="str">
        <v>%</v>
      </c>
      <c r="AO86" s="579" t="str">
        <v>Construction</v>
      </c>
      <c r="AP86" s="585" t="n">
        <f>IF($E$187="","",$E$187)</f>
        <v>0.65</v>
      </c>
      <c r="AQ86" s="585" t="n">
        <f>IF($F$187="","",$F$187)</f>
        <v>0.6</v>
      </c>
      <c r="AR86" s="585" t="n">
        <f>IF($G$187="","",$G$187)</f>
        <v>0.7</v>
      </c>
      <c r="AS86" s="588" t="str">
        <v>Target: DEBT | B11</v>
      </c>
      <c r="AT86" s="588" t="n">
        <v>46231</v>
      </c>
      <c r="AU86" s="588" t="str">
        <v>Mapped</v>
      </c>
      <c r="AV86" s="588" t="str">
        <f>IF(OR($AU86="Conflict",$AU86="Review Required",$AU86="New Input Required",$AU86="Unsupported"),"Management","Model owner")</f>
        <v>Model owner</v>
      </c>
      <c r="AW86" s="588" t="str">
        <v>760 | Mapped to the live DEBT schedule as the management case. Executed lender terms remain an OWNER DECISION.</v>
      </c>
      <c r="AX86" t="str">
        <v>Hard-coded model input</v>
      </c>
      <c r="AY86" s="2440" t="n">
        <f>$H$187</f>
        <v>0.65</v>
      </c>
      <c r="AZ86" t="str">
        <v>Yes</v>
      </c>
      <c r="BA86" t="str">
        <v>DEBT</v>
      </c>
      <c r="BB86" t="str">
        <v>B11</v>
      </c>
      <c r="BC86" t="str">
        <v>Target model</v>
      </c>
      <c r="BD86" t="str">
        <v>No</v>
      </c>
      <c r="BE86" t="str">
        <v>Replace provisional financing assumptions with an executed lender term sheet.</v>
      </c>
      <c r="BF86" s="2442" t="n">
        <v>46231</v>
      </c>
      <c r="BG86" t="str">
        <f>IF($AZ86="No","PASS",IF(OR($AX86="Owner decision outstanding",$BD86="OWNER DECISION"),"WARNING",IF(OR($AP86="",$AN86="",$AS86="",$AV86=""),"FAIL","PASS")))</f>
        <v>PASS</v>
      </c>
    </row>
    <row r="87" ht="24" customHeight="1">
      <c r="A87" s="2508"/>
      <c r="B87" s="2508"/>
      <c r="C87" s="2508"/>
      <c r="D87" s="2508"/>
      <c r="E87" s="2539"/>
      <c r="F87" s="2539"/>
      <c r="G87" s="2539"/>
      <c r="H87" s="2539"/>
      <c r="I87" s="2543"/>
      <c r="J87" s="2504"/>
      <c r="K87" s="2504"/>
      <c r="AJ87" s="578" t="str">
        <v>DEBT-007</v>
      </c>
      <c r="AK87" s="579" t="str">
        <v>Debt and funding</v>
      </c>
      <c r="AL87" s="579" t="str">
        <v>Construction facility</v>
      </c>
      <c r="AM87" s="579" t="str">
        <v>Base rate</v>
      </c>
      <c r="AN87" s="579" t="str">
        <v>% p.a.</v>
      </c>
      <c r="AO87" s="579" t="str">
        <v>Construction</v>
      </c>
      <c r="AP87" s="585" t="str">
        <f>IF($E$188="","",$E$188)</f>
      </c>
      <c r="AQ87" s="585" t="str">
        <f>IF($F$188="","",$F$188)</f>
      </c>
      <c r="AR87" s="585" t="str">
        <f>IF($G$188="","",$G$188)</f>
      </c>
      <c r="AS87" s="588" t="str">
        <v>Target: DEBT | B12</v>
      </c>
      <c r="AT87" s="588" t="n">
        <v>46231</v>
      </c>
      <c r="AU87" s="588" t="str">
        <v>Mapped</v>
      </c>
      <c r="AV87" s="588" t="str">
        <f>IF(OR($AU87="Conflict",$AU87="Review Required",$AU87="New Input Required",$AU87="Unsupported"),"Management","Model owner")</f>
        <v>Model owner</v>
      </c>
      <c r="AW87" s="588" t="str">
        <v>Source provides all-in rate only. | Mapped to the live DEBT schedule as the management case. Executed lender terms remain an OWNER DECISION.</v>
      </c>
      <c r="AX87" t="str">
        <v>Hard-coded model input</v>
      </c>
      <c r="AY87" s="2440" t="n">
        <f>$H$188</f>
        <v>0</v>
      </c>
      <c r="AZ87" t="str">
        <v>Yes</v>
      </c>
      <c r="BA87" t="str">
        <v>DEBT</v>
      </c>
      <c r="BB87" t="str">
        <v>B12</v>
      </c>
      <c r="BC87" t="str">
        <v>Target model</v>
      </c>
      <c r="BD87" t="str">
        <v>No</v>
      </c>
      <c r="BE87" t="str">
        <v>Replace provisional financing assumptions with an executed lender term sheet.</v>
      </c>
      <c r="BF87" s="2442" t="n">
        <v>46231</v>
      </c>
      <c r="BG87" t="str">
        <f>IF($AZ87="No","PASS",IF(OR($AX87="Owner decision outstanding",$BD87="OWNER DECISION"),"WARNING",IF(OR($AP87="",$AN87="",$AS87="",$AV87=""),"FAIL","PASS")))</f>
        <v>FAIL</v>
      </c>
    </row>
    <row r="88" ht="24" customHeight="1">
      <c r="A88" s="2534" t="str">
        <v>DEVELOPMENT CAPEX</v>
      </c>
      <c r="B88" s="2534"/>
      <c r="C88" s="2534"/>
      <c r="D88" s="2534"/>
      <c r="E88" s="2535"/>
      <c r="F88" s="2535"/>
      <c r="G88" s="2535"/>
      <c r="H88" s="2535"/>
      <c r="I88" s="2536"/>
      <c r="J88" s="2537"/>
      <c r="K88" s="2537"/>
      <c r="AJ88" s="578" t="str">
        <v>DEBT-008</v>
      </c>
      <c r="AK88" s="579" t="str">
        <v>Debt and funding</v>
      </c>
      <c r="AL88" s="579" t="str">
        <v>Construction facility</v>
      </c>
      <c r="AM88" s="579" t="str">
        <v>Commitment fee</v>
      </c>
      <c r="AN88" s="579" t="str">
        <v>% p.a.</v>
      </c>
      <c r="AO88" s="579" t="str">
        <v>Construction</v>
      </c>
      <c r="AP88" s="585" t="str">
        <f>IF($E$189="","",$E$189)</f>
      </c>
      <c r="AQ88" s="585" t="str">
        <f>IF($F$189="","",$F$189)</f>
      </c>
      <c r="AR88" s="585" t="str">
        <f>IF($G$189="","",$G$189)</f>
      </c>
      <c r="AS88" s="588" t="str">
        <v>Target: DEBT | B14</v>
      </c>
      <c r="AT88" s="588" t="n">
        <v>46231</v>
      </c>
      <c r="AU88" s="588" t="str">
        <v>Mapped</v>
      </c>
      <c r="AV88" s="588" t="str">
        <f>IF(OR($AU88="Conflict",$AU88="Review Required",$AU88="New Input Required",$AU88="Unsupported"),"Management","Model owner")</f>
        <v>Model owner</v>
      </c>
      <c r="AW88" s="588" t="str">
        <v>760 | Mapped to the live DEBT schedule as the management case. Executed lender terms remain an OWNER DECISION.</v>
      </c>
      <c r="AX88" t="str">
        <v>Hard-coded model input</v>
      </c>
      <c r="AY88" s="2440" t="n">
        <f>$H$189</f>
        <v>0</v>
      </c>
      <c r="AZ88" t="str">
        <v>Yes</v>
      </c>
      <c r="BA88" t="str">
        <v>DEBT</v>
      </c>
      <c r="BB88" t="str">
        <v>B14</v>
      </c>
      <c r="BC88" t="str">
        <v>Target model</v>
      </c>
      <c r="BD88" t="str">
        <v>No</v>
      </c>
      <c r="BE88" t="str">
        <v>Replace provisional financing assumptions with an executed lender term sheet.</v>
      </c>
      <c r="BF88" s="2442" t="n">
        <v>46231</v>
      </c>
      <c r="BG88" t="str">
        <f>IF($AZ88="No","PASS",IF(OR($AX88="Owner decision outstanding",$BD88="OWNER DECISION"),"WARNING",IF(OR($AP88="",$AN88="",$AS88="",$AV88=""),"FAIL","PASS")))</f>
        <v>FAIL</v>
      </c>
    </row>
    <row r="89" ht="24" customHeight="1">
      <c r="A89" s="2512" t="str">
        <v>Field ID</v>
      </c>
      <c r="B89" s="2512" t="str">
        <v>Component</v>
      </c>
      <c r="C89" s="2512" t="str">
        <v>Assumption</v>
      </c>
      <c r="D89" s="2538" t="str">
        <v>Unit / Period</v>
      </c>
      <c r="E89" s="2539" t="str">
        <v>Base</v>
      </c>
      <c r="F89" s="2539" t="str">
        <v>Downside</v>
      </c>
      <c r="G89" s="2539" t="str">
        <v>Upside</v>
      </c>
      <c r="H89" s="2539" t="str">
        <v>Selected Value</v>
      </c>
      <c r="I89" s="2540" t="str">
        <v>Status / Source</v>
      </c>
      <c r="J89" s="2512" t="str">
        <v>Owner / Input Type</v>
      </c>
      <c r="K89" s="2512" t="str">
        <v>Notes</v>
      </c>
      <c r="AJ89" s="578" t="str">
        <v>DEBT-009</v>
      </c>
      <c r="AK89" s="579" t="str">
        <v>Debt and funding</v>
      </c>
      <c r="AL89" s="579" t="str">
        <v>Construction facility</v>
      </c>
      <c r="AM89" s="579" t="str">
        <v>Line fee</v>
      </c>
      <c r="AN89" s="579" t="str">
        <v>% p.a.</v>
      </c>
      <c r="AO89" s="579" t="str">
        <v>Construction</v>
      </c>
      <c r="AP89" s="585" t="str">
        <f>IF($E$190="","",$E$190)</f>
      </c>
      <c r="AQ89" s="585" t="str">
        <f>IF($F$190="","",$F$190)</f>
      </c>
      <c r="AR89" s="585" t="str">
        <f>IF($G$190="","",$G$190)</f>
      </c>
      <c r="AS89" s="588" t="str">
        <v>Target: DEBT | B16</v>
      </c>
      <c r="AT89" s="588" t="n">
        <v>46231</v>
      </c>
      <c r="AU89" s="588" t="str">
        <v>Mapped</v>
      </c>
      <c r="AV89" s="588" t="str">
        <f>IF(OR($AU89="Conflict",$AU89="Review Required",$AU89="New Input Required",$AU89="Unsupported"),"Management","Model owner")</f>
        <v>Model owner</v>
      </c>
      <c r="AW89" s="588" t="str">
        <v>760 | Mapped to the live DEBT schedule as the management case. Executed lender terms remain an OWNER DECISION.</v>
      </c>
      <c r="AX89" t="str">
        <v>Hard-coded model input</v>
      </c>
      <c r="AY89" s="2440" t="n">
        <f>$H$190</f>
        <v>0</v>
      </c>
      <c r="AZ89" t="str">
        <v>Yes</v>
      </c>
      <c r="BA89" t="str">
        <v>DEBT</v>
      </c>
      <c r="BB89" t="str">
        <v>B16</v>
      </c>
      <c r="BC89" t="str">
        <v>Target model</v>
      </c>
      <c r="BD89" t="str">
        <v>No</v>
      </c>
      <c r="BE89" t="str">
        <v>Replace provisional financing assumptions with an executed lender term sheet.</v>
      </c>
      <c r="BF89" s="2442" t="n">
        <v>46231</v>
      </c>
      <c r="BG89" t="str">
        <f>IF($AZ89="No","PASS",IF(OR($AX89="Owner decision outstanding",$BD89="OWNER DECISION"),"WARNING",IF(OR($AP89="",$AN89="",$AS89="",$AV89=""),"FAIL","PASS")))</f>
        <v>FAIL</v>
      </c>
    </row>
    <row r="90" ht="24" customHeight="1">
      <c r="A90" s="2504" t="str">
        <f>$AJ$34</f>
        <v>CAPEX-URWLD</v>
      </c>
      <c r="B90" s="2504" t="str">
        <f>$AL$34</f>
        <v>URWLD</v>
      </c>
      <c r="C90" s="2504" t="str">
        <f>$AM$34</f>
        <v>URWLD capex</v>
      </c>
      <c r="D90" s="2541" t="str">
        <f>$AN$34&amp;IF($AO$34="",""," | "&amp;IF($AN$34="Date",TEXT($AO$34,"dd mmm yyyy"),$AO$34))</f>
        <v>A$m | Outturn source estimate</v>
      </c>
      <c r="E90" s="2506" t="n">
        <f>$AP$34</f>
        <v>90.7814814814815</v>
      </c>
      <c r="F90" s="2506" t="n">
        <f>$AQ$34</f>
        <v>99.85962962962967</v>
      </c>
      <c r="G90" s="2506" t="n">
        <f>$AR$34</f>
        <v>86.24240740740743</v>
      </c>
      <c r="H90" s="2506" t="n">
        <f>IF($A90="","",CHOOSE(MATCH('VALUATION &amp; RETURNS'!$CR$7,{"Downside","Base","Upside"},0),$F90,$E90,$G90))</f>
        <v>90.7814814814815</v>
      </c>
      <c r="I90" s="2543" t="str">
        <f>$AU$34&amp;IF($AS$34="",""," | "&amp;$AS$34)</f>
        <v>Mapped | PROJECT CASH FLOW | J8</v>
      </c>
      <c r="J90" s="2504" t="str">
        <f>$AV$34&amp;" | "&amp;$AX$34</f>
        <v>Model owner | Derived calculation</v>
      </c>
      <c r="K90" s="2504" t="str">
        <f>$AW$34</f>
        <v>Current detailed data-book budget adopted; the older higher scope is superseded. Scenario columns show the source cost-factor cross-check.</v>
      </c>
      <c r="AJ90" s="578" t="str">
        <v>DEBT-010</v>
      </c>
      <c r="AK90" s="579" t="str">
        <v>Debt and funding</v>
      </c>
      <c r="AL90" s="579" t="str">
        <v>Construction facility</v>
      </c>
      <c r="AM90" s="579" t="str">
        <v>Interest basis</v>
      </c>
      <c r="AN90" s="579" t="str">
        <v>Days</v>
      </c>
      <c r="AO90" s="579" t="str">
        <v>Construction</v>
      </c>
      <c r="AP90" s="582" t="n">
        <f>IF($E$191="","",$E$191)</f>
        <v>365</v>
      </c>
      <c r="AQ90" s="582" t="str">
        <f>IF($F$191="","",$F$191)</f>
      </c>
      <c r="AR90" s="582" t="str">
        <f>IF($G$191="","",$G$191)</f>
      </c>
      <c r="AS90" s="588" t="str">
        <v>Target: DEBT | B17</v>
      </c>
      <c r="AT90" s="588" t="n">
        <v>46231</v>
      </c>
      <c r="AU90" s="588" t="str">
        <v>Mapped</v>
      </c>
      <c r="AV90" s="588" t="str">
        <f>IF(OR($AU90="Conflict",$AU90="Review Required",$AU90="New Input Required",$AU90="Unsupported"),"Management","Model owner")</f>
        <v>Model owner</v>
      </c>
      <c r="AW90" s="588" t="str">
        <v>760 | Mapped to the live DEBT schedule as the management case. Executed lender terms remain an OWNER DECISION.</v>
      </c>
      <c r="AX90" t="str">
        <v>Hard-coded model input</v>
      </c>
      <c r="AY90" s="2440" t="n">
        <f>$H$191</f>
        <v>365</v>
      </c>
      <c r="AZ90" t="str">
        <v>Yes</v>
      </c>
      <c r="BA90" t="str">
        <v>DEBT</v>
      </c>
      <c r="BB90" t="str">
        <v>B17</v>
      </c>
      <c r="BC90" t="str">
        <v>Target model</v>
      </c>
      <c r="BD90" t="str">
        <v>No</v>
      </c>
      <c r="BE90" t="str">
        <v>Replace provisional financing assumptions with an executed lender term sheet.</v>
      </c>
      <c r="BF90" s="2442" t="n">
        <v>46231</v>
      </c>
      <c r="BG90" t="str">
        <f>IF($AZ90="No","PASS",IF(OR($AX90="Owner decision outstanding",$BD90="OWNER DECISION"),"WARNING",IF(OR($AP90="",$AN90="",$AS90="",$AV90=""),"FAIL","PASS")))</f>
        <v>PASS</v>
      </c>
    </row>
    <row r="91" ht="24" customHeight="1">
      <c r="A91" s="2504" t="str">
        <f>$AJ$35</f>
        <v>CAPEX-PBSA</v>
      </c>
      <c r="B91" s="2504" t="str">
        <f>$AL$35</f>
        <v>PBSA/student accommodation</v>
      </c>
      <c r="C91" s="2504" t="str">
        <f>$AM$35</f>
        <v>PBSA capex</v>
      </c>
      <c r="D91" s="2541" t="str">
        <f>$AN$35&amp;IF($AO$35="",""," | "&amp;IF($AN$35="Date",TEXT($AO$35,"dd mmm yyyy"),$AO$35))</f>
        <v>A$m | Outturn source estimate</v>
      </c>
      <c r="E91" s="2506" t="n">
        <f>$AP$35</f>
        <v>114.2</v>
      </c>
      <c r="F91" s="2506" t="n">
        <f>$AQ$35</f>
        <v>125.62000000000002</v>
      </c>
      <c r="G91" s="2506" t="n">
        <f>$AR$35</f>
        <v>108.49</v>
      </c>
      <c r="H91" s="2506" t="n">
        <f>IF($A91="","",CHOOSE(MATCH('VALUATION &amp; RETURNS'!$CR$7,{"Downside","Base","Upside"},0),$F91,$E91,$G91))</f>
        <v>114.2</v>
      </c>
      <c r="I91" s="2543" t="str">
        <f>$AU$35&amp;IF($AS$35="",""," | "&amp;$AS$35)</f>
        <v>Mapped | PROJECT CASH FLOW | J9</v>
      </c>
      <c r="J91" s="2504" t="str">
        <f>$AV$35&amp;" | "&amp;$AX$35</f>
        <v>Model owner | Derived calculation</v>
      </c>
      <c r="K91" s="2504" t="str">
        <f>$AW$35</f>
        <v>Current detailed data-book budget adopted; the older higher scope is superseded. Scenario columns show the source cost-factor cross-check.</v>
      </c>
      <c r="AJ91" s="578" t="str">
        <v>DEBT-011</v>
      </c>
      <c r="AK91" s="579" t="str">
        <v>Debt and funding</v>
      </c>
      <c r="AL91" s="579" t="str">
        <v>Construction facility</v>
      </c>
      <c r="AM91" s="579" t="str">
        <v>Covenant drawstop enabled</v>
      </c>
      <c r="AN91" s="579" t="str">
        <v>Yes/No</v>
      </c>
      <c r="AO91" s="579" t="str">
        <v>Construction</v>
      </c>
      <c r="AP91" s="580" t="str">
        <f>IF($E$192="","",$E$192)</f>
        <v>Yes</v>
      </c>
      <c r="AQ91" s="580" t="str">
        <f>IF($F$192="","",$F$192)</f>
      </c>
      <c r="AR91" s="580" t="str">
        <f>IF($G$192="","",$G$192)</f>
      </c>
      <c r="AS91" s="588" t="str">
        <v>Target: DEBT | B21</v>
      </c>
      <c r="AT91" s="588" t="n">
        <v>46231</v>
      </c>
      <c r="AU91" s="588" t="str">
        <v>Mapped</v>
      </c>
      <c r="AV91" s="588" t="str">
        <f>IF(OR($AU91="Conflict",$AU91="Review Required",$AU91="New Input Required",$AU91="Unsupported"),"Management","Model owner")</f>
        <v>Model owner</v>
      </c>
      <c r="AW91" s="588" t="str">
        <v>760 | Mapped to the live DEBT schedule as the management case. Executed lender terms remain an OWNER DECISION.</v>
      </c>
      <c r="AX91" t="str">
        <v>Hard-coded model input</v>
      </c>
      <c r="AY91" s="2440" t="str">
        <f>$H$192</f>
        <v>Yes</v>
      </c>
      <c r="AZ91" t="str">
        <v>Yes</v>
      </c>
      <c r="BA91" t="str">
        <v>DEBT</v>
      </c>
      <c r="BB91" t="str">
        <v>B21</v>
      </c>
      <c r="BC91" t="str">
        <v>Target model</v>
      </c>
      <c r="BD91" t="str">
        <v>No</v>
      </c>
      <c r="BE91" t="str">
        <v>Replace provisional financing assumptions with an executed lender term sheet.</v>
      </c>
      <c r="BF91" s="2442" t="n">
        <v>46231</v>
      </c>
      <c r="BG91" t="str">
        <f>IF($AZ91="No","PASS",IF(OR($AX91="Owner decision outstanding",$BD91="OWNER DECISION"),"WARNING",IF(OR($AP91="",$AN91="",$AS91="",$AV91=""),"FAIL","PASS")))</f>
        <v>PASS</v>
      </c>
    </row>
    <row r="92" ht="24" customHeight="1">
      <c r="A92" s="2504" t="str">
        <f>$AJ$36</f>
        <v>CAPEX-LIVE</v>
      </c>
      <c r="B92" s="2504" t="str">
        <f>$AL$36</f>
        <v>LiveHouse</v>
      </c>
      <c r="C92" s="2504" t="str">
        <f>$AM$36</f>
        <v>LiveHouse capex</v>
      </c>
      <c r="D92" s="2544" t="str">
        <f>$AN$36&amp;IF($AO$36="",""," | "&amp;IF($AN$36="Date",TEXT($AO$36,"dd mmm yyyy"),$AO$36))</f>
        <v>A$m | Outturn source estimate</v>
      </c>
      <c r="E92" s="2506" t="n">
        <f>$AP$36</f>
        <v>19.761525</v>
      </c>
      <c r="F92" s="2506" t="n">
        <f>$AQ$36</f>
        <v>21.7376775</v>
      </c>
      <c r="G92" s="2506" t="n">
        <f>$AR$36</f>
        <v>18.773448749999996</v>
      </c>
      <c r="H92" s="2506" t="n">
        <f>IF($A92="","",CHOOSE(MATCH('VALUATION &amp; RETURNS'!$CR$7,{"Downside","Base","Upside"},0),$F92,$E92,$G92))</f>
        <v>19.761525</v>
      </c>
      <c r="I92" s="2543" t="str">
        <f>$AU$36&amp;IF($AS$36="",""," | "&amp;$AS$36)</f>
        <v>Mapped | PROJECT CASH FLOW | J10</v>
      </c>
      <c r="J92" s="2504" t="str">
        <f>$AV$36&amp;" | "&amp;$AX$36</f>
        <v>Model owner | Derived calculation</v>
      </c>
      <c r="K92" s="2504" t="str">
        <f>$AW$36</f>
        <v>Current detailed data-book budget adopted; the older higher scope is superseded. Scenario columns show the source cost-factor cross-check.</v>
      </c>
      <c r="AJ92" s="578" t="str">
        <v>DEBT-012</v>
      </c>
      <c r="AK92" s="579" t="str">
        <v>Debt and funding</v>
      </c>
      <c r="AL92" s="579" t="str">
        <v>Working capital</v>
      </c>
      <c r="AM92" s="579" t="str">
        <v>Working-capital base rate</v>
      </c>
      <c r="AN92" s="579" t="str">
        <v>% p.a.</v>
      </c>
      <c r="AO92" s="579" t="str">
        <v>Operating period</v>
      </c>
      <c r="AP92" s="585" t="str">
        <f>IF($E$193="","",$E$193)</f>
      </c>
      <c r="AQ92" s="585" t="str">
        <f>IF($F$193="","",$F$193)</f>
      </c>
      <c r="AR92" s="585" t="str">
        <f>IF($G$193="","",$G$193)</f>
      </c>
      <c r="AS92" s="588" t="str">
        <v>Target: DEBT | B25</v>
      </c>
      <c r="AT92" s="588" t="n">
        <v>46231</v>
      </c>
      <c r="AU92" s="588" t="str">
        <v>Mapped</v>
      </c>
      <c r="AV92" s="588" t="str">
        <f>IF(OR($AU92="Conflict",$AU92="Review Required",$AU92="New Input Required",$AU92="Unsupported"),"Management","Model owner")</f>
        <v>Model owner</v>
      </c>
      <c r="AW92" s="588" t="str">
        <v>760 | Mapped to the live DEBT schedule as the management case. Executed lender terms remain an OWNER DECISION.</v>
      </c>
      <c r="AX92" t="str">
        <v>Hard-coded model input</v>
      </c>
      <c r="AY92" s="2440" t="n">
        <f>$H$193</f>
        <v>0</v>
      </c>
      <c r="AZ92" t="str">
        <v>Yes</v>
      </c>
      <c r="BA92" t="str">
        <v>DEBT</v>
      </c>
      <c r="BB92" t="str">
        <v>B25</v>
      </c>
      <c r="BC92" t="str">
        <v>Target model</v>
      </c>
      <c r="BD92" t="str">
        <v>No</v>
      </c>
      <c r="BE92" t="str">
        <v>Replace provisional financing assumptions with an executed lender term sheet.</v>
      </c>
      <c r="BF92" s="2442" t="n">
        <v>46231</v>
      </c>
      <c r="BG92" t="str">
        <f>IF($AZ92="No","PASS",IF(OR($AX92="Owner decision outstanding",$BD92="OWNER DECISION"),"WARNING",IF(OR($AP92="",$AN92="",$AS92="",$AV92=""),"FAIL","PASS")))</f>
        <v>FAIL</v>
      </c>
    </row>
    <row r="93" ht="24" customHeight="1">
      <c r="A93" s="2504" t="str">
        <f>$AJ$37</f>
        <v>CAPEX-RETAIL</v>
      </c>
      <c r="B93" s="2504" t="str">
        <f>$AL$37</f>
        <v>Retail and ancillary uses</v>
      </c>
      <c r="C93" s="2504" t="str">
        <f>$AM$37</f>
        <v>Flexible retail/F&amp;B capex</v>
      </c>
      <c r="D93" s="2544" t="str">
        <f>$AN$37&amp;IF($AO$37="",""," | "&amp;IF($AN$37="Date",TEXT($AO$37,"dd mmm yyyy"),$AO$37))</f>
        <v>A$m | Outturn source estimate</v>
      </c>
      <c r="E93" s="2506" t="n">
        <f>$AP$37</f>
        <v>1.35</v>
      </c>
      <c r="F93" s="2506" t="n">
        <f>$AQ$37</f>
        <v>1.4850000000000003</v>
      </c>
      <c r="G93" s="2506" t="n">
        <f>$AR$37</f>
        <v>1.2825</v>
      </c>
      <c r="H93" s="2506" t="n">
        <f>IF($A93="","",CHOOSE(MATCH('VALUATION &amp; RETURNS'!$CR$7,{"Downside","Base","Upside"},0),$F93,$E93,$G93))</f>
        <v>1.35</v>
      </c>
      <c r="I93" s="2543" t="str">
        <f>$AU$37&amp;IF($AS$37="",""," | "&amp;$AS$37)</f>
        <v>Mapped | PROJECT CASH FLOW | J11</v>
      </c>
      <c r="J93" s="2504" t="str">
        <f>$AV$37&amp;" | "&amp;$AX$37</f>
        <v>Model owner | Derived calculation</v>
      </c>
      <c r="K93" s="2504" t="str">
        <f>$AW$37</f>
        <v>Current detailed data-book budget adopted; the older higher scope is superseded. Scenario columns show the source cost-factor cross-check.</v>
      </c>
      <c r="AJ93" s="578" t="str">
        <v>DEBT-013</v>
      </c>
      <c r="AK93" s="579" t="str">
        <v>Debt and funding</v>
      </c>
      <c r="AL93" s="579" t="str">
        <v>Working capital</v>
      </c>
      <c r="AM93" s="579" t="str">
        <v>Minimum cash balance</v>
      </c>
      <c r="AN93" s="579" t="str">
        <v>A$</v>
      </c>
      <c r="AO93" s="579" t="str">
        <v>Operating period</v>
      </c>
      <c r="AP93" s="583" t="n">
        <f>IF($E$194="","",$E$194)</f>
        <v>100000</v>
      </c>
      <c r="AQ93" s="583" t="str">
        <f>IF($F$194="","",$F$194)</f>
      </c>
      <c r="AR93" s="583" t="str">
        <f>IF($G$194="","",$G$194)</f>
      </c>
      <c r="AS93" s="588" t="str">
        <v>Target: DEBT | B27</v>
      </c>
      <c r="AT93" s="588" t="n">
        <v>46231</v>
      </c>
      <c r="AU93" s="588" t="str">
        <v>Mapped</v>
      </c>
      <c r="AV93" s="588" t="str">
        <f>IF(OR($AU93="Conflict",$AU93="Review Required",$AU93="New Input Required",$AU93="Unsupported"),"Management","Model owner")</f>
        <v>Model owner</v>
      </c>
      <c r="AW93" s="588" t="str">
        <v>760 | Mapped to the live DEBT schedule as the management case. Executed lender terms remain an OWNER DECISION.</v>
      </c>
      <c r="AX93" t="str">
        <v>Hard-coded model input</v>
      </c>
      <c r="AY93" s="2440" t="n">
        <f>$H$194</f>
        <v>100000</v>
      </c>
      <c r="AZ93" t="str">
        <v>Yes</v>
      </c>
      <c r="BA93" t="str">
        <v>DEBT</v>
      </c>
      <c r="BB93" t="str">
        <v>B27</v>
      </c>
      <c r="BC93" t="str">
        <v>Target model</v>
      </c>
      <c r="BD93" t="str">
        <v>No</v>
      </c>
      <c r="BE93" t="str">
        <v>Replace provisional financing assumptions with an executed lender term sheet.</v>
      </c>
      <c r="BF93" s="2442" t="n">
        <v>46231</v>
      </c>
      <c r="BG93" t="str">
        <f>IF($AZ93="No","PASS",IF(OR($AX93="Owner decision outstanding",$BD93="OWNER DECISION"),"WARNING",IF(OR($AP93="",$AN93="",$AS93="",$AV93=""),"FAIL","PASS")))</f>
        <v>PASS</v>
      </c>
    </row>
    <row r="94" ht="24" customHeight="1">
      <c r="A94" s="2504" t="str">
        <f>$AJ$38</f>
        <v>CAPEX-GEN</v>
      </c>
      <c r="B94" s="2504" t="str">
        <f>$AL$38</f>
        <v>Genesis</v>
      </c>
      <c r="C94" s="2504" t="str">
        <f>$AM$38</f>
        <v>Genesis capex</v>
      </c>
      <c r="D94" s="2544" t="str">
        <f>$AN$38&amp;IF($AO$38="",""," | "&amp;IF($AN$38="Date",TEXT($AO$38,"dd mmm yyyy"),$AO$38))</f>
        <v>A$m | Outturn source estimate</v>
      </c>
      <c r="E94" s="2506" t="n">
        <f>$AP$38</f>
        <v>14.5</v>
      </c>
      <c r="F94" s="2506" t="n">
        <f>$AQ$38</f>
        <v>15.950000000000001</v>
      </c>
      <c r="G94" s="2506" t="n">
        <f>$AR$38</f>
        <v>13.774999999999999</v>
      </c>
      <c r="H94" s="2506" t="n">
        <f>IF($A94="","",CHOOSE(MATCH('VALUATION &amp; RETURNS'!$CR$7,{"Downside","Base","Upside"},0),$F94,$E94,$G94))</f>
        <v>14.5</v>
      </c>
      <c r="I94" s="2543" t="str">
        <f>$AU$38&amp;IF($AS$38="",""," | "&amp;$AS$38)</f>
        <v>Mapped | PROJECT CASH FLOW | J12</v>
      </c>
      <c r="J94" s="2504" t="str">
        <f>$AV$38&amp;" | "&amp;$AX$38</f>
        <v>Model owner | Derived calculation</v>
      </c>
      <c r="K94" s="2504" t="str">
        <f>$AW$38</f>
        <v>Current detailed data-book budget adopted; the older higher scope is superseded. Scenario columns show the source cost-factor cross-check.</v>
      </c>
      <c r="AJ94" s="578" t="str">
        <v>DEBT-014</v>
      </c>
      <c r="AK94" s="579" t="str">
        <v>Debt and funding</v>
      </c>
      <c r="AL94" s="579" t="str">
        <v>Working capital</v>
      </c>
      <c r="AM94" s="579" t="str">
        <v>Unused-line fee</v>
      </c>
      <c r="AN94" s="579" t="str">
        <v>% p.a.</v>
      </c>
      <c r="AO94" s="579" t="str">
        <v>Operating period</v>
      </c>
      <c r="AP94" s="585" t="str">
        <f>IF($E$195="","",$E$195)</f>
      </c>
      <c r="AQ94" s="585" t="str">
        <f>IF($F$195="","",$F$195)</f>
      </c>
      <c r="AR94" s="585" t="str">
        <f>IF($G$195="","",$G$195)</f>
      </c>
      <c r="AS94" s="588" t="str">
        <v>Target: DEBT | B28</v>
      </c>
      <c r="AT94" s="588" t="n">
        <v>46231</v>
      </c>
      <c r="AU94" s="588" t="str">
        <v>Mapped</v>
      </c>
      <c r="AV94" s="588" t="str">
        <f>IF(OR($AU94="Conflict",$AU94="Review Required",$AU94="New Input Required",$AU94="Unsupported"),"Management","Model owner")</f>
        <v>Model owner</v>
      </c>
      <c r="AW94" s="588" t="str">
        <v>760 | Mapped to the live DEBT schedule as the management case. Executed lender terms remain an OWNER DECISION.</v>
      </c>
      <c r="AX94" t="str">
        <v>Hard-coded model input</v>
      </c>
      <c r="AY94" s="2440" t="n">
        <f>$H$195</f>
        <v>0</v>
      </c>
      <c r="AZ94" t="str">
        <v>Yes</v>
      </c>
      <c r="BA94" t="str">
        <v>DEBT</v>
      </c>
      <c r="BB94" t="str">
        <v>B28</v>
      </c>
      <c r="BC94" t="str">
        <v>Target model</v>
      </c>
      <c r="BD94" t="str">
        <v>No</v>
      </c>
      <c r="BE94" t="str">
        <v>Replace provisional financing assumptions with an executed lender term sheet.</v>
      </c>
      <c r="BF94" s="2442" t="n">
        <v>46231</v>
      </c>
      <c r="BG94" t="str">
        <f>IF($AZ94="No","PASS",IF(OR($AX94="Owner decision outstanding",$BD94="OWNER DECISION"),"WARNING",IF(OR($AP94="",$AN94="",$AS94="",$AV94=""),"FAIL","PASS")))</f>
        <v>FAIL</v>
      </c>
    </row>
    <row r="95" ht="24" customHeight="1">
      <c r="A95" s="2504" t="str">
        <f>$AJ$39</f>
        <v>CAPEX-PARK</v>
      </c>
      <c r="B95" s="2504" t="str">
        <f>$AL$39</f>
        <v>Parking</v>
      </c>
      <c r="C95" s="2504" t="str">
        <f>$AM$39</f>
        <v>Car park capex</v>
      </c>
      <c r="D95" s="2545" t="str">
        <f>$AN$39&amp;IF($AO$39="",""," | "&amp;IF($AN$39="Date",TEXT($AO$39,"dd mmm yyyy"),$AO$39))</f>
        <v>A$m | Outturn source estimate</v>
      </c>
      <c r="E95" s="2506" t="n">
        <f>$AP$39</f>
        <v>30.22</v>
      </c>
      <c r="F95" s="2506" t="n">
        <f>$AQ$39</f>
        <v>33.242000000000004</v>
      </c>
      <c r="G95" s="2506" t="n">
        <f>$AR$39</f>
        <v>28.708999999999996</v>
      </c>
      <c r="H95" s="2506" t="n">
        <f>IF($A95="","",CHOOSE(MATCH('VALUATION &amp; RETURNS'!$CR$7,{"Downside","Base","Upside"},0),$F95,$E95,$G95))</f>
        <v>30.22</v>
      </c>
      <c r="I95" s="2543" t="str">
        <f>$AU$39&amp;IF($AS$39="",""," | "&amp;$AS$39)</f>
        <v>Mapped | PROJECT CASH FLOW | J13</v>
      </c>
      <c r="J95" s="2504" t="str">
        <f>$AV$39&amp;" | "&amp;$AX$39</f>
        <v>Model owner | Derived calculation</v>
      </c>
      <c r="K95" s="2504" t="str">
        <f>$AW$39</f>
        <v>Current detailed data-book budget adopted; the older higher scope is superseded. Scenario columns show the source cost-factor cross-check.</v>
      </c>
      <c r="AJ95" s="578" t="str">
        <v>DEBT-015</v>
      </c>
      <c r="AK95" s="579" t="str">
        <v>Debt and funding</v>
      </c>
      <c r="AL95" s="579" t="str">
        <v>Term debt</v>
      </c>
      <c r="AM95" s="579" t="str">
        <v>Conversion trigger</v>
      </c>
      <c r="AN95" s="579" t="str">
        <v>Text</v>
      </c>
      <c r="AO95" s="579" t="str">
        <v>Post-completion</v>
      </c>
      <c r="AP95" s="580" t="str">
        <f>IF($E$196="","",$E$196)</f>
        <v>Stabilisation</v>
      </c>
      <c r="AQ95" s="580" t="str">
        <f>IF($F$196="","",$F$196)</f>
      </c>
      <c r="AR95" s="580" t="str">
        <f>IF($G$196="","",$G$196)</f>
      </c>
      <c r="AS95" s="588" t="str">
        <v>Target: DEBT | B33</v>
      </c>
      <c r="AT95" s="588" t="n">
        <v>46231</v>
      </c>
      <c r="AU95" s="588" t="str">
        <v>Mapped</v>
      </c>
      <c r="AV95" s="588" t="str">
        <f>IF(OR($AU95="Conflict",$AU95="Review Required",$AU95="New Input Required",$AU95="Unsupported"),"Management","Model owner")</f>
        <v>Model owner</v>
      </c>
      <c r="AW95" s="588" t="str">
        <v>760 | Mapped to the live DEBT schedule as the management case. Executed lender terms remain an OWNER DECISION.</v>
      </c>
      <c r="AX95" t="str">
        <v>Hard-coded model input</v>
      </c>
      <c r="AY95" s="2440" t="str">
        <f>$H$196</f>
        <v>Stabilisation</v>
      </c>
      <c r="AZ95" t="str">
        <v>Yes</v>
      </c>
      <c r="BA95" t="str">
        <v>DEBT</v>
      </c>
      <c r="BB95" t="str">
        <v>B33</v>
      </c>
      <c r="BC95" t="str">
        <v>Target model</v>
      </c>
      <c r="BD95" t="str">
        <v>No</v>
      </c>
      <c r="BE95" t="str">
        <v>Replace provisional financing assumptions with an executed lender term sheet.</v>
      </c>
      <c r="BF95" s="2442" t="n">
        <v>46231</v>
      </c>
      <c r="BG95" t="str">
        <f>IF($AZ95="No","PASS",IF(OR($AX95="Owner decision outstanding",$BD95="OWNER DECISION"),"WARNING",IF(OR($AP95="",$AN95="",$AS95="",$AV95=""),"FAIL","PASS")))</f>
        <v>PASS</v>
      </c>
    </row>
    <row r="96" ht="24" customHeight="1">
      <c r="A96" s="2504" t="str">
        <f>$AJ$40</f>
        <v>CAPEX-SNOW</v>
      </c>
      <c r="B96" s="2504" t="str">
        <f>$AL$40</f>
        <v>Snowtunnel</v>
      </c>
      <c r="C96" s="2504" t="str">
        <f>$AM$40</f>
        <v>Snowtunnel capex</v>
      </c>
      <c r="D96" s="2504" t="str">
        <f>$AN$40&amp;IF($AO$40="",""," | "&amp;IF($AN$40="Date",TEXT($AO$40,"dd mmm yyyy"),$AO$40))</f>
        <v>A$m | Outturn source estimate</v>
      </c>
      <c r="E96" s="2506" t="n">
        <f>$AP$40</f>
        <v>13</v>
      </c>
      <c r="F96" s="2506" t="n">
        <f>$AQ$40</f>
        <v>14.3</v>
      </c>
      <c r="G96" s="2506" t="n">
        <f>$AR$40</f>
        <v>12.35</v>
      </c>
      <c r="H96" s="2506" t="n">
        <f>IF($A96="","",CHOOSE(MATCH('VALUATION &amp; RETURNS'!$CR$7,{"Downside","Base","Upside"},0),$F96,$E96,$G96))</f>
        <v>13</v>
      </c>
      <c r="I96" s="2543" t="str">
        <f>$AU$40&amp;IF($AS$40="",""," | "&amp;$AS$40)</f>
        <v>Mapped | PROJECT CASH FLOW | J14</v>
      </c>
      <c r="J96" s="2504" t="str">
        <f>$AV$40&amp;" | "&amp;$AX$40</f>
        <v>Model owner | Derived calculation</v>
      </c>
      <c r="K96" s="2504" t="str">
        <f>$AW$40</f>
        <v>Current detailed data-book budget adopted; the older higher scope is superseded. Scenario columns show the source cost-factor cross-check.</v>
      </c>
      <c r="AJ96" s="578" t="str">
        <v>DEBT-016</v>
      </c>
      <c r="AK96" s="579" t="str">
        <v>Debt and funding</v>
      </c>
      <c r="AL96" s="579" t="str">
        <v>Term debt</v>
      </c>
      <c r="AM96" s="579" t="str">
        <v>Working-capital debt may refinance</v>
      </c>
      <c r="AN96" s="579" t="str">
        <v>Yes/No</v>
      </c>
      <c r="AO96" s="579" t="str">
        <v>At conversion</v>
      </c>
      <c r="AP96" s="580" t="str">
        <f>IF($E$197="","",$E$197)</f>
        <v>Yes</v>
      </c>
      <c r="AQ96" s="580" t="str">
        <f>IF($F$197="","",$F$197)</f>
      </c>
      <c r="AR96" s="580" t="str">
        <f>IF($G$197="","",$G$197)</f>
      </c>
      <c r="AS96" s="588" t="str">
        <v>Target: DEBT | B36</v>
      </c>
      <c r="AT96" s="588" t="n">
        <v>46231</v>
      </c>
      <c r="AU96" s="588" t="str">
        <v>Mapped</v>
      </c>
      <c r="AV96" s="588" t="str">
        <f>IF(OR($AU96="Conflict",$AU96="Review Required",$AU96="New Input Required",$AU96="Unsupported"),"Management","Model owner")</f>
        <v>Model owner</v>
      </c>
      <c r="AW96" s="588" t="str">
        <v>760 | Mapped to the live DEBT schedule as the management case. Executed lender terms remain an OWNER DECISION.</v>
      </c>
      <c r="AX96" t="str">
        <v>Hard-coded model input</v>
      </c>
      <c r="AY96" s="2440" t="str">
        <f>$H$197</f>
        <v>Yes</v>
      </c>
      <c r="AZ96" t="str">
        <v>Yes</v>
      </c>
      <c r="BA96" t="str">
        <v>DEBT</v>
      </c>
      <c r="BB96" t="str">
        <v>B36</v>
      </c>
      <c r="BC96" t="str">
        <v>Target model</v>
      </c>
      <c r="BD96" t="str">
        <v>No</v>
      </c>
      <c r="BE96" t="str">
        <v>Replace provisional financing assumptions with an executed lender term sheet.</v>
      </c>
      <c r="BF96" s="2442" t="n">
        <v>46231</v>
      </c>
      <c r="BG96" t="str">
        <f>IF($AZ96="No","PASS",IF(OR($AX96="Owner decision outstanding",$BD96="OWNER DECISION"),"WARNING",IF(OR($AP96="",$AN96="",$AS96="",$AV96=""),"FAIL","PASS")))</f>
        <v>PASS</v>
      </c>
    </row>
    <row r="97" ht="24" customHeight="1">
      <c r="A97" s="2504" t="str">
        <f>$AJ$41</f>
        <v>CAPEX-LANDATTR</v>
      </c>
      <c r="B97" s="2504" t="str">
        <f>$AL$41</f>
        <v>Retail and ancillary uses</v>
      </c>
      <c r="C97" s="2504" t="str">
        <f>$AM$41</f>
        <v>Landscape attraction capex</v>
      </c>
      <c r="D97" s="2504" t="str">
        <f>$AN$41&amp;IF($AO$41="",""," | "&amp;IF($AN$41="Date",TEXT($AO$41,"dd mmm yyyy"),$AO$41))</f>
        <v>A$m | Outturn source estimate</v>
      </c>
      <c r="E97" s="2506" t="n">
        <f>$AP$41</f>
        <v>0.5</v>
      </c>
      <c r="F97" s="2506" t="n">
        <f>$AQ$41</f>
        <v>0.55</v>
      </c>
      <c r="G97" s="2506" t="n">
        <f>$AR$41</f>
        <v>0.475</v>
      </c>
      <c r="H97" s="2506" t="n">
        <f>IF($A97="","",CHOOSE(MATCH('VALUATION &amp; RETURNS'!$CR$7,{"Downside","Base","Upside"},0),$F97,$E97,$G97))</f>
        <v>0.5</v>
      </c>
      <c r="I97" s="2543" t="str">
        <f>$AU$41&amp;IF($AS$41="",""," | "&amp;$AS$41)</f>
        <v>Mapped | PROJECT CASH FLOW | J15</v>
      </c>
      <c r="J97" s="2504" t="str">
        <f>$AV$41&amp;" | "&amp;$AX$41</f>
        <v>Model owner | Derived calculation</v>
      </c>
      <c r="K97" s="2504" t="str">
        <f>$AW$41</f>
        <v>Current detailed data-book budget adopted; the older higher scope is superseded. Scenario columns show the source cost-factor cross-check.</v>
      </c>
      <c r="AJ97" s="578" t="str">
        <v>DEBT-017</v>
      </c>
      <c r="AK97" s="579" t="str">
        <v>Debt and funding</v>
      </c>
      <c r="AL97" s="579" t="str">
        <v>Term debt</v>
      </c>
      <c r="AM97" s="579" t="str">
        <v>Term-debt LTV limit</v>
      </c>
      <c r="AN97" s="579" t="str">
        <v>%</v>
      </c>
      <c r="AO97" s="579" t="str">
        <v>At conversion</v>
      </c>
      <c r="AP97" s="585" t="n">
        <f>IF($E$198="","",$E$198)</f>
        <v>0.65</v>
      </c>
      <c r="AQ97" s="585" t="n">
        <f>IF($F$198="","",$F$198)</f>
        <v>0.6</v>
      </c>
      <c r="AR97" s="585" t="n">
        <f>IF($G$198="","",$G$198)</f>
        <v>0.7</v>
      </c>
      <c r="AS97" s="588" t="str">
        <v>Target: DEBT | B38</v>
      </c>
      <c r="AT97" s="588" t="n">
        <v>46231</v>
      </c>
      <c r="AU97" s="588" t="str">
        <v>Mapped</v>
      </c>
      <c r="AV97" s="588" t="str">
        <f>IF(OR($AU97="Conflict",$AU97="Review Required",$AU97="New Input Required",$AU97="Unsupported"),"Management","Model owner")</f>
        <v>Model owner</v>
      </c>
      <c r="AW97" s="588" t="str">
        <v>760 | Mapped to the live DEBT schedule as the management case. Executed lender terms remain an OWNER DECISION.</v>
      </c>
      <c r="AX97" t="str">
        <v>Hard-coded model input</v>
      </c>
      <c r="AY97" s="2440" t="n">
        <f>$H$198</f>
        <v>0.65</v>
      </c>
      <c r="AZ97" t="str">
        <v>Yes</v>
      </c>
      <c r="BA97" t="str">
        <v>DEBT</v>
      </c>
      <c r="BB97" t="str">
        <v>B38</v>
      </c>
      <c r="BC97" t="str">
        <v>Target model</v>
      </c>
      <c r="BD97" t="str">
        <v>No</v>
      </c>
      <c r="BE97" t="str">
        <v>Replace provisional financing assumptions with an executed lender term sheet.</v>
      </c>
      <c r="BF97" s="2442" t="n">
        <v>46231</v>
      </c>
      <c r="BG97" t="str">
        <f>IF($AZ97="No","PASS",IF(OR($AX97="Owner decision outstanding",$BD97="OWNER DECISION"),"WARNING",IF(OR($AP97="",$AN97="",$AS97="",$AV97=""),"FAIL","PASS")))</f>
        <v>PASS</v>
      </c>
    </row>
    <row r="98" ht="24" customHeight="1">
      <c r="A98" s="2504" t="str">
        <f>$AJ$42</f>
        <v>CAPEX-EBIKE</v>
      </c>
      <c r="B98" s="2504" t="str">
        <f>$AL$42</f>
        <v>Retail and ancillary uses</v>
      </c>
      <c r="C98" s="2504" t="str">
        <f>$AM$42</f>
        <v>eBike/eScooter capex</v>
      </c>
      <c r="D98" s="2504" t="str">
        <f>$AN$42&amp;IF($AO$42="",""," | "&amp;IF($AN$42="Date",TEXT($AO$42,"dd mmm yyyy"),$AO$42))</f>
        <v>A$m | Outturn source estimate</v>
      </c>
      <c r="E98" s="2506" t="n">
        <f>$AP$42</f>
        <v>0.223</v>
      </c>
      <c r="F98" s="2506" t="n">
        <f>$AQ$42</f>
        <v>0.24530000000000002</v>
      </c>
      <c r="G98" s="2506" t="n">
        <f>$AR$42</f>
        <v>0.21184999999999998</v>
      </c>
      <c r="H98" s="2506" t="n">
        <f>IF($A98="","",CHOOSE(MATCH('VALUATION &amp; RETURNS'!$CR$7,{"Downside","Base","Upside"},0),$F98,$E98,$G98))</f>
        <v>0.223</v>
      </c>
      <c r="I98" s="2543" t="str">
        <f>$AU$42&amp;IF($AS$42="",""," | "&amp;$AS$42)</f>
        <v>Mapped | PROJECT CASH FLOW | J16</v>
      </c>
      <c r="J98" s="2504" t="str">
        <f>$AV$42&amp;" | "&amp;$AX$42</f>
        <v>Model owner | Derived calculation</v>
      </c>
      <c r="K98" s="2504" t="str">
        <f>$AW$42</f>
        <v>Current detailed data-book budget adopted; the older higher scope is superseded. Scenario columns show the source cost-factor cross-check.</v>
      </c>
      <c r="AJ98" s="578" t="str">
        <v>DEBT-018</v>
      </c>
      <c r="AK98" s="579" t="str">
        <v>Debt and funding</v>
      </c>
      <c r="AL98" s="579" t="str">
        <v>Term debt</v>
      </c>
      <c r="AM98" s="579" t="str">
        <v>Term</v>
      </c>
      <c r="AN98" s="579" t="str">
        <v>Years</v>
      </c>
      <c r="AO98" s="579" t="str">
        <v>Post-conversion</v>
      </c>
      <c r="AP98" s="582" t="n">
        <f>IF($E$199="","",$E$199)</f>
        <v>5</v>
      </c>
      <c r="AQ98" s="582" t="str">
        <f>IF($F$199="","",$F$199)</f>
      </c>
      <c r="AR98" s="582" t="str">
        <f>IF($G$199="","",$G$199)</f>
      </c>
      <c r="AS98" s="588" t="str">
        <v>Target model existing illustrative assumption</v>
      </c>
      <c r="AT98" s="588" t="n">
        <v>46231</v>
      </c>
      <c r="AU98" s="588" t="str">
        <v>Mapped</v>
      </c>
      <c r="AV98" s="588" t="str">
        <f>IF(OR($AU98="Conflict",$AU98="Review Required",$AU98="New Input Required",$AU98="Unsupported"),"Management","Model owner")</f>
        <v>Model owner</v>
      </c>
      <c r="AW98" s="588" t="str">
        <v>Five-year live model assumption retained to preserve the current funding case. The data book states ten years; lender confirmation is required. | Mapped to the live DEBT schedule as the management case. Executed lender terms remain an OWNER DECISION.</v>
      </c>
      <c r="AX98" t="str">
        <v>Hard-coded model input</v>
      </c>
      <c r="AY98" s="2440" t="n">
        <f>$H$199</f>
        <v>5</v>
      </c>
      <c r="AZ98" t="str">
        <v>Yes</v>
      </c>
      <c r="BA98" t="str">
        <v>DEBT</v>
      </c>
      <c r="BB98" t="str">
        <v>B41</v>
      </c>
      <c r="BC98" t="str">
        <v>Target model</v>
      </c>
      <c r="BD98" t="str">
        <v>No</v>
      </c>
      <c r="BE98" t="str">
        <v>Replace provisional financing assumptions with an executed lender term sheet.</v>
      </c>
      <c r="BF98" s="2442" t="n">
        <v>46231</v>
      </c>
      <c r="BG98" t="str">
        <f>IF($AZ98="No","PASS",IF(OR($AX98="Owner decision outstanding",$BD98="OWNER DECISION"),"WARNING",IF(OR($AP98="",$AN98="",$AS98="",$AV98=""),"FAIL","PASS")))</f>
        <v>PASS</v>
      </c>
    </row>
    <row r="99" ht="24" customHeight="1">
      <c r="A99" s="2508" t="str">
        <f>$AJ$43</f>
        <v>CAPEX-STORAGE</v>
      </c>
      <c r="B99" s="2508" t="str">
        <f>$AL$43</f>
        <v>Storage</v>
      </c>
      <c r="C99" s="2508" t="str">
        <f>$AM$43</f>
        <v>Self-storage capex</v>
      </c>
      <c r="D99" s="2508" t="str">
        <f>$AN$43&amp;IF($AO$43="",""," | "&amp;IF($AN$43="Date",TEXT($AO$43,"dd mmm yyyy"),$AO$43))</f>
        <v>A$m | Outturn source estimate</v>
      </c>
      <c r="E99" s="2510" t="n">
        <f>$AP$43</f>
        <v>1.5</v>
      </c>
      <c r="F99" s="2510" t="n">
        <f>$AQ$43</f>
        <v>1.6500000000000001</v>
      </c>
      <c r="G99" s="2510" t="n">
        <f>$AR$43</f>
        <v>1.4249999999999998</v>
      </c>
      <c r="H99" s="2510" t="n">
        <f>IF($A99="","",CHOOSE(MATCH('VALUATION &amp; RETURNS'!$CR$7,{"Downside","Base","Upside"},0),$F99,$E99,$G99))</f>
        <v>1.5</v>
      </c>
      <c r="I99" s="2543" t="str">
        <f>$AU$43&amp;IF($AS$43="",""," | "&amp;$AS$43)</f>
        <v>Mapped | PROJECT CASH FLOW | J17</v>
      </c>
      <c r="J99" s="2504" t="str">
        <f>$AV$43&amp;" | "&amp;$AX$43</f>
        <v>Model owner | Derived calculation</v>
      </c>
      <c r="K99" s="2504" t="str">
        <f>$AW$43</f>
        <v>Current detailed data-book budget adopted; the older higher scope is superseded. Scenario columns show the source cost-factor cross-check.</v>
      </c>
      <c r="AJ99" s="578" t="str">
        <v>DEBT-019</v>
      </c>
      <c r="AK99" s="579" t="str">
        <v>Debt and funding</v>
      </c>
      <c r="AL99" s="579" t="str">
        <v>Term debt</v>
      </c>
      <c r="AM99" s="579" t="str">
        <v>Interest-only period</v>
      </c>
      <c r="AN99" s="579" t="str">
        <v>Months</v>
      </c>
      <c r="AO99" s="579" t="str">
        <v>Post-conversion</v>
      </c>
      <c r="AP99" s="582" t="n">
        <f>IF($E$200="","",$E$200)</f>
        <v>12</v>
      </c>
      <c r="AQ99" s="582" t="str">
        <f>IF($F$200="","",$F$200)</f>
      </c>
      <c r="AR99" s="582" t="str">
        <f>IF($G$200="","",$G$200)</f>
      </c>
      <c r="AS99" s="588" t="str">
        <v>Target model existing illustrative assumption</v>
      </c>
      <c r="AT99" s="588" t="n">
        <v>46231</v>
      </c>
      <c r="AU99" s="588" t="str">
        <v>Mapped</v>
      </c>
      <c r="AV99" s="588" t="str">
        <f>IF(OR($AU99="Conflict",$AU99="Review Required",$AU99="New Input Required",$AU99="Unsupported"),"Management","Model owner")</f>
        <v>Model owner</v>
      </c>
      <c r="AW99" s="588" t="str">
        <v>Twelve-month live interest-only period retained pending lender confirmation. The data-book interest-only description is recorded separately. | Mapped to the live DEBT schedule as the management case. Executed lender terms remain an OWNER DECISION.</v>
      </c>
      <c r="AX99" t="str">
        <v>Hard-coded model input</v>
      </c>
      <c r="AY99" s="2440" t="n">
        <f>$H$200</f>
        <v>12</v>
      </c>
      <c r="AZ99" t="str">
        <v>Yes</v>
      </c>
      <c r="BA99" t="str">
        <v>DEBT</v>
      </c>
      <c r="BB99" t="str">
        <v>B43</v>
      </c>
      <c r="BC99" t="str">
        <v>Target model</v>
      </c>
      <c r="BD99" t="str">
        <v>No</v>
      </c>
      <c r="BE99" t="str">
        <v>Replace provisional financing assumptions with an executed lender term sheet.</v>
      </c>
      <c r="BF99" s="2442" t="n">
        <v>46231</v>
      </c>
      <c r="BG99" t="str">
        <f>IF($AZ99="No","PASS",IF(OR($AX99="Owner decision outstanding",$BD99="OWNER DECISION"),"WARNING",IF(OR($AP99="",$AN99="",$AS99="",$AV99=""),"FAIL","PASS")))</f>
        <v>PASS</v>
      </c>
    </row>
    <row r="100" ht="24" customHeight="1">
      <c r="A100" s="2512" t="str">
        <f>$AJ$44</f>
        <v>CAPEX-CONV</v>
      </c>
      <c r="B100" s="2512" t="str">
        <f>$AL$44</f>
        <v>Retail and ancillary uses</v>
      </c>
      <c r="C100" s="2512" t="str">
        <f>$AM$44</f>
        <v>Convenience store capex</v>
      </c>
      <c r="D100" s="2512" t="str">
        <f>$AN$44&amp;IF($AO$44="",""," | "&amp;IF($AN$44="Date",TEXT($AO$44,"dd mmm yyyy"),$AO$44))</f>
        <v>A$m | Outturn source estimate</v>
      </c>
      <c r="E100" s="2510" t="n">
        <f>$AP$44</f>
        <v>0.417</v>
      </c>
      <c r="F100" s="2510" t="n">
        <f>$AQ$44</f>
        <v>0.4587</v>
      </c>
      <c r="G100" s="2510" t="n">
        <f>$AR$44</f>
        <v>0.39614999999999995</v>
      </c>
      <c r="H100" s="2510" t="n">
        <f>IF($A100="","",CHOOSE(MATCH('VALUATION &amp; RETURNS'!$CR$7,{"Downside","Base","Upside"},0),$F100,$E100,$G100))</f>
        <v>0.417</v>
      </c>
      <c r="I100" s="2543" t="str">
        <f>$AU$44&amp;IF($AS$44="",""," | "&amp;$AS$44)</f>
        <v>Mapped | PROJECT CASH FLOW | J18</v>
      </c>
      <c r="J100" s="2504" t="str">
        <f>$AV$44&amp;" | "&amp;$AX$44</f>
        <v>Model owner | Derived calculation</v>
      </c>
      <c r="K100" s="2504" t="str">
        <f>$AW$44</f>
        <v>Current detailed data-book budget adopted; the older higher scope is superseded. Scenario columns show the source cost-factor cross-check.</v>
      </c>
      <c r="AJ100" s="578" t="str">
        <v>DEBT-020</v>
      </c>
      <c r="AK100" s="579" t="str">
        <v>Debt and funding</v>
      </c>
      <c r="AL100" s="579" t="str">
        <v>Term debt</v>
      </c>
      <c r="AM100" s="579" t="str">
        <v>Repayment profile</v>
      </c>
      <c r="AN100" s="579" t="str">
        <v>Text</v>
      </c>
      <c r="AO100" s="579" t="str">
        <v>Post-conversion</v>
      </c>
      <c r="AP100" s="580" t="str">
        <f>IF($E$201="","",$E$201)</f>
        <v>Interest-only followed by amortisation</v>
      </c>
      <c r="AQ100" s="580" t="str">
        <f>IF($F$201="","",$F$201)</f>
      </c>
      <c r="AR100" s="580" t="str">
        <f>IF($G$201="","",$G$201)</f>
      </c>
      <c r="AS100" s="588" t="str">
        <v>Target: DEBT | B44</v>
      </c>
      <c r="AT100" s="588" t="n">
        <v>46231</v>
      </c>
      <c r="AU100" s="588" t="str">
        <v>Mapped</v>
      </c>
      <c r="AV100" s="588" t="str">
        <f>IF(OR($AU100="Conflict",$AU100="Review Required",$AU100="New Input Required",$AU100="Unsupported"),"Management","Model owner")</f>
        <v>Model owner</v>
      </c>
      <c r="AW100" s="588" t="str">
        <v>760 | Mapped to the live DEBT schedule as the management case. Executed lender terms remain an OWNER DECISION.</v>
      </c>
      <c r="AX100" t="str">
        <v>Hard-coded model input</v>
      </c>
      <c r="AY100" s="2440" t="str">
        <f>$H$201</f>
        <v>Interest-only followed by amortisation</v>
      </c>
      <c r="AZ100" t="str">
        <v>Yes</v>
      </c>
      <c r="BA100" t="str">
        <v>DEBT</v>
      </c>
      <c r="BB100" t="str">
        <v>B44</v>
      </c>
      <c r="BC100" t="str">
        <v>Target model</v>
      </c>
      <c r="BD100" t="str">
        <v>No</v>
      </c>
      <c r="BE100" t="str">
        <v>Replace provisional financing assumptions with an executed lender term sheet.</v>
      </c>
      <c r="BF100" s="2442" t="n">
        <v>46231</v>
      </c>
      <c r="BG100" t="str">
        <f>IF($AZ100="No","PASS",IF(OR($AX100="Owner decision outstanding",$BD100="OWNER DECISION"),"WARNING",IF(OR($AP100="",$AN100="",$AS100="",$AV100=""),"FAIL","PASS")))</f>
        <v>PASS</v>
      </c>
    </row>
    <row r="101" ht="24" customHeight="1">
      <c r="A101" s="2504" t="str">
        <f>$AJ$45</f>
        <v>CAPEX-LAUND</v>
      </c>
      <c r="B101" s="2504" t="str">
        <f>$AL$45</f>
        <v>Retail and ancillary uses</v>
      </c>
      <c r="C101" s="2541" t="str">
        <f>$AM$45</f>
        <v>Laundromat capex</v>
      </c>
      <c r="D101" s="2544" t="str">
        <f>$AN$45&amp;IF($AO$45="",""," | "&amp;IF($AN$45="Date",TEXT($AO$45,"dd mmm yyyy"),$AO$45))</f>
        <v>A$m | Outturn source estimate</v>
      </c>
      <c r="E101" s="2506" t="n">
        <f>$AP$45</f>
        <v>0.8</v>
      </c>
      <c r="F101" s="2506" t="n">
        <f>$AQ$45</f>
        <v>0.8800000000000001</v>
      </c>
      <c r="G101" s="2506" t="n">
        <f>$AR$45</f>
        <v>0.76</v>
      </c>
      <c r="H101" s="2506" t="n">
        <f>IF($A101="","",CHOOSE(MATCH('VALUATION &amp; RETURNS'!$CR$7,{"Downside","Base","Upside"},0),$F101,$E101,$G101))</f>
        <v>0.8</v>
      </c>
      <c r="I101" s="2543" t="str">
        <f>$AU$45&amp;IF($AS$45="",""," | "&amp;$AS$45)</f>
        <v>Mapped | PROJECT CASH FLOW | J19</v>
      </c>
      <c r="J101" s="2504" t="str">
        <f>$AV$45&amp;" | "&amp;$AX$45</f>
        <v>Model owner | Derived calculation</v>
      </c>
      <c r="K101" s="2504" t="str">
        <f>$AW$45</f>
        <v>Current detailed data-book budget adopted; the older higher scope is superseded. Scenario columns show the source cost-factor cross-check.</v>
      </c>
      <c r="AJ101" s="578" t="str">
        <v>DEBT-021</v>
      </c>
      <c r="AK101" s="579" t="str">
        <v>Debt and funding</v>
      </c>
      <c r="AL101" s="579" t="str">
        <v>Term debt</v>
      </c>
      <c r="AM101" s="579" t="str">
        <v>Bullet percentage</v>
      </c>
      <c r="AN101" s="579" t="str">
        <v>%</v>
      </c>
      <c r="AO101" s="579" t="str">
        <v>At maturity</v>
      </c>
      <c r="AP101" s="585" t="n">
        <f>IF($E$202="","",$E$202)</f>
        <v>0.5</v>
      </c>
      <c r="AQ101" s="585" t="str">
        <f>IF($F$202="","",$F$202)</f>
      </c>
      <c r="AR101" s="585" t="str">
        <f>IF($G$202="","",$G$202)</f>
      </c>
      <c r="AS101" s="588" t="str">
        <v>Target model existing illustrative assumption</v>
      </c>
      <c r="AT101" s="588" t="n">
        <v>46231</v>
      </c>
      <c r="AU101" s="588" t="str">
        <v>Mapped</v>
      </c>
      <c r="AV101" s="588" t="str">
        <f>IF(OR($AU101="Conflict",$AU101="Review Required",$AU101="New Input Required",$AU101="Unsupported"),"Management","Model owner")</f>
        <v>Model owner</v>
      </c>
      <c r="AW101" s="588" t="str">
        <v>Illustrative 50% bullet retained pending executed lender terms. | Mapped to the live DEBT schedule as the management case. Executed lender terms remain an OWNER DECISION.</v>
      </c>
      <c r="AX101" t="str">
        <v>Hard-coded model input</v>
      </c>
      <c r="AY101" s="2440" t="n">
        <f>$H$202</f>
        <v>0.5</v>
      </c>
      <c r="AZ101" t="str">
        <v>Yes</v>
      </c>
      <c r="BA101" t="str">
        <v>DEBT</v>
      </c>
      <c r="BB101" t="str">
        <v>B45</v>
      </c>
      <c r="BC101" t="str">
        <v>Target model</v>
      </c>
      <c r="BD101" t="str">
        <v>No</v>
      </c>
      <c r="BE101" t="str">
        <v>Replace provisional financing assumptions with an executed lender term sheet.</v>
      </c>
      <c r="BF101" s="2442" t="n">
        <v>46231</v>
      </c>
      <c r="BG101" t="str">
        <f>IF($AZ101="No","PASS",IF(OR($AX101="Owner decision outstanding",$BD101="OWNER DECISION"),"WARNING",IF(OR($AP101="",$AN101="",$AS101="",$AV101=""),"FAIL","PASS")))</f>
        <v>PASS</v>
      </c>
    </row>
    <row r="102" ht="24" customHeight="1">
      <c r="A102" s="2513" t="str">
        <f>$AJ$46</f>
        <v>CAPEX-ROADS</v>
      </c>
      <c r="B102" s="2513" t="str">
        <f>$AL$46</f>
        <v>Development capex</v>
      </c>
      <c r="C102" s="2513" t="str">
        <f>$AM$46</f>
        <v>Roads and paths capex</v>
      </c>
      <c r="D102" s="2513" t="str">
        <f>$AN$46&amp;IF($AO$46="",""," | "&amp;IF($AN$46="Date",TEXT($AO$46,"dd mmm yyyy"),$AO$46))</f>
        <v>A$m | Outturn source estimate</v>
      </c>
      <c r="E102" s="2515" t="n">
        <f>$AP$46</f>
        <v>6</v>
      </c>
      <c r="F102" s="2515" t="n">
        <f>$AQ$46</f>
        <v>6.6000000000000005</v>
      </c>
      <c r="G102" s="2515" t="n">
        <f>$AR$46</f>
        <v>5.699999999999999</v>
      </c>
      <c r="H102" s="2515" t="n">
        <f>IF($A102="","",CHOOSE(MATCH('VALUATION &amp; RETURNS'!$CR$7,{"Downside","Base","Upside"},0),$F102,$E102,$G102))</f>
        <v>6</v>
      </c>
      <c r="I102" s="2543" t="str">
        <f>$AU$46&amp;IF($AS$46="",""," | "&amp;$AS$46)</f>
        <v>Mapped | PROJECT CASH FLOW | J20</v>
      </c>
      <c r="J102" s="2504" t="str">
        <f>$AV$46&amp;" | "&amp;$AX$46</f>
        <v>Model owner | Derived calculation</v>
      </c>
      <c r="K102" s="2504" t="str">
        <f>$AW$46</f>
        <v>Current detailed data-book budget adopted; the older higher scope is superseded. Scenario columns show the source cost-factor cross-check.</v>
      </c>
      <c r="AJ102" s="578" t="str">
        <v>DEBT-022</v>
      </c>
      <c r="AK102" s="579" t="str">
        <v>Debt and funding</v>
      </c>
      <c r="AL102" s="579" t="str">
        <v>Term debt</v>
      </c>
      <c r="AM102" s="579" t="str">
        <v>Cash-sweep percentage</v>
      </c>
      <c r="AN102" s="579" t="str">
        <v>%</v>
      </c>
      <c r="AO102" s="579" t="str">
        <v>Post-conversion</v>
      </c>
      <c r="AP102" s="585" t="n">
        <f>IF($E$203="","",$E$203)</f>
        <v>0.5</v>
      </c>
      <c r="AQ102" s="585" t="str">
        <f>IF($F$203="","",$F$203)</f>
      </c>
      <c r="AR102" s="585" t="str">
        <f>IF($G$203="","",$G$203)</f>
      </c>
      <c r="AS102" s="588" t="str">
        <v>Target model existing illustrative assumption</v>
      </c>
      <c r="AT102" s="588" t="n">
        <v>46231</v>
      </c>
      <c r="AU102" s="588" t="str">
        <v>Mapped</v>
      </c>
      <c r="AV102" s="588" t="str">
        <f>IF(OR($AU102="Conflict",$AU102="Review Required",$AU102="New Input Required",$AU102="Unsupported"),"Management","Model owner")</f>
        <v>Model owner</v>
      </c>
      <c r="AW102" s="588" t="str">
        <v>Illustrative 50% cash sweep retained pending executed lender terms. | Mapped to the live DEBT schedule as the management case. Executed lender terms remain an OWNER DECISION.</v>
      </c>
      <c r="AX102" t="str">
        <v>Hard-coded model input</v>
      </c>
      <c r="AY102" s="2440" t="n">
        <f>$H$203</f>
        <v>0.5</v>
      </c>
      <c r="AZ102" t="str">
        <v>Yes</v>
      </c>
      <c r="BA102" t="str">
        <v>DEBT</v>
      </c>
      <c r="BB102" t="str">
        <v>B46</v>
      </c>
      <c r="BC102" t="str">
        <v>Target model</v>
      </c>
      <c r="BD102" t="str">
        <v>No</v>
      </c>
      <c r="BE102" t="str">
        <v>Replace provisional financing assumptions with an executed lender term sheet.</v>
      </c>
      <c r="BF102" s="2442" t="n">
        <v>46231</v>
      </c>
      <c r="BG102" t="str">
        <f>IF($AZ102="No","PASS",IF(OR($AX102="Owner decision outstanding",$BD102="OWNER DECISION"),"WARNING",IF(OR($AP102="",$AN102="",$AS102="",$AV102=""),"FAIL","PASS")))</f>
        <v>PASS</v>
      </c>
    </row>
    <row r="103" ht="24" customHeight="1">
      <c r="A103" s="2508" t="str">
        <f>$AJ$47</f>
        <v>CAPEX-WATER</v>
      </c>
      <c r="B103" s="2508" t="str">
        <f>$AL$47</f>
        <v>Development capex</v>
      </c>
      <c r="C103" s="2508" t="str">
        <f>$AM$47</f>
        <v>Water treatment plant capex</v>
      </c>
      <c r="D103" s="2508" t="str">
        <f>$AN$47&amp;IF($AO$47="",""," | "&amp;IF($AN$47="Date",TEXT($AO$47,"dd mmm yyyy"),$AO$47))</f>
        <v>A$m | Outturn source estimate</v>
      </c>
      <c r="E103" s="2510" t="n">
        <f>$AP$47</f>
        <v>2</v>
      </c>
      <c r="F103" s="2510" t="n">
        <f>$AQ$47</f>
        <v>2.2</v>
      </c>
      <c r="G103" s="2510" t="n">
        <f>$AR$47</f>
        <v>1.9</v>
      </c>
      <c r="H103" s="2510" t="n">
        <f>IF($A103="","",CHOOSE(MATCH('VALUATION &amp; RETURNS'!$CR$7,{"Downside","Base","Upside"},0),$F103,$E103,$G103))</f>
        <v>2</v>
      </c>
      <c r="I103" s="2543" t="str">
        <f>$AU$47&amp;IF($AS$47="",""," | "&amp;$AS$47)</f>
        <v>Mapped | PROJECT CASH FLOW | J21</v>
      </c>
      <c r="J103" s="2504" t="str">
        <f>$AV$47&amp;" | "&amp;$AX$47</f>
        <v>Model owner | Derived calculation</v>
      </c>
      <c r="K103" s="2504" t="str">
        <f>$AW$47</f>
        <v>Current detailed data-book budget adopted; the older higher scope is superseded. Scenario columns show the source cost-factor cross-check.</v>
      </c>
      <c r="AJ103" s="578" t="str">
        <v>DEBT-023</v>
      </c>
      <c r="AK103" s="579" t="str">
        <v>Debt and funding</v>
      </c>
      <c r="AL103" s="579" t="str">
        <v>Covenants</v>
      </c>
      <c r="AM103" s="579" t="str">
        <v>Minimum DSCR</v>
      </c>
      <c r="AN103" s="579" t="str">
        <v>x</v>
      </c>
      <c r="AO103" s="579" t="str">
        <v>Post-conversion</v>
      </c>
      <c r="AP103" s="586" t="n">
        <v>1.25</v>
      </c>
      <c r="AQ103" s="586"/>
      <c r="AR103" s="586"/>
      <c r="AS103" s="588" t="str">
        <v>Target model existing illustrative assumption; MODEL DESIGN | D175</v>
      </c>
      <c r="AT103" s="588" t="n">
        <v>46231</v>
      </c>
      <c r="AU103" s="588" t="str">
        <v>Mapped</v>
      </c>
      <c r="AV103" s="588" t="str">
        <f>IF(OR($AU103="Conflict",$AU103="Review Required",$AU103="New Input Required",$AU103="Unsupported"),"Management","Model owner")</f>
        <v>Model owner</v>
      </c>
      <c r="AW103" s="588" t="str">
        <v>Illustrative 1.25x live covenant retained; the data-book KPI target of greater than 1.50x is disclosed as a source cross-check. | Mapped to the live DEBT schedule as the management case. Executed lender terms remain an OWNER DECISION.</v>
      </c>
      <c r="AX103" t="str">
        <v>Derived calculation</v>
      </c>
      <c r="AY103" s="2440" t="n">
        <f>$H$204</f>
        <v>1.25</v>
      </c>
      <c r="AZ103" t="str">
        <v>Yes</v>
      </c>
      <c r="BA103" t="str">
        <v>DEBT</v>
      </c>
      <c r="BB103" t="str">
        <v>B48</v>
      </c>
      <c r="BC103" t="str">
        <v>Target model</v>
      </c>
      <c r="BD103" t="str">
        <v>No</v>
      </c>
      <c r="BE103" t="str">
        <v>Replace provisional financing assumptions with an executed lender term sheet.</v>
      </c>
      <c r="BF103" s="2442" t="n">
        <v>46231</v>
      </c>
      <c r="BG103" t="str">
        <f>IF($AZ103="No","PASS",IF(OR($AX103="Owner decision outstanding",$BD103="OWNER DECISION"),"WARNING",IF(OR($AP103="",$AN103="",$AS103="",$AV103=""),"FAIL","PASS")))</f>
        <v>PASS</v>
      </c>
    </row>
    <row r="104" ht="24" customHeight="1">
      <c r="A104" s="2517" t="str">
        <f>$AJ$48</f>
        <v>CAPEX-WATERSYS</v>
      </c>
      <c r="B104" s="2517" t="str">
        <f>$AL$48</f>
        <v>Development capex</v>
      </c>
      <c r="C104" s="2517" t="str">
        <f>$AM$48</f>
        <v>Water systems capex</v>
      </c>
      <c r="D104" s="2504" t="str">
        <f>$AN$48&amp;IF($AO$48="",""," | "&amp;IF($AN$48="Date",TEXT($AO$48,"dd mmm yyyy"),$AO$48))</f>
        <v>A$m | Outturn source estimate</v>
      </c>
      <c r="E104" s="2506" t="n">
        <f>$AP$48</f>
        <v>2.1</v>
      </c>
      <c r="F104" s="2506" t="n">
        <f>$AQ$48</f>
        <v>2.3100000000000005</v>
      </c>
      <c r="G104" s="2506" t="n">
        <f>$AR$48</f>
        <v>1.9949999999999999</v>
      </c>
      <c r="H104" s="2506" t="n">
        <f>IF($A104="","",CHOOSE(MATCH('VALUATION &amp; RETURNS'!$CR$7,{"Downside","Base","Upside"},0),$F104,$E104,$G104))</f>
        <v>2.1</v>
      </c>
      <c r="I104" s="2543" t="str">
        <f>$AU$48&amp;IF($AS$48="",""," | "&amp;$AS$48)</f>
        <v>Mapped | PROJECT CASH FLOW | J22</v>
      </c>
      <c r="J104" s="2504" t="str">
        <f>$AV$48&amp;" | "&amp;$AX$48</f>
        <v>Model owner | Derived calculation</v>
      </c>
      <c r="K104" s="2504" t="str">
        <f>$AW$48</f>
        <v>Current detailed data-book budget adopted; the older higher scope is superseded. Scenario columns show the source cost-factor cross-check.</v>
      </c>
      <c r="AJ104" s="578" t="str">
        <v>DEBT-024</v>
      </c>
      <c r="AK104" s="579" t="str">
        <v>Debt and funding</v>
      </c>
      <c r="AL104" s="579" t="str">
        <v>Covenants</v>
      </c>
      <c r="AM104" s="579" t="str">
        <v>Minimum interest-cover ratio</v>
      </c>
      <c r="AN104" s="579" t="str">
        <v>x</v>
      </c>
      <c r="AO104" s="579" t="str">
        <v>Post-conversion</v>
      </c>
      <c r="AP104" s="586" t="n">
        <f>IF($E$205="","",$E$205)</f>
        <v>1.5</v>
      </c>
      <c r="AQ104" s="586" t="str">
        <f>IF($F$205="","",$F$205)</f>
      </c>
      <c r="AR104" s="586" t="str">
        <f>IF($G$205="","",$G$205)</f>
      </c>
      <c r="AS104" s="588" t="str">
        <v>Target: DEBT | B49</v>
      </c>
      <c r="AT104" s="588" t="n">
        <v>46231</v>
      </c>
      <c r="AU104" s="588" t="str">
        <v>Mapped</v>
      </c>
      <c r="AV104" s="588" t="str">
        <f>IF(OR($AU104="Conflict",$AU104="Review Required",$AU104="New Input Required",$AU104="Unsupported"),"Management","Model owner")</f>
        <v>Model owner</v>
      </c>
      <c r="AW104" s="588" t="str">
        <v>760 | Mapped to the live DEBT schedule as the management case. Executed lender terms remain an OWNER DECISION.</v>
      </c>
      <c r="AX104" t="str">
        <v>Hard-coded model input</v>
      </c>
      <c r="AY104" s="2440" t="n">
        <f>$H$205</f>
        <v>1.5</v>
      </c>
      <c r="AZ104" t="str">
        <v>Yes</v>
      </c>
      <c r="BA104" t="str">
        <v>DEBT</v>
      </c>
      <c r="BB104" t="str">
        <v>B49</v>
      </c>
      <c r="BC104" t="str">
        <v>Target model</v>
      </c>
      <c r="BD104" t="str">
        <v>No</v>
      </c>
      <c r="BE104" t="str">
        <v>Replace provisional financing assumptions with an executed lender term sheet.</v>
      </c>
      <c r="BF104" s="2442" t="n">
        <v>46231</v>
      </c>
      <c r="BG104" t="str">
        <f>IF($AZ104="No","PASS",IF(OR($AX104="Owner decision outstanding",$BD104="OWNER DECISION"),"WARNING",IF(OR($AP104="",$AN104="",$AS104="",$AV104=""),"FAIL","PASS")))</f>
        <v>PASS</v>
      </c>
    </row>
    <row r="105" ht="24" customHeight="1">
      <c r="A105" s="2504" t="str">
        <f>$AJ$49</f>
        <v>CAPEX-SOLAR</v>
      </c>
      <c r="B105" s="2508" t="str">
        <f>$AL$49</f>
        <v>Development capex</v>
      </c>
      <c r="C105" s="2504" t="str">
        <f>$AM$49</f>
        <v>Solar/battery capex</v>
      </c>
      <c r="D105" s="2504" t="str">
        <f>$AN$49&amp;IF($AO$49="",""," | "&amp;IF($AN$49="Date",TEXT($AO$49,"dd mmm yyyy"),$AO$49))</f>
        <v>A$m | Outturn source estimate</v>
      </c>
      <c r="E105" s="2506" t="n">
        <f>$AP$49</f>
        <v>12</v>
      </c>
      <c r="F105" s="2506" t="n">
        <f>$AQ$49</f>
        <v>13.200000000000001</v>
      </c>
      <c r="G105" s="2506" t="n">
        <f>$AR$49</f>
        <v>11.399999999999999</v>
      </c>
      <c r="H105" s="2506" t="n">
        <f>IF($A105="","",CHOOSE(MATCH('VALUATION &amp; RETURNS'!$CR$7,{"Downside","Base","Upside"},0),$F105,$E105,$G105))</f>
        <v>12</v>
      </c>
      <c r="I105" s="2543" t="str">
        <f>$AU$49&amp;IF($AS$49="",""," | "&amp;$AS$49)</f>
        <v>Mapped | PROJECT CASH FLOW | J23</v>
      </c>
      <c r="J105" s="2504" t="str">
        <f>$AV$49&amp;" | "&amp;$AX$49</f>
        <v>Model owner | Derived calculation</v>
      </c>
      <c r="K105" s="2504" t="str">
        <f>$AW$49</f>
        <v>Current detailed data-book budget adopted; the older higher scope is superseded. Scenario columns show the source cost-factor cross-check.</v>
      </c>
      <c r="AJ105" s="578" t="str">
        <v>DEBT-025</v>
      </c>
      <c r="AK105" s="579" t="str">
        <v>Debt and funding</v>
      </c>
      <c r="AL105" s="579" t="str">
        <v>Covenants</v>
      </c>
      <c r="AM105" s="579" t="str">
        <v>Minimum debt yield</v>
      </c>
      <c r="AN105" s="579" t="str">
        <v>%</v>
      </c>
      <c r="AO105" s="579" t="str">
        <v>Post-conversion</v>
      </c>
      <c r="AP105" s="585" t="n">
        <f>IF($E$206="","",$E$206)</f>
        <v>0.08</v>
      </c>
      <c r="AQ105" s="585" t="str">
        <f>IF($F$206="","",$F$206)</f>
      </c>
      <c r="AR105" s="585" t="str">
        <f>IF($G$206="","",$G$206)</f>
      </c>
      <c r="AS105" s="588" t="str">
        <v>Target: DEBT | B50</v>
      </c>
      <c r="AT105" s="588" t="n">
        <v>46231</v>
      </c>
      <c r="AU105" s="588" t="str">
        <v>Mapped</v>
      </c>
      <c r="AV105" s="588" t="str">
        <f>IF(OR($AU105="Conflict",$AU105="Review Required",$AU105="New Input Required",$AU105="Unsupported"),"Management","Model owner")</f>
        <v>Model owner</v>
      </c>
      <c r="AW105" s="588" t="str">
        <v>760 | Mapped to the live DEBT schedule as the management case. Executed lender terms remain an OWNER DECISION.</v>
      </c>
      <c r="AX105" t="str">
        <v>Hard-coded model input</v>
      </c>
      <c r="AY105" s="2440" t="n">
        <f>$H$206</f>
        <v>0.08</v>
      </c>
      <c r="AZ105" t="str">
        <v>Yes</v>
      </c>
      <c r="BA105" t="str">
        <v>DEBT</v>
      </c>
      <c r="BB105" t="str">
        <v>B50</v>
      </c>
      <c r="BC105" t="str">
        <v>Target model</v>
      </c>
      <c r="BD105" t="str">
        <v>No</v>
      </c>
      <c r="BE105" t="str">
        <v>Replace provisional financing assumptions with an executed lender term sheet.</v>
      </c>
      <c r="BF105" s="2442" t="n">
        <v>46231</v>
      </c>
      <c r="BG105" t="str">
        <f>IF($AZ105="No","PASS",IF(OR($AX105="Owner decision outstanding",$BD105="OWNER DECISION"),"WARNING",IF(OR($AP105="",$AN105="",$AS105="",$AV105=""),"FAIL","PASS")))</f>
        <v>PASS</v>
      </c>
    </row>
    <row r="106" ht="24" customHeight="1">
      <c r="A106" s="2504" t="str">
        <f>$AJ$50</f>
        <v>CAPEX-COMMON</v>
      </c>
      <c r="B106" s="2508" t="str">
        <f>$AL$50</f>
        <v>Development capex</v>
      </c>
      <c r="C106" s="2504" t="str">
        <f>$AM$50</f>
        <v>Landscape/common capex</v>
      </c>
      <c r="D106" s="2504" t="str">
        <f>$AN$50&amp;IF($AO$50="",""," | "&amp;IF($AN$50="Date",TEXT($AO$50,"dd mmm yyyy"),$AO$50))</f>
        <v>A$m | Outturn source estimate</v>
      </c>
      <c r="E106" s="2506" t="n">
        <f>$AP$50</f>
        <v>15.07</v>
      </c>
      <c r="F106" s="2506" t="n">
        <f>$AQ$50</f>
        <v>16.577</v>
      </c>
      <c r="G106" s="2506" t="n">
        <f>$AR$50</f>
        <v>14.3165</v>
      </c>
      <c r="H106" s="2506" t="n">
        <f>IF($A106="","",CHOOSE(MATCH('VALUATION &amp; RETURNS'!$CR$7,{"Downside","Base","Upside"},0),$F106,$E106,$G106))</f>
        <v>15.07</v>
      </c>
      <c r="I106" s="2543" t="str">
        <f>$AU$50&amp;IF($AS$50="",""," | "&amp;$AS$50)</f>
        <v>Mapped | PROJECT CASH FLOW | J24</v>
      </c>
      <c r="J106" s="2504" t="str">
        <f>$AV$50&amp;" | "&amp;$AX$50</f>
        <v>Model owner | Derived calculation</v>
      </c>
      <c r="K106" s="2504" t="str">
        <f>$AW$50</f>
        <v>Current detailed data-book budget adopted; the older higher scope is superseded. Scenario columns show the source cost-factor cross-check.</v>
      </c>
      <c r="AJ106" s="578" t="str">
        <v>DEBT-026</v>
      </c>
      <c r="AK106" s="579" t="str">
        <v>Debt and funding</v>
      </c>
      <c r="AL106" s="579" t="str">
        <v>Term debt</v>
      </c>
      <c r="AM106" s="579" t="str">
        <v>Debt-service reserve</v>
      </c>
      <c r="AN106" s="579" t="str">
        <v>Months</v>
      </c>
      <c r="AO106" s="579" t="str">
        <v>Post-conversion</v>
      </c>
      <c r="AP106" s="582" t="str">
        <f>IF($E$207="","",$E$207)</f>
      </c>
      <c r="AQ106" s="582" t="str">
        <f>IF($F$207="","",$F$207)</f>
      </c>
      <c r="AR106" s="582" t="str">
        <f>IF($G$207="","",$G$207)</f>
      </c>
      <c r="AS106" s="588" t="str">
        <v>Target: DEBT | B51</v>
      </c>
      <c r="AT106" s="588" t="n">
        <v>46231</v>
      </c>
      <c r="AU106" s="588" t="str">
        <v>Mapped</v>
      </c>
      <c r="AV106" s="588" t="str">
        <f>IF(OR($AU106="Conflict",$AU106="Review Required",$AU106="New Input Required",$AU106="Unsupported"),"Management","Model owner")</f>
        <v>Model owner</v>
      </c>
      <c r="AW106" s="588" t="str">
        <v>760 | Mapped to the live DEBT schedule as the management case. Executed lender terms remain an OWNER DECISION.</v>
      </c>
      <c r="AX106" t="str">
        <v>Hard-coded model input</v>
      </c>
      <c r="AY106" s="2440" t="n">
        <f>$H$207</f>
        <v>0</v>
      </c>
      <c r="AZ106" t="str">
        <v>Yes</v>
      </c>
      <c r="BA106" t="str">
        <v>DEBT</v>
      </c>
      <c r="BB106" t="str">
        <v>B51</v>
      </c>
      <c r="BC106" t="str">
        <v>Target model</v>
      </c>
      <c r="BD106" t="str">
        <v>No</v>
      </c>
      <c r="BE106" t="str">
        <v>Replace provisional financing assumptions with an executed lender term sheet.</v>
      </c>
      <c r="BF106" s="2442" t="n">
        <v>46231</v>
      </c>
      <c r="BG106" t="str">
        <f>IF($AZ106="No","PASS",IF(OR($AX106="Owner decision outstanding",$BD106="OWNER DECISION"),"WARNING",IF(OR($AP106="",$AN106="",$AS106="",$AV106=""),"FAIL","PASS")))</f>
        <v>FAIL</v>
      </c>
    </row>
    <row r="107" ht="24" customHeight="1">
      <c r="A107" s="2504" t="str">
        <f>$AJ$51</f>
        <v>CAPEX-PM</v>
      </c>
      <c r="B107" s="2508" t="str">
        <f>$AL$51</f>
        <v>Development capex</v>
      </c>
      <c r="C107" s="2504" t="str">
        <f>$AM$51</f>
        <v>Project management/consultants</v>
      </c>
      <c r="D107" s="2504" t="str">
        <f>$AN$51&amp;IF($AO$51="",""," | "&amp;IF($AN$51="Date",TEXT($AO$51,"dd mmm yyyy"),$AO$51))</f>
        <v>A$m | Outturn source estimate</v>
      </c>
      <c r="E107" s="2506" t="n">
        <f>$AP$51</f>
        <v>18</v>
      </c>
      <c r="F107" s="2506" t="n">
        <f>$AQ$51</f>
        <v>19.8</v>
      </c>
      <c r="G107" s="2506" t="n">
        <f>$AR$51</f>
        <v>17.099999999999998</v>
      </c>
      <c r="H107" s="2506" t="n">
        <f>IF($A107="","",CHOOSE(MATCH('VALUATION &amp; RETURNS'!$CR$7,{"Downside","Base","Upside"},0),$F107,$E107,$G107))</f>
        <v>18</v>
      </c>
      <c r="I107" s="2543" t="str">
        <f>$AU$51&amp;IF($AS$51="",""," | "&amp;$AS$51)</f>
        <v>Mapped | PROJECT CASH FLOW | J25</v>
      </c>
      <c r="J107" s="2504" t="str">
        <f>$AV$51&amp;" | "&amp;$AX$51</f>
        <v>Model owner | Derived calculation</v>
      </c>
      <c r="K107" s="2504" t="str">
        <f>$AW$51</f>
        <v>Current detailed data-book budget adopted; the older higher scope is superseded. Scenario columns show the source cost-factor cross-check.</v>
      </c>
      <c r="AJ107" s="578" t="str">
        <v>DEBT-SRC-001</v>
      </c>
      <c r="AK107" s="579" t="str">
        <v>Debt and funding</v>
      </c>
      <c r="AL107" s="579" t="str">
        <v>Project</v>
      </c>
      <c r="AM107" s="579" t="str">
        <v>Source senior debt</v>
      </c>
      <c r="AN107" s="579" t="str">
        <v>A$m</v>
      </c>
      <c r="AO107" s="579" t="str">
        <v>Development funding</v>
      </c>
      <c r="AP107" s="584" t="n">
        <v>209.37927564230003</v>
      </c>
      <c r="AQ107" s="584" t="n">
        <f>$AQ$162*$AQ$165</f>
        <v>207.2854828858771</v>
      </c>
      <c r="AR107" s="584" t="n">
        <f>$AR$162*$AR$165</f>
        <v>218.80134304620356</v>
      </c>
      <c r="AS107" s="588" t="str">
        <f>IFERROR(INDEX('DATA MAP'!$C$8:$C$137,MATCH($AJ107,'DATA MAP'!$A$8:$A$137,0))&amp;IF(INDEX('DATA MAP'!$D$8:$D$137,MATCH($AJ107,'DATA MAP'!$A$8:$A$137,0))="",""," | "&amp;INDEX('DATA MAP'!$D$8:$D$137,MATCH($AJ107,'DATA MAP'!$A$8:$A$137,0))),"Not provided")</f>
        <v>MODEL DESIGN; PROJECT CASH FLOW | C39; E79</v>
      </c>
      <c r="AT107" s="588"/>
      <c r="AU107" s="588" t="str">
        <v>Formula Preserved</v>
      </c>
      <c r="AV107" s="588" t="str">
        <f>IF(OR($AU107="Conflict",$AU107="Review Required",$AU107="New Input Required",$AU107="Unsupported"),"Management","Model owner")</f>
        <v>Model owner</v>
      </c>
      <c r="AW107" s="588" t="str">
        <v>Controlling source: PROJECT CASH FLOW!E98.</v>
      </c>
      <c r="AX107" t="str">
        <v>Derived calculation</v>
      </c>
      <c r="AY107" s="2440" t="n">
        <f>$H$208</f>
        <v>209.37927564230003</v>
      </c>
      <c r="AZ107" t="str">
        <v>Yes</v>
      </c>
      <c r="BA107" t="str">
        <v>Underwriting</v>
      </c>
      <c r="BB107" t="str">
        <v>I65/I75</v>
      </c>
      <c r="BC107" t="str">
        <v>MODEL DESIGN; PROJECT CASH FLOW</v>
      </c>
      <c r="BD107" t="str">
        <v>Resolved</v>
      </c>
      <c r="BE107" t="str">
        <v>Replace provisional financing assumptions with an executed lender term sheet.</v>
      </c>
      <c r="BF107" s="2442" t="n">
        <v>46231</v>
      </c>
      <c r="BG107" t="str">
        <f>IF($AZ107="No","PASS",IF(OR($AX107="Owner decision outstanding",$BD107="OWNER DECISION"),"WARNING",IF(OR($AP107="",$AN107="",$AS107="",$AV107=""),"FAIL","PASS")))</f>
        <v>PASS</v>
      </c>
    </row>
    <row r="108" ht="24" customHeight="1">
      <c r="A108" s="2504" t="str">
        <f>$AJ$52</f>
        <v>CAPEX-TOTAL-001</v>
      </c>
      <c r="B108" s="2504" t="str">
        <f>$AL$52</f>
        <v>Project</v>
      </c>
      <c r="C108" s="2504" t="str">
        <f>$AM$52</f>
        <v>Source component capex total</v>
      </c>
      <c r="D108" s="2504" t="str">
        <f>$AN$52&amp;IF($AO$52="",""," | "&amp;IF($AN$52="Date",TEXT($AO$52,"dd mmm yyyy"),$AO$52))</f>
        <v>A$m | Outturn source estimate</v>
      </c>
      <c r="E108" s="2506" t="n">
        <f>$AP$52</f>
        <v>342.423006481481</v>
      </c>
      <c r="F108" s="2506" t="n">
        <f>$AQ$52</f>
        <v>376.6653071296292</v>
      </c>
      <c r="G108" s="2506" t="n">
        <f>$AR$52</f>
        <v>325.301856157407</v>
      </c>
      <c r="H108" s="2506" t="n">
        <f>IF($A108="","",CHOOSE(MATCH('VALUATION &amp; RETURNS'!$CR$7,{"Downside","Base","Upside"},0),$F108,$E108,$G108))</f>
        <v>342.423006481481</v>
      </c>
      <c r="I108" s="2543" t="str">
        <f>$AU$52&amp;IF($AS$52="",""," | "&amp;$AS$52)</f>
        <v>Mapped | PROJECT CASH FLOW | J26</v>
      </c>
      <c r="J108" s="2504" t="str">
        <f>$AV$52&amp;" | "&amp;$AX$52</f>
        <v>Model owner | Derived calculation</v>
      </c>
      <c r="K108" s="2504" t="str">
        <f>$AW$52</f>
        <v>Controlling component CAPEX from the current detailed data book, including landscape and one central precinct roof/solar allowance.</v>
      </c>
      <c r="AJ108" s="578" t="str">
        <v>EQ-SRC-001</v>
      </c>
      <c r="AK108" s="579" t="str">
        <v>Debt and funding</v>
      </c>
      <c r="AL108" s="579" t="str">
        <v>Project</v>
      </c>
      <c r="AM108" s="579" t="str">
        <v>Source equity funding</v>
      </c>
      <c r="AN108" s="579" t="str">
        <v>A$m</v>
      </c>
      <c r="AO108" s="579" t="str">
        <v>Development funding</v>
      </c>
      <c r="AP108" s="584" t="n">
        <v>209.37927564230003</v>
      </c>
      <c r="AQ108" s="584" t="n">
        <f>$AQ$162-$AQ$107</f>
        <v>253.34892352718308</v>
      </c>
      <c r="AR108" s="584" t="n">
        <f>$AR$162-$AR$107</f>
        <v>179.0192806741665</v>
      </c>
      <c r="AS108" s="588" t="str">
        <f>IFERROR(INDEX('DATA MAP'!$C$8:$C$137,MATCH($AJ108,'DATA MAP'!$A$8:$A$137,0))&amp;IF(INDEX('DATA MAP'!$D$8:$D$137,MATCH($AJ108,'DATA MAP'!$A$8:$A$137,0))="",""," | "&amp;INDEX('DATA MAP'!$D$8:$D$137,MATCH($AJ108,'DATA MAP'!$A$8:$A$137,0))),"Not provided")</f>
        <v>MODEL DESIGN; PROJECT CASH FLOW | C40; E78</v>
      </c>
      <c r="AT108" s="588"/>
      <c r="AU108" s="588" t="str">
        <v>Formula Preserved</v>
      </c>
      <c r="AV108" s="588" t="str">
        <f>IF(OR($AU108="Conflict",$AU108="Review Required",$AU108="New Input Required",$AU108="Unsupported"),"Management","Model owner")</f>
        <v>Model owner</v>
      </c>
      <c r="AW108" s="588" t="str">
        <v>Controlling source: PROJECT CASH FLOW!E100.</v>
      </c>
      <c r="AX108" t="str">
        <v>Derived calculation</v>
      </c>
      <c r="AY108" s="2440" t="n">
        <f>$H$209</f>
        <v>209.37927564230003</v>
      </c>
      <c r="AZ108" t="str">
        <v>Yes</v>
      </c>
      <c r="BA108" t="str">
        <v>Underwriting</v>
      </c>
      <c r="BB108" t="str">
        <v>I60/I69</v>
      </c>
      <c r="BC108" t="str">
        <v>MODEL DESIGN; PROJECT CASH FLOW</v>
      </c>
      <c r="BD108" t="str">
        <v>Resolved</v>
      </c>
      <c r="BE108" t="str">
        <v>None — technical mapping complete.</v>
      </c>
      <c r="BF108" s="2442" t="n">
        <v>46231</v>
      </c>
      <c r="BG108" t="str">
        <f>IF($AZ108="No","PASS",IF(OR($AX108="Owner decision outstanding",$BD108="OWNER DECISION"),"WARNING",IF(OR($AP108="",$AN108="",$AS108="",$AV108=""),"FAIL","PASS")))</f>
        <v>PASS</v>
      </c>
    </row>
    <row r="109" ht="24" customHeight="1">
      <c r="A109" s="2504" t="str">
        <f>$AJ$53</f>
        <v>CAPEX-LAND-001</v>
      </c>
      <c r="B109" s="2504" t="str">
        <f>$AL$53</f>
        <v>Land</v>
      </c>
      <c r="C109" s="2504" t="str">
        <f>$AM$53</f>
        <v>Source site acquisition incl. stamp duty</v>
      </c>
      <c r="D109" s="2504" t="str">
        <f>$AN$53&amp;IF($AO$53="",""," | "&amp;IF($AN$53="Date",TEXT($AO$53,"dd mmm yyyy"),$AO$53))</f>
        <v>A$m | Source development period</v>
      </c>
      <c r="E109" s="2624" t="n">
        <v>91.57</v>
      </c>
      <c r="F109" s="2506"/>
      <c r="G109" s="2506"/>
      <c r="H109" s="2506" t="n">
        <f>IF($A109="","",$E109)</f>
        <v>91.57</v>
      </c>
      <c r="I109" s="2543" t="str">
        <f>$AU$53&amp;IF($AS$53="",""," | "&amp;$AS$53)</f>
        <v>Mapped | PROJECT CASH FLOW | H30</v>
      </c>
      <c r="J109" s="2504" t="str">
        <f>$AV$53&amp;" | "&amp;$AX$53</f>
        <v>Model owner | Hard-coded model input</v>
      </c>
      <c r="K109" s="2504" t="str">
        <f>$AW$53</f>
        <v>Target land purchase is A$3.0m; target value retained. | The detailed component build and PROJECTS CAPEX sections are authoritative; conflicting summaries are evidence only and are not double counted.</v>
      </c>
      <c r="AJ109" s="578" t="str">
        <v>VAL-001</v>
      </c>
      <c r="AK109" s="579" t="str">
        <v>Valuation assumptions</v>
      </c>
      <c r="AL109" s="579" t="str">
        <v>Property</v>
      </c>
      <c r="AM109" s="579" t="str">
        <v>Market cap rate</v>
      </c>
      <c r="AN109" s="579" t="str">
        <v>%</v>
      </c>
      <c r="AO109" s="579" t="str">
        <v>Current</v>
      </c>
      <c r="AP109" s="585" t="n">
        <f>IF($E$283="","",$E$283)</f>
        <v>0.065</v>
      </c>
      <c r="AQ109" s="585" t="n">
        <f>IF($F$283="","",$F$283)</f>
        <v>0.07</v>
      </c>
      <c r="AR109" s="585" t="n">
        <f>IF($G$283="","",$G$283)</f>
        <v>0.06</v>
      </c>
      <c r="AS109" s="588" t="str">
        <f>IFERROR(INDEX('DATA MAP'!$C$8:$C$137,MATCH($AJ109,'DATA MAP'!$A$8:$A$137,0))&amp;IF(INDEX('DATA MAP'!$D$8:$D$137,MATCH($AJ109,'DATA MAP'!$A$8:$A$137,0))="",""," | "&amp;INDEX('DATA MAP'!$D$8:$D$137,MATCH($AJ109,'DATA MAP'!$A$8:$A$137,0))),"Not provided")</f>
        <v>ASSUMPTIONS | B43</v>
      </c>
      <c r="AT109" s="588"/>
      <c r="AU109" s="588" t="str">
        <f>IFERROR(INDEX('DATA MAP'!$I$8:$I$137,MATCH($AJ109,'DATA MAP'!$A$8:$A$137,0)),"Review Required")</f>
        <v>Mapped</v>
      </c>
      <c r="AV109" s="588" t="str">
        <f>IF(OR($AU109="Conflict",$AU109="Review Required",$AU109="New Input Required",$AU109="Unsupported"),"Management","Model owner")</f>
        <v>Model owner</v>
      </c>
      <c r="AW109" s="588" t="str">
        <f>IFERROR(INDEX('DATA MAP'!$K$8:$K$137,MATCH($AJ109,'DATA MAP'!$A$8:$A$137,0)),"Management confirmation required.")</f>
        <v>Current market capitalisation rate is the live management valuation input; independent market evidence remains required.</v>
      </c>
      <c r="AX109" t="str">
        <v>Hard-coded model input</v>
      </c>
      <c r="AY109" s="2440" t="n">
        <f>$H$283</f>
        <v>0.065</v>
      </c>
      <c r="AZ109" t="str">
        <v>Yes</v>
      </c>
      <c r="BA109" t="str">
        <v>Underwriting</v>
      </c>
      <c r="BB109" t="str">
        <v>I161</v>
      </c>
      <c r="BC109" t="str">
        <v>PROJECTS register book(4).xlsm</v>
      </c>
      <c r="BD109" t="str">
        <v>No</v>
      </c>
      <c r="BE109" t="str">
        <v>Obtain independent valuation evidence and approve the selected market assumptions.</v>
      </c>
      <c r="BF109" s="2442" t="n">
        <v>46231</v>
      </c>
      <c r="BG109" t="str">
        <f>IF($AZ109="No","PASS",IF(OR($AX109="Owner decision outstanding",$BD109="OWNER DECISION"),"WARNING",IF(OR($AP109="",$AN109="",$AS109="",$AV109=""),"FAIL","PASS")))</f>
        <v>PASS</v>
      </c>
    </row>
    <row r="110" ht="24" customHeight="1">
      <c r="A110" s="2508" t="str">
        <f>$AJ$54</f>
        <v>CAPEX-INFRA-001</v>
      </c>
      <c r="B110" s="2508" t="str">
        <f>$AL$54</f>
        <v>Infrastructure</v>
      </c>
      <c r="C110" s="2508" t="str">
        <f>$AM$54</f>
        <v>Infrastructure fund</v>
      </c>
      <c r="D110" s="2508" t="str">
        <f>$AN$54&amp;IF($AO$54="",""," | "&amp;IF($AN$54="Date",TEXT($AO$54,"dd mmm yyyy"),$AO$54))</f>
        <v>A$m | Source development period</v>
      </c>
      <c r="E110" s="2627" t="n">
        <v>22.11362868</v>
      </c>
      <c r="F110" s="2510"/>
      <c r="G110" s="2510"/>
      <c r="H110" s="2510" t="n">
        <f>IF($A110="","",$E110)</f>
        <v>22.11362868</v>
      </c>
      <c r="I110" s="2543" t="str">
        <f>$AU$54&amp;IF($AS$54="",""," | "&amp;$AS$54)</f>
        <v>Mapped | PROJECT CASH FLOW | H36</v>
      </c>
      <c r="J110" s="2504" t="str">
        <f>$AV$54&amp;" | "&amp;$AX$54</f>
        <v>Model owner | Hard-coded model input</v>
      </c>
      <c r="K110" s="2504" t="str">
        <f>$AW$54</f>
        <v>760 | The detailed component build and PROJECTS CAPEX sections are authoritative; conflicting summaries are evidence only and are not double counted.</v>
      </c>
      <c r="AJ110" s="578" t="str">
        <v>VAL-002</v>
      </c>
      <c r="AK110" s="579" t="str">
        <v>Valuation assumptions</v>
      </c>
      <c r="AL110" s="579" t="str">
        <v>Property</v>
      </c>
      <c r="AM110" s="579" t="str">
        <v>Terminal cap rate</v>
      </c>
      <c r="AN110" s="579" t="str">
        <v>%</v>
      </c>
      <c r="AO110" s="579" t="str">
        <v>Exit</v>
      </c>
      <c r="AP110" s="585" t="n">
        <v>0.0675</v>
      </c>
      <c r="AQ110" s="585" t="n">
        <v>0.0725</v>
      </c>
      <c r="AR110" s="585" t="n">
        <v>0.0625</v>
      </c>
      <c r="AS110" s="588" t="str">
        <f>IFERROR(INDEX('DATA MAP'!$C$8:$C$137,MATCH($AJ110,'DATA MAP'!$A$8:$A$137,0))&amp;IF(INDEX('DATA MAP'!$D$8:$D$137,MATCH($AJ110,'DATA MAP'!$A$8:$A$137,0))="",""," | "&amp;INDEX('DATA MAP'!$D$8:$D$137,MATCH($AJ110,'DATA MAP'!$A$8:$A$137,0))),"Not provided")</f>
        <v>ASSUMPTIONS; MODEL DESIGN | B45; C68</v>
      </c>
      <c r="AT110" s="588"/>
      <c r="AU110" s="588" t="str">
        <f>IFERROR(INDEX('DATA MAP'!$I$8:$I$137,MATCH($AJ110,'DATA MAP'!$A$8:$A$137,0)),"Review Required")</f>
        <v>Mapped — provisional</v>
      </c>
      <c r="AV110" s="588" t="str">
        <f>IF(OR($AU110="Conflict",$AU110="Review Required",$AU110="New Input Required",$AU110="Unsupported"),"Management","Model owner")</f>
        <v>Model owner</v>
      </c>
      <c r="AW110" s="588" t="str">
        <f>IFERROR(INDEX('DATA MAP'!$K$8:$K$137,MATCH($AJ110,'DATA MAP'!$A$8:$A$137,0)),"Management confirmation required.")</f>
        <v>The live base/downside/upside terminal-cap schedule is the selected model basis; independent evidence remains required. | The live Base/Downside/Upside valuation schedule controls; independent market evidence remains an OWNER DECISION.</v>
      </c>
      <c r="AX110" t="str">
        <v>Derived calculation</v>
      </c>
      <c r="AY110" s="2440" t="n">
        <f>$H$284</f>
        <v>0.0675</v>
      </c>
      <c r="AZ110" t="str">
        <v>Yes</v>
      </c>
      <c r="BA110" t="str">
        <v>Underwriting</v>
      </c>
      <c r="BB110" t="str">
        <v>I162</v>
      </c>
      <c r="BC110" t="str">
        <v>ASSUMPTIONS; MODEL DESIGN</v>
      </c>
      <c r="BD110" t="str">
        <v>OWNER DECISION</v>
      </c>
      <c r="BE110" t="str">
        <v>Complete the external confirmation described in the Comment.</v>
      </c>
      <c r="BF110" s="2442" t="n">
        <v>46231</v>
      </c>
      <c r="BG110" t="str">
        <f>IF($AZ110="No","PASS",IF(OR($AX110="Owner decision outstanding",$BD110="OWNER DECISION"),"WARNING",IF(OR($AP110="",$AN110="",$AS110="",$AV110=""),"FAIL","PASS")))</f>
        <v>WARNING</v>
      </c>
    </row>
    <row r="111" ht="24" customHeight="1">
      <c r="A111" s="2504" t="str">
        <f>$AJ$55</f>
        <v>CAPEX-INFRA-002</v>
      </c>
      <c r="B111" s="2504" t="str">
        <f>$AL$55</f>
        <v>Infrastructure</v>
      </c>
      <c r="C111" s="2504" t="str">
        <f>$AM$55</f>
        <v>Infrastructure fund reduction</v>
      </c>
      <c r="D111" s="2504" t="str">
        <f>$AN$55&amp;IF($AO$55="",""," | "&amp;IF($AN$55="Date",TEXT($AO$55,"dd mmm yyyy"),$AO$55))</f>
        <v>A$m | Source development period</v>
      </c>
      <c r="E111" s="2624" t="n">
        <v>-8</v>
      </c>
      <c r="F111" s="2506"/>
      <c r="G111" s="2506"/>
      <c r="H111" s="2506" t="n">
        <f>IF($A111="","",$E111)</f>
        <v>-8</v>
      </c>
      <c r="I111" s="2543" t="str">
        <f>$AU$55&amp;IF($AS$55="",""," | "&amp;$AS$55)</f>
        <v>Mapped | PROJECT CASH FLOW | H37</v>
      </c>
      <c r="J111" s="2504" t="str">
        <f>$AV$55&amp;" | "&amp;$AX$55</f>
        <v>Model owner | Hard-coded model input</v>
      </c>
      <c r="K111" s="2504" t="str">
        <f>$AW$55</f>
        <v>760 | The detailed component build and PROJECTS CAPEX sections are authoritative; conflicting summaries are evidence only and are not double counted.</v>
      </c>
      <c r="AJ111" s="578" t="str">
        <v>VAL-003</v>
      </c>
      <c r="AK111" s="579" t="str">
        <v>Valuation assumptions</v>
      </c>
      <c r="AL111" s="579" t="str">
        <v>Property</v>
      </c>
      <c r="AM111" s="579" t="str">
        <v>Selling costs</v>
      </c>
      <c r="AN111" s="579" t="str">
        <v>%</v>
      </c>
      <c r="AO111" s="579" t="str">
        <v>Exit</v>
      </c>
      <c r="AP111" s="585" t="n">
        <f>IF($E$285="","",$E$285)</f>
        <v>0.02</v>
      </c>
      <c r="AQ111" s="585" t="str">
        <f>IF($F$285="","",$F$285)</f>
      </c>
      <c r="AR111" s="585" t="str">
        <f>IF($G$285="","",$G$285)</f>
      </c>
      <c r="AS111" s="588" t="str">
        <f>IFERROR(INDEX('DATA MAP'!$C$8:$C$137,MATCH($AJ111,'DATA MAP'!$A$8:$A$137,0))&amp;IF(INDEX('DATA MAP'!$D$8:$D$137,MATCH($AJ111,'DATA MAP'!$A$8:$A$137,0))="",""," | "&amp;INDEX('DATA MAP'!$D$8:$D$137,MATCH($AJ111,'DATA MAP'!$A$8:$A$137,0))),"Not provided")</f>
        <v>MODEL DESIGN | C70</v>
      </c>
      <c r="AT111" s="588"/>
      <c r="AU111" s="588" t="str">
        <f>IFERROR(INDEX('DATA MAP'!$I$8:$I$137,MATCH($AJ111,'DATA MAP'!$A$8:$A$137,0)),"Review Required")</f>
        <v>Mapped</v>
      </c>
      <c r="AV111" s="588" t="str">
        <f>IF(OR($AU111="Conflict",$AU111="Review Required",$AU111="New Input Required",$AU111="Unsupported"),"Management","Model owner")</f>
        <v>Model owner</v>
      </c>
      <c r="AW111" s="588" t="str">
        <f>IFERROR(INDEX('DATA MAP'!$K$8:$K$137,MATCH($AJ111,'DATA MAP'!$A$8:$A$137,0)),"Management confirmation required.")</f>
        <v>Selling-cost rate is a provisional management assumption pending transaction and valuation advice.</v>
      </c>
      <c r="AX111" t="str">
        <v>Hard-coded model input</v>
      </c>
      <c r="AY111" s="2440" t="n">
        <f>$H$285</f>
        <v>0.02</v>
      </c>
      <c r="AZ111" t="str">
        <v>Yes</v>
      </c>
      <c r="BA111" t="str">
        <v>Underwriting</v>
      </c>
      <c r="BB111" t="str">
        <v>I163</v>
      </c>
      <c r="BC111" t="str">
        <v>PROJECTS register book(4).xlsm</v>
      </c>
      <c r="BD111" t="str">
        <v>No</v>
      </c>
      <c r="BE111" t="str">
        <v>Obtain independent valuation evidence and approve the selected market assumptions.</v>
      </c>
      <c r="BF111" s="2442" t="n">
        <v>46231</v>
      </c>
      <c r="BG111" t="str">
        <f>IF($AZ111="No","PASS",IF(OR($AX111="Owner decision outstanding",$BD111="OWNER DECISION"),"WARNING",IF(OR($AP111="",$AN111="",$AS111="",$AV111=""),"FAIL","PASS")))</f>
        <v>PASS</v>
      </c>
    </row>
    <row r="112" ht="24" customHeight="1">
      <c r="A112" s="2513" t="str">
        <f>$AJ$56</f>
        <v>CAPEX-GRANT-001</v>
      </c>
      <c r="B112" s="2513" t="str">
        <f>$AL$56</f>
        <v>Grant</v>
      </c>
      <c r="C112" s="2513" t="str">
        <f>$AM$56</f>
        <v>ARENA grant</v>
      </c>
      <c r="D112" s="2513" t="str">
        <f>$AN$56&amp;IF($AO$56="",""," | "&amp;IF($AN$56="Date",TEXT($AO$56,"dd mmm yyyy"),$AO$56))</f>
        <v>A$m | Source development period</v>
      </c>
      <c r="E112" s="2630" t="n">
        <v>-5</v>
      </c>
      <c r="F112" s="2515"/>
      <c r="G112" s="2515"/>
      <c r="H112" s="2515" t="n">
        <f>IF($A112="","",$E112)</f>
        <v>-5</v>
      </c>
      <c r="I112" s="2543" t="str">
        <f>$AU$56&amp;IF($AS$56="",""," | "&amp;$AS$56)</f>
        <v>Mapped | PROJECT CASH FLOW | H39</v>
      </c>
      <c r="J112" s="2504" t="str">
        <f>$AV$56&amp;" | "&amp;$AX$56</f>
        <v>Model owner | Hard-coded model input</v>
      </c>
      <c r="K112" s="2504" t="str">
        <f>$AW$56</f>
        <v>760 | The detailed component build and PROJECTS CAPEX sections are authoritative; conflicting summaries are evidence only and are not double counted.</v>
      </c>
      <c r="AJ112" s="578" t="str">
        <v>VAL-004</v>
      </c>
      <c r="AK112" s="579" t="str">
        <v>Valuation assumptions</v>
      </c>
      <c r="AL112" s="579" t="str">
        <v>Project</v>
      </c>
      <c r="AM112" s="579" t="str">
        <v>Valuation discount rate</v>
      </c>
      <c r="AN112" s="579" t="str">
        <v>%</v>
      </c>
      <c r="AO112" s="579" t="str">
        <v>Valuation date</v>
      </c>
      <c r="AP112" s="585" t="n">
        <f>IF($E$286="","",$E$286)</f>
        <v>0.08</v>
      </c>
      <c r="AQ112" s="585" t="n">
        <f>IF($F$286="","",$F$286)</f>
        <v>0.09</v>
      </c>
      <c r="AR112" s="585" t="n">
        <f>IF($G$286="","",$G$286)</f>
        <v>0.07</v>
      </c>
      <c r="AS112" s="588" t="str">
        <v>ASSUMPTIONS | B44; MODEL DESIGN | D71</v>
      </c>
      <c r="AT112" s="588" t="n">
        <v>46231</v>
      </c>
      <c r="AU112" s="588" t="str">
        <v>Mapped</v>
      </c>
      <c r="AV112" s="588" t="str">
        <f>IF(OR($AU112="Conflict",$AU112="Review Required",$AU112="New Input Required",$AU112="Unsupported"),"Management","Model owner")</f>
        <v>Model owner</v>
      </c>
      <c r="AW112" s="588" t="str">
        <v>Detailed ASSUMPTIONS value of 8.0% selected; MODEL DESIGN's 8.5% summary alternative remains disclosed in DATA MAP. Independent evidence is still required. | Live management working assumption mapped to VALUATIONS. Independent evidence or executed legal terms remain an OWNER DECISION.</v>
      </c>
      <c r="AX112" t="str">
        <v>Hard-coded model input</v>
      </c>
      <c r="AY112" s="2440" t="n">
        <f>$H$286</f>
        <v>0.08</v>
      </c>
      <c r="AZ112" t="str">
        <v>Yes</v>
      </c>
      <c r="BA112" t="str">
        <v>VALUATIONS</v>
      </c>
      <c r="BB112" t="str">
        <v>B8</v>
      </c>
      <c r="BC112" t="str">
        <v>ASSUMPTIONS; MODEL DESIGN</v>
      </c>
      <c r="BD112" t="str">
        <v>OWNER DECISION</v>
      </c>
      <c r="BE112" t="str">
        <v>Complete the external confirmation described in the Comment.</v>
      </c>
      <c r="BF112" s="2442" t="n">
        <v>46231</v>
      </c>
      <c r="BG112" t="str">
        <f>IF($AZ112="No","PASS",IF(OR($AX112="Owner decision outstanding",$BD112="OWNER DECISION"),"WARNING",IF(OR($AP112="",$AN112="",$AS112="",$AV112=""),"FAIL","PASS")))</f>
        <v>WARNING</v>
      </c>
    </row>
    <row r="113" ht="24" customHeight="1">
      <c r="A113" s="2504" t="str">
        <f>$AJ$57</f>
        <v>CAPEX-FUND-001</v>
      </c>
      <c r="B113" s="2504" t="str">
        <f>$AL$57</f>
        <v>Project</v>
      </c>
      <c r="C113" s="2504" t="str">
        <f>$AM$57</f>
        <v>Source funding requirement after development revenue/expenses</v>
      </c>
      <c r="D113" s="2504" t="str">
        <f>$AN$57&amp;IF($AO$57="",""," | "&amp;IF($AN$57="Date",TEXT($AO$57,"dd mmm yyyy"),$AO$57))</f>
        <v>A$m | Source development period</v>
      </c>
      <c r="E113" s="2506" t="n">
        <f>$AP$57</f>
        <v>439.180309272078</v>
      </c>
      <c r="F113" s="2506" t="n">
        <f>$AQ$57</f>
        <v>483.0983401992858</v>
      </c>
      <c r="G113" s="2506" t="n">
        <f>$AR$57</f>
        <v>417.22129380847406</v>
      </c>
      <c r="H113" s="2506" t="n">
        <f>IF($A113="","",CHOOSE(MATCH('VALUATION &amp; RETURNS'!$CR$7,{"Downside","Base","Upside"},0),$F113,$E113,$G113))</f>
        <v>439.180309272078</v>
      </c>
      <c r="I113" s="2543" t="str">
        <f>$AU$57&amp;IF($AS$57="",""," | "&amp;$AS$57)</f>
        <v>Mapped | PROJECT CASH FLOW | H49</v>
      </c>
      <c r="J113" s="2504" t="str">
        <f>$AV$57&amp;" | "&amp;$AX$57</f>
        <v>Model owner | Derived calculation</v>
      </c>
      <c r="K113" s="2504" t="str">
        <f>$AW$57</f>
        <v>Conflicts with both the target total and the source MODEL DESIGN total. | The detailed component build and PROJECTS CAPEX sections are authoritative; conflicting summaries are evidence only and are not double counted.</v>
      </c>
      <c r="AJ113" s="578" t="str">
        <v>VAL-005</v>
      </c>
      <c r="AK113" s="579" t="str">
        <v>Valuation assumptions</v>
      </c>
      <c r="AL113" s="579" t="str">
        <v>Company / project</v>
      </c>
      <c r="AM113" s="579" t="str">
        <v>Required developer profit on cost</v>
      </c>
      <c r="AN113" s="579" t="str">
        <v>%</v>
      </c>
      <c r="AO113" s="579" t="str">
        <v>Valuation date</v>
      </c>
      <c r="AP113" s="585" t="n">
        <f>IF($E$287="","",$E$287)</f>
        <v>0.2</v>
      </c>
      <c r="AQ113" s="585" t="str">
        <f>IF($F$287="","",$F$287)</f>
      </c>
      <c r="AR113" s="585" t="str">
        <f>IF($G$287="","",$G$287)</f>
      </c>
      <c r="AS113" s="588" t="str">
        <v>Target: VALUATIONS | B9</v>
      </c>
      <c r="AT113" s="588" t="n">
        <v>46231</v>
      </c>
      <c r="AU113" s="588" t="str">
        <v>Mapped</v>
      </c>
      <c r="AV113" s="588" t="str">
        <f>IF(OR($AU113="Conflict",$AU113="Review Required",$AU113="New Input Required",$AU113="Unsupported"),"Management","Model owner")</f>
        <v>Model owner</v>
      </c>
      <c r="AW113" s="588" t="str">
        <v>No reliable agreed source input identified. | Live management working assumption mapped to VALUATIONS. Independent evidence or executed legal terms remain an OWNER DECISION.</v>
      </c>
      <c r="AX113" t="str">
        <v>Hard-coded model input</v>
      </c>
      <c r="AY113" s="2440" t="n">
        <f>$H$287</f>
        <v>0.2</v>
      </c>
      <c r="AZ113" t="str">
        <v>Yes</v>
      </c>
      <c r="BA113" t="str">
        <v>VALUATIONS</v>
      </c>
      <c r="BB113" t="str">
        <v>B9</v>
      </c>
      <c r="BC113" t="str">
        <v>Target model</v>
      </c>
      <c r="BD113" t="str">
        <v>No</v>
      </c>
      <c r="BE113" t="str">
        <v>Obtain independent valuation evidence and approve the selected market assumptions.</v>
      </c>
      <c r="BF113" s="2442" t="n">
        <v>46231</v>
      </c>
      <c r="BG113" t="str">
        <f>IF($AZ113="No","PASS",IF(OR($AX113="Owner decision outstanding",$BD113="OWNER DECISION"),"WARNING",IF(OR($AP113="",$AN113="",$AS113="",$AV113=""),"FAIL","PASS")))</f>
        <v>PASS</v>
      </c>
    </row>
    <row r="114" ht="24" customHeight="1">
      <c r="A114" s="2508" t="str">
        <f>$AJ$58</f>
        <v>CAPEX-FUND-002</v>
      </c>
      <c r="B114" s="2508" t="str">
        <f>$AL$58</f>
        <v>Project</v>
      </c>
      <c r="C114" s="2508" t="str">
        <f>$AM$58</f>
        <v>Source model-design total development cost</v>
      </c>
      <c r="D114" s="2508" t="str">
        <f>$AN$58&amp;IF($AO$58="",""," | "&amp;IF($AN$58="Date",TEXT($AO$58,"dd mmm yyyy"),$AO$58))</f>
        <v>A$m | Source development period</v>
      </c>
      <c r="E114" s="2510" t="n">
        <f>$AP$58</f>
        <v>462.75</v>
      </c>
      <c r="F114" s="2510" t="n">
        <f>$AQ$58</f>
        <v>509.02500000000003</v>
      </c>
      <c r="G114" s="2510" t="n">
        <f>$AR$58</f>
        <v>439.61249999999995</v>
      </c>
      <c r="H114" s="2510" t="n">
        <f>IF($A114="","",CHOOSE(MATCH('VALUATION &amp; RETURNS'!$CR$7,{"Downside","Base","Upside"},0),$F114,$E114,$G114))</f>
        <v>462.75</v>
      </c>
      <c r="I114" s="2543" t="str">
        <f>$AU$58&amp;IF($AS$58="",""," | "&amp;$AS$58)</f>
        <v>Waived — superseded duplicate | MODEL DESIGN | C35</v>
      </c>
      <c r="J114" s="2504" t="str">
        <f>$AV$58&amp;" | "&amp;$AX$58</f>
        <v>Model owner | Superseded / inactive</v>
      </c>
      <c r="K114" s="2504" t="str">
        <f>$AW$58</f>
        <v>Duplicate project-cost total retained for traceability; not selected because it conflicts with the detailed source schedule and target model. | The detailed component build and PROJECTS CAPEX sections are authoritative; conflicting summaries are evidence only and are not double counted.</v>
      </c>
      <c r="AJ114" s="578" t="str">
        <v>VAL-006</v>
      </c>
      <c r="AK114" s="579" t="str">
        <v>Valuation assumptions</v>
      </c>
      <c r="AL114" s="579" t="str">
        <v>Company / project</v>
      </c>
      <c r="AM114" s="579" t="str">
        <v>OpCo EBITDA margin</v>
      </c>
      <c r="AN114" s="579" t="str">
        <v>%</v>
      </c>
      <c r="AO114" s="579" t="str">
        <v>Valuation date</v>
      </c>
      <c r="AP114" s="585" t="n">
        <v>0.2</v>
      </c>
      <c r="AQ114" s="585"/>
      <c r="AR114" s="585"/>
      <c r="AS114" s="588" t="str">
        <v>Target: VALUATIONS | B10</v>
      </c>
      <c r="AT114" s="588" t="n">
        <v>46231</v>
      </c>
      <c r="AU114" s="588" t="str">
        <v>Mapped</v>
      </c>
      <c r="AV114" s="588" t="str">
        <f>IF(OR($AU114="Conflict",$AU114="Review Required",$AU114="New Input Required",$AU114="Unsupported"),"Management","Model owner")</f>
        <v>Model owner</v>
      </c>
      <c r="AW114" s="588" t="str">
        <v>No reliable agreed source input identified. | Live management working assumption mapped to VALUATIONS. Independent evidence or executed legal terms remain an OWNER DECISION.</v>
      </c>
      <c r="AX114" t="str">
        <v>Derived calculation</v>
      </c>
      <c r="AY114" s="2440" t="n">
        <f>$H$288</f>
        <v>0.2</v>
      </c>
      <c r="AZ114" t="str">
        <v>Yes</v>
      </c>
      <c r="BA114" t="str">
        <v>VALUATIONS</v>
      </c>
      <c r="BB114" t="str">
        <v>B10</v>
      </c>
      <c r="BC114" t="str">
        <v>Target model</v>
      </c>
      <c r="BD114" t="str">
        <v>No</v>
      </c>
      <c r="BE114" t="str">
        <v>Obtain independent valuation evidence and approve the selected market assumptions.</v>
      </c>
      <c r="BF114" s="2442" t="n">
        <v>46231</v>
      </c>
      <c r="BG114" t="str">
        <f>IF($AZ114="No","PASS",IF(OR($AX114="Owner decision outstanding",$BD114="OWNER DECISION"),"WARNING",IF(OR($AP114="",$AN114="",$AS114="",$AV114=""),"FAIL","PASS")))</f>
        <v>PASS</v>
      </c>
    </row>
    <row r="115" ht="24" customHeight="1">
      <c r="A115" s="2517" t="str">
        <f>$AJ$59</f>
        <v>CAPEX-TARGET-001</v>
      </c>
      <c r="B115" s="2517" t="str">
        <f>$AL$59</f>
        <v>Project</v>
      </c>
      <c r="C115" s="2517" t="str">
        <f>$AM$59</f>
        <v>Target total development cost</v>
      </c>
      <c r="D115" s="2517" t="str">
        <f>$AN$59&amp;IF($AO$59="",""," | "&amp;IF($AN$59="Date",TEXT($AO$59,"dd mmm yyyy"),$AO$59))</f>
        <v>A$m | Target monthly model</v>
      </c>
      <c r="E115" s="2549" t="n">
        <f>$AP$59</f>
        <v>418.7585512846001</v>
      </c>
      <c r="F115" s="2549" t="n">
        <f>$AQ$59</f>
        <v>460.63440641306016</v>
      </c>
      <c r="G115" s="2549" t="n">
        <f>$AR$59</f>
        <v>397.82062372037007</v>
      </c>
      <c r="H115" s="2549" t="n">
        <f>IF($A115="","",CHOOSE(MATCH('VALUATION &amp; RETURNS'!$CR$7,{"Downside","Base","Upside"},0),$F115,$E115,$G115))</f>
        <v>418.7585512846001</v>
      </c>
      <c r="I115" s="2543" t="str">
        <f>$AU$59&amp;IF($AS$59="",""," | "&amp;$AS$59)</f>
        <v>Mapped — reconciled | Target: Underwriting | I57</v>
      </c>
      <c r="J115" s="2504" t="str">
        <f>$AV$59&amp;" | "&amp;$AX$59</f>
        <v>Model owner | Derived calculation</v>
      </c>
      <c r="K115" s="2504" t="str">
        <f>$AW$59</f>
        <v>Live base total development cost. Downside and upside columns apply the controlled DEBT cost factors for scenario reference.</v>
      </c>
      <c r="AJ115" s="578" t="str">
        <v>VAL-007</v>
      </c>
      <c r="AK115" s="579" t="str">
        <v>Valuation assumptions</v>
      </c>
      <c r="AL115" s="579" t="str">
        <v>Company / project</v>
      </c>
      <c r="AM115" s="579" t="str">
        <v>OpCo valuation multiple</v>
      </c>
      <c r="AN115" s="579" t="str">
        <v>x</v>
      </c>
      <c r="AO115" s="579" t="str">
        <v>Valuation date</v>
      </c>
      <c r="AP115" s="586" t="n">
        <f>IF($E$289="","",$E$289)</f>
        <v>8</v>
      </c>
      <c r="AQ115" s="586" t="str">
        <f>IF($F$289="","",$F$289)</f>
      </c>
      <c r="AR115" s="586" t="str">
        <f>IF($G$289="","",$G$289)</f>
      </c>
      <c r="AS115" s="588" t="str">
        <v>Target: VALUATIONS | B11</v>
      </c>
      <c r="AT115" s="588" t="n">
        <v>46231</v>
      </c>
      <c r="AU115" s="588" t="str">
        <v>Mapped</v>
      </c>
      <c r="AV115" s="588" t="str">
        <f>IF(OR($AU115="Conflict",$AU115="Review Required",$AU115="New Input Required",$AU115="Unsupported"),"Management","Model owner")</f>
        <v>Model owner</v>
      </c>
      <c r="AW115" s="588" t="str">
        <v>No reliable agreed source input identified. | Live management working assumption mapped to VALUATIONS. Independent evidence or executed legal terms remain an OWNER DECISION.</v>
      </c>
      <c r="AX115" t="str">
        <v>Hard-coded model input</v>
      </c>
      <c r="AY115" s="2440" t="n">
        <f>$H$289</f>
        <v>8</v>
      </c>
      <c r="AZ115" t="str">
        <v>Yes</v>
      </c>
      <c r="BA115" t="str">
        <v>VALUATIONS</v>
      </c>
      <c r="BB115" t="str">
        <v>B11</v>
      </c>
      <c r="BC115" t="str">
        <v>Target model</v>
      </c>
      <c r="BD115" t="str">
        <v>No</v>
      </c>
      <c r="BE115" t="str">
        <v>Obtain independent valuation evidence and approve the selected market assumptions.</v>
      </c>
      <c r="BF115" s="2442" t="n">
        <v>46231</v>
      </c>
      <c r="BG115" t="str">
        <f>IF($AZ115="No","PASS",IF(OR($AX115="Owner decision outstanding",$BD115="OWNER DECISION"),"WARNING",IF(OR($AP115="",$AN115="",$AS115="",$AV115=""),"FAIL","PASS")))</f>
        <v>PASS</v>
      </c>
    </row>
    <row r="116" ht="24" customHeight="1">
      <c r="A116" s="2504" t="str">
        <f>$AJ$60</f>
        <v>CAPEX-LAND-TGT</v>
      </c>
      <c r="B116" s="2504" t="str">
        <f>$AL$60</f>
        <v>Land</v>
      </c>
      <c r="C116" s="2504" t="str">
        <f>$AM$60</f>
        <v>Target land purchase price</v>
      </c>
      <c r="D116" s="2541" t="str">
        <f>$AN$60&amp;IF($AO$60="",""," | "&amp;IF($AN$60="Date",TEXT($AO$60,"dd mmm yyyy"),$AO$60))</f>
        <v>A$ | Model month 0</v>
      </c>
      <c r="E116" s="2507" t="n">
        <f>$AP$60</f>
        <v>91.57</v>
      </c>
      <c r="F116" s="2507"/>
      <c r="G116" s="2507"/>
      <c r="H116" s="2507" t="n">
        <f>IF($A116="","",$E116)</f>
        <v>91.57</v>
      </c>
      <c r="I116" s="2543" t="str">
        <f>$AU$60&amp;IF($AS$60="",""," | "&amp;$AS$60)</f>
        <v>Mapped — reconciled | Target: Underwriting | I27</v>
      </c>
      <c r="J116" s="2504" t="str">
        <f>$AV$60&amp;" | "&amp;$AX$60</f>
        <v>Model owner | Formula-linked source input</v>
      </c>
      <c r="K116" s="2504" t="str">
        <f>$AW$60</f>
        <v>Retained because target detailed calculations rank above source summary values. | The detailed component build and PROJECTS CAPEX sections are authoritative; conflicting summaries are evidence only and are not double counted.</v>
      </c>
      <c r="AJ116" s="578" t="str">
        <v>VAL-008</v>
      </c>
      <c r="AK116" s="579" t="str">
        <v>Valuation assumptions</v>
      </c>
      <c r="AL116" s="579" t="str">
        <v>Company / project</v>
      </c>
      <c r="AM116" s="579" t="str">
        <v>Fully diluted dilution</v>
      </c>
      <c r="AN116" s="579" t="str">
        <v>%</v>
      </c>
      <c r="AO116" s="579" t="str">
        <v>Valuation date</v>
      </c>
      <c r="AP116" s="585" t="str">
        <f>IF($E$290="","",$E$290)</f>
      </c>
      <c r="AQ116" s="585" t="str">
        <f>IF($F$290="","",$F$290)</f>
      </c>
      <c r="AR116" s="585" t="str">
        <f>IF($G$290="","",$G$290)</f>
      </c>
      <c r="AS116" s="588" t="str">
        <v>Target: VALUATIONS | B12</v>
      </c>
      <c r="AT116" s="588" t="n">
        <v>46231</v>
      </c>
      <c r="AU116" s="588" t="str">
        <v>Mapped</v>
      </c>
      <c r="AV116" s="588" t="str">
        <f>IF(OR($AU116="Conflict",$AU116="Review Required",$AU116="New Input Required",$AU116="Unsupported"),"Management","Model owner")</f>
        <v>Model owner</v>
      </c>
      <c r="AW116" s="588" t="str">
        <v>No reliable agreed source input identified. | Live management working assumption mapped to VALUATIONS. Independent evidence or executed legal terms remain an OWNER DECISION.</v>
      </c>
      <c r="AX116" t="str">
        <v>Hard-coded model input</v>
      </c>
      <c r="AY116" s="2440" t="n">
        <f>$H$290</f>
        <v>0</v>
      </c>
      <c r="AZ116" t="str">
        <v>Yes</v>
      </c>
      <c r="BA116" t="str">
        <v>VALUATIONS</v>
      </c>
      <c r="BB116" t="str">
        <v>B12</v>
      </c>
      <c r="BC116" t="str">
        <v>Target model</v>
      </c>
      <c r="BD116" t="str">
        <v>No</v>
      </c>
      <c r="BE116" t="str">
        <v>Obtain independent valuation evidence and approve the selected market assumptions.</v>
      </c>
      <c r="BF116" s="2442" t="n">
        <v>46231</v>
      </c>
      <c r="BG116" t="str">
        <f>IF($AZ116="No","PASS",IF(OR($AX116="Owner decision outstanding",$BD116="OWNER DECISION"),"WARNING",IF(OR($AP116="",$AN116="",$AS116="",$AV116=""),"FAIL","PASS")))</f>
        <v>FAIL</v>
      </c>
    </row>
    <row r="117" ht="24" customHeight="1">
      <c r="A117" s="2504" t="str">
        <f>$AJ$163</f>
        <v>CAPEX-DEV-INV</v>
      </c>
      <c r="B117" s="2504" t="str">
        <f>$AL$163</f>
        <v>Project</v>
      </c>
      <c r="C117" s="2504" t="str">
        <f>$AM$163</f>
        <v>Gross development investment</v>
      </c>
      <c r="D117" s="2541" t="str">
        <f>$AN$163&amp;IF($AO$163="",""," | "&amp;IF($AN$163="Date",TEXT($AO$163,"dd mmm yyyy"),$AO$163))</f>
        <v>A$m | Development period</v>
      </c>
      <c r="E117" s="2506" t="n">
        <f>$AP$163</f>
        <v>448.85663516148145</v>
      </c>
      <c r="F117" s="2506"/>
      <c r="G117" s="2506"/>
      <c r="H117" s="2506" t="n">
        <f>IF($A117="","",$E117)</f>
        <v>448.85663516148145</v>
      </c>
      <c r="I117" s="2543" t="str">
        <f>$AU$163&amp;IF($AS$163="",""," | "&amp;$AS$163)</f>
        <v>Mapped | PROJECT CASH FLOW | H38</v>
      </c>
      <c r="J117" s="2504" t="str">
        <f>$AV$163&amp;" | "&amp;$AX$163</f>
        <v>Model owner | Derived calculation</v>
      </c>
      <c r="K117" s="2504" t="str">
        <f>$AW$163</f>
        <v>Component CAPEX, site acquisition, site lease deposit and net infrastructure fund.</v>
      </c>
      <c r="AJ117" s="578" t="str">
        <v>VAL-009</v>
      </c>
      <c r="AK117" s="579" t="str">
        <v>Valuation assumptions</v>
      </c>
      <c r="AL117" s="579" t="str">
        <v>Company / project</v>
      </c>
      <c r="AM117" s="579" t="str">
        <v>Ownership units / shares</v>
      </c>
      <c r="AN117" s="579" t="str">
        <v>Units</v>
      </c>
      <c r="AO117" s="579" t="str">
        <v>Valuation date</v>
      </c>
      <c r="AP117" s="582" t="n">
        <v>1</v>
      </c>
      <c r="AQ117" s="582"/>
      <c r="AR117" s="582"/>
      <c r="AS117" s="588" t="str">
        <v>Target: VALUATIONS | B13</v>
      </c>
      <c r="AT117" s="588" t="n">
        <v>46231</v>
      </c>
      <c r="AU117" s="588" t="str">
        <v>Mapped</v>
      </c>
      <c r="AV117" s="588" t="str">
        <f>IF(OR($AU117="Conflict",$AU117="Review Required",$AU117="New Input Required",$AU117="Unsupported"),"Management","Model owner")</f>
        <v>Model owner</v>
      </c>
      <c r="AW117" s="588" t="str">
        <v>No reliable agreed source input identified. | Live management working assumption mapped to VALUATIONS. Independent evidence or executed legal terms remain an OWNER DECISION.</v>
      </c>
      <c r="AX117" t="str">
        <v>Derived calculation</v>
      </c>
      <c r="AY117" s="2440" t="n">
        <f>$H$291</f>
        <v>1</v>
      </c>
      <c r="AZ117" t="str">
        <v>Yes</v>
      </c>
      <c r="BA117" t="str">
        <v>VALUATIONS</v>
      </c>
      <c r="BB117" t="str">
        <v>B13</v>
      </c>
      <c r="BC117" t="str">
        <v>Target model</v>
      </c>
      <c r="BD117" t="str">
        <v>No</v>
      </c>
      <c r="BE117" t="str">
        <v>Obtain independent valuation evidence and approve the selected market assumptions.</v>
      </c>
      <c r="BF117" s="2442" t="n">
        <v>46231</v>
      </c>
      <c r="BG117" t="str">
        <f>IF($AZ117="No","PASS",IF(OR($AX117="Owner decision outstanding",$BD117="OWNER DECISION"),"WARNING",IF(OR($AP117="",$AN117="",$AS117="",$AV117=""),"FAIL","PASS")))</f>
        <v>PASS</v>
      </c>
    </row>
    <row r="118" ht="24" customHeight="1">
      <c r="A118" s="2504" t="str">
        <f>$AJ$171</f>
        <v>CAPEX-BASE-LAND</v>
      </c>
      <c r="B118" s="2504" t="str">
        <f>$AL$171</f>
        <v>Land</v>
      </c>
      <c r="C118" s="2504" t="str">
        <f>$AM$171</f>
        <v>Site acquisition incl. stamp duty</v>
      </c>
      <c r="D118" s="2541" t="str">
        <f>$AN$171&amp;IF($AO$171="",""," | "&amp;IF($AN$171="Date",TEXT($AO$171,"dd mmm yyyy"),$AO$171))</f>
        <v>A$m | Acquisition</v>
      </c>
      <c r="E118" s="2506" t="n">
        <f>$AP$171</f>
        <v>91.57</v>
      </c>
      <c r="F118" s="2506"/>
      <c r="G118" s="2506"/>
      <c r="H118" s="2506" t="n">
        <f>IF($A118="","",$E118)</f>
        <v>91.57</v>
      </c>
      <c r="I118" s="2543" t="str">
        <f>$AU$171&amp;IF($AS$171="",""," | "&amp;$AS$171)</f>
        <v>Mapped | PROJECT CASH FLOW | H30</v>
      </c>
      <c r="J118" s="2504" t="str">
        <f>$AV$171&amp;" | "&amp;$AX$171</f>
        <v>Model owner | Derived calculation</v>
      </c>
      <c r="K118" s="2504" t="str">
        <f>$AW$171</f>
        <v>Controlling current data-book input.</v>
      </c>
      <c r="AJ118" s="578" t="str">
        <v>VAL-010</v>
      </c>
      <c r="AK118" s="579" t="str">
        <v>Valuation assumptions</v>
      </c>
      <c r="AL118" s="579" t="str">
        <v>Company / project</v>
      </c>
      <c r="AM118" s="579" t="str">
        <v>Shareholder loans</v>
      </c>
      <c r="AN118" s="579" t="str">
        <v>A$m</v>
      </c>
      <c r="AO118" s="579" t="str">
        <v>Valuation date</v>
      </c>
      <c r="AP118" s="584" t="n">
        <v>0</v>
      </c>
      <c r="AQ118" s="584"/>
      <c r="AR118" s="584"/>
      <c r="AS118" s="588" t="str">
        <v>Target: VALUATIONS | B14</v>
      </c>
      <c r="AT118" s="588" t="n">
        <v>46231</v>
      </c>
      <c r="AU118" s="588" t="str">
        <v>Mapped</v>
      </c>
      <c r="AV118" s="588" t="str">
        <f>IF(OR($AU118="Conflict",$AU118="Review Required",$AU118="New Input Required",$AU118="Unsupported"),"Management","Model owner")</f>
        <v>Model owner</v>
      </c>
      <c r="AW118" s="588" t="str">
        <v>No reliable agreed source input identified. | Live management working assumption mapped to VALUATIONS. Independent evidence or executed legal terms remain an OWNER DECISION.</v>
      </c>
      <c r="AX118" t="str">
        <v>Derived calculation</v>
      </c>
      <c r="AY118" s="2440" t="n">
        <f>$H$292</f>
        <v>0</v>
      </c>
      <c r="AZ118" t="str">
        <v>Yes</v>
      </c>
      <c r="BA118" t="str">
        <v>VALUATIONS</v>
      </c>
      <c r="BB118" t="str">
        <v>B14</v>
      </c>
      <c r="BC118" t="str">
        <v>Target model</v>
      </c>
      <c r="BD118" t="str">
        <v>No</v>
      </c>
      <c r="BE118" t="str">
        <v>Obtain independent valuation evidence and approve the selected market assumptions.</v>
      </c>
      <c r="BF118" s="2442" t="n">
        <v>46231</v>
      </c>
      <c r="BG118" t="str">
        <f>IF($AZ118="No","PASS",IF(OR($AX118="Owner decision outstanding",$BD118="OWNER DECISION"),"WARNING",IF(OR($AP118="",$AN118="",$AS118="",$AV118=""),"FAIL","PASS")))</f>
        <v>FAIL</v>
      </c>
    </row>
    <row r="119" ht="24" customHeight="1">
      <c r="A119" s="2504" t="str">
        <f>$AJ$172</f>
        <v>CAPEX-LEASE-DEP</v>
      </c>
      <c r="B119" s="2504" t="str">
        <f>$AL$172</f>
        <v>Land</v>
      </c>
      <c r="C119" s="2504" t="str">
        <f>$AM$172</f>
        <v>Interim site acquisition lease deposit</v>
      </c>
      <c r="D119" s="2544" t="str">
        <f>$AN$172&amp;IF($AO$172="",""," | "&amp;IF($AN$172="Date",TEXT($AO$172,"dd mmm yyyy"),$AO$172))</f>
        <v>A$m | Acquisition</v>
      </c>
      <c r="E119" s="2506" t="n">
        <f>$AP$172</f>
        <v>0.75</v>
      </c>
      <c r="F119" s="2506"/>
      <c r="G119" s="2506"/>
      <c r="H119" s="2506" t="n">
        <f>IF($A119="","",$E119)</f>
        <v>0.75</v>
      </c>
      <c r="I119" s="2543" t="str">
        <f>$AU$172&amp;IF($AS$172="",""," | "&amp;$AS$172)</f>
        <v>Mapped | PROJECT CASH FLOW | H32</v>
      </c>
      <c r="J119" s="2504" t="str">
        <f>$AV$172&amp;" | "&amp;$AX$172</f>
        <v>Model owner | Derived calculation</v>
      </c>
      <c r="K119" s="2504" t="str">
        <f>$AW$172</f>
        <v>Included once in gross development investment.</v>
      </c>
      <c r="AJ119" s="578" t="str">
        <v>VAL-011</v>
      </c>
      <c r="AK119" s="579" t="str">
        <v>Valuation assumptions</v>
      </c>
      <c r="AL119" s="579" t="str">
        <v>Company / project</v>
      </c>
      <c r="AM119" s="579" t="str">
        <v>Other liabilities</v>
      </c>
      <c r="AN119" s="579" t="str">
        <v>A$m</v>
      </c>
      <c r="AO119" s="579" t="str">
        <v>Valuation date</v>
      </c>
      <c r="AP119" s="584" t="str">
        <f>IF($E$293="","",$E$293)</f>
      </c>
      <c r="AQ119" s="584" t="str">
        <f>IF($F$293="","",$F$293)</f>
      </c>
      <c r="AR119" s="584" t="str">
        <f>IF($G$293="","",$G$293)</f>
      </c>
      <c r="AS119" s="588" t="str">
        <v>Target: VALUATIONS | B15</v>
      </c>
      <c r="AT119" s="588" t="n">
        <v>46231</v>
      </c>
      <c r="AU119" s="588" t="str">
        <v>Mapped</v>
      </c>
      <c r="AV119" s="588" t="str">
        <f>IF(OR($AU119="Conflict",$AU119="Review Required",$AU119="New Input Required",$AU119="Unsupported"),"Management","Model owner")</f>
        <v>Model owner</v>
      </c>
      <c r="AW119" s="588" t="str">
        <v>No reliable agreed source input identified. | Live management working assumption mapped to VALUATIONS. Independent evidence or executed legal terms remain an OWNER DECISION.</v>
      </c>
      <c r="AX119" t="str">
        <v>Hard-coded model input</v>
      </c>
      <c r="AY119" s="2440" t="n">
        <f>$H$293</f>
        <v>0</v>
      </c>
      <c r="AZ119" t="str">
        <v>Yes</v>
      </c>
      <c r="BA119" t="str">
        <v>VALUATIONS</v>
      </c>
      <c r="BB119" t="str">
        <v>B15</v>
      </c>
      <c r="BC119" t="str">
        <v>Target model</v>
      </c>
      <c r="BD119" t="str">
        <v>No</v>
      </c>
      <c r="BE119" t="str">
        <v>Obtain independent valuation evidence and approve the selected market assumptions.</v>
      </c>
      <c r="BF119" s="2442" t="n">
        <v>46231</v>
      </c>
      <c r="BG119" t="str">
        <f>IF($AZ119="No","PASS",IF(OR($AX119="Owner decision outstanding",$BD119="OWNER DECISION"),"WARNING",IF(OR($AP119="",$AN119="",$AS119="",$AV119=""),"FAIL","PASS")))</f>
        <v>FAIL</v>
      </c>
    </row>
    <row r="120" ht="24" customHeight="1">
      <c r="A120" s="2504" t="str">
        <f>$AJ$173</f>
        <v>CAPEX-INFRA-NET</v>
      </c>
      <c r="B120" s="2504" t="str">
        <f>$AL$173</f>
        <v>Infrastructure</v>
      </c>
      <c r="C120" s="2504" t="str">
        <f>$AM$173</f>
        <v>Net infrastructure fund</v>
      </c>
      <c r="D120" s="2544" t="str">
        <f>$AN$173&amp;IF($AO$173="",""," | "&amp;IF($AN$173="Date",TEXT($AO$173,"dd mmm yyyy"),$AO$173))</f>
        <v>A$m | Construction</v>
      </c>
      <c r="E120" s="2624" t="n">
        <v>14.11362868</v>
      </c>
      <c r="F120" s="2506"/>
      <c r="G120" s="2506"/>
      <c r="H120" s="2506" t="n">
        <f>IF($A120="","",$E120)</f>
        <v>14.11362868</v>
      </c>
      <c r="I120" s="2543" t="str">
        <f>$AU$173&amp;IF($AS$173="",""," | "&amp;$AS$173)</f>
        <v>Mapped | PROJECT CASH FLOW | H36:H37</v>
      </c>
      <c r="J120" s="2504" t="str">
        <f>$AV$173&amp;" | "&amp;$AX$173</f>
        <v>Model owner | Hard-coded model input</v>
      </c>
      <c r="K120" s="2504" t="str">
        <f>$AW$173</f>
        <v>A$22.114m gross fund less A$8.0m landscape-integration reduction.</v>
      </c>
      <c r="AJ120" s="578" t="str">
        <v>INV-001</v>
      </c>
      <c r="AK120" s="579" t="str">
        <v>Investors and ownership</v>
      </c>
      <c r="AL120" s="579" t="str">
        <v>General partner</v>
      </c>
      <c r="AM120" s="579" t="str">
        <v>Investor name</v>
      </c>
      <c r="AN120" s="579" t="str">
        <v>Text</v>
      </c>
      <c r="AO120" s="579" t="str">
        <v>Current</v>
      </c>
      <c r="AP120" s="580" t="str">
        <v>Sponsor / General Partner — illustrative waterfall</v>
      </c>
      <c r="AQ120" s="580"/>
      <c r="AR120" s="580"/>
      <c r="AS120" s="588" t="str">
        <f>IFERROR(INDEX('DATA MAP'!$C$8:$C$137,MATCH($AJ120,'DATA MAP'!$A$8:$A$137,0))&amp;IF(INDEX('DATA MAP'!$D$8:$D$137,MATCH($AJ120,'DATA MAP'!$A$8:$A$137,0))="",""," | "&amp;INDEX('DATA MAP'!$D$8:$D$137,MATCH($AJ120,'DATA MAP'!$A$8:$A$137,0))),"Not provided")</f>
        <v>Target: Underwriting | C228</v>
      </c>
      <c r="AT120" s="588"/>
      <c r="AU120" s="588" t="str">
        <f>IFERROR(INDEX('DATA MAP'!$I$8:$I$137,MATCH($AJ120,'DATA MAP'!$A$8:$A$137,0)),"Review Required")</f>
        <v>Waived — named investor schedule controls</v>
      </c>
      <c r="AV120" s="588" t="str">
        <f>IF(OR($AU120="Conflict",$AU120="Review Required",$AU120="New Input Required",$AU120="Unsupported"),"Management","Model owner")</f>
        <v>Model owner</v>
      </c>
      <c r="AW120" s="588" t="str">
        <f>IFERROR(INDEX('DATA MAP'!$K$8:$K$137,MATCH($AJ120,'DATA MAP'!$A$8:$A$137,0)),"Management confirmation required.")</f>
        <v>Target placeholder retained; management confirmation required. | The generic GP/LP placeholder and waterfall assumptions are not used for named-investor attribution; the funded ordinary-equity register controls.</v>
      </c>
      <c r="AX120" t="str">
        <v>Superseded / inactive</v>
      </c>
      <c r="AY120" s="2440" t="str">
        <f>$H$228</f>
        <v>Sponsor / General Partner — illustrative waterfall</v>
      </c>
      <c r="AZ120" t="str">
        <v>No</v>
      </c>
      <c r="BA120" t="str">
        <v>Underwriting</v>
      </c>
      <c r="BB120" t="str">
        <v>C228</v>
      </c>
      <c r="BC120" t="str">
        <v>Target model</v>
      </c>
      <c r="BD120" t="str">
        <v>No</v>
      </c>
      <c r="BE120" t="str">
        <v>Confirm executed investor identities, funded amounts, dilution and shareholder rights.</v>
      </c>
      <c r="BF120" s="2442" t="n">
        <v>46231</v>
      </c>
      <c r="BG120" t="str">
        <f>IF($AZ120="No","PASS",IF(OR($AX120="Owner decision outstanding",$BD120="OWNER DECISION"),"WARNING",IF(OR($AP120="",$AN120="",$AS120="",$AV120=""),"FAIL","PASS")))</f>
        <v>PASS</v>
      </c>
    </row>
    <row r="121" ht="24" customHeight="1">
      <c r="A121" s="2504" t="str">
        <f>$AJ$174</f>
        <v>CAPEX-GRANT</v>
      </c>
      <c r="B121" s="2504" t="str">
        <f>$AL$174</f>
        <v>Grant</v>
      </c>
      <c r="C121" s="2504" t="str">
        <f>$AM$174</f>
        <v>ARENA grant</v>
      </c>
      <c r="D121" s="2544" t="str">
        <f>$AN$174&amp;IF($AO$174="",""," | "&amp;IF($AN$174="Date",TEXT($AO$174,"dd mmm yyyy"),$AO$174))</f>
        <v>A$m | Development period</v>
      </c>
      <c r="E121" s="2624" t="n">
        <v>-5</v>
      </c>
      <c r="F121" s="2506"/>
      <c r="G121" s="2506"/>
      <c r="H121" s="2506" t="n">
        <f>IF($A121="","",$E121)</f>
        <v>-5</v>
      </c>
      <c r="I121" s="2543" t="str">
        <f>$AU$174&amp;IF($AS$174="",""," | "&amp;$AS$174)</f>
        <v>Mapped | PROJECT CASH FLOW | H39</v>
      </c>
      <c r="J121" s="2504" t="str">
        <f>$AV$174&amp;" | "&amp;$AX$174</f>
        <v>Model owner | Hard-coded model input</v>
      </c>
      <c r="K121" s="2504" t="str">
        <f>$AW$174</f>
        <v>Negative use / funding source; not deducted from component CAPEX.</v>
      </c>
      <c r="AJ121" s="578" t="str">
        <v>INV-002</v>
      </c>
      <c r="AK121" s="579" t="str">
        <v>Investors and ownership</v>
      </c>
      <c r="AL121" s="579" t="str">
        <v>Limited partner</v>
      </c>
      <c r="AM121" s="579" t="str">
        <v>Investor name</v>
      </c>
      <c r="AN121" s="579" t="str">
        <v>Text</v>
      </c>
      <c r="AO121" s="579" t="str">
        <v>Current</v>
      </c>
      <c r="AP121" s="580" t="str">
        <v>External Equity / Limited Partner — illustrative waterfall</v>
      </c>
      <c r="AQ121" s="580"/>
      <c r="AR121" s="580"/>
      <c r="AS121" s="588" t="str">
        <f>IFERROR(INDEX('DATA MAP'!$C$8:$C$137,MATCH($AJ121,'DATA MAP'!$A$8:$A$137,0))&amp;IF(INDEX('DATA MAP'!$D$8:$D$137,MATCH($AJ121,'DATA MAP'!$A$8:$A$137,0))="",""," | "&amp;INDEX('DATA MAP'!$D$8:$D$137,MATCH($AJ121,'DATA MAP'!$A$8:$A$137,0))),"Not provided")</f>
        <v>Target: Underwriting | C229</v>
      </c>
      <c r="AT121" s="588"/>
      <c r="AU121" s="588" t="str">
        <f>IFERROR(INDEX('DATA MAP'!$I$8:$I$137,MATCH($AJ121,'DATA MAP'!$A$8:$A$137,0)),"Review Required")</f>
        <v>Waived — named investor schedule controls</v>
      </c>
      <c r="AV121" s="588" t="str">
        <f>IF(OR($AU121="Conflict",$AU121="Review Required",$AU121="New Input Required",$AU121="Unsupported"),"Management","Model owner")</f>
        <v>Model owner</v>
      </c>
      <c r="AW121" s="588" t="str">
        <f>IFERROR(INDEX('DATA MAP'!$K$8:$K$137,MATCH($AJ121,'DATA MAP'!$A$8:$A$137,0)),"Management confirmation required.")</f>
        <v>Target placeholder retained; management confirmation required. | The generic GP/LP placeholder and waterfall assumptions are not used for named-investor attribution; the funded ordinary-equity register controls.</v>
      </c>
      <c r="AX121" t="str">
        <v>Superseded / inactive</v>
      </c>
      <c r="AY121" s="2440" t="str">
        <f>$H$229</f>
        <v>External Equity / Limited Partner — illustrative waterfall</v>
      </c>
      <c r="AZ121" t="str">
        <v>No</v>
      </c>
      <c r="BA121" t="str">
        <v>Underwriting</v>
      </c>
      <c r="BB121" t="str">
        <v>C229</v>
      </c>
      <c r="BC121" t="str">
        <v>Target model</v>
      </c>
      <c r="BD121" t="str">
        <v>No</v>
      </c>
      <c r="BE121" t="str">
        <v>Confirm executed investor identities, funded amounts, dilution and shareholder rights.</v>
      </c>
      <c r="BF121" s="2442" t="n">
        <v>46231</v>
      </c>
      <c r="BG121" t="str">
        <f>IF($AZ121="No","PASS",IF(OR($AX121="Owner decision outstanding",$BD121="OWNER DECISION"),"WARNING",IF(OR($AP121="",$AN121="",$AS121="",$AV121=""),"FAIL","PASS")))</f>
        <v>PASS</v>
      </c>
    </row>
    <row r="122" ht="24" customHeight="1">
      <c r="A122" s="2504" t="str">
        <f>$AJ$175</f>
        <v>CAPEX-DEV-ADJ</v>
      </c>
      <c r="B122" s="2504" t="str">
        <f>$AL$175</f>
        <v>Project</v>
      </c>
      <c r="C122" s="2504" t="str">
        <f>$AM$175</f>
        <v>Development-period revenue / expense adjustments</v>
      </c>
      <c r="D122" s="2545" t="str">
        <f>$AN$175&amp;IF($AO$175="",""," | "&amp;IF($AN$175="Date",TEXT($AO$175,"dd mmm yyyy"),$AO$175))</f>
        <v>A$m | Development period</v>
      </c>
      <c r="E122" s="2624" t="n">
        <v>-15.9463258894033</v>
      </c>
      <c r="F122" s="2506"/>
      <c r="G122" s="2506"/>
      <c r="H122" s="2506" t="n">
        <f>IF($A122="","",$E122)</f>
        <v>-15.9463258894033</v>
      </c>
      <c r="I122" s="2543" t="str">
        <f>$AU$175&amp;IF($AS$175="",""," | "&amp;$AS$175)</f>
        <v>Mapped | PROJECT CASH FLOW | H41:H47</v>
      </c>
      <c r="J122" s="2504" t="str">
        <f>$AV$175&amp;" | "&amp;$AX$175</f>
        <v>Model owner | Hard-coded model input</v>
      </c>
      <c r="K122" s="2504" t="str">
        <f>$AW$175</f>
        <v>Net lease, guarantee, outgoings, interest and car-park operating adjustments before capitalised interest.</v>
      </c>
      <c r="AJ122" s="578" t="str">
        <v>INV-003</v>
      </c>
      <c r="AK122" s="579" t="str">
        <v>Investors and ownership</v>
      </c>
      <c r="AL122" s="579" t="str">
        <v>General partner</v>
      </c>
      <c r="AM122" s="579" t="str">
        <v>Current ownership</v>
      </c>
      <c r="AN122" s="579" t="str">
        <v>%</v>
      </c>
      <c r="AO122" s="579" t="str">
        <v>Current</v>
      </c>
      <c r="AP122" s="585" t="n">
        <v>0.05</v>
      </c>
      <c r="AQ122" s="585"/>
      <c r="AR122" s="585"/>
      <c r="AS122" s="588" t="str">
        <f>IFERROR(INDEX('DATA MAP'!$C$8:$C$137,MATCH($AJ122,'DATA MAP'!$A$8:$A$137,0))&amp;IF(INDEX('DATA MAP'!$D$8:$D$137,MATCH($AJ122,'DATA MAP'!$A$8:$A$137,0))="",""," | "&amp;INDEX('DATA MAP'!$D$8:$D$137,MATCH($AJ122,'DATA MAP'!$A$8:$A$137,0))),"Not provided")</f>
        <v>Target: Underwriting | H228</v>
      </c>
      <c r="AT122" s="588"/>
      <c r="AU122" s="588" t="str">
        <f>IFERROR(INDEX('DATA MAP'!$I$8:$I$137,MATCH($AJ122,'DATA MAP'!$A$8:$A$137,0)),"Review Required")</f>
        <v>Waived — named investor schedule controls</v>
      </c>
      <c r="AV122" s="588" t="str">
        <f>IF(OR($AU122="Conflict",$AU122="Review Required",$AU122="New Input Required",$AU122="Unsupported"),"Management","Model owner")</f>
        <v>Model owner</v>
      </c>
      <c r="AW122" s="588" t="str">
        <f>IFERROR(INDEX('DATA MAP'!$K$8:$K$137,MATCH($AJ122,'DATA MAP'!$A$8:$A$137,0)),"Management confirmation required.")</f>
        <v>No source ownership schedule supports replacement. | The generic GP/LP placeholder and waterfall assumptions are not used for named-investor attribution; the funded ordinary-equity register controls.</v>
      </c>
      <c r="AX122" t="str">
        <v>Superseded / inactive</v>
      </c>
      <c r="AY122" s="2440" t="n">
        <f>$H$230</f>
        <v>0.05</v>
      </c>
      <c r="AZ122" t="str">
        <v>No</v>
      </c>
      <c r="BA122" t="str">
        <v>Underwriting</v>
      </c>
      <c r="BB122" t="str">
        <v>H228</v>
      </c>
      <c r="BC122" t="str">
        <v>Target model</v>
      </c>
      <c r="BD122" t="str">
        <v>No</v>
      </c>
      <c r="BE122" t="str">
        <v>Confirm executed investor identities, funded amounts, dilution and shareholder rights.</v>
      </c>
      <c r="BF122" s="2442" t="n">
        <v>46231</v>
      </c>
      <c r="BG122" t="str">
        <f>IF($AZ122="No","PASS",IF(OR($AX122="Owner decision outstanding",$BD122="OWNER DECISION"),"WARNING",IF(OR($AP122="",$AN122="",$AS122="",$AV122=""),"FAIL","PASS")))</f>
        <v>PASS</v>
      </c>
    </row>
    <row r="123" ht="24" customHeight="1">
      <c r="A123" s="2504" t="str">
        <f>$AJ$176</f>
        <v>CAPEX-STAGED-OPS</v>
      </c>
      <c r="B123" s="2504" t="str">
        <f>$AL$176</f>
        <v>Project</v>
      </c>
      <c r="C123" s="2504" t="str">
        <f>$AM$176</f>
        <v>Staged operating funding sources</v>
      </c>
      <c r="D123" s="2504" t="str">
        <f>$AN$176&amp;IF($AO$176="",""," | "&amp;IF($AN$176="Date",TEXT($AO$176,"dd mmm yyyy"),$AO$176))</f>
        <v>A$m | First operating year</v>
      </c>
      <c r="E123" s="2506" t="n">
        <f>$AP$176</f>
        <v>-20.421757987478102</v>
      </c>
      <c r="F123" s="2506"/>
      <c r="G123" s="2506"/>
      <c r="H123" s="2506" t="n">
        <f>IF($A123="","",$E123)</f>
        <v>-20.421757987478102</v>
      </c>
      <c r="I123" s="2543" t="str">
        <f>$AU$176&amp;IF($AS$176="",""," | "&amp;$AS$176)</f>
        <v>Mapped | PROJECT CASH FLOW | E95</v>
      </c>
      <c r="J123" s="2504" t="str">
        <f>$AV$176&amp;" | "&amp;$AX$176</f>
        <v>Model owner | Derived calculation</v>
      </c>
      <c r="K123" s="2504" t="str">
        <f>$AW$176</f>
        <v>Source staged operating contributions deducted from gross funding requirement.</v>
      </c>
      <c r="AJ123" s="578" t="str">
        <v>INV-004</v>
      </c>
      <c r="AK123" s="579" t="str">
        <v>Investors and ownership</v>
      </c>
      <c r="AL123" s="579" t="str">
        <v>Limited partner</v>
      </c>
      <c r="AM123" s="579" t="str">
        <v>Current ownership</v>
      </c>
      <c r="AN123" s="579" t="str">
        <v>%</v>
      </c>
      <c r="AO123" s="579" t="str">
        <v>Current</v>
      </c>
      <c r="AP123" s="585" t="n">
        <v>0.95</v>
      </c>
      <c r="AQ123" s="585"/>
      <c r="AR123" s="585"/>
      <c r="AS123" s="588" t="str">
        <f>IFERROR(INDEX('DATA MAP'!$C$8:$C$137,MATCH($AJ123,'DATA MAP'!$A$8:$A$137,0))&amp;IF(INDEX('DATA MAP'!$D$8:$D$137,MATCH($AJ123,'DATA MAP'!$A$8:$A$137,0))="",""," | "&amp;INDEX('DATA MAP'!$D$8:$D$137,MATCH($AJ123,'DATA MAP'!$A$8:$A$137,0))),"Not provided")</f>
        <v>Target: Underwriting | H229</v>
      </c>
      <c r="AT123" s="588"/>
      <c r="AU123" s="588" t="str">
        <f>IFERROR(INDEX('DATA MAP'!$I$8:$I$137,MATCH($AJ123,'DATA MAP'!$A$8:$A$137,0)),"Review Required")</f>
        <v>Waived — named investor schedule controls</v>
      </c>
      <c r="AV123" s="588" t="str">
        <f>IF(OR($AU123="Conflict",$AU123="Review Required",$AU123="New Input Required",$AU123="Unsupported"),"Management","Model owner")</f>
        <v>Model owner</v>
      </c>
      <c r="AW123" s="588" t="str">
        <f>IFERROR(INDEX('DATA MAP'!$K$8:$K$137,MATCH($AJ123,'DATA MAP'!$A$8:$A$137,0)),"Management confirmation required.")</f>
        <v>760 | The generic GP/LP placeholder and waterfall assumptions are not used for named-investor attribution; the funded ordinary-equity register controls.</v>
      </c>
      <c r="AX123" t="str">
        <v>Superseded / inactive</v>
      </c>
      <c r="AY123" s="2440" t="n">
        <f>$H$231</f>
        <v>0.95</v>
      </c>
      <c r="AZ123" t="str">
        <v>No</v>
      </c>
      <c r="BA123" t="str">
        <v>Underwriting</v>
      </c>
      <c r="BB123" t="str">
        <v>H229</v>
      </c>
      <c r="BC123" t="str">
        <v>Target model</v>
      </c>
      <c r="BD123" t="str">
        <v>No</v>
      </c>
      <c r="BE123" t="str">
        <v>Confirm executed investor identities, funded amounts, dilution and shareholder rights.</v>
      </c>
      <c r="BF123" s="2442" t="n">
        <v>46231</v>
      </c>
      <c r="BG123" t="str">
        <f>IF($AZ123="No","PASS",IF(OR($AX123="Owner decision outstanding",$BD123="OWNER DECISION"),"WARNING",IF(OR($AP123="",$AN123="",$AS123="",$AV123=""),"FAIL","PASS")))</f>
        <v>PASS</v>
      </c>
    </row>
    <row r="124" ht="24" customHeight="1">
      <c r="A124" s="2504" t="str">
        <f>$AJ$177</f>
        <v>CAPEX-COMP-TOTAL</v>
      </c>
      <c r="B124" s="2504" t="str">
        <f>$AL$177</f>
        <v>Project</v>
      </c>
      <c r="C124" s="2504" t="str">
        <f>$AM$177</f>
        <v>Detailed component CAPEX</v>
      </c>
      <c r="D124" s="2504" t="str">
        <f>$AN$177&amp;IF($AO$177="",""," | "&amp;IF($AN$177="Date",TEXT($AO$177,"dd mmm yyyy"),$AO$177))</f>
        <v>A$m | Construction</v>
      </c>
      <c r="E124" s="2506" t="n">
        <f>$AP$177</f>
        <v>342.4230064814815</v>
      </c>
      <c r="F124" s="2506"/>
      <c r="G124" s="2506"/>
      <c r="H124" s="2506" t="n">
        <f>IF($A124="","",$E124)</f>
        <v>342.4230064814815</v>
      </c>
      <c r="I124" s="2543" t="str">
        <f>$AU$177&amp;IF($AS$177="",""," | "&amp;$AS$177)</f>
        <v>Mapped | PROJECT CASH FLOW | J26</v>
      </c>
      <c r="J124" s="2504" t="str">
        <f>$AV$177&amp;" | "&amp;$AX$177</f>
        <v>Model owner | Derived calculation</v>
      </c>
      <c r="K124" s="2504" t="str">
        <f>$AW$177</f>
        <v>Detailed project-component schedule including landscape and one central precinct roof/solar allowance.</v>
      </c>
      <c r="AJ124" s="578" t="str">
        <v>INV-005</v>
      </c>
      <c r="AK124" s="579" t="str">
        <v>Investors and ownership</v>
      </c>
      <c r="AL124" s="579" t="str">
        <v>Waterfall</v>
      </c>
      <c r="AM124" s="579" t="str">
        <v>Preferred return</v>
      </c>
      <c r="AN124" s="579" t="str">
        <v>%</v>
      </c>
      <c r="AO124" s="579" t="str">
        <v>Current</v>
      </c>
      <c r="AP124" s="585" t="n">
        <v>0.09</v>
      </c>
      <c r="AQ124" s="585"/>
      <c r="AR124" s="585"/>
      <c r="AS124" s="588" t="str">
        <f>IFERROR(INDEX('DATA MAP'!$C$8:$C$137,MATCH($AJ124,'DATA MAP'!$A$8:$A$137,0))&amp;IF(INDEX('DATA MAP'!$D$8:$D$137,MATCH($AJ124,'DATA MAP'!$A$8:$A$137,0))="",""," | "&amp;INDEX('DATA MAP'!$D$8:$D$137,MATCH($AJ124,'DATA MAP'!$A$8:$A$137,0))),"Not provided")</f>
        <v>Target: Underwriting | F233</v>
      </c>
      <c r="AT124" s="588"/>
      <c r="AU124" s="588" t="str">
        <f>IFERROR(INDEX('DATA MAP'!$I$8:$I$137,MATCH($AJ124,'DATA MAP'!$A$8:$A$137,0)),"Review Required")</f>
        <v>Waived — named investor schedule controls</v>
      </c>
      <c r="AV124" s="588" t="str">
        <f>IF(OR($AU124="Conflict",$AU124="Review Required",$AU124="New Input Required",$AU124="Unsupported"),"Management","Model owner")</f>
        <v>Model owner</v>
      </c>
      <c r="AW124" s="588" t="str">
        <f>IFERROR(INDEX('DATA MAP'!$K$8:$K$137,MATCH($AJ124,'DATA MAP'!$A$8:$A$137,0)),"Management confirmation required.")</f>
        <v>No source ownership/waterfall schedule supports replacement. | The generic GP/LP placeholder and waterfall assumptions are not used for named-investor attribution; the funded ordinary-equity register controls.</v>
      </c>
      <c r="AX124" t="str">
        <v>Superseded / inactive</v>
      </c>
      <c r="AY124" s="2440" t="n">
        <f>$H$232</f>
        <v>0.09</v>
      </c>
      <c r="AZ124" t="str">
        <v>No</v>
      </c>
      <c r="BA124" t="str">
        <v>Underwriting</v>
      </c>
      <c r="BB124" t="str">
        <v>F233</v>
      </c>
      <c r="BC124" t="str">
        <v>Target model</v>
      </c>
      <c r="BD124" t="str">
        <v>No</v>
      </c>
      <c r="BE124" t="str">
        <v>Confirm executed investor identities, funded amounts, dilution and shareholder rights.</v>
      </c>
      <c r="BF124" s="2442" t="n">
        <v>46231</v>
      </c>
      <c r="BG124" t="str">
        <f>IF($AZ124="No","PASS",IF(OR($AX124="Owner decision outstanding",$BD124="OWNER DECISION"),"WARNING",IF(OR($AP124="",$AN124="",$AS124="",$AV124=""),"FAIL","PASS")))</f>
        <v>PASS</v>
      </c>
    </row>
    <row r="125" ht="24" customHeight="1">
      <c r="A125" s="2504" t="str">
        <f>$AJ$212</f>
        <v>SCOPE-ROOF-CENTRAL</v>
      </c>
      <c r="B125" s="2504" t="str">
        <f>$AL$212</f>
        <v>Precinct roof / solar</v>
      </c>
      <c r="C125" s="2504" t="str">
        <f>$AM$212</f>
        <v>Central roof and renewable-energy CAPEX</v>
      </c>
      <c r="D125" s="2504" t="str">
        <f>$AN$212&amp;IF($AO$212="",""," | "&amp;IF($AN$212="Date",TEXT($AO$212,"dd mmm yyyy"),$AO$212))</f>
        <v>A$m | Construction</v>
      </c>
      <c r="E125" s="2624" t="n">
        <v>12</v>
      </c>
      <c r="F125" s="2506"/>
      <c r="G125" s="2506"/>
      <c r="H125" s="2506" t="n">
        <f>IF($A125="","",$E125)</f>
        <v>12</v>
      </c>
      <c r="I125" s="2543" t="str">
        <f>$AU$212&amp;IF($AS$212="",""," | "&amp;$AS$212)</f>
        <v>Mapped | PROJECT CASH FLOW | J23</v>
      </c>
      <c r="J125" s="2504" t="str">
        <f>$AV$212&amp;" | "&amp;$AX$212</f>
        <v>Model owner | Hard-coded model input</v>
      </c>
      <c r="K125" s="2504" t="str">
        <f>$AW$212</f>
        <v>Counted once as precinct infrastructure.</v>
      </c>
      <c r="AJ125" s="578" t="str">
        <v>INV-006</v>
      </c>
      <c r="AK125" s="579" t="str">
        <v>Investors and ownership</v>
      </c>
      <c r="AL125" s="579" t="str">
        <v>Waterfall</v>
      </c>
      <c r="AM125" s="579" t="str">
        <v>Tier 1 hurdle</v>
      </c>
      <c r="AN125" s="579" t="str">
        <v>%</v>
      </c>
      <c r="AO125" s="579" t="str">
        <v>Current</v>
      </c>
      <c r="AP125" s="585" t="n">
        <v>0.12</v>
      </c>
      <c r="AQ125" s="585"/>
      <c r="AR125" s="585"/>
      <c r="AS125" s="588" t="str">
        <f>IFERROR(INDEX('DATA MAP'!$C$8:$C$137,MATCH($AJ125,'DATA MAP'!$A$8:$A$137,0))&amp;IF(INDEX('DATA MAP'!$D$8:$D$137,MATCH($AJ125,'DATA MAP'!$A$8:$A$137,0))="",""," | "&amp;INDEX('DATA MAP'!$D$8:$D$137,MATCH($AJ125,'DATA MAP'!$A$8:$A$137,0))),"Not provided")</f>
        <v>Target: Underwriting | F234</v>
      </c>
      <c r="AT125" s="588"/>
      <c r="AU125" s="588" t="str">
        <f>IFERROR(INDEX('DATA MAP'!$I$8:$I$137,MATCH($AJ125,'DATA MAP'!$A$8:$A$137,0)),"Review Required")</f>
        <v>Waived — named investor schedule controls</v>
      </c>
      <c r="AV125" s="588" t="str">
        <f>IF(OR($AU125="Conflict",$AU125="Review Required",$AU125="New Input Required",$AU125="Unsupported"),"Management","Model owner")</f>
        <v>Model owner</v>
      </c>
      <c r="AW125" s="588" t="str">
        <f>IFERROR(INDEX('DATA MAP'!$K$8:$K$137,MATCH($AJ125,'DATA MAP'!$A$8:$A$137,0)),"Management confirmation required.")</f>
        <v>No source ownership/waterfall schedule supports replacement. | The generic GP/LP placeholder and waterfall assumptions are not used for named-investor attribution; the funded ordinary-equity register controls.</v>
      </c>
      <c r="AX125" t="str">
        <v>Superseded / inactive</v>
      </c>
      <c r="AY125" s="2440" t="n">
        <f>$H$233</f>
        <v>0.12</v>
      </c>
      <c r="AZ125" t="str">
        <v>No</v>
      </c>
      <c r="BA125" t="str">
        <v>Underwriting</v>
      </c>
      <c r="BB125" t="str">
        <v>F234</v>
      </c>
      <c r="BC125" t="str">
        <v>Target model</v>
      </c>
      <c r="BD125" t="str">
        <v>No</v>
      </c>
      <c r="BE125" t="str">
        <v>Confirm executed investor identities, funded amounts, dilution and shareholder rights.</v>
      </c>
      <c r="BF125" s="2442" t="n">
        <v>46231</v>
      </c>
      <c r="BG125" t="str">
        <f>IF($AZ125="No","PASS",IF(OR($AX125="Owner decision outstanding",$BD125="OWNER DECISION"),"WARNING",IF(OR($AP125="",$AN125="",$AS125="",$AV125=""),"FAIL","PASS")))</f>
        <v>PASS</v>
      </c>
    </row>
    <row r="126" ht="24" customHeight="1">
      <c r="A126" s="2508" t="str">
        <f>$AJ$214</f>
        <v>SCOPE-LANDSCAPE-GROSS</v>
      </c>
      <c r="B126" s="2508" t="str">
        <f>$AL$214</f>
        <v>Landscape / public realm</v>
      </c>
      <c r="C126" s="2508" t="str">
        <f>$AM$214</f>
        <v>Gross landscape and public-realm programme</v>
      </c>
      <c r="D126" s="2508" t="str">
        <f>$AN$214&amp;IF($AO$214="",""," | "&amp;IF($AN$214="Date",TEXT($AO$214,"dd mmm yyyy"),$AO$214))</f>
        <v>A$m | Construction</v>
      </c>
      <c r="E126" s="2627" t="n">
        <v>21.07</v>
      </c>
      <c r="F126" s="2510"/>
      <c r="G126" s="2510"/>
      <c r="H126" s="2510" t="n">
        <f>IF($A126="","",$E126)</f>
        <v>21.07</v>
      </c>
      <c r="I126" s="2543" t="str">
        <f>$AU$214&amp;IF($AS$214="",""," | "&amp;$AS$214)</f>
        <v>Mapped — provisional | ANCILLIARY SVCS CAPEX &amp; OPEX | N167</v>
      </c>
      <c r="J126" s="2504" t="str">
        <f>$AV$214&amp;" | "&amp;$AX$214</f>
        <v>Management | Hard-coded model input</v>
      </c>
      <c r="K126" s="2504" t="str">
        <f>$AW$214</f>
        <v>Includes roads/path allocation of A$6.0m and The Bend Common net component of A$15.07m. | The field is live and formula-linked; its commercial or specialist basis remains provisional where stated.</v>
      </c>
      <c r="AJ126" s="578" t="str">
        <v>INV-007</v>
      </c>
      <c r="AK126" s="579" t="str">
        <v>Investors and ownership</v>
      </c>
      <c r="AL126" s="579" t="str">
        <v>Waterfall</v>
      </c>
      <c r="AM126" s="579" t="str">
        <v>Tier 2 hurdle</v>
      </c>
      <c r="AN126" s="579" t="str">
        <v>%</v>
      </c>
      <c r="AO126" s="579" t="str">
        <v>Current</v>
      </c>
      <c r="AP126" s="585" t="n">
        <v>0.15</v>
      </c>
      <c r="AQ126" s="585"/>
      <c r="AR126" s="585"/>
      <c r="AS126" s="588" t="str">
        <f>IFERROR(INDEX('DATA MAP'!$C$8:$C$137,MATCH($AJ126,'DATA MAP'!$A$8:$A$137,0))&amp;IF(INDEX('DATA MAP'!$D$8:$D$137,MATCH($AJ126,'DATA MAP'!$A$8:$A$137,0))="",""," | "&amp;INDEX('DATA MAP'!$D$8:$D$137,MATCH($AJ126,'DATA MAP'!$A$8:$A$137,0))),"Not provided")</f>
        <v>Target: Underwriting | F235</v>
      </c>
      <c r="AT126" s="588"/>
      <c r="AU126" s="588" t="str">
        <f>IFERROR(INDEX('DATA MAP'!$I$8:$I$137,MATCH($AJ126,'DATA MAP'!$A$8:$A$137,0)),"Review Required")</f>
        <v>Waived — named investor schedule controls</v>
      </c>
      <c r="AV126" s="588" t="str">
        <f>IF(OR($AU126="Conflict",$AU126="Review Required",$AU126="New Input Required",$AU126="Unsupported"),"Management","Model owner")</f>
        <v>Model owner</v>
      </c>
      <c r="AW126" s="588" t="str">
        <f>IFERROR(INDEX('DATA MAP'!$K$8:$K$137,MATCH($AJ126,'DATA MAP'!$A$8:$A$137,0)),"Management confirmation required.")</f>
        <v>No source ownership/waterfall schedule supports replacement. | The generic GP/LP placeholder and waterfall assumptions are not used for named-investor attribution; the funded ordinary-equity register controls.</v>
      </c>
      <c r="AX126" t="str">
        <v>Superseded / inactive</v>
      </c>
      <c r="AY126" s="2440" t="n">
        <f>$H$234</f>
        <v>0.15</v>
      </c>
      <c r="AZ126" t="str">
        <v>No</v>
      </c>
      <c r="BA126" t="str">
        <v>Underwriting</v>
      </c>
      <c r="BB126" t="str">
        <v>F235</v>
      </c>
      <c r="BC126" t="str">
        <v>Target model</v>
      </c>
      <c r="BD126" t="str">
        <v>No</v>
      </c>
      <c r="BE126" t="str">
        <v>Confirm executed investor identities, funded amounts, dilution and shareholder rights.</v>
      </c>
      <c r="BF126" s="2442" t="n">
        <v>46231</v>
      </c>
      <c r="BG126" t="str">
        <f>IF($AZ126="No","PASS",IF(OR($AX126="Owner decision outstanding",$BD126="OWNER DECISION"),"WARNING",IF(OR($AP126="",$AN126="",$AS126="",$AV126=""),"FAIL","PASS")))</f>
        <v>PASS</v>
      </c>
    </row>
    <row r="127" ht="24" customHeight="1">
      <c r="A127" s="2512" t="str">
        <f>$AJ$221</f>
        <v>CMP-URWLD-CORE</v>
      </c>
      <c r="B127" s="2512" t="str">
        <f>$AL$221</f>
        <v>URWLD</v>
      </c>
      <c r="C127" s="2512" t="str">
        <f>$AM$221</f>
        <v>Core / shell CAPEX</v>
      </c>
      <c r="D127" s="2512" t="str">
        <f>$AN$221&amp;IF($AO$221="",""," | "&amp;IF($AN$221="Date",TEXT($AO$221,"dd mmm yyyy"),$AO$221))</f>
        <v>A$m | Current budget</v>
      </c>
      <c r="E127" s="2627" t="n">
        <v>90.78148148148148</v>
      </c>
      <c r="F127" s="2510"/>
      <c r="G127" s="2510"/>
      <c r="H127" s="2510" t="n">
        <f>IF($A127="","",$E127)</f>
        <v>90.78148148148148</v>
      </c>
      <c r="I127" s="2543" t="str">
        <f>$AU$221&amp;IF($AS$221="",""," | "&amp;$AS$221)</f>
        <v>Mapped | PROJECT CASH FLOW | H8</v>
      </c>
      <c r="J127" s="2504" t="str">
        <f>$AV$221&amp;" | "&amp;$AX$221</f>
        <v>Model owner | Hard-coded model input</v>
      </c>
      <c r="K127" s="2504" t="str">
        <f>$AW$221</f>
        <v>Current detailed data-book amount.</v>
      </c>
      <c r="AJ127" s="578" t="str">
        <v>INV-008</v>
      </c>
      <c r="AK127" s="579" t="str">
        <v>Investors and ownership</v>
      </c>
      <c r="AL127" s="579" t="str">
        <v>Waterfall</v>
      </c>
      <c r="AM127" s="579" t="str">
        <v>Tier 1 promote</v>
      </c>
      <c r="AN127" s="579" t="str">
        <v>%</v>
      </c>
      <c r="AO127" s="579" t="str">
        <v>Current</v>
      </c>
      <c r="AP127" s="585" t="n">
        <v>0.15</v>
      </c>
      <c r="AQ127" s="585"/>
      <c r="AR127" s="585"/>
      <c r="AS127" s="588" t="str">
        <f>IFERROR(INDEX('DATA MAP'!$C$8:$C$137,MATCH($AJ127,'DATA MAP'!$A$8:$A$137,0))&amp;IF(INDEX('DATA MAP'!$D$8:$D$137,MATCH($AJ127,'DATA MAP'!$A$8:$A$137,0))="",""," | "&amp;INDEX('DATA MAP'!$D$8:$D$137,MATCH($AJ127,'DATA MAP'!$A$8:$A$137,0))),"Not provided")</f>
        <v>Target: Underwriting | G234</v>
      </c>
      <c r="AT127" s="588"/>
      <c r="AU127" s="588" t="str">
        <f>IFERROR(INDEX('DATA MAP'!$I$8:$I$137,MATCH($AJ127,'DATA MAP'!$A$8:$A$137,0)),"Review Required")</f>
        <v>Waived — named investor schedule controls</v>
      </c>
      <c r="AV127" s="588" t="str">
        <f>IF(OR($AU127="Conflict",$AU127="Review Required",$AU127="New Input Required",$AU127="Unsupported"),"Management","Model owner")</f>
        <v>Model owner</v>
      </c>
      <c r="AW127" s="588" t="str">
        <f>IFERROR(INDEX('DATA MAP'!$K$8:$K$137,MATCH($AJ127,'DATA MAP'!$A$8:$A$137,0)),"Management confirmation required.")</f>
        <v>No source ownership/waterfall schedule supports replacement. | The generic GP/LP placeholder and waterfall assumptions are not used for named-investor attribution; the funded ordinary-equity register controls.</v>
      </c>
      <c r="AX127" t="str">
        <v>Superseded / inactive</v>
      </c>
      <c r="AY127" s="2440" t="n">
        <f>$H$235</f>
        <v>0.15</v>
      </c>
      <c r="AZ127" t="str">
        <v>No</v>
      </c>
      <c r="BA127" t="str">
        <v>Underwriting</v>
      </c>
      <c r="BB127" t="str">
        <v>G234</v>
      </c>
      <c r="BC127" t="str">
        <v>Target model</v>
      </c>
      <c r="BD127" t="str">
        <v>No</v>
      </c>
      <c r="BE127" t="str">
        <v>Confirm executed investor identities, funded amounts, dilution and shareholder rights.</v>
      </c>
      <c r="BF127" s="2442" t="n">
        <v>46231</v>
      </c>
      <c r="BG127" t="str">
        <f>IF($AZ127="No","PASS",IF(OR($AX127="Owner decision outstanding",$BD127="OWNER DECISION"),"WARNING",IF(OR($AP127="",$AN127="",$AS127="",$AV127=""),"FAIL","PASS")))</f>
        <v>PASS</v>
      </c>
    </row>
    <row r="128" ht="24" customHeight="1">
      <c r="A128" s="2504" t="str">
        <f>$AJ$222</f>
        <v>CMP-URWLD-FIT</v>
      </c>
      <c r="B128" s="2504" t="str">
        <f>$AL$222</f>
        <v>URWLD</v>
      </c>
      <c r="C128" s="2541" t="str">
        <f>$AM$222</f>
        <v>Fit-out CAPEX</v>
      </c>
      <c r="D128" s="2544" t="str">
        <f>$AN$222&amp;IF($AO$222="",""," | "&amp;IF($AN$222="Date",TEXT($AO$222,"dd mmm yyyy"),$AO$222))</f>
        <v>A$m | Current budget</v>
      </c>
      <c r="E128" s="2624" t="n">
        <v>0</v>
      </c>
      <c r="F128" s="2506"/>
      <c r="G128" s="2506"/>
      <c r="H128" s="2506" t="n">
        <f>IF($A128="","",$E128)</f>
        <v>0</v>
      </c>
      <c r="I128" s="2543" t="str">
        <f>$AU$222&amp;IF($AS$222="",""," | "&amp;$AS$222)</f>
        <v>Mapped | PROJECT CASH FLOW | I8</v>
      </c>
      <c r="J128" s="2504" t="str">
        <f>$AV$222&amp;" | "&amp;$AX$222</f>
        <v>Model owner | Hard-coded model input</v>
      </c>
      <c r="K128" s="2504" t="str">
        <f>$AW$222</f>
        <v>Current detailed data-book amount.</v>
      </c>
      <c r="AJ128" s="578" t="str">
        <v>INV-009</v>
      </c>
      <c r="AK128" s="579" t="str">
        <v>Investors and ownership</v>
      </c>
      <c r="AL128" s="579" t="str">
        <v>Waterfall</v>
      </c>
      <c r="AM128" s="579" t="str">
        <v>Tier 2 promote</v>
      </c>
      <c r="AN128" s="579" t="str">
        <v>%</v>
      </c>
      <c r="AO128" s="579" t="str">
        <v>Current</v>
      </c>
      <c r="AP128" s="585" t="n">
        <v>0.3</v>
      </c>
      <c r="AQ128" s="585"/>
      <c r="AR128" s="585"/>
      <c r="AS128" s="588" t="str">
        <f>IFERROR(INDEX('DATA MAP'!$C$8:$C$137,MATCH($AJ128,'DATA MAP'!$A$8:$A$137,0))&amp;IF(INDEX('DATA MAP'!$D$8:$D$137,MATCH($AJ128,'DATA MAP'!$A$8:$A$137,0))="",""," | "&amp;INDEX('DATA MAP'!$D$8:$D$137,MATCH($AJ128,'DATA MAP'!$A$8:$A$137,0))),"Not provided")</f>
        <v>Target: Underwriting | G235</v>
      </c>
      <c r="AT128" s="588"/>
      <c r="AU128" s="588" t="str">
        <f>IFERROR(INDEX('DATA MAP'!$I$8:$I$137,MATCH($AJ128,'DATA MAP'!$A$8:$A$137,0)),"Review Required")</f>
        <v>Waived — named investor schedule controls</v>
      </c>
      <c r="AV128" s="588" t="str">
        <f>IF(OR($AU128="Conflict",$AU128="Review Required",$AU128="New Input Required",$AU128="Unsupported"),"Management","Model owner")</f>
        <v>Model owner</v>
      </c>
      <c r="AW128" s="588" t="str">
        <f>IFERROR(INDEX('DATA MAP'!$K$8:$K$137,MATCH($AJ128,'DATA MAP'!$A$8:$A$137,0)),"Management confirmation required.")</f>
        <v>No source ownership/waterfall schedule supports replacement. | The generic GP/LP placeholder and waterfall assumptions are not used for named-investor attribution; the funded ordinary-equity register controls.</v>
      </c>
      <c r="AX128" t="str">
        <v>Superseded / inactive</v>
      </c>
      <c r="AY128" s="2440" t="n">
        <f>$H$236</f>
        <v>0.3</v>
      </c>
      <c r="AZ128" t="str">
        <v>No</v>
      </c>
      <c r="BA128" t="str">
        <v>Underwriting</v>
      </c>
      <c r="BB128" t="str">
        <v>G235</v>
      </c>
      <c r="BC128" t="str">
        <v>Target model</v>
      </c>
      <c r="BD128" t="str">
        <v>No</v>
      </c>
      <c r="BE128" t="str">
        <v>Confirm executed investor identities, funded amounts, dilution and shareholder rights.</v>
      </c>
      <c r="BF128" s="2442" t="n">
        <v>46231</v>
      </c>
      <c r="BG128" t="str">
        <f>IF($AZ128="No","PASS",IF(OR($AX128="Owner decision outstanding",$BD128="OWNER DECISION"),"WARNING",IF(OR($AP128="",$AN128="",$AS128="",$AV128=""),"FAIL","PASS")))</f>
        <v>PASS</v>
      </c>
    </row>
    <row r="129" ht="24" customHeight="1">
      <c r="A129" s="2513" t="str">
        <f>$AJ$225</f>
        <v>CMP-PBSA-CORE</v>
      </c>
      <c r="B129" s="2513" t="str">
        <f>$AL$225</f>
        <v>PBSA/student accommodation</v>
      </c>
      <c r="C129" s="2513" t="str">
        <f>$AM$225</f>
        <v>Core / shell CAPEX</v>
      </c>
      <c r="D129" s="2513" t="str">
        <f>$AN$225&amp;IF($AO$225="",""," | "&amp;IF($AN$225="Date",TEXT($AO$225,"dd mmm yyyy"),$AO$225))</f>
        <v>A$m | Current budget</v>
      </c>
      <c r="E129" s="2630" t="n">
        <v>87.57</v>
      </c>
      <c r="F129" s="2515"/>
      <c r="G129" s="2515"/>
      <c r="H129" s="2515" t="n">
        <f>IF($A129="","",$E129)</f>
        <v>87.57</v>
      </c>
      <c r="I129" s="2543" t="str">
        <f>$AU$225&amp;IF($AS$225="",""," | "&amp;$AS$225)</f>
        <v>Mapped | PROJECT CASH FLOW | H9</v>
      </c>
      <c r="J129" s="2504" t="str">
        <f>$AV$225&amp;" | "&amp;$AX$225</f>
        <v>Model owner | Hard-coded model input</v>
      </c>
      <c r="K129" s="2504" t="str">
        <f>$AW$225</f>
        <v>Current detailed data-book amount.</v>
      </c>
      <c r="AJ129" s="578" t="str">
        <v>INV-010</v>
      </c>
      <c r="AK129" s="579" t="str">
        <v>Investors and ownership</v>
      </c>
      <c r="AL129" s="579" t="str">
        <v>Waterfall</v>
      </c>
      <c r="AM129" s="579" t="str">
        <v>Tier 3 promote</v>
      </c>
      <c r="AN129" s="579" t="str">
        <v>%</v>
      </c>
      <c r="AO129" s="579" t="str">
        <v>Current</v>
      </c>
      <c r="AP129" s="585" t="n">
        <v>0.4</v>
      </c>
      <c r="AQ129" s="585"/>
      <c r="AR129" s="585"/>
      <c r="AS129" s="588" t="str">
        <f>IFERROR(INDEX('DATA MAP'!$C$8:$C$137,MATCH($AJ129,'DATA MAP'!$A$8:$A$137,0))&amp;IF(INDEX('DATA MAP'!$D$8:$D$137,MATCH($AJ129,'DATA MAP'!$A$8:$A$137,0))="",""," | "&amp;INDEX('DATA MAP'!$D$8:$D$137,MATCH($AJ129,'DATA MAP'!$A$8:$A$137,0))),"Not provided")</f>
        <v>Target: Underwriting | G236</v>
      </c>
      <c r="AT129" s="588"/>
      <c r="AU129" s="588" t="str">
        <f>IFERROR(INDEX('DATA MAP'!$I$8:$I$137,MATCH($AJ129,'DATA MAP'!$A$8:$A$137,0)),"Review Required")</f>
        <v>Waived — named investor schedule controls</v>
      </c>
      <c r="AV129" s="588" t="str">
        <f>IF(OR($AU129="Conflict",$AU129="Review Required",$AU129="New Input Required",$AU129="Unsupported"),"Management","Model owner")</f>
        <v>Model owner</v>
      </c>
      <c r="AW129" s="588" t="str">
        <f>IFERROR(INDEX('DATA MAP'!$K$8:$K$137,MATCH($AJ129,'DATA MAP'!$A$8:$A$137,0)),"Management confirmation required.")</f>
        <v>No source ownership/waterfall schedule supports replacement. | The generic GP/LP placeholder and waterfall assumptions are not used for named-investor attribution; the funded ordinary-equity register controls.</v>
      </c>
      <c r="AX129" t="str">
        <v>Superseded / inactive</v>
      </c>
      <c r="AY129" s="2440" t="n">
        <f>$H$237</f>
        <v>0.4</v>
      </c>
      <c r="AZ129" t="str">
        <v>No</v>
      </c>
      <c r="BA129" t="str">
        <v>Underwriting</v>
      </c>
      <c r="BB129" t="str">
        <v>G236</v>
      </c>
      <c r="BC129" t="str">
        <v>Target model</v>
      </c>
      <c r="BD129" t="str">
        <v>No</v>
      </c>
      <c r="BE129" t="str">
        <v>Confirm executed investor identities, funded amounts, dilution and shareholder rights.</v>
      </c>
      <c r="BF129" s="2442" t="n">
        <v>46231</v>
      </c>
      <c r="BG129" t="str">
        <f>IF($AZ129="No","PASS",IF(OR($AX129="Owner decision outstanding",$BD129="OWNER DECISION"),"WARNING",IF(OR($AP129="",$AN129="",$AS129="",$AV129=""),"FAIL","PASS")))</f>
        <v>PASS</v>
      </c>
    </row>
    <row r="130" ht="24" customHeight="1">
      <c r="A130" s="2508" t="str">
        <f>$AJ$226</f>
        <v>CMP-PBSA-FIT</v>
      </c>
      <c r="B130" s="2508" t="str">
        <f>$AL$226</f>
        <v>PBSA/student accommodation</v>
      </c>
      <c r="C130" s="2508" t="str">
        <f>$AM$226</f>
        <v>Fit-out CAPEX</v>
      </c>
      <c r="D130" s="2508" t="str">
        <f>$AN$226&amp;IF($AO$226="",""," | "&amp;IF($AN$226="Date",TEXT($AO$226,"dd mmm yyyy"),$AO$226))</f>
        <v>A$m | Current budget</v>
      </c>
      <c r="E130" s="2627" t="n">
        <v>26.63</v>
      </c>
      <c r="F130" s="2510"/>
      <c r="G130" s="2510"/>
      <c r="H130" s="2510" t="n">
        <f>IF($A130="","",$E130)</f>
        <v>26.63</v>
      </c>
      <c r="I130" s="2543" t="str">
        <f>$AU$226&amp;IF($AS$226="",""," | "&amp;$AS$226)</f>
        <v>Mapped | PROJECT CASH FLOW | I9</v>
      </c>
      <c r="J130" s="2504" t="str">
        <f>$AV$226&amp;" | "&amp;$AX$226</f>
        <v>Model owner | Hard-coded model input</v>
      </c>
      <c r="K130" s="2504" t="str">
        <f>$AW$226</f>
        <v>Current detailed data-book amount.</v>
      </c>
      <c r="AJ130" s="578" t="str">
        <v>INV-SRC-01</v>
      </c>
      <c r="AK130" s="579" t="str">
        <v>Investors and ownership</v>
      </c>
      <c r="AL130" s="579" t="str">
        <v>Mayabay</v>
      </c>
      <c r="AM130" s="579" t="str">
        <v>Indicative source funding</v>
      </c>
      <c r="AN130" s="579" t="str">
        <v>A$m</v>
      </c>
      <c r="AO130" s="579" t="str">
        <v>Source funding plan</v>
      </c>
      <c r="AP130" s="584" t="n">
        <v>15.001</v>
      </c>
      <c r="AQ130" s="584"/>
      <c r="AR130" s="584"/>
      <c r="AS130" s="588" t="str">
        <f>IFERROR(INDEX('DATA MAP'!$C$8:$C$137,MATCH($AJ130,'DATA MAP'!$A$8:$A$137,0))&amp;IF(INDEX('DATA MAP'!$D$8:$D$137,MATCH($AJ130,'DATA MAP'!$A$8:$A$137,0))="",""," | "&amp;INDEX('DATA MAP'!$D$8:$D$137,MATCH($AJ130,'DATA MAP'!$A$8:$A$137,0))),"Not provided")</f>
        <v>PROJECT CASH FLOW | E103</v>
      </c>
      <c r="AT130" s="588"/>
      <c r="AU130" s="588" t="str">
        <f>IFERROR(INDEX('DATA MAP'!$I$8:$I$137,MATCH($AJ130,'DATA MAP'!$A$8:$A$137,0)),"Review Required")</f>
        <v>Mapped — provisional</v>
      </c>
      <c r="AV130" s="588" t="str">
        <f>IF(OR($AU130="Conflict",$AU130="Review Required",$AU130="New Input Required",$AU130="Unsupported"),"Management","Model owner")</f>
        <v>Model owner</v>
      </c>
      <c r="AW130" s="588" t="str">
        <f>IFERROR(INDEX('DATA MAP'!$K$8:$K$137,MATCH($AJ130,'DATA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0" t="str">
        <v>Derived calculation</v>
      </c>
      <c r="AY130" s="2440" t="n">
        <f>$H$238</f>
        <v>15.001</v>
      </c>
      <c r="AZ130" t="str">
        <v>Yes</v>
      </c>
      <c r="BA130" t="str">
        <v>Underwriting</v>
      </c>
      <c r="BB130" t="str">
        <v>Investor waterfall</v>
      </c>
      <c r="BC130" t="str">
        <v>PROJECTS register book(4).xlsm</v>
      </c>
      <c r="BD130" t="str">
        <v>No</v>
      </c>
      <c r="BE130" t="str">
        <v>Confirm executed investor identities, funded amounts, dilution and shareholder rights.</v>
      </c>
      <c r="BF130" s="2442" t="n">
        <v>46231</v>
      </c>
      <c r="BG130" t="str">
        <f>IF($AZ130="No","PASS",IF(OR($AX130="Owner decision outstanding",$BD130="OWNER DECISION"),"WARNING",IF(OR($AP130="",$AN130="",$AS130="",$AV130=""),"FAIL","PASS")))</f>
        <v>PASS</v>
      </c>
    </row>
    <row r="131" ht="24" customHeight="1">
      <c r="A131" s="2517" t="str">
        <f>$AJ$229</f>
        <v>CMP-LIVE-CORE</v>
      </c>
      <c r="B131" s="2517" t="str">
        <f>$AL$229</f>
        <v>LiveHouse</v>
      </c>
      <c r="C131" s="2517" t="str">
        <f>$AM$229</f>
        <v>Core / shell CAPEX</v>
      </c>
      <c r="D131" s="2504" t="str">
        <f>$AN$229&amp;IF($AO$229="",""," | "&amp;IF($AN$229="Date",TEXT($AO$229,"dd mmm yyyy"),$AO$229))</f>
        <v>A$m | Current budget</v>
      </c>
      <c r="E131" s="2624" t="n">
        <v>12.84499125</v>
      </c>
      <c r="F131" s="2506"/>
      <c r="G131" s="2506"/>
      <c r="H131" s="2506" t="n">
        <f>IF($A131="","",$E131)</f>
        <v>12.84499125</v>
      </c>
      <c r="I131" s="2543" t="str">
        <f>$AU$229&amp;IF($AS$229="",""," | "&amp;$AS$229)</f>
        <v>Mapped | PROJECT CASH FLOW | H10</v>
      </c>
      <c r="J131" s="2504" t="str">
        <f>$AV$229&amp;" | "&amp;$AX$229</f>
        <v>Model owner | Hard-coded model input</v>
      </c>
      <c r="K131" s="2504" t="str">
        <f>$AW$229</f>
        <v>Current detailed data-book amount.</v>
      </c>
      <c r="AJ131" s="578" t="str">
        <v>INV-SRC-02</v>
      </c>
      <c r="AK131" s="579" t="str">
        <v>Investors and ownership</v>
      </c>
      <c r="AL131" s="579" t="str">
        <v>Australian Investor 1</v>
      </c>
      <c r="AM131" s="579" t="str">
        <v>Indicative source funding</v>
      </c>
      <c r="AN131" s="579" t="str">
        <v>A$m</v>
      </c>
      <c r="AO131" s="579" t="str">
        <v>Source funding plan</v>
      </c>
      <c r="AP131" s="584" t="n">
        <v>10</v>
      </c>
      <c r="AQ131" s="584"/>
      <c r="AR131" s="584"/>
      <c r="AS131" s="588" t="str">
        <f>IFERROR(INDEX('DATA MAP'!$C$8:$C$137,MATCH($AJ131,'DATA MAP'!$A$8:$A$137,0))&amp;IF(INDEX('DATA MAP'!$D$8:$D$137,MATCH($AJ131,'DATA MAP'!$A$8:$A$137,0))="",""," | "&amp;INDEX('DATA MAP'!$D$8:$D$137,MATCH($AJ131,'DATA MAP'!$A$8:$A$137,0))),"Not provided")</f>
        <v>PROJECT CASH FLOW | E104</v>
      </c>
      <c r="AT131" s="588"/>
      <c r="AU131" s="588" t="str">
        <f>IFERROR(INDEX('DATA MAP'!$I$8:$I$137,MATCH($AJ131,'DATA MAP'!$A$8:$A$137,0)),"Review Required")</f>
        <v>Mapped — provisional</v>
      </c>
      <c r="AV131" s="588" t="str">
        <f>IF(OR($AU131="Conflict",$AU131="Review Required",$AU131="New Input Required",$AU131="Unsupported"),"Management","Model owner")</f>
        <v>Model owner</v>
      </c>
      <c r="AW131" s="588" t="str">
        <f>IFERROR(INDEX('DATA MAP'!$K$8:$K$137,MATCH($AJ131,'DATA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1" t="str">
        <v>Derived calculation</v>
      </c>
      <c r="AY131" s="2440" t="n">
        <f>$H$239</f>
        <v>10</v>
      </c>
      <c r="AZ131" t="str">
        <v>Yes</v>
      </c>
      <c r="BA131" t="str">
        <v>Underwriting</v>
      </c>
      <c r="BB131" t="str">
        <v>Investor waterfall</v>
      </c>
      <c r="BC131" t="str">
        <v>PROJECTS register book(4).xlsm</v>
      </c>
      <c r="BD131" t="str">
        <v>No</v>
      </c>
      <c r="BE131" t="str">
        <v>Confirm executed investor identities, funded amounts, dilution and shareholder rights.</v>
      </c>
      <c r="BF131" s="2442" t="n">
        <v>46231</v>
      </c>
      <c r="BG131" t="str">
        <f>IF($AZ131="No","PASS",IF(OR($AX131="Owner decision outstanding",$BD131="OWNER DECISION"),"WARNING",IF(OR($AP131="",$AN131="",$AS131="",$AV131=""),"FAIL","PASS")))</f>
        <v>PASS</v>
      </c>
    </row>
    <row r="132" ht="24" customHeight="1">
      <c r="A132" s="2504" t="str">
        <f>$AJ$230</f>
        <v>CMP-LIVE-FIT</v>
      </c>
      <c r="B132" s="2508" t="str">
        <f>$AL$230</f>
        <v>LiveHouse</v>
      </c>
      <c r="C132" s="2504" t="str">
        <f>$AM$230</f>
        <v>Fit-out CAPEX</v>
      </c>
      <c r="D132" s="2504" t="str">
        <f>$AN$230&amp;IF($AO$230="",""," | "&amp;IF($AN$230="Date",TEXT($AO$230,"dd mmm yyyy"),$AO$230))</f>
        <v>A$m | Current budget</v>
      </c>
      <c r="E132" s="2624" t="n">
        <v>6.91653375</v>
      </c>
      <c r="F132" s="2506"/>
      <c r="G132" s="2506"/>
      <c r="H132" s="2506" t="n">
        <f>IF($A132="","",$E132)</f>
        <v>6.91653375</v>
      </c>
      <c r="I132" s="2543" t="str">
        <f>$AU$230&amp;IF($AS$230="",""," | "&amp;$AS$230)</f>
        <v>Mapped | PROJECT CASH FLOW | I10</v>
      </c>
      <c r="J132" s="2504" t="str">
        <f>$AV$230&amp;" | "&amp;$AX$230</f>
        <v>Model owner | Hard-coded model input</v>
      </c>
      <c r="K132" s="2504" t="str">
        <f>$AW$230</f>
        <v>Current detailed data-book amount.</v>
      </c>
      <c r="AJ132" s="578" t="str">
        <v>INV-SRC-03</v>
      </c>
      <c r="AK132" s="579" t="str">
        <v>Investors and ownership</v>
      </c>
      <c r="AL132" s="579" t="str">
        <v>Australian Investor 2</v>
      </c>
      <c r="AM132" s="579" t="str">
        <v>Indicative source funding</v>
      </c>
      <c r="AN132" s="579" t="str">
        <v>A$m</v>
      </c>
      <c r="AO132" s="579" t="str">
        <v>Source funding plan</v>
      </c>
      <c r="AP132" s="584" t="n">
        <v>5</v>
      </c>
      <c r="AQ132" s="584"/>
      <c r="AR132" s="584"/>
      <c r="AS132" s="588" t="str">
        <f>IFERROR(INDEX('DATA MAP'!$C$8:$C$137,MATCH($AJ132,'DATA MAP'!$A$8:$A$137,0))&amp;IF(INDEX('DATA MAP'!$D$8:$D$137,MATCH($AJ132,'DATA MAP'!$A$8:$A$137,0))="",""," | "&amp;INDEX('DATA MAP'!$D$8:$D$137,MATCH($AJ132,'DATA MAP'!$A$8:$A$137,0))),"Not provided")</f>
        <v>PROJECT CASH FLOW | E105</v>
      </c>
      <c r="AT132" s="588"/>
      <c r="AU132" s="588" t="str">
        <f>IFERROR(INDEX('DATA MAP'!$I$8:$I$137,MATCH($AJ132,'DATA MAP'!$A$8:$A$137,0)),"Review Required")</f>
        <v>Mapped — provisional</v>
      </c>
      <c r="AV132" s="588" t="str">
        <f>IF(OR($AU132="Conflict",$AU132="Review Required",$AU132="New Input Required",$AU132="Unsupported"),"Management","Model owner")</f>
        <v>Model owner</v>
      </c>
      <c r="AW132" s="588" t="str">
        <f>IFERROR(INDEX('DATA MAP'!$K$8:$K$137,MATCH($AJ132,'DATA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2" t="str">
        <v>Derived calculation</v>
      </c>
      <c r="AY132" s="2440" t="n">
        <f>$H$240</f>
        <v>5</v>
      </c>
      <c r="AZ132" t="str">
        <v>Yes</v>
      </c>
      <c r="BA132" t="str">
        <v>Underwriting</v>
      </c>
      <c r="BB132" t="str">
        <v>Investor waterfall</v>
      </c>
      <c r="BC132" t="str">
        <v>PROJECTS register book(4).xlsm</v>
      </c>
      <c r="BD132" t="str">
        <v>No</v>
      </c>
      <c r="BE132" t="str">
        <v>Confirm executed investor identities, funded amounts, dilution and shareholder rights.</v>
      </c>
      <c r="BF132" s="2442" t="n">
        <v>46231</v>
      </c>
      <c r="BG132" t="str">
        <f>IF($AZ132="No","PASS",IF(OR($AX132="Owner decision outstanding",$BD132="OWNER DECISION"),"WARNING",IF(OR($AP132="",$AN132="",$AS132="",$AV132=""),"FAIL","PASS")))</f>
        <v>PASS</v>
      </c>
    </row>
    <row r="133" ht="24" customHeight="1">
      <c r="A133" s="2504" t="str">
        <f>$AJ$233</f>
        <v>CMP-SNOW-CORE</v>
      </c>
      <c r="B133" s="2508" t="str">
        <f>$AL$233</f>
        <v>Snowtunnel</v>
      </c>
      <c r="C133" s="2504" t="str">
        <f>$AM$233</f>
        <v>Core / shell CAPEX</v>
      </c>
      <c r="D133" s="2504" t="str">
        <f>$AN$233&amp;IF($AO$233="",""," | "&amp;IF($AN$233="Date",TEXT($AO$233,"dd mmm yyyy"),$AO$233))</f>
        <v>A$m | Current budget</v>
      </c>
      <c r="E133" s="2624" t="n">
        <v>13</v>
      </c>
      <c r="F133" s="2506"/>
      <c r="G133" s="2506"/>
      <c r="H133" s="2506" t="n">
        <f>IF($A133="","",$E133)</f>
        <v>13</v>
      </c>
      <c r="I133" s="2543" t="str">
        <f>$AU$233&amp;IF($AS$233="",""," | "&amp;$AS$233)</f>
        <v>Mapped | PROJECT CASH FLOW | H14</v>
      </c>
      <c r="J133" s="2504" t="str">
        <f>$AV$233&amp;" | "&amp;$AX$233</f>
        <v>Model owner | Hard-coded model input</v>
      </c>
      <c r="K133" s="2504" t="str">
        <f>$AW$233</f>
        <v>Current detailed data-book amount.</v>
      </c>
      <c r="AJ133" s="578" t="str">
        <v>INV-SRC-04</v>
      </c>
      <c r="AK133" s="579" t="str">
        <v>Investors and ownership</v>
      </c>
      <c r="AL133" s="579" t="str">
        <v>Australian Investor 3</v>
      </c>
      <c r="AM133" s="579" t="str">
        <v>Indicative source funding</v>
      </c>
      <c r="AN133" s="579" t="str">
        <v>A$m</v>
      </c>
      <c r="AO133" s="579" t="str">
        <v>Source funding plan</v>
      </c>
      <c r="AP133" s="584" t="n">
        <v>2</v>
      </c>
      <c r="AQ133" s="584"/>
      <c r="AR133" s="584"/>
      <c r="AS133" s="588" t="str">
        <f>IFERROR(INDEX('DATA MAP'!$C$8:$C$137,MATCH($AJ133,'DATA MAP'!$A$8:$A$137,0))&amp;IF(INDEX('DATA MAP'!$D$8:$D$137,MATCH($AJ133,'DATA MAP'!$A$8:$A$137,0))="",""," | "&amp;INDEX('DATA MAP'!$D$8:$D$137,MATCH($AJ133,'DATA MAP'!$A$8:$A$137,0))),"Not provided")</f>
        <v>PROJECT CASH FLOW | E106</v>
      </c>
      <c r="AT133" s="588"/>
      <c r="AU133" s="588" t="str">
        <f>IFERROR(INDEX('DATA MAP'!$I$8:$I$137,MATCH($AJ133,'DATA MAP'!$A$8:$A$137,0)),"Review Required")</f>
        <v>Mapped — provisional</v>
      </c>
      <c r="AV133" s="588" t="str">
        <f>IF(OR($AU133="Conflict",$AU133="Review Required",$AU133="New Input Required",$AU133="Unsupported"),"Management","Model owner")</f>
        <v>Model owner</v>
      </c>
      <c r="AW133" s="588" t="str">
        <f>IFERROR(INDEX('DATA MAP'!$K$8:$K$137,MATCH($AJ133,'DATA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3" t="str">
        <v>Derived calculation</v>
      </c>
      <c r="AY133" s="2440" t="n">
        <f>$H$241</f>
        <v>2</v>
      </c>
      <c r="AZ133" t="str">
        <v>Yes</v>
      </c>
      <c r="BA133" t="str">
        <v>Underwriting</v>
      </c>
      <c r="BB133" t="str">
        <v>Investor waterfall</v>
      </c>
      <c r="BC133" t="str">
        <v>PROJECTS register book(4).xlsm</v>
      </c>
      <c r="BD133" t="str">
        <v>No</v>
      </c>
      <c r="BE133" t="str">
        <v>Confirm executed investor identities, funded amounts, dilution and shareholder rights.</v>
      </c>
      <c r="BF133" s="2442" t="n">
        <v>46231</v>
      </c>
      <c r="BG133" t="str">
        <f>IF($AZ133="No","PASS",IF(OR($AX133="Owner decision outstanding",$BD133="OWNER DECISION"),"WARNING",IF(OR($AP133="",$AN133="",$AS133="",$AV133=""),"FAIL","PASS")))</f>
        <v>PASS</v>
      </c>
    </row>
    <row r="134" ht="24" customHeight="1">
      <c r="A134" s="2504" t="str">
        <f>$AJ$234</f>
        <v>CMP-SNOW-FIT</v>
      </c>
      <c r="B134" s="2508" t="str">
        <f>$AL$234</f>
        <v>Snowtunnel</v>
      </c>
      <c r="C134" s="2504" t="str">
        <f>$AM$234</f>
        <v>Fit-out CAPEX</v>
      </c>
      <c r="D134" s="2504" t="str">
        <f>$AN$234&amp;IF($AO$234="",""," | "&amp;IF($AN$234="Date",TEXT($AO$234,"dd mmm yyyy"),$AO$234))</f>
        <v>A$m | Current budget</v>
      </c>
      <c r="E134" s="2624" t="n">
        <v>0</v>
      </c>
      <c r="F134" s="2506"/>
      <c r="G134" s="2506"/>
      <c r="H134" s="2506" t="n">
        <f>IF($A134="","",$E134)</f>
        <v>0</v>
      </c>
      <c r="I134" s="2543" t="str">
        <f>$AU$234&amp;IF($AS$234="",""," | "&amp;$AS$234)</f>
        <v>Mapped | PROJECT CASH FLOW | I14</v>
      </c>
      <c r="J134" s="2504" t="str">
        <f>$AV$234&amp;" | "&amp;$AX$234</f>
        <v>Model owner | Hard-coded model input</v>
      </c>
      <c r="K134" s="2504" t="str">
        <f>$AW$234</f>
        <v>Current detailed data-book amount.</v>
      </c>
      <c r="AJ134" s="578" t="str">
        <v>INV-SRC-05</v>
      </c>
      <c r="AK134" s="579" t="str">
        <v>Investors and ownership</v>
      </c>
      <c r="AL134" s="579" t="str">
        <v>Australian Investor 4</v>
      </c>
      <c r="AM134" s="579" t="str">
        <v>Indicative source funding</v>
      </c>
      <c r="AN134" s="579" t="str">
        <v>A$m</v>
      </c>
      <c r="AO134" s="579" t="str">
        <v>Source funding plan</v>
      </c>
      <c r="AP134" s="584" t="n">
        <v>1</v>
      </c>
      <c r="AQ134" s="584"/>
      <c r="AR134" s="584"/>
      <c r="AS134" s="588" t="str">
        <f>IFERROR(INDEX('DATA MAP'!$C$8:$C$137,MATCH($AJ134,'DATA MAP'!$A$8:$A$137,0))&amp;IF(INDEX('DATA MAP'!$D$8:$D$137,MATCH($AJ134,'DATA MAP'!$A$8:$A$137,0))="",""," | "&amp;INDEX('DATA MAP'!$D$8:$D$137,MATCH($AJ134,'DATA MAP'!$A$8:$A$137,0))),"Not provided")</f>
        <v>PROJECT CASH FLOW | E107</v>
      </c>
      <c r="AT134" s="588"/>
      <c r="AU134" s="588" t="str">
        <f>IFERROR(INDEX('DATA MAP'!$I$8:$I$137,MATCH($AJ134,'DATA MAP'!$A$8:$A$137,0)),"Review Required")</f>
        <v>Mapped — provisional</v>
      </c>
      <c r="AV134" s="588" t="str">
        <f>IF(OR($AU134="Conflict",$AU134="Review Required",$AU134="New Input Required",$AU134="Unsupported"),"Management","Model owner")</f>
        <v>Model owner</v>
      </c>
      <c r="AW134" s="588" t="str">
        <f>IFERROR(INDEX('DATA MAP'!$K$8:$K$137,MATCH($AJ134,'DATA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4" t="str">
        <v>Derived calculation</v>
      </c>
      <c r="AY134" s="2440" t="n">
        <f>$H$242</f>
        <v>1</v>
      </c>
      <c r="AZ134" t="str">
        <v>Yes</v>
      </c>
      <c r="BA134" t="str">
        <v>Underwriting</v>
      </c>
      <c r="BB134" t="str">
        <v>Investor waterfall</v>
      </c>
      <c r="BC134" t="str">
        <v>PROJECTS register book(4).xlsm</v>
      </c>
      <c r="BD134" t="str">
        <v>No</v>
      </c>
      <c r="BE134" t="str">
        <v>Confirm executed investor identities, funded amounts, dilution and shareholder rights.</v>
      </c>
      <c r="BF134" s="2442" t="n">
        <v>46231</v>
      </c>
      <c r="BG134" t="str">
        <f>IF($AZ134="No","PASS",IF(OR($AX134="Owner decision outstanding",$BD134="OWNER DECISION"),"WARNING",IF(OR($AP134="",$AN134="",$AS134="",$AV134=""),"FAIL","PASS")))</f>
        <v>PASS</v>
      </c>
    </row>
    <row r="135" ht="24" customHeight="1">
      <c r="A135" s="2504" t="str">
        <f>$AJ$237</f>
        <v>CMP-GEN-CORE</v>
      </c>
      <c r="B135" s="2504" t="str">
        <f>$AL$237</f>
        <v>Genesis</v>
      </c>
      <c r="C135" s="2504" t="str">
        <f>$AM$237</f>
        <v>Core / shell CAPEX</v>
      </c>
      <c r="D135" s="2504" t="str">
        <f>$AN$237&amp;IF($AO$237="",""," | "&amp;IF($AN$237="Date",TEXT($AO$237,"dd mmm yyyy"),$AO$237))</f>
        <v>A$m | Current budget</v>
      </c>
      <c r="E135" s="2624" t="n">
        <v>14.5</v>
      </c>
      <c r="F135" s="2506"/>
      <c r="G135" s="2506"/>
      <c r="H135" s="2506" t="n">
        <f>IF($A135="","",$E135)</f>
        <v>14.5</v>
      </c>
      <c r="I135" s="2543" t="str">
        <f>$AU$237&amp;IF($AS$237="",""," | "&amp;$AS$237)</f>
        <v>Mapped | PROJECT CASH FLOW | H12</v>
      </c>
      <c r="J135" s="2504" t="str">
        <f>$AV$237&amp;" | "&amp;$AX$237</f>
        <v>Model owner | Hard-coded model input</v>
      </c>
      <c r="K135" s="2504" t="str">
        <f>$AW$237</f>
        <v>Current detailed data-book amount.</v>
      </c>
      <c r="AJ135" s="578" t="str">
        <v>INV-SRC-06</v>
      </c>
      <c r="AK135" s="579" t="str">
        <v>Investors and ownership</v>
      </c>
      <c r="AL135" s="579" t="str">
        <v>Australian Investor 5</v>
      </c>
      <c r="AM135" s="579" t="str">
        <v>Indicative source funding</v>
      </c>
      <c r="AN135" s="579" t="str">
        <v>A$m</v>
      </c>
      <c r="AO135" s="579" t="str">
        <v>Source funding plan</v>
      </c>
      <c r="AP135" s="584" t="n">
        <v>0.83</v>
      </c>
      <c r="AQ135" s="584"/>
      <c r="AR135" s="584"/>
      <c r="AS135" s="588" t="str">
        <f>IFERROR(INDEX('DATA MAP'!$C$8:$C$137,MATCH($AJ135,'DATA MAP'!$A$8:$A$137,0))&amp;IF(INDEX('DATA MAP'!$D$8:$D$137,MATCH($AJ135,'DATA MAP'!$A$8:$A$137,0))="",""," | "&amp;INDEX('DATA MAP'!$D$8:$D$137,MATCH($AJ135,'DATA MAP'!$A$8:$A$137,0))),"Not provided")</f>
        <v>PROJECT CASH FLOW | E108</v>
      </c>
      <c r="AT135" s="588"/>
      <c r="AU135" s="588" t="str">
        <f>IFERROR(INDEX('DATA MAP'!$I$8:$I$137,MATCH($AJ135,'DATA MAP'!$A$8:$A$137,0)),"Review Required")</f>
        <v>Mapped — provisional</v>
      </c>
      <c r="AV135" s="588" t="str">
        <f>IF(OR($AU135="Conflict",$AU135="Review Required",$AU135="New Input Required",$AU135="Unsupported"),"Management","Model owner")</f>
        <v>Model owner</v>
      </c>
      <c r="AW135" s="588" t="str">
        <f>IFERROR(INDEX('DATA MAP'!$K$8:$K$137,MATCH($AJ135,'DATA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5" t="str">
        <v>Derived calculation</v>
      </c>
      <c r="AY135" s="2440" t="n">
        <f>$H$243</f>
        <v>0.83</v>
      </c>
      <c r="AZ135" t="str">
        <v>Yes</v>
      </c>
      <c r="BA135" t="str">
        <v>Underwriting</v>
      </c>
      <c r="BB135" t="str">
        <v>Investor waterfall</v>
      </c>
      <c r="BC135" t="str">
        <v>PROJECTS register book(4).xlsm</v>
      </c>
      <c r="BD135" t="str">
        <v>No</v>
      </c>
      <c r="BE135" t="str">
        <v>Confirm executed investor identities, funded amounts, dilution and shareholder rights.</v>
      </c>
      <c r="BF135" s="2442" t="n">
        <v>46231</v>
      </c>
      <c r="BG135" t="str">
        <f>IF($AZ135="No","PASS",IF(OR($AX135="Owner decision outstanding",$BD135="OWNER DECISION"),"WARNING",IF(OR($AP135="",$AN135="",$AS135="",$AV135=""),"FAIL","PASS")))</f>
        <v>PASS</v>
      </c>
    </row>
    <row r="136" ht="24" customHeight="1">
      <c r="A136" s="2504" t="str">
        <f>$AJ$238</f>
        <v>CMP-GEN-FIT</v>
      </c>
      <c r="B136" s="2504" t="str">
        <f>$AL$238</f>
        <v>Genesis</v>
      </c>
      <c r="C136" s="2504" t="str">
        <f>$AM$238</f>
        <v>Fit-out CAPEX</v>
      </c>
      <c r="D136" s="2504" t="str">
        <f>$AN$238&amp;IF($AO$238="",""," | "&amp;IF($AN$238="Date",TEXT($AO$238,"dd mmm yyyy"),$AO$238))</f>
        <v>A$m | Current budget</v>
      </c>
      <c r="E136" s="2624" t="n">
        <v>0</v>
      </c>
      <c r="F136" s="2506"/>
      <c r="G136" s="2506"/>
      <c r="H136" s="2506" t="n">
        <f>IF($A136="","",$E136)</f>
        <v>0</v>
      </c>
      <c r="I136" s="2543" t="str">
        <f>$AU$238&amp;IF($AS$238="",""," | "&amp;$AS$238)</f>
        <v>Mapped | PROJECT CASH FLOW | I12</v>
      </c>
      <c r="J136" s="2504" t="str">
        <f>$AV$238&amp;" | "&amp;$AX$238</f>
        <v>Model owner | Hard-coded model input</v>
      </c>
      <c r="K136" s="2504" t="str">
        <f>$AW$238</f>
        <v>Current detailed data-book amount.</v>
      </c>
      <c r="AJ136" s="578" t="str">
        <v>INV-SRC-07</v>
      </c>
      <c r="AK136" s="579" t="str">
        <v>Investors and ownership</v>
      </c>
      <c r="AL136" s="579" t="str">
        <v>Australian Institutional Investors</v>
      </c>
      <c r="AM136" s="579" t="str">
        <v>Indicative source funding</v>
      </c>
      <c r="AN136" s="579" t="str">
        <v>A$m</v>
      </c>
      <c r="AO136" s="579" t="str">
        <v>Source funding plan</v>
      </c>
      <c r="AP136" s="584" t="n">
        <v>50</v>
      </c>
      <c r="AQ136" s="584"/>
      <c r="AR136" s="584"/>
      <c r="AS136" s="588" t="str">
        <f>IFERROR(INDEX('DATA MAP'!$C$8:$C$137,MATCH($AJ136,'DATA MAP'!$A$8:$A$137,0))&amp;IF(INDEX('DATA MAP'!$D$8:$D$137,MATCH($AJ136,'DATA MAP'!$A$8:$A$137,0))="",""," | "&amp;INDEX('DATA MAP'!$D$8:$D$137,MATCH($AJ136,'DATA MAP'!$A$8:$A$137,0))),"Not provided")</f>
        <v>PROJECT CASH FLOW | E109</v>
      </c>
      <c r="AT136" s="588"/>
      <c r="AU136" s="588" t="str">
        <f>IFERROR(INDEX('DATA MAP'!$I$8:$I$137,MATCH($AJ136,'DATA MAP'!$A$8:$A$137,0)),"Review Required")</f>
        <v>Mapped — provisional</v>
      </c>
      <c r="AV136" s="588" t="str">
        <f>IF(OR($AU136="Conflict",$AU136="Review Required",$AU136="New Input Required",$AU136="Unsupported"),"Management","Model owner")</f>
        <v>Model owner</v>
      </c>
      <c r="AW136" s="588" t="str">
        <f>IFERROR(INDEX('DATA MAP'!$K$8:$K$137,MATCH($AJ136,'DATA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6" t="str">
        <v>Derived calculation</v>
      </c>
      <c r="AY136" s="2440" t="n">
        <f>$H$244</f>
        <v>50</v>
      </c>
      <c r="AZ136" t="str">
        <v>Yes</v>
      </c>
      <c r="BA136" t="str">
        <v>Underwriting</v>
      </c>
      <c r="BB136" t="str">
        <v>Investor waterfall</v>
      </c>
      <c r="BC136" t="str">
        <v>PROJECTS register book(4).xlsm</v>
      </c>
      <c r="BD136" t="str">
        <v>No</v>
      </c>
      <c r="BE136" t="str">
        <v>Confirm executed investor identities, funded amounts, dilution and shareholder rights.</v>
      </c>
      <c r="BF136" s="2442" t="n">
        <v>46231</v>
      </c>
      <c r="BG136" t="str">
        <f>IF($AZ136="No","PASS",IF(OR($AX136="Owner decision outstanding",$BD136="OWNER DECISION"),"WARNING",IF(OR($AP136="",$AN136="",$AS136="",$AV136=""),"FAIL","PASS")))</f>
        <v>PASS</v>
      </c>
    </row>
    <row r="137" ht="24" customHeight="1">
      <c r="A137" s="2508" t="str">
        <f>$AJ$241</f>
        <v>CMP-PARK-CORE</v>
      </c>
      <c r="B137" s="2508" t="str">
        <f>$AL$241</f>
        <v>Parking</v>
      </c>
      <c r="C137" s="2508" t="str">
        <f>$AM$241</f>
        <v>Core / shell CAPEX</v>
      </c>
      <c r="D137" s="2508" t="str">
        <f>$AN$241&amp;IF($AO$241="",""," | "&amp;IF($AN$241="Date",TEXT($AO$241,"dd mmm yyyy"),$AO$241))</f>
        <v>A$m | Current budget</v>
      </c>
      <c r="E137" s="2627" t="n">
        <v>30.22</v>
      </c>
      <c r="F137" s="2510"/>
      <c r="G137" s="2510"/>
      <c r="H137" s="2510" t="n">
        <f>IF($A137="","",$E137)</f>
        <v>30.22</v>
      </c>
      <c r="I137" s="2543" t="str">
        <f>$AU$241&amp;IF($AS$241="",""," | "&amp;$AS$241)</f>
        <v>Mapped | PROJECT CASH FLOW | H13</v>
      </c>
      <c r="J137" s="2504" t="str">
        <f>$AV$241&amp;" | "&amp;$AX$241</f>
        <v>Model owner | Hard-coded model input</v>
      </c>
      <c r="K137" s="2504" t="str">
        <f>$AW$241</f>
        <v>Current detailed data-book amount.</v>
      </c>
      <c r="AJ137" s="578" t="str">
        <v>INV-SRC-08</v>
      </c>
      <c r="AK137" s="579" t="str">
        <v>Investors and ownership</v>
      </c>
      <c r="AL137" s="579" t="str">
        <v>Australian Institutional / Developer residual</v>
      </c>
      <c r="AM137" s="579" t="str">
        <v>Indicative source funding</v>
      </c>
      <c r="AN137" s="579" t="str">
        <v>A$m</v>
      </c>
      <c r="AO137" s="579" t="str">
        <v>Source funding plan</v>
      </c>
      <c r="AP137" s="584" t="n">
        <v>125.5482756423</v>
      </c>
      <c r="AQ137" s="584"/>
      <c r="AR137" s="584"/>
      <c r="AS137" s="588" t="str">
        <f>IFERROR(INDEX('DATA MAP'!$C$8:$C$137,MATCH($AJ137,'DATA MAP'!$A$8:$A$137,0))&amp;IF(INDEX('DATA MAP'!$D$8:$D$137,MATCH($AJ137,'DATA MAP'!$A$8:$A$137,0))="",""," | "&amp;INDEX('DATA MAP'!$D$8:$D$137,MATCH($AJ137,'DATA MAP'!$A$8:$A$137,0))),"Not provided")</f>
        <v>PROJECT CASH FLOW | E110</v>
      </c>
      <c r="AT137" s="588"/>
      <c r="AU137" s="588" t="str">
        <f>IFERROR(INDEX('DATA MAP'!$I$8:$I$137,MATCH($AJ137,'DATA MAP'!$A$8:$A$137,0)),"Review Required")</f>
        <v>Mapped — provisional</v>
      </c>
      <c r="AV137" s="588" t="str">
        <f>IF(OR($AU137="Conflict",$AU137="Review Required",$AU137="New Input Required",$AU137="Unsupported"),"Management","Model owner")</f>
        <v>Model owner</v>
      </c>
      <c r="AW137" s="588" t="str">
        <f>IFERROR(INDEX('DATA MAP'!$K$8:$K$137,MATCH($AJ137,'DATA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c r="AX137" t="str">
        <v>Derived calculation</v>
      </c>
      <c r="AY137" s="2440" t="n">
        <f>$H$245</f>
        <v>125.5482756423</v>
      </c>
      <c r="AZ137" t="str">
        <v>Yes</v>
      </c>
      <c r="BA137" t="str">
        <v>Underwriting</v>
      </c>
      <c r="BB137" t="str">
        <v>Investor waterfall</v>
      </c>
      <c r="BC137" t="str">
        <v>PROJECTS register book(4).xlsm</v>
      </c>
      <c r="BD137" t="str">
        <v>No</v>
      </c>
      <c r="BE137" t="str">
        <v>Confirm executed investor identities, funded amounts, dilution and shareholder rights.</v>
      </c>
      <c r="BF137" s="2442" t="n">
        <v>46231</v>
      </c>
      <c r="BG137" t="str">
        <f>IF($AZ137="No","PASS",IF(OR($AX137="Owner decision outstanding",$BD137="OWNER DECISION"),"WARNING",IF(OR($AP137="",$AN137="",$AS137="",$AV137=""),"FAIL","PASS")))</f>
        <v>PASS</v>
      </c>
    </row>
    <row r="138" ht="24" customHeight="1">
      <c r="A138" s="2504" t="str">
        <f>$AJ$242</f>
        <v>CMP-PARK-FIT</v>
      </c>
      <c r="B138" s="2504" t="str">
        <f>$AL$242</f>
        <v>Parking</v>
      </c>
      <c r="C138" s="2504" t="str">
        <f>$AM$242</f>
        <v>Fit-out CAPEX</v>
      </c>
      <c r="D138" s="2504" t="str">
        <f>$AN$242&amp;IF($AO$242="",""," | "&amp;IF($AN$242="Date",TEXT($AO$242,"dd mmm yyyy"),$AO$242))</f>
        <v>A$m | Current budget</v>
      </c>
      <c r="E138" s="2624" t="n">
        <v>0</v>
      </c>
      <c r="F138" s="2506"/>
      <c r="G138" s="2506"/>
      <c r="H138" s="2506" t="n">
        <f>IF($A138="","",$E138)</f>
        <v>0</v>
      </c>
      <c r="I138" s="2543" t="str">
        <f>$AU$242&amp;IF($AS$242="",""," | "&amp;$AS$242)</f>
        <v>Mapped | PROJECT CASH FLOW | I13</v>
      </c>
      <c r="J138" s="2504" t="str">
        <f>$AV$242&amp;" | "&amp;$AX$242</f>
        <v>Model owner | Hard-coded model input</v>
      </c>
      <c r="K138" s="2504" t="str">
        <f>$AW$242</f>
        <v>Current detailed data-book amount.</v>
      </c>
      <c r="AJ138" s="578" t="str">
        <v>INV-NAMED-01-INIT</v>
      </c>
      <c r="AK138" s="579" t="str">
        <v>Investors and ownership</v>
      </c>
      <c r="AL138" s="579" t="str">
        <v>David Gifford</v>
      </c>
      <c r="AM138" s="579" t="str">
        <v>Initial contribution</v>
      </c>
      <c r="AN138" s="579" t="str">
        <v>A$m</v>
      </c>
      <c r="AO138" s="579" t="str">
        <v>Initial funding date</v>
      </c>
      <c r="AP138" s="654" t="n">
        <f>IF($E$246="","",$E$246)</f>
        <v>10</v>
      </c>
      <c r="AQ138" s="656" t="str">
        <f>IF($F$246="","",$F$246)</f>
      </c>
      <c r="AR138" s="656" t="str">
        <f>IF($G$246="","",$G$246)</f>
      </c>
      <c r="AS138" s="579" t="str">
        <v>PROJECT CASH FLOW!E104/F104</v>
      </c>
      <c r="AT138" s="655" t="n">
        <v>46228</v>
      </c>
      <c r="AU138" s="579" t="str">
        <v>Mapped — provisional</v>
      </c>
      <c r="AV138" s="579" t="str">
        <v>Management</v>
      </c>
      <c r="AW138" s="579" t="str">
        <v>Funded contribution adopted from the current data book. Legal holder, rights and funding dates require confirmation. | The field is live and formula-linked; its commercial or specialist basis remains provisional where stated.</v>
      </c>
      <c r="AX138" t="str">
        <v>Hard-coded model input</v>
      </c>
      <c r="AY138" s="2440" t="n">
        <f>$H$246</f>
        <v>10</v>
      </c>
      <c r="AZ138" t="str">
        <v>Yes</v>
      </c>
      <c r="BA138" t="str">
        <v>Valuation &amp; Investor Returns</v>
      </c>
      <c r="BB138" t="str">
        <v>D26</v>
      </c>
      <c r="BC138" t="str">
        <v>Target model — pre-audit register</v>
      </c>
      <c r="BD138" t="str">
        <v>Resolved</v>
      </c>
      <c r="BE138" t="str">
        <v>Obtain independent valuation evidence and approve the selected market assumptions.</v>
      </c>
      <c r="BF138" s="2442" t="n">
        <v>46231</v>
      </c>
      <c r="BG138" t="str">
        <f>IF($AZ138="No","PASS",IF(OR($AX138="Owner decision outstanding",$BD138="OWNER DECISION"),"WARNING",IF(OR($AP138="",$AN138="",$AS138="",$AV138=""),"FAIL","PASS")))</f>
        <v>PASS</v>
      </c>
    </row>
    <row r="139" ht="24" customHeight="1">
      <c r="A139" s="2513" t="str">
        <f>$AJ$245</f>
        <v>CMP-STOR-CORE</v>
      </c>
      <c r="B139" s="2513" t="str">
        <f>$AL$245</f>
        <v>Storage</v>
      </c>
      <c r="C139" s="2513" t="str">
        <f>$AM$245</f>
        <v>Core / shell CAPEX</v>
      </c>
      <c r="D139" s="2513" t="str">
        <f>$AN$245&amp;IF($AO$245="",""," | "&amp;IF($AN$245="Date",TEXT($AO$245,"dd mmm yyyy"),$AO$245))</f>
        <v>A$m | Current budget</v>
      </c>
      <c r="E139" s="2630" t="n">
        <v>1</v>
      </c>
      <c r="F139" s="2515"/>
      <c r="G139" s="2515"/>
      <c r="H139" s="2515" t="n">
        <f>IF($A139="","",$E139)</f>
        <v>1</v>
      </c>
      <c r="I139" s="2543" t="str">
        <f>$AU$245&amp;IF($AS$245="",""," | "&amp;$AS$245)</f>
        <v>Mapped | PROJECT CASH FLOW | H17</v>
      </c>
      <c r="J139" s="2504" t="str">
        <f>$AV$245&amp;" | "&amp;$AX$245</f>
        <v>Model owner | Hard-coded model input</v>
      </c>
      <c r="K139" s="2504" t="str">
        <f>$AW$245</f>
        <v>Current detailed data-book amount.</v>
      </c>
      <c r="AJ139" s="578" t="str">
        <v>INV-NAMED-01-PRE</v>
      </c>
      <c r="AK139" s="579" t="str">
        <v>Investors and ownership</v>
      </c>
      <c r="AL139" s="579" t="str">
        <v>David Gifford</v>
      </c>
      <c r="AM139" s="579" t="str">
        <v>Pre-construction contribution</v>
      </c>
      <c r="AN139" s="579" t="str">
        <v>A$m</v>
      </c>
      <c r="AO139" s="579" t="str">
        <v>Initial funding date</v>
      </c>
      <c r="AP139" s="654" t="str">
        <f>IF($E$247="","",$E$247)</f>
      </c>
      <c r="AQ139" s="656" t="str">
        <f>IF($F$247="","",$F$247)</f>
      </c>
      <c r="AR139" s="656" t="str">
        <f>IF($G$247="","",$G$247)</f>
      </c>
      <c r="AS139" s="579" t="str">
        <v>PROJECT CASH FLOW!E104/F104</v>
      </c>
      <c r="AT139" s="655" t="n">
        <v>46228</v>
      </c>
      <c r="AU139" s="579" t="str">
        <v>Mapped — provisional</v>
      </c>
      <c r="AV139" s="579" t="str">
        <v>Management</v>
      </c>
      <c r="AW139" s="579" t="str">
        <v>Funded contribution adopted from the current data book. Legal holder, rights and funding dates require confirmation. | The field is live and formula-linked; its commercial or specialist basis remains provisional where stated.</v>
      </c>
      <c r="AX139" t="str">
        <v>Hard-coded model input</v>
      </c>
      <c r="AY139" s="2440" t="n">
        <f>$H$247</f>
        <v>0</v>
      </c>
      <c r="AZ139" t="str">
        <v>Yes</v>
      </c>
      <c r="BA139" t="str">
        <v>Valuation &amp; Investor Returns</v>
      </c>
      <c r="BB139" t="str">
        <v>E26</v>
      </c>
      <c r="BC139" t="str">
        <v>Target model — pre-audit register</v>
      </c>
      <c r="BD139" t="str">
        <v>Resolved</v>
      </c>
      <c r="BE139" t="str">
        <v>Obtain independent valuation evidence and approve the selected market assumptions.</v>
      </c>
      <c r="BF139" s="2442" t="n">
        <v>46231</v>
      </c>
      <c r="BG139" t="str">
        <f>IF($AZ139="No","PASS",IF(OR($AX139="Owner decision outstanding",$BD139="OWNER DECISION"),"WARNING",IF(OR($AP139="",$AN139="",$AS139="",$AV139=""),"FAIL","PASS")))</f>
        <v>FAIL</v>
      </c>
    </row>
    <row r="140" ht="24" customHeight="1">
      <c r="A140" s="2504" t="str">
        <f>$AJ$246</f>
        <v>CMP-STOR-FIT</v>
      </c>
      <c r="B140" s="2504" t="str">
        <f>$AL$246</f>
        <v>Storage</v>
      </c>
      <c r="C140" s="2504" t="str">
        <f>$AM$246</f>
        <v>Fit-out CAPEX</v>
      </c>
      <c r="D140" s="2504" t="str">
        <f>$AN$246&amp;IF($AO$246="",""," | "&amp;IF($AN$246="Date",TEXT($AO$246,"dd mmm yyyy"),$AO$246))</f>
        <v>A$m | Current budget</v>
      </c>
      <c r="E140" s="2624" t="n">
        <v>0.5</v>
      </c>
      <c r="F140" s="2506"/>
      <c r="G140" s="2506"/>
      <c r="H140" s="2506" t="n">
        <f>IF($A140="","",$E140)</f>
        <v>0.5</v>
      </c>
      <c r="I140" s="2543" t="str">
        <f>$AU$246&amp;IF($AS$246="",""," | "&amp;$AS$246)</f>
        <v>Mapped | PROJECT CASH FLOW | I17</v>
      </c>
      <c r="J140" s="2504" t="str">
        <f>$AV$246&amp;" | "&amp;$AX$246</f>
        <v>Model owner | Hard-coded model input</v>
      </c>
      <c r="K140" s="2504" t="str">
        <f>$AW$246</f>
        <v>Current detailed data-book amount.</v>
      </c>
      <c r="AJ140" s="578" t="str">
        <v>INV-NAMED-01-FUT</v>
      </c>
      <c r="AK140" s="579" t="str">
        <v>Investors and ownership</v>
      </c>
      <c r="AL140" s="579" t="str">
        <v>David Gifford</v>
      </c>
      <c r="AM140" s="579" t="str">
        <v>Future development contribution</v>
      </c>
      <c r="AN140" s="579" t="str">
        <v>A$m</v>
      </c>
      <c r="AO140" s="579" t="str">
        <v>Future funding date</v>
      </c>
      <c r="AP140" s="654" t="str">
        <f>IF($E$248="","",$E$248)</f>
      </c>
      <c r="AQ140" s="656" t="str">
        <f>IF($F$248="","",$F$248)</f>
      </c>
      <c r="AR140" s="656" t="str">
        <f>IF($G$248="","",$G$248)</f>
      </c>
      <c r="AS140" s="579" t="str">
        <v>PROJECT CASH FLOW!E104/F104</v>
      </c>
      <c r="AT140" s="655" t="n">
        <v>46228</v>
      </c>
      <c r="AU140" s="579" t="str">
        <v>Mapped — provisional</v>
      </c>
      <c r="AV140" s="579" t="str">
        <v>Management</v>
      </c>
      <c r="AW140" s="579" t="str">
        <v>Funded contribution adopted from the current data book. Legal holder, rights and funding dates require confirmation. | The field is live and formula-linked; its commercial or specialist basis remains provisional where stated.</v>
      </c>
      <c r="AX140" t="str">
        <v>Hard-coded model input</v>
      </c>
      <c r="AY140" s="2440" t="n">
        <f>$H$248</f>
        <v>0</v>
      </c>
      <c r="AZ140" t="str">
        <v>Yes</v>
      </c>
      <c r="BA140" t="str">
        <v>Valuation &amp; Investor Returns</v>
      </c>
      <c r="BB140" t="str">
        <v>F26</v>
      </c>
      <c r="BC140" t="str">
        <v>Target model — pre-audit register</v>
      </c>
      <c r="BD140" t="str">
        <v>Resolved</v>
      </c>
      <c r="BE140" t="str">
        <v>Obtain independent valuation evidence and approve the selected market assumptions.</v>
      </c>
      <c r="BF140" s="2442" t="n">
        <v>46231</v>
      </c>
      <c r="BG140" t="str">
        <f>IF($AZ140="No","PASS",IF(OR($AX140="Owner decision outstanding",$BD140="OWNER DECISION"),"WARNING",IF(OR($AP140="",$AN140="",$AS140="",$AV140=""),"FAIL","PASS")))</f>
        <v>FAIL</v>
      </c>
    </row>
    <row r="141" ht="24" customHeight="1">
      <c r="A141" s="2508"/>
      <c r="B141" s="2508"/>
      <c r="C141" s="2508"/>
      <c r="D141" s="2508"/>
      <c r="E141" s="2539"/>
      <c r="F141" s="2539"/>
      <c r="G141" s="2539"/>
      <c r="H141" s="2539"/>
      <c r="I141" s="2543"/>
      <c r="J141" s="2504"/>
      <c r="K141" s="2504"/>
      <c r="AJ141" s="578" t="str">
        <v>INV-NAMED-02-INIT</v>
      </c>
      <c r="AK141" s="579" t="str">
        <v>Investors and ownership</v>
      </c>
      <c r="AL141" s="579" t="str">
        <v>Mayabay Investments Pte Ltd</v>
      </c>
      <c r="AM141" s="579" t="str">
        <v>Initial contribution</v>
      </c>
      <c r="AN141" s="579" t="str">
        <v>A$m</v>
      </c>
      <c r="AO141" s="579" t="str">
        <v>Initial funding date</v>
      </c>
      <c r="AP141" s="654" t="n">
        <f>IF($E$249="","",$E$249)</f>
        <v>15.001</v>
      </c>
      <c r="AQ141" s="656" t="str">
        <f>IF($F$249="","",$F$249)</f>
      </c>
      <c r="AR141" s="656" t="str">
        <f>IF($G$249="","",$G$249)</f>
      </c>
      <c r="AS141" s="579" t="str">
        <v>PROJECT CASH FLOW!E103/F103</v>
      </c>
      <c r="AT141" s="655" t="n">
        <v>46228</v>
      </c>
      <c r="AU141" s="579" t="str">
        <v>Mapped — provisional</v>
      </c>
      <c r="AV141" s="579" t="str">
        <v>Management</v>
      </c>
      <c r="AW141" s="579" t="str">
        <v>Funded contribution adopted from the current data book. Legal holder, rights and funding dates require confirmation. | The field is live and formula-linked; its commercial or specialist basis remains provisional where stated.</v>
      </c>
      <c r="AX141" t="str">
        <v>Hard-coded model input</v>
      </c>
      <c r="AY141" s="2440" t="n">
        <f>$H$249</f>
        <v>15.001</v>
      </c>
      <c r="AZ141" t="str">
        <v>Yes</v>
      </c>
      <c r="BA141" t="str">
        <v>Valuation &amp; Investor Returns</v>
      </c>
      <c r="BB141" t="str">
        <v>D27</v>
      </c>
      <c r="BC141" t="str">
        <v>Target model — pre-audit register</v>
      </c>
      <c r="BD141" t="str">
        <v>Resolved</v>
      </c>
      <c r="BE141" t="str">
        <v>Obtain independent valuation evidence and approve the selected market assumptions.</v>
      </c>
      <c r="BF141" s="2442" t="n">
        <v>46231</v>
      </c>
      <c r="BG141" t="str">
        <f>IF($AZ141="No","PASS",IF(OR($AX141="Owner decision outstanding",$BD141="OWNER DECISION"),"WARNING",IF(OR($AP141="",$AN141="",$AS141="",$AV141=""),"FAIL","PASS")))</f>
        <v>PASS</v>
      </c>
    </row>
    <row r="142" ht="24" customHeight="1">
      <c r="A142" s="2534" t="str">
        <v>OPERATING ASSUMPTIONS</v>
      </c>
      <c r="B142" s="2534"/>
      <c r="C142" s="2534"/>
      <c r="D142" s="2534"/>
      <c r="E142" s="2535"/>
      <c r="F142" s="2535"/>
      <c r="G142" s="2535"/>
      <c r="H142" s="2535"/>
      <c r="I142" s="2536"/>
      <c r="J142" s="2537"/>
      <c r="K142" s="2537"/>
      <c r="AJ142" s="578" t="str">
        <v>INV-NAMED-02-PRE</v>
      </c>
      <c r="AK142" s="579" t="str">
        <v>Investors and ownership</v>
      </c>
      <c r="AL142" s="579" t="str">
        <v>Mayabay Investments Pte Ltd</v>
      </c>
      <c r="AM142" s="579" t="str">
        <v>Pre-construction contribution</v>
      </c>
      <c r="AN142" s="579" t="str">
        <v>A$m</v>
      </c>
      <c r="AO142" s="579" t="str">
        <v>Initial funding date</v>
      </c>
      <c r="AP142" s="654" t="str">
        <f>IF($E$250="","",$E$250)</f>
      </c>
      <c r="AQ142" s="656" t="str">
        <f>IF($F$250="","",$F$250)</f>
      </c>
      <c r="AR142" s="656" t="str">
        <f>IF($G$250="","",$G$250)</f>
      </c>
      <c r="AS142" s="579" t="str">
        <v>PROJECT CASH FLOW!E103/F103</v>
      </c>
      <c r="AT142" s="655" t="n">
        <v>46228</v>
      </c>
      <c r="AU142" s="579" t="str">
        <v>Mapped — provisional</v>
      </c>
      <c r="AV142" s="579" t="str">
        <v>Management</v>
      </c>
      <c r="AW142" s="579" t="str">
        <v>Funded contribution adopted from the current data book. Legal holder, rights and funding dates require confirmation. | The field is live and formula-linked; its commercial or specialist basis remains provisional where stated.</v>
      </c>
      <c r="AX142" t="str">
        <v>Hard-coded model input</v>
      </c>
      <c r="AY142" s="2440" t="n">
        <f>$H$250</f>
        <v>0</v>
      </c>
      <c r="AZ142" t="str">
        <v>Yes</v>
      </c>
      <c r="BA142" t="str">
        <v>Valuation &amp; Investor Returns</v>
      </c>
      <c r="BB142" t="str">
        <v>E27</v>
      </c>
      <c r="BC142" t="str">
        <v>Target model — pre-audit register</v>
      </c>
      <c r="BD142" t="str">
        <v>Resolved</v>
      </c>
      <c r="BE142" t="str">
        <v>Obtain independent valuation evidence and approve the selected market assumptions.</v>
      </c>
      <c r="BF142" s="2442" t="n">
        <v>46231</v>
      </c>
      <c r="BG142" t="str">
        <f>IF($AZ142="No","PASS",IF(OR($AX142="Owner decision outstanding",$BD142="OWNER DECISION"),"WARNING",IF(OR($AP142="",$AN142="",$AS142="",$AV142=""),"FAIL","PASS")))</f>
        <v>FAIL</v>
      </c>
    </row>
    <row r="143" ht="24" customHeight="1">
      <c r="A143" s="2512" t="str">
        <v>Field ID</v>
      </c>
      <c r="B143" s="2512" t="str">
        <v>Component</v>
      </c>
      <c r="C143" s="2512" t="str">
        <v>Assumption</v>
      </c>
      <c r="D143" s="2538" t="str">
        <v>Unit / Period</v>
      </c>
      <c r="E143" s="2539" t="str">
        <v>Base</v>
      </c>
      <c r="F143" s="2539" t="str">
        <v>Downside</v>
      </c>
      <c r="G143" s="2539" t="str">
        <v>Upside</v>
      </c>
      <c r="H143" s="2539" t="str">
        <v>Selected Value</v>
      </c>
      <c r="I143" s="2540" t="str">
        <v>Status / Source</v>
      </c>
      <c r="J143" s="2512" t="str">
        <v>Owner / Input Type</v>
      </c>
      <c r="K143" s="2512" t="str">
        <v>Notes</v>
      </c>
      <c r="AJ143" s="578" t="str">
        <v>INV-NAMED-02-FUT</v>
      </c>
      <c r="AK143" s="579" t="str">
        <v>Investors and ownership</v>
      </c>
      <c r="AL143" s="579" t="str">
        <v>Mayabay Investments Pte Ltd</v>
      </c>
      <c r="AM143" s="579" t="str">
        <v>Future development contribution</v>
      </c>
      <c r="AN143" s="579" t="str">
        <v>A$m</v>
      </c>
      <c r="AO143" s="579" t="str">
        <v>Future funding date</v>
      </c>
      <c r="AP143" s="654" t="str">
        <f>IF($E$251="","",$E$251)</f>
      </c>
      <c r="AQ143" s="656" t="str">
        <f>IF($F$251="","",$F$251)</f>
      </c>
      <c r="AR143" s="656" t="str">
        <f>IF($G$251="","",$G$251)</f>
      </c>
      <c r="AS143" s="579" t="str">
        <v>PROJECT CASH FLOW!E103/F103</v>
      </c>
      <c r="AT143" s="655" t="n">
        <v>46228</v>
      </c>
      <c r="AU143" s="579" t="str">
        <v>Mapped — provisional</v>
      </c>
      <c r="AV143" s="579" t="str">
        <v>Management</v>
      </c>
      <c r="AW143" s="579" t="str">
        <v>Funded contribution adopted from the current data book. Legal holder, rights and funding dates require confirmation. | The field is live and formula-linked; its commercial or specialist basis remains provisional where stated.</v>
      </c>
      <c r="AX143" t="str">
        <v>Hard-coded model input</v>
      </c>
      <c r="AY143" s="2440" t="n">
        <f>$H$251</f>
        <v>0</v>
      </c>
      <c r="AZ143" t="str">
        <v>Yes</v>
      </c>
      <c r="BA143" t="str">
        <v>Valuation &amp; Investor Returns</v>
      </c>
      <c r="BB143" t="str">
        <v>F27</v>
      </c>
      <c r="BC143" t="str">
        <v>Target model — pre-audit register</v>
      </c>
      <c r="BD143" t="str">
        <v>Resolved</v>
      </c>
      <c r="BE143" t="str">
        <v>Obtain independent valuation evidence and approve the selected market assumptions.</v>
      </c>
      <c r="BF143" s="2442" t="n">
        <v>46231</v>
      </c>
      <c r="BG143" t="str">
        <f>IF($AZ143="No","PASS",IF(OR($AX143="Owner decision outstanding",$BD143="OWNER DECISION"),"WARNING",IF(OR($AP143="",$AN143="",$AS143="",$AV143=""),"FAIL","PASS")))</f>
        <v>FAIL</v>
      </c>
    </row>
    <row r="144" ht="24" customHeight="1">
      <c r="A144" s="2504" t="str">
        <f>$AJ$61</f>
        <v>OPS-001</v>
      </c>
      <c r="B144" s="2504" t="str">
        <f>$AL$61</f>
        <v>Project</v>
      </c>
      <c r="C144" s="2504" t="str">
        <f>$AM$61</f>
        <v>CPI</v>
      </c>
      <c r="D144" s="2541" t="str">
        <f>$AN$61&amp;IF($AO$61="",""," | "&amp;IF($AN$61="Date",TEXT($AO$61,"dd mmm yyyy"),$AO$61))</f>
        <v>% p.a. | Annual</v>
      </c>
      <c r="E144" s="2550" t="n">
        <f>$AP$61</f>
        <v>0.03</v>
      </c>
      <c r="F144" s="2550"/>
      <c r="G144" s="2550"/>
      <c r="H144" s="2550" t="n">
        <f>IF($A144="","",$E144)</f>
        <v>0.03</v>
      </c>
      <c r="I144" s="2543" t="str">
        <f>$AU$61&amp;IF($AS$61="",""," | "&amp;$AS$61)</f>
        <v>Mapped — reconciled | MODEL DESIGN | C50</v>
      </c>
      <c r="J144" s="2504" t="str">
        <f>$AV$61&amp;" | "&amp;$AX$61</f>
        <v>Model owner | Derived calculation</v>
      </c>
      <c r="K144" s="2504" t="str">
        <f>$AW$61</f>
        <v>760 | The target monthly operating, tax and working-capital schedules control; specialist confirmation remains an OWNER DECISION where stated.</v>
      </c>
      <c r="AJ144" s="578" t="str">
        <v>INV-NAMED-03-INIT</v>
      </c>
      <c r="AK144" s="579" t="str">
        <v>Investors and ownership</v>
      </c>
      <c r="AL144" s="579" t="str">
        <v>Brian Mirnoff</v>
      </c>
      <c r="AM144" s="579" t="str">
        <v>Initial contribution</v>
      </c>
      <c r="AN144" s="579" t="str">
        <v>A$m</v>
      </c>
      <c r="AO144" s="579" t="str">
        <v>Initial funding date</v>
      </c>
      <c r="AP144" s="654" t="n">
        <f>IF($E$252="","",$E$252)</f>
        <v>5</v>
      </c>
      <c r="AQ144" s="656" t="str">
        <f>IF($F$252="","",$F$252)</f>
      </c>
      <c r="AR144" s="656" t="str">
        <f>IF($G$252="","",$G$252)</f>
      </c>
      <c r="AS144" s="579" t="str">
        <v>PROJECT CASH FLOW!E105/F105</v>
      </c>
      <c r="AT144" s="655" t="n">
        <v>46228</v>
      </c>
      <c r="AU144" s="579" t="str">
        <v>Mapped — provisional</v>
      </c>
      <c r="AV144" s="579" t="str">
        <v>Management</v>
      </c>
      <c r="AW144" s="579" t="str">
        <v>Funded contribution adopted from the current data book. Legal holder, rights and funding dates require confirmation. | The field is live and formula-linked; its commercial or specialist basis remains provisional where stated.</v>
      </c>
      <c r="AX144" t="str">
        <v>Hard-coded model input</v>
      </c>
      <c r="AY144" s="2440" t="n">
        <f>$H$252</f>
        <v>5</v>
      </c>
      <c r="AZ144" t="str">
        <v>Yes</v>
      </c>
      <c r="BA144" t="str">
        <v>Valuation &amp; Investor Returns</v>
      </c>
      <c r="BB144" t="str">
        <v>D28</v>
      </c>
      <c r="BC144" t="str">
        <v>Target model — pre-audit register</v>
      </c>
      <c r="BD144" t="str">
        <v>Resolved</v>
      </c>
      <c r="BE144" t="str">
        <v>Obtain independent valuation evidence and approve the selected market assumptions.</v>
      </c>
      <c r="BF144" s="2442" t="n">
        <v>46231</v>
      </c>
      <c r="BG144" t="str">
        <f>IF($AZ144="No","PASS",IF(OR($AX144="Owner decision outstanding",$BD144="OWNER DECISION"),"WARNING",IF(OR($AP144="",$AN144="",$AS144="",$AV144=""),"FAIL","PASS")))</f>
        <v>PASS</v>
      </c>
    </row>
    <row r="145" ht="24" customHeight="1">
      <c r="A145" s="2504" t="str">
        <f>$AJ$62</f>
        <v>OPS-002</v>
      </c>
      <c r="B145" s="2504" t="str">
        <f>$AL$62</f>
        <v>Project</v>
      </c>
      <c r="C145" s="2504" t="str">
        <f>$AM$62</f>
        <v>Operating expense growth</v>
      </c>
      <c r="D145" s="2541" t="str">
        <f>$AN$62&amp;IF($AO$62="",""," | "&amp;IF($AN$62="Date",TEXT($AO$62,"dd mmm yyyy"),$AO$62))</f>
        <v>% p.a. | Annual</v>
      </c>
      <c r="E145" s="2550" t="n">
        <f>$AP$62</f>
        <v>0.025</v>
      </c>
      <c r="F145" s="2550" t="n">
        <f>$AQ$62</f>
        <v>0.03</v>
      </c>
      <c r="G145" s="2550" t="n">
        <f>$AR$62</f>
        <v>0.02</v>
      </c>
      <c r="H145" s="2550" t="n">
        <f>IF($A145="","",CHOOSE(MATCH('VALUATION &amp; RETURNS'!$CR$7,{"Downside","Base","Upside"},0),$F145,$E145,$G145))</f>
        <v>0.025</v>
      </c>
      <c r="I145" s="2543" t="str">
        <f>$AU$62&amp;IF($AS$62="",""," | "&amp;$AS$62)</f>
        <v>Mapped — reconciled | ASSUMPTIONS | B8,E8,H8</v>
      </c>
      <c r="J145" s="2504" t="str">
        <f>$AV$62&amp;" | "&amp;$AX$62</f>
        <v>Model owner | Derived calculation</v>
      </c>
      <c r="K145" s="2504" t="str">
        <f>$AW$62</f>
        <v>760 | The target monthly operating, tax and working-capital schedules control; specialist confirmation remains an OWNER DECISION where stated.</v>
      </c>
      <c r="AJ145" s="578" t="str">
        <v>INV-NAMED-03-PRE</v>
      </c>
      <c r="AK145" s="579" t="str">
        <v>Investors and ownership</v>
      </c>
      <c r="AL145" s="579" t="str">
        <v>Brian Mirnoff</v>
      </c>
      <c r="AM145" s="579" t="str">
        <v>Pre-construction contribution</v>
      </c>
      <c r="AN145" s="579" t="str">
        <v>A$m</v>
      </c>
      <c r="AO145" s="579" t="str">
        <v>Initial funding date</v>
      </c>
      <c r="AP145" s="654" t="str">
        <f>IF($E$253="","",$E$253)</f>
      </c>
      <c r="AQ145" s="656" t="str">
        <f>IF($F$253="","",$F$253)</f>
      </c>
      <c r="AR145" s="656" t="str">
        <f>IF($G$253="","",$G$253)</f>
      </c>
      <c r="AS145" s="579" t="str">
        <v>PROJECT CASH FLOW!E105/F105</v>
      </c>
      <c r="AT145" s="655" t="n">
        <v>46228</v>
      </c>
      <c r="AU145" s="579" t="str">
        <v>Mapped — provisional</v>
      </c>
      <c r="AV145" s="579" t="str">
        <v>Management</v>
      </c>
      <c r="AW145" s="579" t="str">
        <v>Funded contribution adopted from the current data book. Legal holder, rights and funding dates require confirmation. | The field is live and formula-linked; its commercial or specialist basis remains provisional where stated.</v>
      </c>
      <c r="AX145" t="str">
        <v>Hard-coded model input</v>
      </c>
      <c r="AY145" s="2440" t="n">
        <f>$H$253</f>
        <v>0</v>
      </c>
      <c r="AZ145" t="str">
        <v>Yes</v>
      </c>
      <c r="BA145" t="str">
        <v>Valuation &amp; Investor Returns</v>
      </c>
      <c r="BB145" t="str">
        <v>E28</v>
      </c>
      <c r="BC145" t="str">
        <v>Target model — pre-audit register</v>
      </c>
      <c r="BD145" t="str">
        <v>Resolved</v>
      </c>
      <c r="BE145" t="str">
        <v>Obtain independent valuation evidence and approve the selected market assumptions.</v>
      </c>
      <c r="BF145" s="2442" t="n">
        <v>46231</v>
      </c>
      <c r="BG145" t="str">
        <f>IF($AZ145="No","PASS",IF(OR($AX145="Owner decision outstanding",$BD145="OWNER DECISION"),"WARNING",IF(OR($AP145="",$AN145="",$AS145="",$AV145=""),"FAIL","PASS")))</f>
        <v>FAIL</v>
      </c>
    </row>
    <row r="146" ht="24" customHeight="1">
      <c r="A146" s="2504" t="str">
        <f>$AJ$63</f>
        <v>OPS-003</v>
      </c>
      <c r="B146" s="2504" t="str">
        <f>$AL$63</f>
        <v>PBSA/student accommodation</v>
      </c>
      <c r="C146" s="2504" t="str">
        <f>$AM$63</f>
        <v>Occupancy</v>
      </c>
      <c r="D146" s="2544" t="str">
        <f>$AN$63&amp;IF($AO$63="",""," | "&amp;IF($AN$63="Date",TEXT($AO$63,"dd mmm yyyy"),$AO$63))</f>
        <v>% | Stabilised</v>
      </c>
      <c r="E146" s="2550" t="n">
        <f>$AP$63</f>
        <v>0.95</v>
      </c>
      <c r="F146" s="2550" t="n">
        <f>$AQ$63</f>
        <v>0.85</v>
      </c>
      <c r="G146" s="2550" t="n">
        <f>$AR$63</f>
        <v>0.98</v>
      </c>
      <c r="H146" s="2550" t="n">
        <f>IF($A146="","",CHOOSE(MATCH('VALUATION &amp; RETURNS'!$CR$7,{"Downside","Base","Upside"},0),$F146,$E146,$G146))</f>
        <v>0.95</v>
      </c>
      <c r="I146" s="2543" t="str">
        <f>$AU$63&amp;IF($AS$63="",""," | "&amp;$AS$63)</f>
        <v>Mapped — reconciled | MODEL DESIGN | C112:C114</v>
      </c>
      <c r="J146" s="2504" t="str">
        <f>$AV$63&amp;" | "&amp;$AX$63</f>
        <v>Model owner | Derived calculation</v>
      </c>
      <c r="K146" s="2504" t="str">
        <f>$AW$63</f>
        <v>760 | The target monthly operating, tax and working-capital schedules control; specialist confirmation remains an OWNER DECISION where stated.</v>
      </c>
      <c r="AJ146" s="578" t="str">
        <v>INV-NAMED-03-FUT</v>
      </c>
      <c r="AK146" s="579" t="str">
        <v>Investors and ownership</v>
      </c>
      <c r="AL146" s="579" t="str">
        <v>Brian Mirnoff</v>
      </c>
      <c r="AM146" s="579" t="str">
        <v>Future development contribution</v>
      </c>
      <c r="AN146" s="579" t="str">
        <v>A$m</v>
      </c>
      <c r="AO146" s="579" t="str">
        <v>Future funding date</v>
      </c>
      <c r="AP146" s="654" t="str">
        <f>IF($E$254="","",$E$254)</f>
      </c>
      <c r="AQ146" s="656" t="str">
        <f>IF($F$254="","",$F$254)</f>
      </c>
      <c r="AR146" s="656" t="str">
        <f>IF($G$254="","",$G$254)</f>
      </c>
      <c r="AS146" s="579" t="str">
        <v>PROJECT CASH FLOW!E105/F105</v>
      </c>
      <c r="AT146" s="655" t="n">
        <v>46228</v>
      </c>
      <c r="AU146" s="579" t="str">
        <v>Mapped — provisional</v>
      </c>
      <c r="AV146" s="579" t="str">
        <v>Management</v>
      </c>
      <c r="AW146" s="579" t="str">
        <v>Funded contribution adopted from the current data book. Legal holder, rights and funding dates require confirmation. | The field is live and formula-linked; its commercial or specialist basis remains provisional where stated.</v>
      </c>
      <c r="AX146" t="str">
        <v>Hard-coded model input</v>
      </c>
      <c r="AY146" s="2440" t="n">
        <f>$H$254</f>
        <v>0</v>
      </c>
      <c r="AZ146" t="str">
        <v>Yes</v>
      </c>
      <c r="BA146" t="str">
        <v>Valuation &amp; Investor Returns</v>
      </c>
      <c r="BB146" t="str">
        <v>F28</v>
      </c>
      <c r="BC146" t="str">
        <v>Target model — pre-audit register</v>
      </c>
      <c r="BD146" t="str">
        <v>Resolved</v>
      </c>
      <c r="BE146" t="str">
        <v>Obtain independent valuation evidence and approve the selected market assumptions.</v>
      </c>
      <c r="BF146" s="2442" t="n">
        <v>46231</v>
      </c>
      <c r="BG146" t="str">
        <f>IF($AZ146="No","PASS",IF(OR($AX146="Owner decision outstanding",$BD146="OWNER DECISION"),"WARNING",IF(OR($AP146="",$AN146="",$AS146="",$AV146=""),"FAIL","PASS")))</f>
        <v>FAIL</v>
      </c>
    </row>
    <row r="147" ht="24" customHeight="1">
      <c r="A147" s="2504" t="str">
        <f>$AJ$64</f>
        <v>OPS-004</v>
      </c>
      <c r="B147" s="2504" t="str">
        <f>$AL$64</f>
        <v>Project</v>
      </c>
      <c r="C147" s="2504" t="str">
        <f>$AM$64</f>
        <v>Corporate tax rate</v>
      </c>
      <c r="D147" s="2544" t="str">
        <f>$AN$64&amp;IF($AO$64="",""," | "&amp;IF($AN$64="Date",TEXT($AO$64,"dd mmm yyyy"),$AO$64))</f>
        <v>% | Annual</v>
      </c>
      <c r="E147" s="2635" t="n">
        <v>0.3</v>
      </c>
      <c r="F147" s="2550"/>
      <c r="G147" s="2550"/>
      <c r="H147" s="2550" t="n">
        <f>IF($A147="","",$E147)</f>
        <v>0.3</v>
      </c>
      <c r="I147" s="2543" t="str">
        <f>$AU$64&amp;IF($AS$64="",""," | "&amp;$AS$64)</f>
        <v>Mapped | MODEL DESIGN | D44; ASSUMPTIONS | B12:D12</v>
      </c>
      <c r="J147" s="2504" t="str">
        <f>$AV$64&amp;" | "&amp;$AX$64</f>
        <v>Model owner | Hard-coded model input</v>
      </c>
      <c r="K147" s="2504" t="str">
        <f>$AW$64</f>
        <v>Source-backed 30% corporate tax rate; timing, tax depreciation and transaction-specific advice remain provisional.</v>
      </c>
      <c r="AJ147" s="578" t="str">
        <v>INV-NAMED-04-INIT</v>
      </c>
      <c r="AK147" s="579" t="str">
        <v>Investors and ownership</v>
      </c>
      <c r="AL147" s="579" t="str">
        <v>Belgravia</v>
      </c>
      <c r="AM147" s="579" t="str">
        <v>Initial contribution</v>
      </c>
      <c r="AN147" s="579" t="str">
        <v>A$m</v>
      </c>
      <c r="AO147" s="579" t="str">
        <v>Initial funding date</v>
      </c>
      <c r="AP147" s="654" t="n">
        <f>IF($E$255="","",$E$255)</f>
        <v>2</v>
      </c>
      <c r="AQ147" s="656" t="str">
        <f>IF($F$255="","",$F$255)</f>
      </c>
      <c r="AR147" s="656" t="str">
        <f>IF($G$255="","",$G$255)</f>
      </c>
      <c r="AS147" s="579" t="str">
        <v>PROJECT CASH FLOW!E106/F106</v>
      </c>
      <c r="AT147" s="655" t="n">
        <v>46228</v>
      </c>
      <c r="AU147" s="579" t="str">
        <v>Mapped — provisional</v>
      </c>
      <c r="AV147" s="579" t="str">
        <v>Management</v>
      </c>
      <c r="AW147" s="579" t="str">
        <v>Funded contribution adopted from the current data book. Legal holder, rights and funding dates require confirmation. | The field is live and formula-linked; its commercial or specialist basis remains provisional where stated.</v>
      </c>
      <c r="AX147" t="str">
        <v>Hard-coded model input</v>
      </c>
      <c r="AY147" s="2440" t="n">
        <f>$H$255</f>
        <v>2</v>
      </c>
      <c r="AZ147" t="str">
        <v>Yes</v>
      </c>
      <c r="BA147" t="str">
        <v>Valuation &amp; Investor Returns</v>
      </c>
      <c r="BB147" t="str">
        <v>D29</v>
      </c>
      <c r="BC147" t="str">
        <v>Target model — pre-audit register</v>
      </c>
      <c r="BD147" t="str">
        <v>Resolved</v>
      </c>
      <c r="BE147" t="str">
        <v>Obtain independent valuation evidence and approve the selected market assumptions.</v>
      </c>
      <c r="BF147" s="2442" t="n">
        <v>46231</v>
      </c>
      <c r="BG147" t="str">
        <f>IF($AZ147="No","PASS",IF(OR($AX147="Owner decision outstanding",$BD147="OWNER DECISION"),"WARNING",IF(OR($AP147="",$AN147="",$AS147="",$AV147=""),"FAIL","PASS")))</f>
        <v>PASS</v>
      </c>
    </row>
    <row r="148" ht="24" customHeight="1">
      <c r="A148" s="2504" t="str">
        <f>$AJ$65</f>
        <v>OPS-005</v>
      </c>
      <c r="B148" s="2504" t="str">
        <f>$AL$65</f>
        <v>Project</v>
      </c>
      <c r="C148" s="2504" t="str">
        <f>$AM$65</f>
        <v>Source operating revenue</v>
      </c>
      <c r="D148" s="2544" t="str">
        <f>$AN$65&amp;IF($AO$65="",""," | "&amp;IF($AN$65="Date",TEXT($AO$65,"dd mmm yyyy"),$AO$65))</f>
        <v>A$m | 2029</v>
      </c>
      <c r="E148" s="2506" t="n">
        <f>$AP$65</f>
        <v>48.8302003682858</v>
      </c>
      <c r="F148" s="2506"/>
      <c r="G148" s="2506"/>
      <c r="H148" s="2506" t="n">
        <f>IF($A148="","",$E148)</f>
        <v>48.8302003682858</v>
      </c>
      <c r="I148" s="2543" t="str">
        <f>$AU$65&amp;IF($AS$65="",""," | "&amp;$AS$65)</f>
        <v>Mapped — reconciled | PROJECT CASH FLOW | G93</v>
      </c>
      <c r="J148" s="2504" t="str">
        <f>$AV$65&amp;" | "&amp;$AX$65</f>
        <v>Model owner | Derived calculation</v>
      </c>
      <c r="K148" s="2504" t="str">
        <f>$AW$65</f>
        <v>Source annual revenue is not imported into the target monthly schedule because the scopes differ. | The target monthly operating, tax and working-capital schedules control; specialist confirmation remains an OWNER DECISION where stated.</v>
      </c>
      <c r="AJ148" s="578" t="str">
        <v>INV-NAMED-04-PRE</v>
      </c>
      <c r="AK148" s="579" t="str">
        <v>Investors and ownership</v>
      </c>
      <c r="AL148" s="579" t="str">
        <v>Belgravia</v>
      </c>
      <c r="AM148" s="579" t="str">
        <v>Pre-construction contribution</v>
      </c>
      <c r="AN148" s="579" t="str">
        <v>A$m</v>
      </c>
      <c r="AO148" s="579" t="str">
        <v>Initial funding date</v>
      </c>
      <c r="AP148" s="654" t="str">
        <f>IF($E$256="","",$E$256)</f>
      </c>
      <c r="AQ148" s="656" t="str">
        <f>IF($F$256="","",$F$256)</f>
      </c>
      <c r="AR148" s="656" t="str">
        <f>IF($G$256="","",$G$256)</f>
      </c>
      <c r="AS148" s="579" t="str">
        <v>PROJECT CASH FLOW!E106/F106</v>
      </c>
      <c r="AT148" s="655" t="n">
        <v>46228</v>
      </c>
      <c r="AU148" s="579" t="str">
        <v>Mapped — provisional</v>
      </c>
      <c r="AV148" s="579" t="str">
        <v>Management</v>
      </c>
      <c r="AW148" s="579" t="str">
        <v>Funded contribution adopted from the current data book. Legal holder, rights and funding dates require confirmation. | The field is live and formula-linked; its commercial or specialist basis remains provisional where stated.</v>
      </c>
      <c r="AX148" t="str">
        <v>Hard-coded model input</v>
      </c>
      <c r="AY148" s="2440" t="n">
        <f>$H$256</f>
        <v>0</v>
      </c>
      <c r="AZ148" t="str">
        <v>Yes</v>
      </c>
      <c r="BA148" t="str">
        <v>Valuation &amp; Investor Returns</v>
      </c>
      <c r="BB148" t="str">
        <v>E29</v>
      </c>
      <c r="BC148" t="str">
        <v>Target model — pre-audit register</v>
      </c>
      <c r="BD148" t="str">
        <v>Resolved</v>
      </c>
      <c r="BE148" t="str">
        <v>Obtain independent valuation evidence and approve the selected market assumptions.</v>
      </c>
      <c r="BF148" s="2442" t="n">
        <v>46231</v>
      </c>
      <c r="BG148" t="str">
        <f>IF($AZ148="No","PASS",IF(OR($AX148="Owner decision outstanding",$BD148="OWNER DECISION"),"WARNING",IF(OR($AP148="",$AN148="",$AS148="",$AV148=""),"FAIL","PASS")))</f>
        <v>FAIL</v>
      </c>
    </row>
    <row r="149" ht="24" customHeight="1">
      <c r="A149" s="2504" t="str">
        <f>$AJ$66</f>
        <v>OPS-006</v>
      </c>
      <c r="B149" s="2504" t="str">
        <f>$AL$66</f>
        <v>Project</v>
      </c>
      <c r="C149" s="2504" t="str">
        <f>$AM$66</f>
        <v>Target stabilised potential gross income</v>
      </c>
      <c r="D149" s="2545" t="str">
        <f>$AN$66&amp;IF($AO$66="",""," | "&amp;IF($AN$66="Date",TEXT($AO$66,"dd mmm yyyy"),$AO$66))</f>
        <v>A$m | Stabilised</v>
      </c>
      <c r="E149" s="2506" t="n">
        <f>$AP$66</f>
        <v>17.3265437456202</v>
      </c>
      <c r="F149" s="2506"/>
      <c r="G149" s="2506"/>
      <c r="H149" s="2506" t="n">
        <f>IF($A149="","",$E149)</f>
        <v>17.3265437456202</v>
      </c>
      <c r="I149" s="2543" t="str">
        <f>$AU$66&amp;IF($AS$66="",""," | "&amp;$AS$66)</f>
        <v>Mapped — reconciled | Target: Underwriting | I130</v>
      </c>
      <c r="J149" s="2504" t="str">
        <f>$AV$66&amp;" | "&amp;$AX$66</f>
        <v>Model owner | Derived calculation</v>
      </c>
      <c r="K149" s="2504" t="str">
        <f>$AW$66</f>
        <v>760 | The target monthly operating, tax and working-capital schedules control; specialist confirmation remains an OWNER DECISION where stated.</v>
      </c>
      <c r="AJ149" s="578" t="str">
        <v>INV-NAMED-04-FUT</v>
      </c>
      <c r="AK149" s="579" t="str">
        <v>Investors and ownership</v>
      </c>
      <c r="AL149" s="579" t="str">
        <v>Belgravia</v>
      </c>
      <c r="AM149" s="579" t="str">
        <v>Future development contribution</v>
      </c>
      <c r="AN149" s="579" t="str">
        <v>A$m</v>
      </c>
      <c r="AO149" s="579" t="str">
        <v>Future funding date</v>
      </c>
      <c r="AP149" s="654" t="str">
        <f>IF($E$325="","",$E$325)</f>
      </c>
      <c r="AQ149" s="656" t="str">
        <f>IF($F$325="","",$F$325)</f>
      </c>
      <c r="AR149" s="656" t="str">
        <f>IF($G$325="","",$G$325)</f>
      </c>
      <c r="AS149" s="579" t="str">
        <v>PROJECT CASH FLOW!E106/F106</v>
      </c>
      <c r="AT149" s="655" t="n">
        <v>46228</v>
      </c>
      <c r="AU149" s="579" t="str">
        <v>Mapped — provisional</v>
      </c>
      <c r="AV149" s="579" t="str">
        <v>Management</v>
      </c>
      <c r="AW149" s="579" t="str">
        <v>Funded contribution adopted from the current data book. Legal holder, rights and funding dates require confirmation. | The field is live and formula-linked; its commercial or specialist basis remains provisional where stated.</v>
      </c>
      <c r="AX149" t="str">
        <v>Hard-coded model input</v>
      </c>
      <c r="AY149" s="2440" t="n">
        <f>$H$325</f>
        <v>0</v>
      </c>
      <c r="AZ149" t="str">
        <v>Yes</v>
      </c>
      <c r="BA149" t="str">
        <v>Valuation &amp; Investor Returns</v>
      </c>
      <c r="BB149" t="str">
        <v>F29</v>
      </c>
      <c r="BC149" t="str">
        <v>Target model — pre-audit register</v>
      </c>
      <c r="BD149" t="str">
        <v>Resolved</v>
      </c>
      <c r="BE149" t="str">
        <v>Obtain independent valuation evidence and approve the selected market assumptions.</v>
      </c>
      <c r="BF149" s="2442" t="n">
        <v>46231</v>
      </c>
      <c r="BG149" t="str">
        <f>IF($AZ149="No","PASS",IF(OR($AX149="Owner decision outstanding",$BD149="OWNER DECISION"),"WARNING",IF(OR($AP149="",$AN149="",$AS149="",$AV149=""),"FAIL","PASS")))</f>
        <v>FAIL</v>
      </c>
    </row>
    <row r="150" ht="24" customHeight="1">
      <c r="A150" s="2504" t="str">
        <f>$AJ$67</f>
        <v>OPS-007</v>
      </c>
      <c r="B150" s="2504" t="str">
        <f>$AL$67</f>
        <v>Project</v>
      </c>
      <c r="C150" s="2504" t="str">
        <f>$AM$67</f>
        <v>Target stabilised NOI</v>
      </c>
      <c r="D150" s="2504" t="str">
        <f>$AN$67&amp;IF($AO$67="",""," | "&amp;IF($AN$67="Date",TEXT($AO$67,"dd mmm yyyy"),$AO$67))</f>
        <v>A$m | Stabilised</v>
      </c>
      <c r="E150" s="2506" t="n">
        <f>$AP$67</f>
        <v>16.37</v>
      </c>
      <c r="F150" s="2506"/>
      <c r="G150" s="2506"/>
      <c r="H150" s="2506" t="n">
        <f>IF($A150="","",$E150)</f>
        <v>16.37</v>
      </c>
      <c r="I150" s="2543" t="str">
        <f>$AU$67&amp;IF($AS$67="",""," | "&amp;$AS$67)</f>
        <v>Mapped — reconciled | Target: Underwriting | I140</v>
      </c>
      <c r="J150" s="2504" t="str">
        <f>$AV$67&amp;" | "&amp;$AX$67</f>
        <v>Model owner | Derived calculation</v>
      </c>
      <c r="K150" s="2504" t="str">
        <f>$AW$67</f>
        <v>760 | The target monthly operating, tax and working-capital schedules control; specialist confirmation remains an OWNER DECISION where stated.</v>
      </c>
      <c r="AJ150" s="578" t="str">
        <v>INV-NAMED-05-INIT</v>
      </c>
      <c r="AK150" s="579" t="str">
        <v>Investors and ownership</v>
      </c>
      <c r="AL150" s="579" t="str">
        <v>Other Investors</v>
      </c>
      <c r="AM150" s="579" t="str">
        <v>Initial contribution</v>
      </c>
      <c r="AN150" s="579" t="str">
        <v>A$m</v>
      </c>
      <c r="AO150" s="579" t="str">
        <v>Initial funding date</v>
      </c>
      <c r="AP150" s="654" t="n">
        <f>IF($E$261="","",$E$261)</f>
        <v>1</v>
      </c>
      <c r="AQ150" s="656" t="str">
        <f>IF($F$261="","",$F$261)</f>
      </c>
      <c r="AR150" s="656" t="str">
        <f>IF($G$261="","",$G$261)</f>
      </c>
      <c r="AS150" s="579" t="str">
        <v>PROJECT CASH FLOW!E107/F107</v>
      </c>
      <c r="AT150" s="655" t="n">
        <v>46228</v>
      </c>
      <c r="AU150" s="579" t="str">
        <v>Mapped — provisional</v>
      </c>
      <c r="AV150" s="579" t="str">
        <v>Management</v>
      </c>
      <c r="AW150" s="579" t="str">
        <v>Funded contribution adopted from the current data book. Legal holder, rights and funding dates require confirmation. | The field is live and formula-linked; its commercial or specialist basis remains provisional where stated.</v>
      </c>
      <c r="AX150" t="str">
        <v>Hard-coded model input</v>
      </c>
      <c r="AY150" s="2440" t="n">
        <f>$H$261</f>
        <v>1</v>
      </c>
      <c r="AZ150" t="str">
        <v>Yes</v>
      </c>
      <c r="BA150" t="str">
        <v>Valuation &amp; Investor Returns</v>
      </c>
      <c r="BB150" t="str">
        <v>D30</v>
      </c>
      <c r="BC150" t="str">
        <v>Target model — pre-audit register</v>
      </c>
      <c r="BD150" t="str">
        <v>Resolved</v>
      </c>
      <c r="BE150" t="str">
        <v>Obtain independent valuation evidence and approve the selected market assumptions.</v>
      </c>
      <c r="BF150" s="2442" t="n">
        <v>46231</v>
      </c>
      <c r="BG150" t="str">
        <f>IF($AZ150="No","PASS",IF(OR($AX150="Owner decision outstanding",$BD150="OWNER DECISION"),"WARNING",IF(OR($AP150="",$AN150="",$AS150="",$AV150=""),"FAIL","PASS")))</f>
        <v>PASS</v>
      </c>
    </row>
    <row r="151" ht="24" customHeight="1">
      <c r="A151" s="2504" t="str">
        <f>$AJ$204</f>
        <v>HOLD-CAPEX-RESERVE</v>
      </c>
      <c r="B151" s="2504" t="str">
        <f>$AL$204</f>
        <v>Build &amp; Hold</v>
      </c>
      <c r="C151" s="2504" t="str">
        <f>$AM$204</f>
        <v>Lifecycle capex reserve</v>
      </c>
      <c r="D151" s="2504" t="str">
        <f>$AN$204&amp;IF($AO$204="",""," | "&amp;IF($AN$204="Date",TEXT($AO$204,"dd mmm yyyy"),$AO$204))</f>
        <v>% of NOI | Selected scenario</v>
      </c>
      <c r="E151" s="2550" t="n">
        <f>$AP$204</f>
        <v>0.014901261680173824</v>
      </c>
      <c r="F151" s="2550"/>
      <c r="G151" s="2550"/>
      <c r="H151" s="2550" t="n">
        <f>IF($A151="","",$E151)</f>
        <v>0.014901261680173824</v>
      </c>
      <c r="I151" s="2543" t="str">
        <f>$AU$204&amp;IF($AS$204="",""," | "&amp;$AS$204)</f>
        <v>Formula Preserved | Live stabilised model</v>
      </c>
      <c r="J151" s="2504" t="str">
        <f>$AV$204&amp;" | "&amp;$AX$204</f>
        <v>Model owner | Formula-linked source input</v>
      </c>
      <c r="K151" s="2504" t="str">
        <f>$AW$204</f>
        <v>Derived from the live annual lifecycle capex divided by stabilised NOI.</v>
      </c>
      <c r="AJ151" s="578" t="str">
        <v>INV-NAMED-05-PRE</v>
      </c>
      <c r="AK151" s="579" t="str">
        <v>Investors and ownership</v>
      </c>
      <c r="AL151" s="579" t="str">
        <v>Other Investors</v>
      </c>
      <c r="AM151" s="579" t="str">
        <v>Pre-construction contribution</v>
      </c>
      <c r="AN151" s="579" t="str">
        <v>A$m</v>
      </c>
      <c r="AO151" s="579" t="str">
        <v>Initial funding date</v>
      </c>
      <c r="AP151" s="654" t="str">
        <f>IF($E$262="","",$E$262)</f>
      </c>
      <c r="AQ151" s="656" t="str">
        <f>IF($F$262="","",$F$262)</f>
      </c>
      <c r="AR151" s="656" t="str">
        <f>IF($G$262="","",$G$262)</f>
      </c>
      <c r="AS151" s="579" t="str">
        <v>PROJECT CASH FLOW!E107/F107</v>
      </c>
      <c r="AT151" s="655" t="n">
        <v>46228</v>
      </c>
      <c r="AU151" s="579" t="str">
        <v>Mapped — provisional</v>
      </c>
      <c r="AV151" s="579" t="str">
        <v>Management</v>
      </c>
      <c r="AW151" s="579" t="str">
        <v>Funded contribution adopted from the current data book. Legal holder, rights and funding dates require confirmation. | The field is live and formula-linked; its commercial or specialist basis remains provisional where stated.</v>
      </c>
      <c r="AX151" t="str">
        <v>Hard-coded model input</v>
      </c>
      <c r="AY151" s="2440" t="n">
        <f>$H$262</f>
        <v>0</v>
      </c>
      <c r="AZ151" t="str">
        <v>Yes</v>
      </c>
      <c r="BA151" t="str">
        <v>Valuation &amp; Investor Returns</v>
      </c>
      <c r="BB151" t="str">
        <v>E30</v>
      </c>
      <c r="BC151" t="str">
        <v>Target model — pre-audit register</v>
      </c>
      <c r="BD151" t="str">
        <v>Resolved</v>
      </c>
      <c r="BE151" t="str">
        <v>Obtain independent valuation evidence and approve the selected market assumptions.</v>
      </c>
      <c r="BF151" s="2442" t="n">
        <v>46231</v>
      </c>
      <c r="BG151" t="str">
        <f>IF($AZ151="No","PASS",IF(OR($AX151="Owner decision outstanding",$BD151="OWNER DECISION"),"WARNING",IF(OR($AP151="",$AN151="",$AS151="",$AV151=""),"FAIL","PASS")))</f>
        <v>FAIL</v>
      </c>
    </row>
    <row r="152" ht="24" customHeight="1">
      <c r="A152" s="2504" t="str">
        <f>$AJ$216</f>
        <v>OPS-STAB-YEAR</v>
      </c>
      <c r="B152" s="2504" t="str">
        <f>$AL$216</f>
        <v>Project</v>
      </c>
      <c r="C152" s="2504" t="str">
        <f>$AM$216</f>
        <v>Selected stabilised operating forecast year</v>
      </c>
      <c r="D152" s="2504" t="str">
        <f>$AN$216&amp;IF($AO$216="",""," | "&amp;IF($AN$216="Date",TEXT($AO$216,"dd mmm yyyy"),$AO$216))</f>
        <v>Year | Annual</v>
      </c>
      <c r="E152" s="2505" t="n">
        <f>$AP$216</f>
        <v>2029</v>
      </c>
      <c r="F152" s="2505"/>
      <c r="G152" s="2505"/>
      <c r="H152" s="2505" t="n">
        <f>IF($A152="","",$E152)</f>
        <v>2029</v>
      </c>
      <c r="I152" s="2543" t="str">
        <f>$AU$216&amp;IF($AS$216="",""," | "&amp;$AS$216)</f>
        <v>Mapped — provisional | PROJECT CASH FLOW / PROFIT &amp; LOSS</v>
      </c>
      <c r="J152" s="2504" t="str">
        <f>$AV$216&amp;" | "&amp;$AX$216</f>
        <v>Management | Derived calculation</v>
      </c>
      <c r="K152" s="2504" t="str">
        <f>$AW$216</f>
        <v>Selected as the first full management operating forecast used for valuation. | The field is live and formula-linked; its commercial or specialist basis remains provisional where stated.</v>
      </c>
      <c r="AJ152" s="578" t="str">
        <v>INV-NAMED-05-FUT</v>
      </c>
      <c r="AK152" s="579" t="str">
        <v>Investors and ownership</v>
      </c>
      <c r="AL152" s="579" t="str">
        <v>Other Investors</v>
      </c>
      <c r="AM152" s="579" t="str">
        <v>Future development contribution</v>
      </c>
      <c r="AN152" s="579" t="str">
        <v>A$m</v>
      </c>
      <c r="AO152" s="579" t="str">
        <v>Future funding date</v>
      </c>
      <c r="AP152" s="654" t="str">
        <f>IF($E$263="","",$E$263)</f>
      </c>
      <c r="AQ152" s="656" t="str">
        <f>IF($F$263="","",$F$263)</f>
      </c>
      <c r="AR152" s="656" t="str">
        <f>IF($G$263="","",$G$263)</f>
      </c>
      <c r="AS152" s="579" t="str">
        <v>PROJECT CASH FLOW!E107/F107</v>
      </c>
      <c r="AT152" s="655" t="n">
        <v>46228</v>
      </c>
      <c r="AU152" s="579" t="str">
        <v>Mapped — provisional</v>
      </c>
      <c r="AV152" s="579" t="str">
        <v>Management</v>
      </c>
      <c r="AW152" s="579" t="str">
        <v>Funded contribution adopted from the current data book. Legal holder, rights and funding dates require confirmation. | The field is live and formula-linked; its commercial or specialist basis remains provisional where stated.</v>
      </c>
      <c r="AX152" t="str">
        <v>Hard-coded model input</v>
      </c>
      <c r="AY152" s="2440" t="n">
        <f>$H$263</f>
        <v>0</v>
      </c>
      <c r="AZ152" t="str">
        <v>Yes</v>
      </c>
      <c r="BA152" t="str">
        <v>Valuation &amp; Investor Returns</v>
      </c>
      <c r="BB152" t="str">
        <v>F30</v>
      </c>
      <c r="BC152" t="str">
        <v>Target model — pre-audit register</v>
      </c>
      <c r="BD152" t="str">
        <v>Resolved</v>
      </c>
      <c r="BE152" t="str">
        <v>Obtain independent valuation evidence and approve the selected market assumptions.</v>
      </c>
      <c r="BF152" s="2442" t="n">
        <v>46231</v>
      </c>
      <c r="BG152" t="str">
        <f>IF($AZ152="No","PASS",IF(OR($AX152="Owner decision outstanding",$BD152="OWNER DECISION"),"WARNING",IF(OR($AP152="",$AN152="",$AS152="",$AV152=""),"FAIL","PASS")))</f>
        <v>FAIL</v>
      </c>
    </row>
    <row r="153" ht="24" customHeight="1">
      <c r="A153" s="2508" t="str">
        <f>$AJ$217</f>
        <v>OPS-STAB-REV</v>
      </c>
      <c r="B153" s="2508" t="str">
        <f>$AL$217</f>
        <v>Project</v>
      </c>
      <c r="C153" s="2508" t="str">
        <f>$AM$217</f>
        <v>Stabilised operating revenue</v>
      </c>
      <c r="D153" s="2508" t="str">
        <f>$AN$217&amp;IF($AO$217="",""," | "&amp;IF($AN$217="Date",TEXT($AO$217,"dd mmm yyyy"),$AO$217))</f>
        <v>A$m | 2029</v>
      </c>
      <c r="E153" s="2510" t="n">
        <f>$AP$217</f>
        <v>48.83020036828583</v>
      </c>
      <c r="F153" s="2510"/>
      <c r="G153" s="2510"/>
      <c r="H153" s="2510" t="n">
        <f>IF($A153="","",$E153)</f>
        <v>48.83020036828583</v>
      </c>
      <c r="I153" s="2543" t="str">
        <f>$AU$217&amp;IF($AS$217="",""," | "&amp;$AS$217)</f>
        <v>Formula Preserved | OPERATING MODEL</v>
      </c>
      <c r="J153" s="2504" t="str">
        <f>$AV$217&amp;" | "&amp;$AX$217</f>
        <v>Model owner | Output only</v>
      </c>
      <c r="K153" s="2504" t="str">
        <f>$AW$217</f>
        <v>Linked to management operating forecast.</v>
      </c>
      <c r="AJ153" s="578" t="str">
        <v>INV-NAMED-06-INIT</v>
      </c>
      <c r="AK153" s="579" t="str">
        <v>Investors and ownership</v>
      </c>
      <c r="AL153" s="579" t="str">
        <v>Andrew Norton &amp; others</v>
      </c>
      <c r="AM153" s="579" t="str">
        <v>Initial contribution</v>
      </c>
      <c r="AN153" s="579" t="str">
        <v>A$m</v>
      </c>
      <c r="AO153" s="579" t="str">
        <v>Initial funding date</v>
      </c>
      <c r="AP153" s="654" t="n">
        <f>IF($E$264="","",$E$264)</f>
        <v>0.83</v>
      </c>
      <c r="AQ153" s="656" t="str">
        <f>IF($F$264="","",$F$264)</f>
      </c>
      <c r="AR153" s="656" t="str">
        <f>IF($G$264="","",$G$264)</f>
      </c>
      <c r="AS153" s="579" t="str">
        <v>PROJECT CASH FLOW!E108/F108</v>
      </c>
      <c r="AT153" s="655" t="n">
        <v>46228</v>
      </c>
      <c r="AU153" s="579" t="str">
        <v>Mapped — provisional</v>
      </c>
      <c r="AV153" s="579" t="str">
        <v>Management</v>
      </c>
      <c r="AW153" s="579" t="str">
        <v>Funded contribution adopted from the current data book. Legal holder, rights and funding dates require confirmation. | The field is live and formula-linked; its commercial or specialist basis remains provisional where stated.</v>
      </c>
      <c r="AX153" t="str">
        <v>Hard-coded model input</v>
      </c>
      <c r="AY153" s="2440" t="n">
        <f>$H$264</f>
        <v>0.83</v>
      </c>
      <c r="AZ153" t="str">
        <v>Yes</v>
      </c>
      <c r="BA153" t="str">
        <v>Valuation &amp; Investor Returns</v>
      </c>
      <c r="BB153" t="str">
        <v>D31</v>
      </c>
      <c r="BC153" t="str">
        <v>Target model — pre-audit register</v>
      </c>
      <c r="BD153" t="str">
        <v>Resolved</v>
      </c>
      <c r="BE153" t="str">
        <v>Obtain independent valuation evidence and approve the selected market assumptions.</v>
      </c>
      <c r="BF153" s="2442" t="n">
        <v>46231</v>
      </c>
      <c r="BG153" t="str">
        <f>IF($AZ153="No","PASS",IF(OR($AX153="Owner decision outstanding",$BD153="OWNER DECISION"),"WARNING",IF(OR($AP153="",$AN153="",$AS153="",$AV153=""),"FAIL","PASS")))</f>
        <v>PASS</v>
      </c>
    </row>
    <row r="154" ht="24" customHeight="1">
      <c r="A154" s="2512" t="str">
        <f>$AJ$218</f>
        <v>OPS-STAB-OPEX</v>
      </c>
      <c r="B154" s="2512" t="str">
        <f>$AL$218</f>
        <v>Project</v>
      </c>
      <c r="C154" s="2512" t="str">
        <f>$AM$218</f>
        <v>Stabilised operating costs</v>
      </c>
      <c r="D154" s="2512" t="str">
        <f>$AN$218&amp;IF($AO$218="",""," | "&amp;IF($AN$218="Date",TEXT($AO$218,"dd mmm yyyy"),$AO$218))</f>
        <v>A$m | 2029</v>
      </c>
      <c r="E154" s="2510" t="n">
        <f>$AP$218</f>
        <v>3.2882786208900043</v>
      </c>
      <c r="F154" s="2510"/>
      <c r="G154" s="2510"/>
      <c r="H154" s="2510" t="n">
        <f>IF($A154="","",$E154)</f>
        <v>3.2882786208900043</v>
      </c>
      <c r="I154" s="2543" t="str">
        <f>$AU$218&amp;IF($AS$218="",""," | "&amp;$AS$218)</f>
        <v>Formula Preserved | OPERATING MODEL</v>
      </c>
      <c r="J154" s="2504" t="str">
        <f>$AV$218&amp;" | "&amp;$AX$218</f>
        <v>Model owner | Output only</v>
      </c>
      <c r="K154" s="2504" t="str">
        <f>$AW$218</f>
        <v>Property and asset-management costs.</v>
      </c>
      <c r="AJ154" s="578" t="str">
        <v>INV-NAMED-06-PRE</v>
      </c>
      <c r="AK154" s="579" t="str">
        <v>Investors and ownership</v>
      </c>
      <c r="AL154" s="579" t="str">
        <v>Andrew Norton &amp; others</v>
      </c>
      <c r="AM154" s="579" t="str">
        <v>Pre-construction contribution</v>
      </c>
      <c r="AN154" s="579" t="str">
        <v>A$m</v>
      </c>
      <c r="AO154" s="579" t="str">
        <v>Initial funding date</v>
      </c>
      <c r="AP154" s="654" t="str">
        <f>IF($E$265="","",$E$265)</f>
      </c>
      <c r="AQ154" s="656" t="str">
        <f>IF($F$265="","",$F$265)</f>
      </c>
      <c r="AR154" s="656" t="str">
        <f>IF($G$265="","",$G$265)</f>
      </c>
      <c r="AS154" s="579" t="str">
        <v>PROJECT CASH FLOW!E108/F108</v>
      </c>
      <c r="AT154" s="655" t="n">
        <v>46228</v>
      </c>
      <c r="AU154" s="579" t="str">
        <v>Mapped — provisional</v>
      </c>
      <c r="AV154" s="579" t="str">
        <v>Management</v>
      </c>
      <c r="AW154" s="579" t="str">
        <v>Funded contribution adopted from the current data book. Legal holder, rights and funding dates require confirmation. | The field is live and formula-linked; its commercial or specialist basis remains provisional where stated.</v>
      </c>
      <c r="AX154" t="str">
        <v>Hard-coded model input</v>
      </c>
      <c r="AY154" s="2440" t="n">
        <f>$H$265</f>
        <v>0</v>
      </c>
      <c r="AZ154" t="str">
        <v>Yes</v>
      </c>
      <c r="BA154" t="str">
        <v>Valuation &amp; Investor Returns</v>
      </c>
      <c r="BB154" t="str">
        <v>E31</v>
      </c>
      <c r="BC154" t="str">
        <v>Target model — pre-audit register</v>
      </c>
      <c r="BD154" t="str">
        <v>Resolved</v>
      </c>
      <c r="BE154" t="str">
        <v>Obtain independent valuation evidence and approve the selected market assumptions.</v>
      </c>
      <c r="BF154" s="2442" t="n">
        <v>46231</v>
      </c>
      <c r="BG154" t="str">
        <f>IF($AZ154="No","PASS",IF(OR($AX154="Owner decision outstanding",$BD154="OWNER DECISION"),"WARNING",IF(OR($AP154="",$AN154="",$AS154="",$AV154=""),"FAIL","PASS")))</f>
        <v>FAIL</v>
      </c>
    </row>
    <row r="155" ht="24" customHeight="1">
      <c r="A155" s="2504" t="str">
        <f>$AJ$247</f>
        <v>OPS-CONSTR-INFL</v>
      </c>
      <c r="B155" s="2504" t="str">
        <f>$AL$247</f>
        <v>Project</v>
      </c>
      <c r="C155" s="2541" t="str">
        <f>$AM$247</f>
        <v>Construction inflation</v>
      </c>
      <c r="D155" s="2544" t="str">
        <f>$AN$247&amp;IF($AO$247="",""," | "&amp;IF($AN$247="Date",TEXT($AO$247,"dd mmm yyyy"),$AO$247))</f>
        <v>% p.a. | Annual</v>
      </c>
      <c r="E155" s="2550" t="n">
        <f>$AP$247</f>
        <v>0.04</v>
      </c>
      <c r="F155" s="2550"/>
      <c r="G155" s="2550"/>
      <c r="H155" s="2550" t="n">
        <f>IF($A155="","",$E155)</f>
        <v>0.04</v>
      </c>
      <c r="I155" s="2543" t="str">
        <f>$AU$247&amp;IF($AS$247="",""," | "&amp;$AS$247)</f>
        <v>Mapped | MODEL DESIGN | D55</v>
      </c>
      <c r="J155" s="2504" t="str">
        <f>$AV$247&amp;" | "&amp;$AX$247</f>
        <v>Model owner | Derived calculation</v>
      </c>
      <c r="K155" s="2504" t="str">
        <f>$AW$247</f>
        <v>Source assumption recorded for traceability; detailed current-dollar CAPEX is the controlling budget.</v>
      </c>
      <c r="AJ155" s="578" t="str">
        <v>INV-NAMED-06-FUT</v>
      </c>
      <c r="AK155" s="579" t="str">
        <v>Investors and ownership</v>
      </c>
      <c r="AL155" s="579" t="str">
        <v>Andrew Norton &amp; others</v>
      </c>
      <c r="AM155" s="579" t="str">
        <v>Future development contribution</v>
      </c>
      <c r="AN155" s="579" t="str">
        <v>A$m</v>
      </c>
      <c r="AO155" s="579" t="str">
        <v>Future funding date</v>
      </c>
      <c r="AP155" s="654" t="str">
        <f>IF($E$266="","",$E$266)</f>
      </c>
      <c r="AQ155" s="656" t="str">
        <f>IF($F$266="","",$F$266)</f>
      </c>
      <c r="AR155" s="656" t="str">
        <f>IF($G$266="","",$G$266)</f>
      </c>
      <c r="AS155" s="579" t="str">
        <v>PROJECT CASH FLOW!E108/F108</v>
      </c>
      <c r="AT155" s="655" t="n">
        <v>46228</v>
      </c>
      <c r="AU155" s="579" t="str">
        <v>Mapped — provisional</v>
      </c>
      <c r="AV155" s="579" t="str">
        <v>Management</v>
      </c>
      <c r="AW155" s="579" t="str">
        <v>Funded contribution adopted from the current data book. Legal holder, rights and funding dates require confirmation. | The field is live and formula-linked; its commercial or specialist basis remains provisional where stated.</v>
      </c>
      <c r="AX155" t="str">
        <v>Hard-coded model input</v>
      </c>
      <c r="AY155" s="2440" t="n">
        <f>$H$266</f>
        <v>0</v>
      </c>
      <c r="AZ155" t="str">
        <v>Yes</v>
      </c>
      <c r="BA155" t="str">
        <v>Valuation &amp; Investor Returns</v>
      </c>
      <c r="BB155" t="str">
        <v>F31</v>
      </c>
      <c r="BC155" t="str">
        <v>Target model — pre-audit register</v>
      </c>
      <c r="BD155" t="str">
        <v>Resolved</v>
      </c>
      <c r="BE155" t="str">
        <v>Obtain independent valuation evidence and approve the selected market assumptions.</v>
      </c>
      <c r="BF155" s="2442" t="n">
        <v>46231</v>
      </c>
      <c r="BG155" t="str">
        <f>IF($AZ155="No","PASS",IF(OR($AX155="Owner decision outstanding",$BD155="OWNER DECISION"),"WARNING",IF(OR($AP155="",$AN155="",$AS155="",$AV155=""),"FAIL","PASS")))</f>
        <v>FAIL</v>
      </c>
    </row>
    <row r="156" ht="24" customHeight="1">
      <c r="A156" s="2513" t="str">
        <f>$AJ$253</f>
        <v>OPS-OPEX-RATIO</v>
      </c>
      <c r="B156" s="2513" t="str">
        <f>$AL$253</f>
        <v>Project</v>
      </c>
      <c r="C156" s="2513" t="str">
        <f>$AM$253</f>
        <v>Operating expense as % of revenue</v>
      </c>
      <c r="D156" s="2513" t="str">
        <f>$AN$253&amp;IF($AO$253="",""," | "&amp;IF($AN$253="Date",TEXT($AO$253,"dd mmm yyyy"),$AO$253))</f>
        <v>% | Annual cross-check</v>
      </c>
      <c r="E156" s="2551" t="n">
        <f>$AP$253</f>
        <v>0.025</v>
      </c>
      <c r="F156" s="2551" t="n">
        <f>$AQ$253</f>
        <v>0.0275</v>
      </c>
      <c r="G156" s="2551" t="n">
        <f>$AR$253</f>
        <v>0.0225</v>
      </c>
      <c r="H156" s="2551" t="n">
        <f>IF($A156="","",CHOOSE(MATCH('VALUATION &amp; RETURNS'!$CR$7,{"Downside","Base","Upside"},0),$F156,$E156,$G156))</f>
        <v>0.025</v>
      </c>
      <c r="I156" s="2543" t="str">
        <f>$AU$253&amp;IF($AS$253="",""," | "&amp;$AS$253)</f>
        <v>Mapped | ASSUMPTIONS | B13:D13</v>
      </c>
      <c r="J156" s="2504" t="str">
        <f>$AV$253&amp;" | "&amp;$AX$253</f>
        <v>Model owner | Derived calculation</v>
      </c>
      <c r="K156" s="2504" t="str">
        <f>$AW$253</f>
        <v>Cross-check only; detailed annual operating-cost schedule remains controlling.</v>
      </c>
      <c r="AJ156" s="578" t="str">
        <v>INV-NAMED-07-INIT</v>
      </c>
      <c r="AK156" s="579" t="str">
        <v>Investors and ownership</v>
      </c>
      <c r="AL156" s="579" t="str">
        <v>Australian Institutional Investors</v>
      </c>
      <c r="AM156" s="579" t="str">
        <v>Initial contribution</v>
      </c>
      <c r="AN156" s="579" t="str">
        <v>A$m</v>
      </c>
      <c r="AO156" s="579" t="str">
        <v>Initial funding date</v>
      </c>
      <c r="AP156" s="654" t="str">
        <f>IF($E$267="","",$E$267)</f>
      </c>
      <c r="AQ156" s="656" t="str">
        <f>IF($F$267="","",$F$267)</f>
      </c>
      <c r="AR156" s="656" t="str">
        <f>IF($G$267="","",$G$267)</f>
      </c>
      <c r="AS156" s="579" t="str">
        <v>PROJECT CASH FLOW!E109/F109</v>
      </c>
      <c r="AT156" s="655" t="n">
        <v>46228</v>
      </c>
      <c r="AU156" s="579" t="str">
        <v>Mapped — provisional</v>
      </c>
      <c r="AV156" s="579" t="str">
        <v>Management</v>
      </c>
      <c r="AW156" s="579" t="str">
        <v>Funded contribution adopted from the current data book. Legal holder, rights and funding dates require confirmation. | The field is live and formula-linked; its commercial or specialist basis remains provisional where stated.</v>
      </c>
      <c r="AX156" t="str">
        <v>Hard-coded model input</v>
      </c>
      <c r="AY156" s="2440" t="n">
        <f>$H$267</f>
        <v>0</v>
      </c>
      <c r="AZ156" t="str">
        <v>Yes</v>
      </c>
      <c r="BA156" t="str">
        <v>Valuation &amp; Investor Returns</v>
      </c>
      <c r="BB156" t="str">
        <v>D32</v>
      </c>
      <c r="BC156" t="str">
        <v>Target model — pre-audit register</v>
      </c>
      <c r="BD156" t="str">
        <v>Resolved</v>
      </c>
      <c r="BE156" t="str">
        <v>Obtain independent valuation evidence and approve the selected market assumptions.</v>
      </c>
      <c r="BF156" s="2442" t="n">
        <v>46231</v>
      </c>
      <c r="BG156" t="str">
        <f>IF($AZ156="No","PASS",IF(OR($AX156="Owner decision outstanding",$BD156="OWNER DECISION"),"WARNING",IF(OR($AP156="",$AN156="",$AS156="",$AV156=""),"FAIL","PASS")))</f>
        <v>FAIL</v>
      </c>
    </row>
    <row r="157" ht="24" customHeight="1">
      <c r="A157" s="2508" t="str">
        <f>$AJ$254</f>
        <v>OPS-SECURITY</v>
      </c>
      <c r="B157" s="2508" t="str">
        <f>$AL$254</f>
        <v>Project</v>
      </c>
      <c r="C157" s="2508" t="str">
        <f>$AM$254</f>
        <v>Security &amp; maintenance as % of gross revenue</v>
      </c>
      <c r="D157" s="2508" t="str">
        <f>$AN$254&amp;IF($AO$254="",""," | "&amp;IF($AN$254="Date",TEXT($AO$254,"dd mmm yyyy"),$AO$254))</f>
        <v>% | Annual</v>
      </c>
      <c r="E157" s="2637" t="n">
        <v>0.03</v>
      </c>
      <c r="F157" s="2552"/>
      <c r="G157" s="2552"/>
      <c r="H157" s="2552" t="n">
        <f>IF($A157="","",$E157)</f>
        <v>0.03</v>
      </c>
      <c r="I157" s="2543" t="str">
        <f>$AU$254&amp;IF($AS$254="",""," | "&amp;$AS$254)</f>
        <v>Mapped | ASSUMPTIONS | B40</v>
      </c>
      <c r="J157" s="2504" t="str">
        <f>$AV$254&amp;" | "&amp;$AX$254</f>
        <v>Model owner | Hard-coded model input</v>
      </c>
      <c r="K157" s="2504" t="str">
        <f>$AW$254</f>
        <v>Reflected in the detailed management operating forecast.</v>
      </c>
      <c r="AJ157" s="578" t="str">
        <v>INV-NAMED-07-PRE</v>
      </c>
      <c r="AK157" s="579" t="str">
        <v>Investors and ownership</v>
      </c>
      <c r="AL157" s="579" t="str">
        <v>Australian Institutional Investors</v>
      </c>
      <c r="AM157" s="579" t="str">
        <v>Pre-construction contribution</v>
      </c>
      <c r="AN157" s="579" t="str">
        <v>A$m</v>
      </c>
      <c r="AO157" s="579" t="str">
        <v>Initial funding date</v>
      </c>
      <c r="AP157" s="654" t="str">
        <f>IF($E$268="","",$E$268)</f>
      </c>
      <c r="AQ157" s="656" t="str">
        <f>IF($F$268="","",$F$268)</f>
      </c>
      <c r="AR157" s="656" t="str">
        <f>IF($G$268="","",$G$268)</f>
      </c>
      <c r="AS157" s="579" t="str">
        <v>PROJECT CASH FLOW!E109/F109</v>
      </c>
      <c r="AT157" s="655" t="n">
        <v>46228</v>
      </c>
      <c r="AU157" s="579" t="str">
        <v>Mapped — provisional</v>
      </c>
      <c r="AV157" s="579" t="str">
        <v>Management</v>
      </c>
      <c r="AW157" s="579" t="str">
        <v>Funded contribution adopted from the current data book. Legal holder, rights and funding dates require confirmation. | The field is live and formula-linked; its commercial or specialist basis remains provisional where stated.</v>
      </c>
      <c r="AX157" t="str">
        <v>Hard-coded model input</v>
      </c>
      <c r="AY157" s="2440" t="n">
        <f>$H$268</f>
        <v>0</v>
      </c>
      <c r="AZ157" t="str">
        <v>Yes</v>
      </c>
      <c r="BA157" t="str">
        <v>Valuation &amp; Investor Returns</v>
      </c>
      <c r="BB157" t="str">
        <v>E32</v>
      </c>
      <c r="BC157" t="str">
        <v>Target model — pre-audit register</v>
      </c>
      <c r="BD157" t="str">
        <v>Resolved</v>
      </c>
      <c r="BE157" t="str">
        <v>Obtain independent valuation evidence and approve the selected market assumptions.</v>
      </c>
      <c r="BF157" s="2442" t="n">
        <v>46231</v>
      </c>
      <c r="BG157" t="str">
        <f>IF($AZ157="No","PASS",IF(OR($AX157="Owner decision outstanding",$BD157="OWNER DECISION"),"WARNING",IF(OR($AP157="",$AN157="",$AS157="",$AV157=""),"FAIL","PASS")))</f>
        <v>FAIL</v>
      </c>
    </row>
    <row r="158" ht="24" customHeight="1">
      <c r="A158" s="2517" t="str">
        <f>$AJ$255</f>
        <v>OPS-ADMIN</v>
      </c>
      <c r="B158" s="2517" t="str">
        <f>$AL$255</f>
        <v>Project</v>
      </c>
      <c r="C158" s="2517" t="str">
        <f>$AM$255</f>
        <v>Administration as % of gross revenue</v>
      </c>
      <c r="D158" s="2504" t="str">
        <f>$AN$255&amp;IF($AO$255="",""," | "&amp;IF($AN$255="Date",TEXT($AO$255,"dd mmm yyyy"),$AO$255))</f>
        <v>% | Annual</v>
      </c>
      <c r="E158" s="2635" t="n">
        <v>0.005</v>
      </c>
      <c r="F158" s="2550"/>
      <c r="G158" s="2550"/>
      <c r="H158" s="2550" t="n">
        <f>IF($A158="","",$E158)</f>
        <v>0.005</v>
      </c>
      <c r="I158" s="2543" t="str">
        <f>$AU$255&amp;IF($AS$255="",""," | "&amp;$AS$255)</f>
        <v>Mapped | ASSUMPTIONS | B41</v>
      </c>
      <c r="J158" s="2504" t="str">
        <f>$AV$255&amp;" | "&amp;$AX$255</f>
        <v>Model owner | Hard-coded model input</v>
      </c>
      <c r="K158" s="2504" t="str">
        <f>$AW$255</f>
        <v>Reflected in the detailed management operating forecast.</v>
      </c>
      <c r="AJ158" s="578" t="str">
        <v>INV-NAMED-07-FUT</v>
      </c>
      <c r="AK158" s="579" t="str">
        <v>Investors and ownership</v>
      </c>
      <c r="AL158" s="579" t="str">
        <v>Australian Institutional Investors</v>
      </c>
      <c r="AM158" s="579" t="str">
        <v>Future development contribution</v>
      </c>
      <c r="AN158" s="579" t="str">
        <v>A$m</v>
      </c>
      <c r="AO158" s="579" t="str">
        <v>Future funding date</v>
      </c>
      <c r="AP158" s="654" t="n">
        <f>IF($E$269="","",$E$269)</f>
        <v>50</v>
      </c>
      <c r="AQ158" s="656" t="str">
        <f>IF($F$269="","",$F$269)</f>
      </c>
      <c r="AR158" s="656" t="str">
        <f>IF($G$269="","",$G$269)</f>
      </c>
      <c r="AS158" s="579" t="str">
        <v>PROJECT CASH FLOW!E109/F109</v>
      </c>
      <c r="AT158" s="655" t="n">
        <v>46228</v>
      </c>
      <c r="AU158" s="579" t="str">
        <v>Mapped — provisional</v>
      </c>
      <c r="AV158" s="579" t="str">
        <v>Management</v>
      </c>
      <c r="AW158" s="579" t="str">
        <v>Funded contribution adopted from the current data book. Legal holder, rights and funding dates require confirmation. | The field is live and formula-linked; its commercial or specialist basis remains provisional where stated.</v>
      </c>
      <c r="AX158" t="str">
        <v>Hard-coded model input</v>
      </c>
      <c r="AY158" s="2440" t="n">
        <f>$H$269</f>
        <v>50</v>
      </c>
      <c r="AZ158" t="str">
        <v>Yes</v>
      </c>
      <c r="BA158" t="str">
        <v>Valuation &amp; Investor Returns</v>
      </c>
      <c r="BB158" t="str">
        <v>F32</v>
      </c>
      <c r="BC158" t="str">
        <v>Target model — pre-audit register</v>
      </c>
      <c r="BD158" t="str">
        <v>Resolved</v>
      </c>
      <c r="BE158" t="str">
        <v>Obtain independent valuation evidence and approve the selected market assumptions.</v>
      </c>
      <c r="BF158" s="2442" t="n">
        <v>46231</v>
      </c>
      <c r="BG158" t="str">
        <f>IF($AZ158="No","PASS",IF(OR($AX158="Owner decision outstanding",$BD158="OWNER DECISION"),"WARNING",IF(OR($AP158="",$AN158="",$AS158="",$AV158=""),"FAIL","PASS")))</f>
        <v>PASS</v>
      </c>
    </row>
    <row r="159" ht="24" customHeight="1">
      <c r="A159" s="2504"/>
      <c r="B159" s="2508"/>
      <c r="C159" s="2504"/>
      <c r="D159" s="2504"/>
      <c r="E159" s="2546"/>
      <c r="F159" s="2546"/>
      <c r="G159" s="2546"/>
      <c r="H159" s="2546"/>
      <c r="I159" s="2543"/>
      <c r="J159" s="2504"/>
      <c r="K159" s="2504"/>
      <c r="AJ159" s="578" t="str">
        <v>INV-NAMED-08-INIT</v>
      </c>
      <c r="AK159" s="579" t="str">
        <v>Investors and ownership</v>
      </c>
      <c r="AL159" s="579" t="str">
        <v>MASTER DEVELOPER</v>
      </c>
      <c r="AM159" s="579" t="str">
        <v>Initial contribution</v>
      </c>
      <c r="AN159" s="579" t="str">
        <v>A$m</v>
      </c>
      <c r="AO159" s="579" t="str">
        <v>Initial funding date</v>
      </c>
      <c r="AP159" s="654" t="str">
        <f>IF($E$270="","",$E$270)</f>
      </c>
      <c r="AQ159" s="656" t="str">
        <f>IF($F$270="","",$F$270)</f>
      </c>
      <c r="AR159" s="656" t="str">
        <f>IF($G$270="","",$G$270)</f>
      </c>
      <c r="AS159" s="579" t="str">
        <v>PROJECT CASH FLOW!E110/F110 + CEO direction</v>
      </c>
      <c r="AT159" s="655" t="n">
        <v>46228</v>
      </c>
      <c r="AU159" s="579" t="str">
        <v>Mapped — provisional</v>
      </c>
      <c r="AV159" s="579" t="str">
        <v>Management</v>
      </c>
      <c r="AW159" s="579" t="str">
        <v>A$150m commitment; funded draw is the residual required to preserve the source 50:50 funded capital structure. Legal identity and rights require confirmation. | The field is live and formula-linked; its commercial or specialist basis remains provisional where stated.</v>
      </c>
      <c r="AX159" t="str">
        <v>Hard-coded model input</v>
      </c>
      <c r="AY159" s="2440" t="n">
        <f>$H$270</f>
        <v>0</v>
      </c>
      <c r="AZ159" t="str">
        <v>Yes</v>
      </c>
      <c r="BA159" t="str">
        <v>Valuation &amp; Investor Returns</v>
      </c>
      <c r="BB159" t="str">
        <v>D33</v>
      </c>
      <c r="BC159" t="str">
        <v>Target model — pre-audit register</v>
      </c>
      <c r="BD159" t="str">
        <v>Resolved</v>
      </c>
      <c r="BE159" t="str">
        <v>Obtain independent valuation evidence and approve the selected market assumptions.</v>
      </c>
      <c r="BF159" s="2442" t="n">
        <v>46231</v>
      </c>
      <c r="BG159" t="str">
        <f>IF($AZ159="No","PASS",IF(OR($AX159="Owner decision outstanding",$BD159="OWNER DECISION"),"WARNING",IF(OR($AP159="",$AN159="",$AS159="",$AV159=""),"FAIL","PASS")))</f>
        <v>FAIL</v>
      </c>
    </row>
    <row r="160" ht="24" customHeight="1">
      <c r="A160" s="2537" t="str">
        <v>LEASING &amp; REVENUE</v>
      </c>
      <c r="B160" s="2537"/>
      <c r="C160" s="2537"/>
      <c r="D160" s="2537"/>
      <c r="E160" s="2539"/>
      <c r="F160" s="2539"/>
      <c r="G160" s="2539"/>
      <c r="H160" s="2539"/>
      <c r="I160" s="2536"/>
      <c r="J160" s="2537"/>
      <c r="K160" s="2537"/>
      <c r="AJ160" s="578" t="str">
        <v>INV-NAMED-08-PRE</v>
      </c>
      <c r="AK160" s="579" t="str">
        <v>Investors and ownership</v>
      </c>
      <c r="AL160" s="579" t="str">
        <v>MASTER DEVELOPER</v>
      </c>
      <c r="AM160" s="579" t="str">
        <v>Pre-construction contribution</v>
      </c>
      <c r="AN160" s="579" t="str">
        <v>A$m</v>
      </c>
      <c r="AO160" s="579" t="str">
        <v>Initial funding date</v>
      </c>
      <c r="AP160" s="654" t="str">
        <f>IF($E$271="","",$E$271)</f>
      </c>
      <c r="AQ160" s="656" t="str">
        <f>IF($F$271="","",$F$271)</f>
      </c>
      <c r="AR160" s="656" t="str">
        <f>IF($G$271="","",$G$271)</f>
      </c>
      <c r="AS160" s="579" t="str">
        <v>PROJECT CASH FLOW!E110/F110 + CEO direction</v>
      </c>
      <c r="AT160" s="655" t="n">
        <v>46228</v>
      </c>
      <c r="AU160" s="579" t="str">
        <v>Mapped — provisional</v>
      </c>
      <c r="AV160" s="579" t="str">
        <v>Management</v>
      </c>
      <c r="AW160" s="579" t="str">
        <v>A$150m commitment; funded draw is the residual required to preserve the source 50:50 funded capital structure. Legal identity and rights require confirmation. | The field is live and formula-linked; its commercial or specialist basis remains provisional where stated.</v>
      </c>
      <c r="AX160" t="str">
        <v>Hard-coded model input</v>
      </c>
      <c r="AY160" s="2440" t="n">
        <f>$H$271</f>
        <v>0</v>
      </c>
      <c r="AZ160" t="str">
        <v>Yes</v>
      </c>
      <c r="BA160" t="str">
        <v>Valuation &amp; Investor Returns</v>
      </c>
      <c r="BB160" t="str">
        <v>E33</v>
      </c>
      <c r="BC160" t="str">
        <v>Target model — pre-audit register</v>
      </c>
      <c r="BD160" t="str">
        <v>Resolved</v>
      </c>
      <c r="BE160" t="str">
        <v>Obtain independent valuation evidence and approve the selected market assumptions.</v>
      </c>
      <c r="BF160" s="2442" t="n">
        <v>46231</v>
      </c>
      <c r="BG160" t="str">
        <f>IF($AZ160="No","PASS",IF(OR($AX160="Owner decision outstanding",$BD160="OWNER DECISION"),"WARNING",IF(OR($AP160="",$AN160="",$AS160="",$AV160=""),"FAIL","PASS")))</f>
        <v>FAIL</v>
      </c>
    </row>
    <row r="161" ht="24" customHeight="1">
      <c r="A161" s="2512" t="str">
        <v>Field ID</v>
      </c>
      <c r="B161" s="2512" t="str">
        <v>Component</v>
      </c>
      <c r="C161" s="2512" t="str">
        <v>Assumption</v>
      </c>
      <c r="D161" s="2512" t="str">
        <v>Unit / Period</v>
      </c>
      <c r="E161" s="2539" t="str">
        <v>Base</v>
      </c>
      <c r="F161" s="2539" t="str">
        <v>Downside</v>
      </c>
      <c r="G161" s="2539" t="str">
        <v>Upside</v>
      </c>
      <c r="H161" s="2539" t="str">
        <v>Selected Value</v>
      </c>
      <c r="I161" s="2540" t="str">
        <v>Status / Source</v>
      </c>
      <c r="J161" s="2512" t="str">
        <v>Owner / Input Type</v>
      </c>
      <c r="K161" s="2512" t="str">
        <v>Notes</v>
      </c>
      <c r="AJ161" s="578" t="str">
        <v>INV-NAMED-08-FUT</v>
      </c>
      <c r="AK161" s="579" t="str">
        <v>Investors and ownership</v>
      </c>
      <c r="AL161" s="579" t="str">
        <v>MASTER DEVELOPER</v>
      </c>
      <c r="AM161" s="579" t="str">
        <v>Future development contribution</v>
      </c>
      <c r="AN161" s="579" t="str">
        <v>A$m</v>
      </c>
      <c r="AO161" s="579" t="str">
        <v>Future funding date</v>
      </c>
      <c r="AP161" s="654" t="n">
        <f>IF($E$272="","",$E$272)</f>
        <v>35.37122252470233</v>
      </c>
      <c r="AQ161" s="656" t="str">
        <f>IF($F$272="","",$F$272)</f>
      </c>
      <c r="AR161" s="656" t="str">
        <f>IF($G$272="","",$G$272)</f>
      </c>
      <c r="AS161" s="579" t="str">
        <v>PROJECT CASH FLOW!E110/F110 + CEO direction</v>
      </c>
      <c r="AT161" s="655" t="n">
        <v>46228</v>
      </c>
      <c r="AU161" s="579" t="str">
        <v>Mapped — provisional</v>
      </c>
      <c r="AV161" s="579" t="str">
        <v>Management</v>
      </c>
      <c r="AW161" s="579" t="str">
        <v>A$150m commitment; funded draw is the residual required to preserve the source 50:50 funded capital structure. Legal identity and rights require confirmation. | The field is live and formula-linked; its commercial or specialist basis remains provisional where stated.</v>
      </c>
      <c r="AX161" t="str">
        <v>Hard-coded model input</v>
      </c>
      <c r="AY161" s="2440" t="n">
        <f>$H$272</f>
        <v>35.37122252470233</v>
      </c>
      <c r="AZ161" t="str">
        <v>Yes</v>
      </c>
      <c r="BA161" t="str">
        <v>Valuation &amp; Investor Returns</v>
      </c>
      <c r="BB161" t="str">
        <v>F33</v>
      </c>
      <c r="BC161" t="str">
        <v>Target model — pre-audit register</v>
      </c>
      <c r="BD161" t="str">
        <v>Resolved</v>
      </c>
      <c r="BE161" t="str">
        <v>Obtain independent valuation evidence and approve the selected market assumptions.</v>
      </c>
      <c r="BF161" s="2442" t="n">
        <v>46231</v>
      </c>
      <c r="BG161" t="str">
        <f>IF($AZ161="No","PASS",IF(OR($AX161="Owner decision outstanding",$BD161="OWNER DECISION"),"WARNING",IF(OR($AP161="",$AN161="",$AS161="",$AV161=""),"FAIL","PASS")))</f>
        <v>PASS</v>
      </c>
    </row>
    <row r="162" ht="24" customHeight="1">
      <c r="A162" s="2504" t="str">
        <f>$AJ$68</f>
        <v>LEASE-001</v>
      </c>
      <c r="B162" s="2504" t="str">
        <f>$AL$68</f>
        <v>Project</v>
      </c>
      <c r="C162" s="2504" t="str">
        <f>$AM$68</f>
        <v>Annual rent escalation</v>
      </c>
      <c r="D162" s="2504" t="str">
        <f>$AN$68&amp;IF($AO$68="",""," | "&amp;IF($AN$68="Date",TEXT($AO$68,"dd mmm yyyy"),$AO$68))</f>
        <v>% p.a. | Annual</v>
      </c>
      <c r="E162" s="2635" t="n">
        <v>0.035</v>
      </c>
      <c r="F162" s="2550"/>
      <c r="G162" s="2550"/>
      <c r="H162" s="2550" t="n">
        <f>IF($A162="","",$E162)</f>
        <v>0.035</v>
      </c>
      <c r="I162" s="2543" t="str">
        <f>$AU$68&amp;IF($AS$68="",""," | "&amp;$AS$68)</f>
        <v>Mapped | MODEL DESIGN | C51</v>
      </c>
      <c r="J162" s="2504" t="str">
        <f>$AV$68&amp;" | "&amp;$AX$68</f>
        <v>Model owner | Hard-coded model input</v>
      </c>
      <c r="K162" s="2504" t="str">
        <f>$AW$68</f>
        <v>Linked to all twelve target component rent-growth inputs.</v>
      </c>
      <c r="AJ162" s="580" t="str">
        <v>FUND-SCOPE-001</v>
      </c>
      <c r="AK162" s="579" t="str">
        <v>Debt and funding</v>
      </c>
      <c r="AL162" s="579" t="str">
        <v>Project</v>
      </c>
      <c r="AM162" s="579" t="str">
        <v>Total project funding requirement</v>
      </c>
      <c r="AN162" s="579" t="str">
        <v>A$m</v>
      </c>
      <c r="AO162" s="579" t="str">
        <v>Whole project</v>
      </c>
      <c r="AP162" s="656" t="n">
        <v>418.75855128460006</v>
      </c>
      <c r="AQ162" s="656" t="n">
        <v>460.63440641306016</v>
      </c>
      <c r="AR162" s="656" t="n">
        <v>397.82062372037007</v>
      </c>
      <c r="AS162" s="579" t="str">
        <v>PROJECT CASH FLOW | E96</v>
      </c>
      <c r="AT162" s="655" t="n">
        <v>46228</v>
      </c>
      <c r="AU162" s="579" t="str">
        <v>Mapped</v>
      </c>
      <c r="AV162" s="579" t="str">
        <v>Model owner</v>
      </c>
      <c r="AW162" s="579" t="str">
        <v>Controlling data-book funding requirement after staged operating sources.</v>
      </c>
      <c r="AX162" t="str">
        <v>Derived calculation</v>
      </c>
      <c r="AY162" s="2440" t="n">
        <f>$H$210</f>
        <v>418.75855128460006</v>
      </c>
      <c r="AZ162" t="str">
        <v>Yes</v>
      </c>
      <c r="BA162" t="str">
        <v>PROJECTS register</v>
      </c>
      <c r="BB162" t="str">
        <v>G162 | Underwriting I57</v>
      </c>
      <c r="BC162" t="str">
        <v>Management direction</v>
      </c>
      <c r="BD162" t="str">
        <v>No</v>
      </c>
      <c r="BE162" t="str">
        <v>None — technical mapping complete.</v>
      </c>
      <c r="BF162" s="2442" t="n">
        <v>46231</v>
      </c>
      <c r="BG162" t="str">
        <f>IF($AZ162="No","PASS",IF(OR($AX162="Owner decision outstanding",$BD162="OWNER DECISION"),"WARNING",IF(OR($AP162="",$AN162="",$AS162="",$AV162=""),"FAIL","PASS")))</f>
        <v>PASS</v>
      </c>
    </row>
    <row r="163" ht="24" customHeight="1">
      <c r="A163" s="2504" t="str">
        <f>$AJ$69</f>
        <v>LEASE-URWLD</v>
      </c>
      <c r="B163" s="2504" t="str">
        <f>$AL$69</f>
        <v>URWLD</v>
      </c>
      <c r="C163" s="2504" t="str">
        <f>$AM$69</f>
        <v>URWLD rent</v>
      </c>
      <c r="D163" s="2504" t="str">
        <f>$AN$69&amp;IF($AO$69="",""," | "&amp;IF($AN$69="Date",TEXT($AO$69,"dd mmm yyyy"),$AO$69))</f>
        <v>A$/sqm/year | Year 1</v>
      </c>
      <c r="E163" s="2625" t="n">
        <v>400</v>
      </c>
      <c r="F163" s="2507"/>
      <c r="G163" s="2507"/>
      <c r="H163" s="2507" t="n">
        <f>IF($A163="","",$E163)</f>
        <v>400</v>
      </c>
      <c r="I163" s="2543" t="str">
        <f>$AU$69&amp;IF($AS$69="",""," | "&amp;$AS$69)</f>
        <v>Mapped | Target: Underwriting | H93</v>
      </c>
      <c r="J163" s="2504" t="str">
        <f>$AV$69&amp;" | "&amp;$AX$69</f>
        <v>Model owner | Hard-coded model input</v>
      </c>
      <c r="K163" s="2504" t="str">
        <f>$AW$69</f>
        <v>Data-book lease and operating schedules require scope reconciliation before replacement.</v>
      </c>
      <c r="AJ163" s="580" t="str">
        <v>CAPEX-DEV-INV</v>
      </c>
      <c r="AK163" s="579" t="str">
        <v>Development capex</v>
      </c>
      <c r="AL163" s="579" t="str">
        <v>Project</v>
      </c>
      <c r="AM163" s="579" t="str">
        <v>Gross development investment</v>
      </c>
      <c r="AN163" s="579" t="str">
        <v>A$m</v>
      </c>
      <c r="AO163" s="579" t="str">
        <v>Development period</v>
      </c>
      <c r="AP163" s="656" t="n">
        <v>448.85663516148145</v>
      </c>
      <c r="AQ163" s="656"/>
      <c r="AR163" s="656"/>
      <c r="AS163" s="579" t="str">
        <v>PROJECT CASH FLOW | H38</v>
      </c>
      <c r="AT163" s="655" t="n">
        <v>46228</v>
      </c>
      <c r="AU163" s="579" t="str">
        <v>Mapped</v>
      </c>
      <c r="AV163" s="579" t="str">
        <v>Model owner</v>
      </c>
      <c r="AW163" s="579" t="str">
        <v>Component CAPEX, site acquisition, site lease deposit and net infrastructure fund.</v>
      </c>
      <c r="AX163" t="str">
        <v>Derived calculation</v>
      </c>
      <c r="AY163" s="2440" t="n">
        <f>$H$117</f>
        <v>448.85663516148145</v>
      </c>
      <c r="AZ163" t="str">
        <v>Yes</v>
      </c>
      <c r="BA163"/>
      <c r="BB163"/>
      <c r="BC163" t="str">
        <v>Project data book</v>
      </c>
      <c r="BD163" t="str">
        <v>No</v>
      </c>
      <c r="BE163" t="str">
        <v>None — technical mapping complete.</v>
      </c>
      <c r="BF163" s="2442" t="n">
        <v>46231</v>
      </c>
      <c r="BG163" t="str">
        <f>IF($AZ163="No","PASS",IF(OR($AX163="Owner decision outstanding",$BD163="OWNER DECISION"),"WARNING",IF(OR($AP163="",$AN163="",$AS163="",$AV163=""),"FAIL","PASS")))</f>
        <v>PASS</v>
      </c>
    </row>
    <row r="164" ht="24" customHeight="1">
      <c r="A164" s="2508" t="str">
        <f>$AJ$70</f>
        <v>LEASE-PBSA</v>
      </c>
      <c r="B164" s="2508" t="str">
        <f>$AL$70</f>
        <v>PBSA/student accommodation</v>
      </c>
      <c r="C164" s="2508" t="str">
        <f>$AM$70</f>
        <v>PBSA property rent</v>
      </c>
      <c r="D164" s="2508" t="str">
        <f>$AN$70&amp;IF($AO$70="",""," | "&amp;IF($AN$70="Date",TEXT($AO$70,"dd mmm yyyy"),$AO$70))</f>
        <v>A$/sqm/year | Year 1</v>
      </c>
      <c r="E164" s="2628" t="n">
        <v>0</v>
      </c>
      <c r="F164" s="2511"/>
      <c r="G164" s="2511"/>
      <c r="H164" s="2511" t="n">
        <f>IF($A164="","",$E164)</f>
        <v>0</v>
      </c>
      <c r="I164" s="2543" t="str">
        <f>$AU$70&amp;IF($AS$70="",""," | "&amp;$AS$70)</f>
        <v>Mapped | Target: Underwriting | H94</v>
      </c>
      <c r="J164" s="2504" t="str">
        <f>$AV$70&amp;" | "&amp;$AX$70</f>
        <v>Model owner | Hard-coded model input</v>
      </c>
      <c r="K164" s="2504" t="str">
        <f>$AW$70</f>
        <v>Data-book lease and operating schedules require scope reconciliation before replacement.</v>
      </c>
      <c r="AJ164" s="580" t="str">
        <v>FUND-SCALE-001</v>
      </c>
      <c r="AK164" s="579" t="str">
        <v>Checks</v>
      </c>
      <c r="AL164" s="579" t="str">
        <v>Project</v>
      </c>
      <c r="AM164" s="579" t="str">
        <v>Data-book scope alignment factor</v>
      </c>
      <c r="AN164" s="579" t="str">
        <v>x</v>
      </c>
      <c r="AO164" s="579" t="str">
        <v>Whole project</v>
      </c>
      <c r="AP164" s="594" t="n">
        <v>1</v>
      </c>
      <c r="AQ164" s="593"/>
      <c r="AR164" s="593"/>
      <c r="AS164" s="579" t="str">
        <v>Current data book selected</v>
      </c>
      <c r="AT164" s="655" t="n">
        <v>46228</v>
      </c>
      <c r="AU164" s="579" t="str">
        <v>Mapped</v>
      </c>
      <c r="AV164" s="579" t="str">
        <v>Model owner</v>
      </c>
      <c r="AW164" s="579" t="str">
        <v>No pro-rata scaling is applied to the detailed data-book budget.</v>
      </c>
      <c r="AX164" t="str">
        <v>System control</v>
      </c>
      <c r="AY164" s="2440" t="n">
        <f>$H$317</f>
        <v>1</v>
      </c>
      <c r="AZ164" t="str">
        <v>Yes</v>
      </c>
      <c r="BA164" t="str">
        <v>Underwriting</v>
      </c>
      <c r="BB164" t="str">
        <v>I27,I29,I34,I36,I43,I44,I53</v>
      </c>
      <c r="BC164" t="str">
        <v>Target model</v>
      </c>
      <c r="BD164" t="str">
        <v>No</v>
      </c>
      <c r="BE164" t="str">
        <v>None — technical mapping complete.</v>
      </c>
      <c r="BF164" s="2442" t="n">
        <v>46231</v>
      </c>
      <c r="BG164" t="str">
        <f>IF($AZ164="No","PASS",IF(OR($AX164="Owner decision outstanding",$BD164="OWNER DECISION"),"WARNING",IF(OR($AP164="",$AN164="",$AS164="",$AV164=""),"FAIL","PASS")))</f>
        <v>PASS</v>
      </c>
    </row>
    <row r="165" ht="24" customHeight="1">
      <c r="A165" s="2504" t="str">
        <f>$AJ$71</f>
        <v>LEASE-LIVE</v>
      </c>
      <c r="B165" s="2504" t="str">
        <f>$AL$71</f>
        <v>LiveHouse</v>
      </c>
      <c r="C165" s="2504" t="str">
        <f>$AM$71</f>
        <v>LiveHouse rent</v>
      </c>
      <c r="D165" s="2504" t="str">
        <f>$AN$71&amp;IF($AO$71="",""," | "&amp;IF($AN$71="Date",TEXT($AO$71,"dd mmm yyyy"),$AO$71))</f>
        <v>A$/sqm/year | Year 1</v>
      </c>
      <c r="E165" s="2625" t="n">
        <v>400</v>
      </c>
      <c r="F165" s="2507"/>
      <c r="G165" s="2507"/>
      <c r="H165" s="2507" t="n">
        <f>IF($A165="","",$E165)</f>
        <v>400</v>
      </c>
      <c r="I165" s="2543" t="str">
        <f>$AU$71&amp;IF($AS$71="",""," | "&amp;$AS$71)</f>
        <v>Mapped | Target: Underwriting | H95</v>
      </c>
      <c r="J165" s="2504" t="str">
        <f>$AV$71&amp;" | "&amp;$AX$71</f>
        <v>Model owner | Hard-coded model input</v>
      </c>
      <c r="K165" s="2504" t="str">
        <f>$AW$71</f>
        <v>Data-book lease and operating schedules require scope reconciliation before replacement.</v>
      </c>
      <c r="AJ165" s="580" t="str">
        <v>FUND-DEBT-SHARE</v>
      </c>
      <c r="AK165" s="579" t="str">
        <v>Debt and funding</v>
      </c>
      <c r="AL165" s="579" t="str">
        <v>Project</v>
      </c>
      <c r="AM165" s="579" t="str">
        <v>Debt funding share</v>
      </c>
      <c r="AN165" s="579" t="str">
        <v>%</v>
      </c>
      <c r="AO165" s="579" t="str">
        <v>Whole project</v>
      </c>
      <c r="AP165" s="595" t="n">
        <v>0.5</v>
      </c>
      <c r="AQ165" s="595" t="n">
        <v>0.45</v>
      </c>
      <c r="AR165" s="595" t="n">
        <v>0.55</v>
      </c>
      <c r="AS165" s="579" t="str">
        <v>PROJECT CASH FLOW | E98/E96</v>
      </c>
      <c r="AT165" s="655" t="n">
        <v>46228</v>
      </c>
      <c r="AU165" s="579" t="str">
        <v>Mapped — provisional</v>
      </c>
      <c r="AV165" s="579" t="str">
        <v>Management</v>
      </c>
      <c r="AW165" s="579" t="str">
        <v>Approximately 50:50 at this stage; lender terms remain subject to confirmation. | The field is live and formula-linked; its commercial or specialist basis remains provisional where stated.</v>
      </c>
      <c r="AX165" t="str">
        <v>Derived calculation</v>
      </c>
      <c r="AY165" s="2440" t="n">
        <f>$H$211</f>
        <v>0.5</v>
      </c>
      <c r="AZ165" t="str">
        <v>Yes</v>
      </c>
      <c r="BA165" t="str">
        <v>PROJECTS register</v>
      </c>
      <c r="BB165" t="str">
        <v>G165 | Underwriting C61,I61</v>
      </c>
      <c r="BC165" t="str">
        <v>Management direction</v>
      </c>
      <c r="BD165" t="str">
        <v>No</v>
      </c>
      <c r="BE165" t="str">
        <v>Replace provisional financing assumptions with an executed lender term sheet.</v>
      </c>
      <c r="BF165" s="2442" t="n">
        <v>46231</v>
      </c>
      <c r="BG165" t="str">
        <f>IF($AZ165="No","PASS",IF(OR($AX165="Owner decision outstanding",$BD165="OWNER DECISION"),"WARNING",IF(OR($AP165="",$AN165="",$AS165="",$AV165=""),"FAIL","PASS")))</f>
        <v>PASS</v>
      </c>
    </row>
    <row r="166" ht="24" customHeight="1">
      <c r="A166" s="2513" t="str">
        <f>$AJ$72</f>
        <v>LEASE-RETAIL</v>
      </c>
      <c r="B166" s="2513" t="str">
        <f>$AL$72</f>
        <v>Retail and ancillary uses</v>
      </c>
      <c r="C166" s="2513" t="str">
        <f>$AM$72</f>
        <v>Retail/F&amp;B rent</v>
      </c>
      <c r="D166" s="2513" t="str">
        <f>$AN$72&amp;IF($AO$72="",""," | "&amp;IF($AN$72="Date",TEXT($AO$72,"dd mmm yyyy"),$AO$72))</f>
        <v>A$/sqm/year | Year 1</v>
      </c>
      <c r="E166" s="2631" t="n">
        <v>600</v>
      </c>
      <c r="F166" s="2516"/>
      <c r="G166" s="2516"/>
      <c r="H166" s="2516" t="n">
        <f>IF($A166="","",$E166)</f>
        <v>600</v>
      </c>
      <c r="I166" s="2543" t="str">
        <f>$AU$72&amp;IF($AS$72="",""," | "&amp;$AS$72)</f>
        <v>Mapped | Target: Underwriting | H96</v>
      </c>
      <c r="J166" s="2504" t="str">
        <f>$AV$72&amp;" | "&amp;$AX$72</f>
        <v>Model owner | Hard-coded model input</v>
      </c>
      <c r="K166" s="2504" t="str">
        <f>$AW$72</f>
        <v>Data-book lease and operating schedules require scope reconciliation before replacement.</v>
      </c>
      <c r="AJ166" s="580" t="str">
        <v>FUND-EQUITY-SHARE</v>
      </c>
      <c r="AK166" s="579" t="str">
        <v>Debt and funding</v>
      </c>
      <c r="AL166" s="579" t="str">
        <v>Project</v>
      </c>
      <c r="AM166" s="579" t="str">
        <v>Equity funding share</v>
      </c>
      <c r="AN166" s="579" t="str">
        <v>%</v>
      </c>
      <c r="AO166" s="579" t="str">
        <v>Whole project</v>
      </c>
      <c r="AP166" s="596" t="n">
        <v>0.5</v>
      </c>
      <c r="AQ166" s="595" t="n">
        <v>0.55</v>
      </c>
      <c r="AR166" s="595" t="n">
        <v>0.44999999999999996</v>
      </c>
      <c r="AS166" s="579" t="str">
        <v>Calculated</v>
      </c>
      <c r="AT166" s="655" t="n">
        <v>46228</v>
      </c>
      <c r="AU166" s="579" t="str">
        <v>Formula Preserved</v>
      </c>
      <c r="AV166" s="579" t="str">
        <v>Model owner</v>
      </c>
      <c r="AW166" s="579" t="str">
        <v>One less debt funding share.</v>
      </c>
      <c r="AX166" t="str">
        <v>Derived calculation</v>
      </c>
      <c r="AY166" s="2440" t="n">
        <f>$H$212</f>
        <v>0.5</v>
      </c>
      <c r="AZ166" t="str">
        <v>Yes</v>
      </c>
      <c r="BA166" t="str">
        <v>PROJECTS register</v>
      </c>
      <c r="BB166" t="str">
        <v>G166</v>
      </c>
      <c r="BC166" t="str">
        <v>Target model</v>
      </c>
      <c r="BD166" t="str">
        <v>No</v>
      </c>
      <c r="BE166" t="str">
        <v>None — technical mapping complete.</v>
      </c>
      <c r="BF166" s="2442" t="n">
        <v>46231</v>
      </c>
      <c r="BG166" t="str">
        <f>IF($AZ166="No","PASS",IF(OR($AX166="Owner decision outstanding",$BD166="OWNER DECISION"),"WARNING",IF(OR($AP166="",$AN166="",$AS166="",$AV166=""),"FAIL","PASS")))</f>
        <v>PASS</v>
      </c>
    </row>
    <row r="167" ht="24" customHeight="1">
      <c r="A167" s="2504" t="str">
        <f>$AJ$73</f>
        <v>LEASE-GEN</v>
      </c>
      <c r="B167" s="2504" t="str">
        <f>$AL$73</f>
        <v>Genesis</v>
      </c>
      <c r="C167" s="2504" t="str">
        <f>$AM$73</f>
        <v>Genesis rent</v>
      </c>
      <c r="D167" s="2504" t="str">
        <f>$AN$73&amp;IF($AO$73="",""," | "&amp;IF($AN$73="Date",TEXT($AO$73,"dd mmm yyyy"),$AO$73))</f>
        <v>A$/sqm/year | Year 1</v>
      </c>
      <c r="E167" s="2625" t="n">
        <v>500</v>
      </c>
      <c r="F167" s="2507"/>
      <c r="G167" s="2507"/>
      <c r="H167" s="2507" t="n">
        <f>IF($A167="","",$E167)</f>
        <v>500</v>
      </c>
      <c r="I167" s="2543" t="str">
        <f>$AU$73&amp;IF($AS$73="",""," | "&amp;$AS$73)</f>
        <v>Mapped | Target: Underwriting | H97</v>
      </c>
      <c r="J167" s="2504" t="str">
        <f>$AV$73&amp;" | "&amp;$AX$73</f>
        <v>Model owner | Hard-coded model input</v>
      </c>
      <c r="K167" s="2504" t="str">
        <f>$AW$73</f>
        <v>Data-book lease and operating schedules require scope reconciliation before replacement.</v>
      </c>
      <c r="AJ167" s="580" t="str">
        <v>FUND-DEBT-TARGET</v>
      </c>
      <c r="AK167" s="579" t="str">
        <v>Debt and funding</v>
      </c>
      <c r="AL167" s="579" t="str">
        <v>Project</v>
      </c>
      <c r="AM167" s="579" t="str">
        <v>Target debt funding</v>
      </c>
      <c r="AN167" s="579" t="str">
        <v>A$m</v>
      </c>
      <c r="AO167" s="579" t="str">
        <v>Whole project</v>
      </c>
      <c r="AP167" s="657" t="n">
        <v>209.37927564230003</v>
      </c>
      <c r="AQ167" s="656" t="n">
        <v>207.2854828858771</v>
      </c>
      <c r="AR167" s="656" t="n">
        <v>218.80134304620356</v>
      </c>
      <c r="AS167" s="579" t="str">
        <v>PROJECT CASH FLOW | E98</v>
      </c>
      <c r="AT167" s="655" t="n">
        <v>46228</v>
      </c>
      <c r="AU167" s="579" t="str">
        <v>Formula Preserved</v>
      </c>
      <c r="AV167" s="579" t="str">
        <v>Model owner</v>
      </c>
      <c r="AW167" s="579" t="str">
        <v>Source construction debt funding.</v>
      </c>
      <c r="AX167" t="str">
        <v>Formula-linked source input</v>
      </c>
      <c r="AY167" s="2440" t="n">
        <f>$H$213</f>
        <v>209.37927564230003</v>
      </c>
      <c r="AZ167" t="str">
        <v>Yes</v>
      </c>
      <c r="BA167" t="str">
        <v>DEBT</v>
      </c>
      <c r="BB167" t="str">
        <v>B9 and live schedule</v>
      </c>
      <c r="BC167" t="str">
        <v>Target model</v>
      </c>
      <c r="BD167" t="str">
        <v>No</v>
      </c>
      <c r="BE167" t="str">
        <v>None — technical mapping complete.</v>
      </c>
      <c r="BF167" s="2442" t="n">
        <v>46231</v>
      </c>
      <c r="BG167" t="str">
        <f>IF($AZ167="No","PASS",IF(OR($AX167="Owner decision outstanding",$BD167="OWNER DECISION"),"WARNING",IF(OR($AP167="",$AN167="",$AS167="",$AV167=""),"FAIL","PASS")))</f>
        <v>PASS</v>
      </c>
    </row>
    <row r="168" ht="24" customHeight="1">
      <c r="A168" s="2508" t="str">
        <f>$AJ$74</f>
        <v>LEASE-PARK</v>
      </c>
      <c r="B168" s="2508" t="str">
        <f>$AL$74</f>
        <v>Parking</v>
      </c>
      <c r="C168" s="2508" t="str">
        <f>$AM$74</f>
        <v>Car park property rent</v>
      </c>
      <c r="D168" s="2508" t="str">
        <f>$AN$74&amp;IF($AO$74="",""," | "&amp;IF($AN$74="Date",TEXT($AO$74,"dd mmm yyyy"),$AO$74))</f>
        <v>A$/sqm/year | Year 1</v>
      </c>
      <c r="E168" s="2628" t="n">
        <v>0</v>
      </c>
      <c r="F168" s="2511"/>
      <c r="G168" s="2511"/>
      <c r="H168" s="2511" t="n">
        <f>IF($A168="","",$E168)</f>
        <v>0</v>
      </c>
      <c r="I168" s="2543" t="str">
        <f>$AU$74&amp;IF($AS$74="",""," | "&amp;$AS$74)</f>
        <v>Mapped | Target: Underwriting | H98</v>
      </c>
      <c r="J168" s="2504" t="str">
        <f>$AV$74&amp;" | "&amp;$AX$74</f>
        <v>Model owner | Hard-coded model input</v>
      </c>
      <c r="K168" s="2504" t="str">
        <f>$AW$74</f>
        <v>Data-book lease and operating schedules require scope reconciliation before replacement.</v>
      </c>
      <c r="AJ168" s="580" t="str">
        <v>FUND-EQUITY-TARGET</v>
      </c>
      <c r="AK168" s="579" t="str">
        <v>Investors and ownership</v>
      </c>
      <c r="AL168" s="579" t="str">
        <v>Project</v>
      </c>
      <c r="AM168" s="579" t="str">
        <v>Target funded equity</v>
      </c>
      <c r="AN168" s="579" t="str">
        <v>A$m</v>
      </c>
      <c r="AO168" s="579" t="str">
        <v>Whole project</v>
      </c>
      <c r="AP168" s="657" t="n">
        <v>119.20222252470232</v>
      </c>
      <c r="AQ168" s="656" t="n">
        <v>253.34892352718308</v>
      </c>
      <c r="AR168" s="656" t="n">
        <v>179.0192806741665</v>
      </c>
      <c r="AS168" s="579" t="str">
        <v>PROJECT CASH FLOW | E100</v>
      </c>
      <c r="AT168" s="655" t="n">
        <v>46228</v>
      </c>
      <c r="AU168" s="579" t="str">
        <v>Formula Preserved</v>
      </c>
      <c r="AV168" s="579" t="str">
        <v>Model owner</v>
      </c>
      <c r="AW168" s="579" t="str">
        <v>Allocated across the eight-line funded investor register.</v>
      </c>
      <c r="AX168" t="str">
        <v>Formula-linked source input</v>
      </c>
      <c r="AY168" s="2440" t="n">
        <f>$H$273</f>
        <v>119.20222252470232</v>
      </c>
      <c r="AZ168" t="str">
        <v>Yes</v>
      </c>
      <c r="BA168" t="str">
        <v>Underwriting</v>
      </c>
      <c r="BB168" t="str">
        <v>I60 and monthly equity waterfall</v>
      </c>
      <c r="BC168" t="str">
        <v>Target model</v>
      </c>
      <c r="BD168" t="str">
        <v>No</v>
      </c>
      <c r="BE168" t="str">
        <v>Confirm executed investor identities, funded amounts, dilution and shareholder rights.</v>
      </c>
      <c r="BF168" s="2442" t="n">
        <v>46231</v>
      </c>
      <c r="BG168" t="str">
        <f>IF($AZ168="No","PASS",IF(OR($AX168="Owner decision outstanding",$BD168="OWNER DECISION"),"WARNING",IF(OR($AP168="",$AN168="",$AS168="",$AV168=""),"FAIL","PASS")))</f>
        <v>PASS</v>
      </c>
    </row>
    <row r="169" ht="24" customHeight="1">
      <c r="A169" s="2517" t="str">
        <f>$AJ$75</f>
        <v>LEASE-SNOW</v>
      </c>
      <c r="B169" s="2517" t="str">
        <f>$AL$75</f>
        <v>Snowtunnel</v>
      </c>
      <c r="C169" s="2517" t="str">
        <f>$AM$75</f>
        <v>Snowtunnel rent</v>
      </c>
      <c r="D169" s="2517" t="str">
        <f>$AN$75&amp;IF($AO$75="",""," | "&amp;IF($AN$75="Date",TEXT($AO$75,"dd mmm yyyy"),$AO$75))</f>
        <v>A$/sqm/year | Year 1</v>
      </c>
      <c r="E169" s="2638" t="n">
        <v>500</v>
      </c>
      <c r="F169" s="2553"/>
      <c r="G169" s="2553"/>
      <c r="H169" s="2553" t="n">
        <f>IF($A169="","",$E169)</f>
        <v>500</v>
      </c>
      <c r="I169" s="2543" t="str">
        <f>$AU$75&amp;IF($AS$75="",""," | "&amp;$AS$75)</f>
        <v>Mapped | Target: Underwriting | H99</v>
      </c>
      <c r="J169" s="2504" t="str">
        <f>$AV$75&amp;" | "&amp;$AX$75</f>
        <v>Model owner | Hard-coded model input</v>
      </c>
      <c r="K169" s="2504" t="str">
        <f>$AW$75</f>
        <v>Data-book lease and operating schedules require scope reconciliation before replacement.</v>
      </c>
      <c r="AJ169" s="580" t="str">
        <v>INV-NAMED-BASE</v>
      </c>
      <c r="AK169" s="579" t="str">
        <v>Investors and ownership</v>
      </c>
      <c r="AL169" s="579" t="str">
        <v>Project</v>
      </c>
      <c r="AM169" s="579" t="str">
        <v>Funded investor register</v>
      </c>
      <c r="AN169" s="579" t="str">
        <v>A$m</v>
      </c>
      <c r="AO169" s="579" t="str">
        <v>Whole project</v>
      </c>
      <c r="AP169" s="657" t="n">
        <v>119.20222252470232</v>
      </c>
      <c r="AQ169" s="656"/>
      <c r="AR169" s="656"/>
      <c r="AS169" s="579" t="str">
        <v>FUNDING &amp; CAP TABLE</v>
      </c>
      <c r="AT169" s="655" t="n">
        <v>46228</v>
      </c>
      <c r="AU169" s="579" t="str">
        <v>Formula Preserved</v>
      </c>
      <c r="AV169" s="579" t="str">
        <v>Model owner</v>
      </c>
      <c r="AW169" s="579" t="str">
        <v>Funded contributions, not total commitments.</v>
      </c>
      <c r="AX169" t="str">
        <v>Derived calculation</v>
      </c>
      <c r="AY169" s="2440" t="n">
        <f>$H$274</f>
        <v>119.20222252470232</v>
      </c>
      <c r="AZ169" t="str">
        <v>Yes</v>
      </c>
      <c r="BA169" t="str">
        <v>PROJECTS register</v>
      </c>
      <c r="BB169" t="str">
        <v>G169</v>
      </c>
      <c r="BC169" t="str">
        <v>DATA MAP</v>
      </c>
      <c r="BD169" t="str">
        <v>Resolved</v>
      </c>
      <c r="BE169" t="str">
        <v>Obtain independent valuation evidence and approve the selected market assumptions.</v>
      </c>
      <c r="BF169" s="2442" t="n">
        <v>46231</v>
      </c>
      <c r="BG169" t="str">
        <f>IF($AZ169="No","PASS",IF(OR($AX169="Owner decision outstanding",$BD169="OWNER DECISION"),"WARNING",IF(OR($AP169="",$AN169="",$AS169="",$AV169=""),"FAIL","PASS")))</f>
        <v>PASS</v>
      </c>
    </row>
    <row r="170" ht="24" customHeight="1">
      <c r="A170" s="2504" t="str">
        <f>$AJ$76</f>
        <v>LEASE-GOKART</v>
      </c>
      <c r="B170" s="2504" t="str">
        <f>$AL$76</f>
        <v>Retail and ancillary uses</v>
      </c>
      <c r="C170" s="2504" t="str">
        <f>$AM$76</f>
        <v>Go-kart rent</v>
      </c>
      <c r="D170" s="2541" t="str">
        <f>$AN$76&amp;IF($AO$76="",""," | "&amp;IF($AN$76="Date",TEXT($AO$76,"dd mmm yyyy"),$AO$76))</f>
        <v>A$/sqm/year | Year 1</v>
      </c>
      <c r="E170" s="2625" t="n">
        <v>500</v>
      </c>
      <c r="F170" s="2507"/>
      <c r="G170" s="2507"/>
      <c r="H170" s="2507" t="n">
        <f>IF($A170="","",$E170)</f>
        <v>500</v>
      </c>
      <c r="I170" s="2543" t="str">
        <f>$AU$76&amp;IF($AS$76="",""," | "&amp;$AS$76)</f>
        <v>Mapped | Target: Underwriting | H100</v>
      </c>
      <c r="J170" s="2504" t="str">
        <f>$AV$76&amp;" | "&amp;$AX$76</f>
        <v>Model owner | Hard-coded model input</v>
      </c>
      <c r="K170" s="2504" t="str">
        <f>$AW$76</f>
        <v>Data-book lease and operating schedules require scope reconciliation before replacement.</v>
      </c>
      <c r="AJ170" s="580" t="str">
        <v>INV-NAMED-SCALE</v>
      </c>
      <c r="AK170" s="579" t="str">
        <v>Checks</v>
      </c>
      <c r="AL170" s="579" t="str">
        <v>Investors and ownership</v>
      </c>
      <c r="AM170" s="579" t="str">
        <v>Funded investor allocation factor</v>
      </c>
      <c r="AN170" s="579" t="str">
        <v>x</v>
      </c>
      <c r="AO170" s="579" t="str">
        <v>Whole project</v>
      </c>
      <c r="AP170" s="594" t="n">
        <v>1</v>
      </c>
      <c r="AQ170" s="593"/>
      <c r="AR170" s="593"/>
      <c r="AS170" s="579" t="str">
        <v>Calculated</v>
      </c>
      <c r="AT170" s="655" t="n">
        <v>46228</v>
      </c>
      <c r="AU170" s="579" t="str">
        <v>Formula Preserved</v>
      </c>
      <c r="AV170" s="579" t="str">
        <v>Model owner</v>
      </c>
      <c r="AW170" s="579" t="str">
        <v>Must equal 1.000x; funded contributions are not pro-rata rescaled.</v>
      </c>
      <c r="AX170" t="str">
        <v>System control</v>
      </c>
      <c r="AY170" s="2440" t="n">
        <f>$H$318</f>
        <v>1</v>
      </c>
      <c r="AZ170" t="str">
        <v>Yes</v>
      </c>
      <c r="BA170" t="str">
        <v>PROJECTS register</v>
      </c>
      <c r="BB170" t="str">
        <v>G138:G161</v>
      </c>
      <c r="BC170" t="str">
        <v>Target model</v>
      </c>
      <c r="BD170" t="str">
        <v>Resolved</v>
      </c>
      <c r="BE170" t="str">
        <v>Obtain independent valuation evidence and approve the selected market assumptions.</v>
      </c>
      <c r="BF170" s="2442" t="n">
        <v>46231</v>
      </c>
      <c r="BG170" t="str">
        <f>IF($AZ170="No","PASS",IF(OR($AX170="Owner decision outstanding",$BD170="OWNER DECISION"),"WARNING",IF(OR($AP170="",$AN170="",$AS170="",$AV170=""),"FAIL","PASS")))</f>
        <v>PASS</v>
      </c>
    </row>
    <row r="171" ht="24" customHeight="1">
      <c r="A171" s="2504" t="str">
        <f>$AJ$77</f>
        <v>LEASE-LAND</v>
      </c>
      <c r="B171" s="2504" t="str">
        <f>$AL$77</f>
        <v>Retail and ancillary uses</v>
      </c>
      <c r="C171" s="2504" t="str">
        <f>$AM$77</f>
        <v>Landscape attraction rent</v>
      </c>
      <c r="D171" s="2541" t="str">
        <f>$AN$77&amp;IF($AO$77="",""," | "&amp;IF($AN$77="Date",TEXT($AO$77,"dd mmm yyyy"),$AO$77))</f>
        <v>A$/sqm/year | Year 1</v>
      </c>
      <c r="E171" s="2625" t="n">
        <v>600</v>
      </c>
      <c r="F171" s="2507"/>
      <c r="G171" s="2507"/>
      <c r="H171" s="2507" t="n">
        <f>IF($A171="","",$E171)</f>
        <v>600</v>
      </c>
      <c r="I171" s="2543" t="str">
        <f>$AU$77&amp;IF($AS$77="",""," | "&amp;$AS$77)</f>
        <v>Mapped | Target: Underwriting | H101</v>
      </c>
      <c r="J171" s="2504" t="str">
        <f>$AV$77&amp;" | "&amp;$AX$77</f>
        <v>Model owner | Hard-coded model input</v>
      </c>
      <c r="K171" s="2504" t="str">
        <f>$AW$77</f>
        <v>Data-book lease and operating schedules require scope reconciliation before replacement.</v>
      </c>
      <c r="AJ171" s="580" t="str">
        <v>CAPEX-BASE-LAND</v>
      </c>
      <c r="AK171" s="579" t="str">
        <v>Development capex</v>
      </c>
      <c r="AL171" s="579" t="str">
        <v>Land</v>
      </c>
      <c r="AM171" s="579" t="str">
        <v>Site acquisition incl. stamp duty</v>
      </c>
      <c r="AN171" s="579" t="str">
        <v>A$m</v>
      </c>
      <c r="AO171" s="579" t="str">
        <v>Acquisition</v>
      </c>
      <c r="AP171" s="656" t="n">
        <v>91.57</v>
      </c>
      <c r="AQ171" s="656"/>
      <c r="AR171" s="656"/>
      <c r="AS171" s="579" t="str">
        <v>PROJECT CASH FLOW | H30</v>
      </c>
      <c r="AT171" s="655" t="n">
        <v>46228</v>
      </c>
      <c r="AU171" s="579" t="str">
        <v>Mapped</v>
      </c>
      <c r="AV171" s="579" t="str">
        <v>Model owner</v>
      </c>
      <c r="AW171" s="579" t="str">
        <v>Controlling current data-book input.</v>
      </c>
      <c r="AX171" t="str">
        <v>Derived calculation</v>
      </c>
      <c r="AY171" s="2440" t="n">
        <f>$H$118</f>
        <v>91.57</v>
      </c>
      <c r="AZ171" t="str">
        <v>Yes</v>
      </c>
      <c r="BA171" t="str">
        <v>PROJECTS register</v>
      </c>
      <c r="BB171" t="str">
        <v>G171</v>
      </c>
      <c r="BC171" t="str">
        <v>Underwriting</v>
      </c>
      <c r="BD171" t="str">
        <v>No</v>
      </c>
      <c r="BE171" t="str">
        <v>None — technical mapping complete.</v>
      </c>
      <c r="BF171" s="2442" t="n">
        <v>46231</v>
      </c>
      <c r="BG171" t="str">
        <f>IF($AZ171="No","PASS",IF(OR($AX171="Owner decision outstanding",$BD171="OWNER DECISION"),"WARNING",IF(OR($AP171="",$AN171="",$AS171="",$AV171=""),"FAIL","PASS")))</f>
        <v>PASS</v>
      </c>
    </row>
    <row r="172" ht="24" customHeight="1">
      <c r="A172" s="2504" t="str">
        <f>$AJ$78</f>
        <v>LEASE-STOR</v>
      </c>
      <c r="B172" s="2504" t="str">
        <f>$AL$78</f>
        <v>Storage</v>
      </c>
      <c r="C172" s="2504" t="str">
        <f>$AM$78</f>
        <v>Self-storage property rent</v>
      </c>
      <c r="D172" s="2541" t="str">
        <f>$AN$78&amp;IF($AO$78="",""," | "&amp;IF($AN$78="Date",TEXT($AO$78,"dd mmm yyyy"),$AO$78))</f>
        <v>A$/sqm/year | Year 1</v>
      </c>
      <c r="E172" s="2625" t="n">
        <v>0</v>
      </c>
      <c r="F172" s="2507"/>
      <c r="G172" s="2507"/>
      <c r="H172" s="2507" t="n">
        <f>IF($A172="","",$E172)</f>
        <v>0</v>
      </c>
      <c r="I172" s="2543" t="str">
        <f>$AU$78&amp;IF($AS$78="",""," | "&amp;$AS$78)</f>
        <v>Mapped | Target: Underwriting | H102</v>
      </c>
      <c r="J172" s="2504" t="str">
        <f>$AV$78&amp;" | "&amp;$AX$78</f>
        <v>Model owner | Hard-coded model input</v>
      </c>
      <c r="K172" s="2504" t="str">
        <f>$AW$78</f>
        <v>Data-book lease and operating schedules require scope reconciliation before replacement.</v>
      </c>
      <c r="AJ172" s="580" t="str">
        <v>CAPEX-LEASE-DEP</v>
      </c>
      <c r="AK172" s="579" t="str">
        <v>Development capex</v>
      </c>
      <c r="AL172" s="579" t="str">
        <v>Land</v>
      </c>
      <c r="AM172" s="579" t="str">
        <v>Interim site acquisition lease deposit</v>
      </c>
      <c r="AN172" s="579" t="str">
        <v>A$m</v>
      </c>
      <c r="AO172" s="579" t="str">
        <v>Acquisition</v>
      </c>
      <c r="AP172" s="656" t="n">
        <v>0.75</v>
      </c>
      <c r="AQ172" s="656"/>
      <c r="AR172" s="656"/>
      <c r="AS172" s="579" t="str">
        <v>PROJECT CASH FLOW | H32</v>
      </c>
      <c r="AT172" s="655" t="n">
        <v>46228</v>
      </c>
      <c r="AU172" s="579" t="str">
        <v>Mapped</v>
      </c>
      <c r="AV172" s="579" t="str">
        <v>Model owner</v>
      </c>
      <c r="AW172" s="579" t="str">
        <v>Included once in gross development investment.</v>
      </c>
      <c r="AX172" t="str">
        <v>Derived calculation</v>
      </c>
      <c r="AY172" s="2440" t="n">
        <f>$H$119</f>
        <v>0.75</v>
      </c>
      <c r="AZ172" t="str">
        <v>Yes</v>
      </c>
      <c r="BA172"/>
      <c r="BB172"/>
      <c r="BC172" t="str">
        <v>Project data book</v>
      </c>
      <c r="BD172" t="str">
        <v>No</v>
      </c>
      <c r="BE172" t="str">
        <v>None — technical mapping complete.</v>
      </c>
      <c r="BF172" s="2442" t="n">
        <v>46231</v>
      </c>
      <c r="BG172" t="str">
        <f>IF($AZ172="No","PASS",IF(OR($AX172="Owner decision outstanding",$BD172="OWNER DECISION"),"WARNING",IF(OR($AP172="",$AN172="",$AS172="",$AV172=""),"FAIL","PASS")))</f>
        <v>PASS</v>
      </c>
    </row>
    <row r="173" ht="24" customHeight="1">
      <c r="A173" s="2504" t="str">
        <f>$AJ$79</f>
        <v>LEASE-CONV</v>
      </c>
      <c r="B173" s="2504" t="str">
        <f>$AL$79</f>
        <v>Retail and ancillary uses</v>
      </c>
      <c r="C173" s="2504" t="str">
        <f>$AM$79</f>
        <v>Convenience/laundromat property rent</v>
      </c>
      <c r="D173" s="2544" t="str">
        <f>$AN$79&amp;IF($AO$79="",""," | "&amp;IF($AN$79="Date",TEXT($AO$79,"dd mmm yyyy"),$AO$79))</f>
        <v>A$/sqm/year | Year 1</v>
      </c>
      <c r="E173" s="2625" t="n">
        <v>0</v>
      </c>
      <c r="F173" s="2507"/>
      <c r="G173" s="2507"/>
      <c r="H173" s="2507" t="n">
        <f>IF($A173="","",$E173)</f>
        <v>0</v>
      </c>
      <c r="I173" s="2543" t="str">
        <f>$AU$79&amp;IF($AS$79="",""," | "&amp;$AS$79)</f>
        <v>Mapped | Target: Underwriting | H103</v>
      </c>
      <c r="J173" s="2504" t="str">
        <f>$AV$79&amp;" | "&amp;$AX$79</f>
        <v>Model owner | Hard-coded model input</v>
      </c>
      <c r="K173" s="2504" t="str">
        <f>$AW$79</f>
        <v>Data-book lease and operating schedules require scope reconciliation before replacement.</v>
      </c>
      <c r="AJ173" s="580" t="str">
        <v>CAPEX-INFRA-NET</v>
      </c>
      <c r="AK173" s="579" t="str">
        <v>Development capex</v>
      </c>
      <c r="AL173" s="579" t="str">
        <v>Infrastructure</v>
      </c>
      <c r="AM173" s="579" t="str">
        <v>Net infrastructure fund</v>
      </c>
      <c r="AN173" s="579" t="str">
        <v>A$m</v>
      </c>
      <c r="AO173" s="579" t="str">
        <v>Construction</v>
      </c>
      <c r="AP173" s="656" t="n">
        <f>IF($E$120="","",$E$120)</f>
        <v>14.11362868</v>
      </c>
      <c r="AQ173" s="656" t="str">
        <f>IF($F$120="","",$F$120)</f>
      </c>
      <c r="AR173" s="656" t="str">
        <f>IF($G$120="","",$G$120)</f>
      </c>
      <c r="AS173" s="579" t="str">
        <v>PROJECT CASH FLOW | H36:H37</v>
      </c>
      <c r="AT173" s="655" t="n">
        <v>46228</v>
      </c>
      <c r="AU173" s="579" t="str">
        <v>Mapped</v>
      </c>
      <c r="AV173" s="579" t="str">
        <v>Model owner</v>
      </c>
      <c r="AW173" s="579" t="str">
        <v>A$22.114m gross fund less A$8.0m landscape-integration reduction.</v>
      </c>
      <c r="AX173" t="str">
        <v>Hard-coded model input</v>
      </c>
      <c r="AY173" s="2440" t="n">
        <f>$H$120</f>
        <v>14.11362868</v>
      </c>
      <c r="AZ173" t="str">
        <v>Yes</v>
      </c>
      <c r="BA173"/>
      <c r="BB173"/>
      <c r="BC173" t="str">
        <v>Project data book</v>
      </c>
      <c r="BD173" t="str">
        <v>No</v>
      </c>
      <c r="BE173" t="str">
        <v>None — technical mapping complete.</v>
      </c>
      <c r="BF173" s="2442" t="n">
        <v>46231</v>
      </c>
      <c r="BG173" t="str">
        <f>IF($AZ173="No","PASS",IF(OR($AX173="Owner decision outstanding",$BD173="OWNER DECISION"),"WARNING",IF(OR($AP173="",$AN173="",$AS173="",$AV173=""),"FAIL","PASS")))</f>
        <v>PASS</v>
      </c>
    </row>
    <row r="174" ht="24" customHeight="1">
      <c r="A174" s="2504" t="str">
        <f>$AJ$80</f>
        <v>LEASE-EBIKE</v>
      </c>
      <c r="B174" s="2504" t="str">
        <f>$AL$80</f>
        <v>Retail and ancillary uses</v>
      </c>
      <c r="C174" s="2504" t="str">
        <f>$AM$80</f>
        <v>eBike/eScooter property rent</v>
      </c>
      <c r="D174" s="2544" t="str">
        <f>$AN$80&amp;IF($AO$80="",""," | "&amp;IF($AN$80="Date",TEXT($AO$80,"dd mmm yyyy"),$AO$80))</f>
        <v>A$/sqm/year | Year 1</v>
      </c>
      <c r="E174" s="2625" t="n">
        <v>0</v>
      </c>
      <c r="F174" s="2507"/>
      <c r="G174" s="2507"/>
      <c r="H174" s="2507" t="n">
        <f>IF($A174="","",$E174)</f>
        <v>0</v>
      </c>
      <c r="I174" s="2543" t="str">
        <f>$AU$80&amp;IF($AS$80="",""," | "&amp;$AS$80)</f>
        <v>Mapped | Target: Underwriting | H104</v>
      </c>
      <c r="J174" s="2504" t="str">
        <f>$AV$80&amp;" | "&amp;$AX$80</f>
        <v>Model owner | Hard-coded model input</v>
      </c>
      <c r="K174" s="2504" t="str">
        <f>$AW$80</f>
        <v>Data-book lease and operating schedules require scope reconciliation before replacement.</v>
      </c>
      <c r="AJ174" s="580" t="str">
        <v>CAPEX-GRANT</v>
      </c>
      <c r="AK174" s="579" t="str">
        <v>Development capex</v>
      </c>
      <c r="AL174" s="579" t="str">
        <v>Grant</v>
      </c>
      <c r="AM174" s="579" t="str">
        <v>ARENA grant</v>
      </c>
      <c r="AN174" s="579" t="str">
        <v>A$m</v>
      </c>
      <c r="AO174" s="579" t="str">
        <v>Development period</v>
      </c>
      <c r="AP174" s="656" t="n">
        <f>IF($E$121="","",$E$121)</f>
        <v>-5</v>
      </c>
      <c r="AQ174" s="656" t="str">
        <f>IF($F$121="","",$F$121)</f>
      </c>
      <c r="AR174" s="656" t="str">
        <f>IF($G$121="","",$G$121)</f>
      </c>
      <c r="AS174" s="579" t="str">
        <v>PROJECT CASH FLOW | H39</v>
      </c>
      <c r="AT174" s="655" t="n">
        <v>46228</v>
      </c>
      <c r="AU174" s="579" t="str">
        <v>Mapped</v>
      </c>
      <c r="AV174" s="579" t="str">
        <v>Model owner</v>
      </c>
      <c r="AW174" s="579" t="str">
        <v>Negative use / funding source; not deducted from component CAPEX.</v>
      </c>
      <c r="AX174" t="str">
        <v>Hard-coded model input</v>
      </c>
      <c r="AY174" s="2440" t="n">
        <f>$H$121</f>
        <v>-5</v>
      </c>
      <c r="AZ174" t="str">
        <v>Yes</v>
      </c>
      <c r="BA174"/>
      <c r="BB174"/>
      <c r="BC174" t="str">
        <v>Project data book</v>
      </c>
      <c r="BD174" t="str">
        <v>No</v>
      </c>
      <c r="BE174" t="str">
        <v>None — technical mapping complete.</v>
      </c>
      <c r="BF174" s="2442" t="n">
        <v>46231</v>
      </c>
      <c r="BG174" t="str">
        <f>IF($AZ174="No","PASS",IF(OR($AX174="Owner decision outstanding",$BD174="OWNER DECISION"),"WARNING",IF(OR($AP174="",$AN174="",$AS174="",$AV174=""),"FAIL","PASS")))</f>
        <v>PASS</v>
      </c>
    </row>
    <row r="175" ht="24" customHeight="1">
      <c r="A175" s="2504"/>
      <c r="B175" s="2504"/>
      <c r="C175" s="2504"/>
      <c r="D175" s="2544"/>
      <c r="E175" s="2546"/>
      <c r="F175" s="2546"/>
      <c r="G175" s="2546"/>
      <c r="H175" s="2546"/>
      <c r="I175" s="2543"/>
      <c r="J175" s="2504"/>
      <c r="K175" s="2504"/>
      <c r="AJ175" s="580" t="str">
        <v>CAPEX-DEV-ADJ</v>
      </c>
      <c r="AK175" s="579" t="str">
        <v>Development capex</v>
      </c>
      <c r="AL175" s="579" t="str">
        <v>Project</v>
      </c>
      <c r="AM175" s="579" t="str">
        <v>Development-period revenue / expense adjustments</v>
      </c>
      <c r="AN175" s="579" t="str">
        <v>A$m</v>
      </c>
      <c r="AO175" s="579" t="str">
        <v>Development period</v>
      </c>
      <c r="AP175" s="656" t="n">
        <f>IF($E$122="","",$E$122)</f>
        <v>-15.9463258894033</v>
      </c>
      <c r="AQ175" s="656" t="str">
        <f>IF($F$122="","",$F$122)</f>
      </c>
      <c r="AR175" s="656" t="str">
        <f>IF($G$122="","",$G$122)</f>
      </c>
      <c r="AS175" s="579" t="str">
        <v>PROJECT CASH FLOW | H41:H47</v>
      </c>
      <c r="AT175" s="655" t="n">
        <v>46228</v>
      </c>
      <c r="AU175" s="579" t="str">
        <v>Mapped</v>
      </c>
      <c r="AV175" s="579" t="str">
        <v>Model owner</v>
      </c>
      <c r="AW175" s="579" t="str">
        <v>Net lease, guarantee, outgoings, interest and car-park operating adjustments before capitalised interest.</v>
      </c>
      <c r="AX175" t="str">
        <v>Hard-coded model input</v>
      </c>
      <c r="AY175" s="2440" t="n">
        <f>$H$122</f>
        <v>-15.9463258894033</v>
      </c>
      <c r="AZ175" t="str">
        <v>Yes</v>
      </c>
      <c r="BA175"/>
      <c r="BB175"/>
      <c r="BC175" t="str">
        <v>Project data book</v>
      </c>
      <c r="BD175" t="str">
        <v>No</v>
      </c>
      <c r="BE175" t="str">
        <v>None — technical mapping complete.</v>
      </c>
      <c r="BF175" s="2442" t="n">
        <v>46231</v>
      </c>
      <c r="BG175" t="str">
        <f>IF($AZ175="No","PASS",IF(OR($AX175="Owner decision outstanding",$BD175="OWNER DECISION"),"WARNING",IF(OR($AP175="",$AN175="",$AS175="",$AV175=""),"FAIL","PASS")))</f>
        <v>PASS</v>
      </c>
    </row>
    <row r="176" ht="24" customHeight="1">
      <c r="A176" s="2537" t="str">
        <v>WORKING CAPITAL</v>
      </c>
      <c r="B176" s="2537"/>
      <c r="C176" s="2537"/>
      <c r="D176" s="2554"/>
      <c r="E176" s="2539"/>
      <c r="F176" s="2539"/>
      <c r="G176" s="2539"/>
      <c r="H176" s="2539"/>
      <c r="I176" s="2536"/>
      <c r="J176" s="2537"/>
      <c r="K176" s="2537"/>
      <c r="AJ176" s="580" t="str">
        <v>CAPEX-STAGED-OPS</v>
      </c>
      <c r="AK176" s="579" t="str">
        <v>Development capex</v>
      </c>
      <c r="AL176" s="579" t="str">
        <v>Project</v>
      </c>
      <c r="AM176" s="579" t="str">
        <v>Staged operating funding sources</v>
      </c>
      <c r="AN176" s="579" t="str">
        <v>A$m</v>
      </c>
      <c r="AO176" s="579" t="str">
        <v>First operating year</v>
      </c>
      <c r="AP176" s="656" t="n">
        <v>-20.421757987478102</v>
      </c>
      <c r="AQ176" s="656"/>
      <c r="AR176" s="656"/>
      <c r="AS176" s="579" t="str">
        <v>PROJECT CASH FLOW | E95</v>
      </c>
      <c r="AT176" s="655" t="n">
        <v>46228</v>
      </c>
      <c r="AU176" s="579" t="str">
        <v>Mapped</v>
      </c>
      <c r="AV176" s="579" t="str">
        <v>Model owner</v>
      </c>
      <c r="AW176" s="579" t="str">
        <v>Source staged operating contributions deducted from gross funding requirement.</v>
      </c>
      <c r="AX176" t="str">
        <v>Derived calculation</v>
      </c>
      <c r="AY176" s="2440" t="n">
        <f>$H$123</f>
        <v>-20.421757987478102</v>
      </c>
      <c r="AZ176" t="str">
        <v>Yes</v>
      </c>
      <c r="BA176"/>
      <c r="BB176"/>
      <c r="BC176" t="str">
        <v>Project data book</v>
      </c>
      <c r="BD176" t="str">
        <v>No</v>
      </c>
      <c r="BE176" t="str">
        <v>None — technical mapping complete.</v>
      </c>
      <c r="BF176" s="2442" t="n">
        <v>46231</v>
      </c>
      <c r="BG176" t="str">
        <f>IF($AZ176="No","PASS",IF(OR($AX176="Owner decision outstanding",$BD176="OWNER DECISION"),"WARNING",IF(OR($AP176="",$AN176="",$AS176="",$AV176=""),"FAIL","PASS")))</f>
        <v>PASS</v>
      </c>
    </row>
    <row r="177" ht="24" customHeight="1">
      <c r="A177" s="2512" t="str">
        <v>Field ID</v>
      </c>
      <c r="B177" s="2512" t="str">
        <v>Component</v>
      </c>
      <c r="C177" s="2512" t="str">
        <v>Assumption</v>
      </c>
      <c r="D177" s="2512" t="str">
        <v>Unit / Period</v>
      </c>
      <c r="E177" s="2539" t="str">
        <v>Base</v>
      </c>
      <c r="F177" s="2539" t="str">
        <v>Downside</v>
      </c>
      <c r="G177" s="2539" t="str">
        <v>Upside</v>
      </c>
      <c r="H177" s="2539" t="str">
        <v>Selected Value</v>
      </c>
      <c r="I177" s="2540" t="str">
        <v>Status / Source</v>
      </c>
      <c r="J177" s="2512" t="str">
        <v>Owner / Input Type</v>
      </c>
      <c r="K177" s="2512" t="str">
        <v>Notes</v>
      </c>
      <c r="AJ177" s="580" t="str">
        <v>CAPEX-COMP-TOTAL</v>
      </c>
      <c r="AK177" s="579" t="str">
        <v>Development capex</v>
      </c>
      <c r="AL177" s="579" t="str">
        <v>Project</v>
      </c>
      <c r="AM177" s="579" t="str">
        <v>Detailed component CAPEX</v>
      </c>
      <c r="AN177" s="579" t="str">
        <v>A$m</v>
      </c>
      <c r="AO177" s="579" t="str">
        <v>Construction</v>
      </c>
      <c r="AP177" s="656" t="n">
        <v>342.4230064814815</v>
      </c>
      <c r="AQ177" s="656"/>
      <c r="AR177" s="656"/>
      <c r="AS177" s="579" t="str">
        <v>PROJECT CASH FLOW | J26</v>
      </c>
      <c r="AT177" s="655" t="n">
        <v>46228</v>
      </c>
      <c r="AU177" s="579" t="str">
        <v>Mapped</v>
      </c>
      <c r="AV177" s="579" t="str">
        <v>Model owner</v>
      </c>
      <c r="AW177" s="579" t="str">
        <v>Detailed project-component schedule including landscape and one central precinct roof/solar allowance.</v>
      </c>
      <c r="AX177" t="str">
        <v>Derived calculation</v>
      </c>
      <c r="AY177" s="2440" t="n">
        <f>$H$124</f>
        <v>342.4230064814815</v>
      </c>
      <c r="AZ177" t="str">
        <v>Yes</v>
      </c>
      <c r="BA177"/>
      <c r="BB177"/>
      <c r="BC177" t="str">
        <v>Project data book</v>
      </c>
      <c r="BD177" t="str">
        <v>No</v>
      </c>
      <c r="BE177" t="str">
        <v>None — technical mapping complete.</v>
      </c>
      <c r="BF177" s="2442" t="n">
        <v>46231</v>
      </c>
      <c r="BG177" t="str">
        <f>IF($AZ177="No","PASS",IF(OR($AX177="Owner decision outstanding",$BD177="OWNER DECISION"),"WARNING",IF(OR($AP177="",$AN177="",$AS177="",$AV177=""),"FAIL","PASS")))</f>
        <v>PASS</v>
      </c>
    </row>
    <row r="178" ht="24" customHeight="1">
      <c r="A178" s="2504" t="str">
        <f>$AJ$199</f>
        <v>WC-TARGET</v>
      </c>
      <c r="B178" s="2504" t="str">
        <f>$AL$199</f>
        <v>Project</v>
      </c>
      <c r="C178" s="2504" t="str">
        <f>$AM$199</f>
        <v>Operating working-capital target</v>
      </c>
      <c r="D178" s="2504" t="str">
        <f>$AN$199&amp;IF($AO$199="",""," | "&amp;IF($AN$199="Date",TEXT($AO$199,"dd mmm yyyy"),$AO$199))</f>
        <v>% of annual revenue | Provisional</v>
      </c>
      <c r="E178" s="2635" t="n">
        <v>0.02</v>
      </c>
      <c r="F178" s="2550"/>
      <c r="G178" s="2550"/>
      <c r="H178" s="2550" t="n">
        <f>IF($A178="","",$E178)</f>
        <v>0.02</v>
      </c>
      <c r="I178" s="2543" t="str">
        <f>$AU$199&amp;IF($AS$199="",""," | "&amp;$AS$199)</f>
        <v>Mapped — provisional | Illustrative pending operating budget</v>
      </c>
      <c r="J178" s="2504" t="str">
        <f>$AV$199&amp;" | "&amp;$AX$199</f>
        <v>Management | Hard-coded model input</v>
      </c>
      <c r="K178" s="2504" t="str">
        <f>$AW$199</f>
        <v>Working-capital cash use is the monthly movement in the target balance. | The field is live and formula-linked; its commercial or specialist basis remains provisional where stated.</v>
      </c>
      <c r="AJ178" s="580" t="str">
        <v>FUND-SCOPE-CHECK</v>
      </c>
      <c r="AK178" s="579" t="str">
        <v>Checks</v>
      </c>
      <c r="AL178" s="579" t="str">
        <v>Project</v>
      </c>
      <c r="AM178" s="579" t="str">
        <v>Live model funding less data-book requirement</v>
      </c>
      <c r="AN178" s="579" t="str">
        <v>A$m</v>
      </c>
      <c r="AO178" s="579" t="str">
        <v>Whole project</v>
      </c>
      <c r="AP178" s="657" t="n">
        <v>5.684341886080802e-14</v>
      </c>
      <c r="AQ178" s="656"/>
      <c r="AR178" s="656"/>
      <c r="AS178" s="579" t="str">
        <v>Live model control</v>
      </c>
      <c r="AT178" s="655" t="n">
        <v>46228</v>
      </c>
      <c r="AU178" s="579" t="str">
        <v>Formula Preserved</v>
      </c>
      <c r="AV178" s="579" t="str">
        <v>Model owner</v>
      </c>
      <c r="AW178" s="579" t="str">
        <v>Must equal zero.</v>
      </c>
      <c r="AX178" t="str">
        <v>System control</v>
      </c>
      <c r="AY178" s="2440" t="n">
        <f>$H$319</f>
        <v>5.684341886080802e-14</v>
      </c>
      <c r="AZ178" t="str">
        <v>Yes</v>
      </c>
      <c r="BA178" t="str">
        <v>DATA MAP</v>
      </c>
      <c r="BB178" t="str">
        <v>C171</v>
      </c>
      <c r="BC178" t="str">
        <v>Target model</v>
      </c>
      <c r="BD178" t="str">
        <v>No</v>
      </c>
      <c r="BE178" t="str">
        <v>None — technical mapping complete.</v>
      </c>
      <c r="BF178" s="2442" t="n">
        <v>46231</v>
      </c>
      <c r="BG178" t="str">
        <f>IF($AZ178="No","PASS",IF(OR($AX178="Owner decision outstanding",$BD178="OWNER DECISION"),"WARNING",IF(OR($AP178="",$AN178="",$AS178="",$AV178=""),"FAIL","PASS")))</f>
        <v>FAIL</v>
      </c>
    </row>
    <row r="179" ht="24" customHeight="1">
      <c r="A179" s="2504"/>
      <c r="B179" s="2504"/>
      <c r="C179" s="2504"/>
      <c r="D179" s="2504"/>
      <c r="E179" s="2546"/>
      <c r="F179" s="2546"/>
      <c r="G179" s="2546"/>
      <c r="H179" s="2546"/>
      <c r="I179" s="2543"/>
      <c r="J179" s="2504"/>
      <c r="K179" s="2504"/>
      <c r="AJ179" s="578" t="str">
        <v>PRG-PC-DATE</v>
      </c>
      <c r="AK179" s="579" t="str">
        <v>Project and programme</v>
      </c>
      <c r="AL179" s="579" t="str">
        <v>Programme</v>
      </c>
      <c r="AM179" s="579" t="str">
        <v>Practical completion date</v>
      </c>
      <c r="AN179" s="579" t="str">
        <v>Date</v>
      </c>
      <c r="AO179" s="579" t="str">
        <v>Base case</v>
      </c>
      <c r="AP179" s="600" t="n">
        <v>47299</v>
      </c>
      <c r="AQ179" s="587"/>
      <c r="AR179" s="587"/>
      <c r="AS179" s="579" t="str">
        <v>Source programme / management selection</v>
      </c>
      <c r="AT179" s="655" t="n">
        <v>46229</v>
      </c>
      <c r="AU179" s="579" t="str">
        <v>Mapped — provisional</v>
      </c>
      <c r="AV179" s="579" t="str">
        <v>Management</v>
      </c>
      <c r="AW179" s="579" t="str">
        <v>Q2 2029 selected as the controlling completion programme; the model uses 30 June 2029. | The field is live and formula-linked; its commercial or specialist basis remains provisional where stated.</v>
      </c>
      <c r="AX179" t="str">
        <v>Derived calculation</v>
      </c>
      <c r="AY179" s="2440" t="n">
        <f>$H$50</f>
        <v>47299</v>
      </c>
      <c r="AZ179" t="str">
        <v>Yes</v>
      </c>
      <c r="BA179" t="str">
        <v>PROJECTS register</v>
      </c>
      <c r="BB179" t="str">
        <v>G179</v>
      </c>
      <c r="BC179" t="str">
        <v>Source programme / management selection</v>
      </c>
      <c r="BD179" t="str">
        <v>No</v>
      </c>
      <c r="BE179" t="str">
        <v>Confirm the approved programme, milestones and longstop dates.</v>
      </c>
      <c r="BF179" s="2442" t="n">
        <v>46231</v>
      </c>
      <c r="BG179" t="str">
        <f>IF($AZ179="No","PASS",IF(OR($AX179="Owner decision outstanding",$BD179="OWNER DECISION"),"WARNING",IF(OR($AP179="",$AN179="",$AS179="",$AV179=""),"FAIL","PASS")))</f>
        <v>PASS</v>
      </c>
    </row>
    <row r="180" ht="24" customHeight="1">
      <c r="A180" s="2537" t="str">
        <v>DEBT &amp; FUNDING</v>
      </c>
      <c r="B180" s="2537"/>
      <c r="C180" s="2537"/>
      <c r="D180" s="2537"/>
      <c r="E180" s="2539"/>
      <c r="F180" s="2539"/>
      <c r="G180" s="2539"/>
      <c r="H180" s="2539"/>
      <c r="I180" s="2536"/>
      <c r="J180" s="2537"/>
      <c r="K180" s="2537"/>
      <c r="AJ180" s="578" t="str">
        <v>PRG-OPEN-DATE</v>
      </c>
      <c r="AK180" s="579" t="str">
        <v>Project and programme</v>
      </c>
      <c r="AL180" s="579" t="str">
        <v>Programme</v>
      </c>
      <c r="AM180" s="579" t="str">
        <v>Operations commencement date</v>
      </c>
      <c r="AN180" s="579" t="str">
        <v>Date</v>
      </c>
      <c r="AO180" s="579" t="str">
        <v>Base case</v>
      </c>
      <c r="AP180" s="600" t="n">
        <v>47330</v>
      </c>
      <c r="AQ180" s="587"/>
      <c r="AR180" s="587"/>
      <c r="AS180" s="579" t="str">
        <v>Live monthly model</v>
      </c>
      <c r="AT180" s="655" t="n">
        <v>46229</v>
      </c>
      <c r="AU180" s="579" t="str">
        <v>Formula Preserved</v>
      </c>
      <c r="AV180" s="579" t="str">
        <v>Model owner</v>
      </c>
      <c r="AW180" s="579" t="str">
        <v>First month after practical completion.</v>
      </c>
      <c r="AX180" t="str">
        <v>Formula-linked source input</v>
      </c>
      <c r="AY180" s="2440" t="n">
        <f>$H$51</f>
        <v>47330</v>
      </c>
      <c r="AZ180" t="str">
        <v>Yes</v>
      </c>
      <c r="BA180" t="str">
        <v>PROJECTS register</v>
      </c>
      <c r="BB180" t="str">
        <v>G180</v>
      </c>
      <c r="BC180" t="str">
        <v>Live monthly model</v>
      </c>
      <c r="BD180" t="str">
        <v>No</v>
      </c>
      <c r="BE180" t="str">
        <v>Confirm the approved programme, milestones and longstop dates.</v>
      </c>
      <c r="BF180" s="2442" t="n">
        <v>46231</v>
      </c>
      <c r="BG180" t="str">
        <f>IF($AZ180="No","PASS",IF(OR($AX180="Owner decision outstanding",$BD180="OWNER DECISION"),"WARNING",IF(OR($AP180="",$AN180="",$AS180="",$AV180=""),"FAIL","PASS")))</f>
        <v>PASS</v>
      </c>
    </row>
    <row r="181" ht="24" customHeight="1">
      <c r="A181" s="2512" t="str">
        <v>Field ID</v>
      </c>
      <c r="B181" s="2512" t="str">
        <v>Component</v>
      </c>
      <c r="C181" s="2512" t="str">
        <v>Assumption</v>
      </c>
      <c r="D181" s="2512" t="str">
        <v>Unit / Period</v>
      </c>
      <c r="E181" s="2539" t="str">
        <v>Base</v>
      </c>
      <c r="F181" s="2539" t="str">
        <v>Downside</v>
      </c>
      <c r="G181" s="2539" t="str">
        <v>Upside</v>
      </c>
      <c r="H181" s="2539" t="str">
        <v>Selected Value</v>
      </c>
      <c r="I181" s="2540" t="str">
        <v>Status / Source</v>
      </c>
      <c r="J181" s="2512" t="str">
        <v>Owner / Input Type</v>
      </c>
      <c r="K181" s="2512" t="str">
        <v>Notes</v>
      </c>
      <c r="AJ181" s="578" t="str">
        <v>PRG-STAB-DATE</v>
      </c>
      <c r="AK181" s="579" t="str">
        <v>Project and programme</v>
      </c>
      <c r="AL181" s="579" t="str">
        <v>Programme</v>
      </c>
      <c r="AM181" s="579" t="str">
        <v>First stabilised date</v>
      </c>
      <c r="AN181" s="579" t="str">
        <v>Date</v>
      </c>
      <c r="AO181" s="579" t="str">
        <v>Base case</v>
      </c>
      <c r="AP181" s="600" t="n">
        <v>47695</v>
      </c>
      <c r="AQ181" s="587"/>
      <c r="AR181" s="587"/>
      <c r="AS181" s="579" t="str">
        <v>Live monthly lease-up schedule</v>
      </c>
      <c r="AT181" s="655" t="n">
        <v>46229</v>
      </c>
      <c r="AU181" s="579" t="str">
        <v>Formula Preserved</v>
      </c>
      <c r="AV181" s="579" t="str">
        <v>Model owner</v>
      </c>
      <c r="AW181" s="579" t="str">
        <v>Existing twelve-month operating ramp retained after the revised opening date.</v>
      </c>
      <c r="AX181" t="str">
        <v>Formula-linked source input</v>
      </c>
      <c r="AY181" s="2440" t="n">
        <f>$H$52</f>
        <v>47695</v>
      </c>
      <c r="AZ181" t="str">
        <v>Yes</v>
      </c>
      <c r="BA181" t="str">
        <v>PROJECTS register</v>
      </c>
      <c r="BB181" t="str">
        <v>G181</v>
      </c>
      <c r="BC181" t="str">
        <v>Live monthly lease-up schedule</v>
      </c>
      <c r="BD181" t="str">
        <v>No</v>
      </c>
      <c r="BE181" t="str">
        <v>Confirm the approved programme, milestones and longstop dates.</v>
      </c>
      <c r="BF181" s="2442" t="n">
        <v>46231</v>
      </c>
      <c r="BG181" t="str">
        <f>IF($AZ181="No","PASS",IF(OR($AX181="Owner decision outstanding",$BD181="OWNER DECISION"),"WARNING",IF(OR($AP181="",$AN181="",$AS181="",$AV181=""),"FAIL","PASS")))</f>
        <v>PASS</v>
      </c>
    </row>
    <row r="182" ht="24" customHeight="1">
      <c r="A182" s="2504" t="str">
        <f>$AJ$81</f>
        <v>DEBT-001</v>
      </c>
      <c r="B182" s="2504" t="str">
        <f>$AL$81</f>
        <v>Construction facility</v>
      </c>
      <c r="C182" s="2541" t="str">
        <f>$AM$81</f>
        <v>Construction LTC limit</v>
      </c>
      <c r="D182" s="2544" t="str">
        <f>$AN$81&amp;IF($AO$81="",""," | "&amp;IF($AN$81="Date",TEXT($AO$81,"dd mmm yyyy"),$AO$81))</f>
        <v>% | Construction</v>
      </c>
      <c r="E182" s="2635" t="n">
        <v>0.5</v>
      </c>
      <c r="F182" s="2635" t="n">
        <v>0.45</v>
      </c>
      <c r="G182" s="2635" t="n">
        <v>0.55</v>
      </c>
      <c r="H182" s="2550" t="n">
        <f>IF($A182="","",CHOOSE(MATCH('VALUATION &amp; RETURNS'!$CR$7,{"Downside","Base","Upside"},0),$F182,$E182,$G182))</f>
        <v>0.5</v>
      </c>
      <c r="I182" s="2543" t="str">
        <f>$AU$81&amp;IF($AS$81="",""," | "&amp;$AS$81)</f>
        <v>Mapped | Target: Underwriting | C61,C65</v>
      </c>
      <c r="J182" s="2504" t="str">
        <f>$AV$81&amp;" | "&amp;$AX$81</f>
        <v>Model owner | Hard-coded model input</v>
      </c>
      <c r="K182" s="2504" t="str">
        <f>$AW$81</f>
        <v>Source totals imply a different facility scale.</v>
      </c>
      <c r="AJ182" s="578" t="str">
        <v>AREA-CONTROL-TOTAL</v>
      </c>
      <c r="AK182" s="579" t="str">
        <v>Areas and capacities</v>
      </c>
      <c r="AL182" s="579" t="str">
        <v>Project</v>
      </c>
      <c r="AM182" s="579" t="str">
        <v>Controlling detailed component area</v>
      </c>
      <c r="AN182" s="579" t="str">
        <v>sqm</v>
      </c>
      <c r="AO182" s="579" t="str">
        <v>Current</v>
      </c>
      <c r="AP182" s="601" t="n">
        <v>78312.38</v>
      </c>
      <c r="AQ182" s="587"/>
      <c r="AR182" s="587"/>
      <c r="AS182" s="579" t="str">
        <v>Detailed target component schedule</v>
      </c>
      <c r="AT182" s="655" t="n">
        <v>46229</v>
      </c>
      <c r="AU182" s="579" t="str">
        <v>Mapped</v>
      </c>
      <c r="AV182" s="579" t="str">
        <v>Model owner</v>
      </c>
      <c r="AW182" s="579" t="str">
        <v>Detailed live component schedule selected; source summary differences are not added because that would double count shared ancillary space.</v>
      </c>
      <c r="AX182" t="str">
        <v>Derived calculation</v>
      </c>
      <c r="AY182" s="2440" t="n">
        <f>$H$72</f>
        <v>78312.38</v>
      </c>
      <c r="AZ182" t="str">
        <v>Yes</v>
      </c>
      <c r="BA182" t="str">
        <v>PROJECTS register</v>
      </c>
      <c r="BB182" t="str">
        <v>G182</v>
      </c>
      <c r="BC182" t="str">
        <v>Detailed target component schedule</v>
      </c>
      <c r="BD182" t="str">
        <v>No</v>
      </c>
      <c r="BE182" t="str">
        <v>None — technical mapping complete.</v>
      </c>
      <c r="BF182" s="2442" t="n">
        <v>46231</v>
      </c>
      <c r="BG182" t="str">
        <f>IF($AZ182="No","PASS",IF(OR($AX182="Owner decision outstanding",$BD182="OWNER DECISION"),"WARNING",IF(OR($AP182="",$AN182="",$AS182="",$AV182=""),"FAIL","PASS")))</f>
        <v>PASS</v>
      </c>
    </row>
    <row r="183" ht="24" customHeight="1">
      <c r="A183" s="2513" t="str">
        <f>$AJ$82</f>
        <v>DEBT-002</v>
      </c>
      <c r="B183" s="2513" t="str">
        <f>$AL$82</f>
        <v>Construction facility</v>
      </c>
      <c r="C183" s="2513" t="str">
        <f>$AM$82</f>
        <v>Construction all-in interest rate</v>
      </c>
      <c r="D183" s="2513" t="str">
        <f>$AN$82&amp;IF($AO$82="",""," | "&amp;IF($AN$82="Date",TEXT($AO$82,"dd mmm yyyy"),$AO$82))</f>
        <v>% p.a. | Construction</v>
      </c>
      <c r="E183" s="2551" t="n">
        <f>$AP$82</f>
        <v>0.065</v>
      </c>
      <c r="F183" s="2551" t="n">
        <f>$AQ$82</f>
        <v>0.0725</v>
      </c>
      <c r="G183" s="2551" t="n">
        <f>$AR$82</f>
        <v>0.06</v>
      </c>
      <c r="H183" s="2551" t="n">
        <f>IF($A183="","",CHOOSE(MATCH('VALUATION &amp; RETURNS'!$CR$7,{"Downside","Base","Upside"},0),$F183,$E183,$G183))</f>
        <v>0.065</v>
      </c>
      <c r="I183" s="2543" t="str">
        <f>$AU$82&amp;IF($AS$82="",""," | "&amp;$AS$82)</f>
        <v>Mapped | ASSUMPTIONS | B22,E22,H22</v>
      </c>
      <c r="J183" s="2504" t="str">
        <f>$AV$82&amp;" | "&amp;$AX$82</f>
        <v>Model owner | Derived calculation</v>
      </c>
      <c r="K183" s="2504" t="str">
        <f>$AW$82</f>
        <v>Base 6.5% matches. Detailed source downside is 7.25%; MODEL DESIGN scenario says 7.5%. | The detailed scenario rate schedule controls; the conflicting source summary is retained as evidence only.</v>
      </c>
      <c r="AJ183" s="578" t="str">
        <v>AREA-CONTROL-CHECK</v>
      </c>
      <c r="AK183" s="579" t="str">
        <v>Checks</v>
      </c>
      <c r="AL183" s="579" t="str">
        <v>Project</v>
      </c>
      <c r="AM183" s="579" t="str">
        <v>Detailed component area less live model area</v>
      </c>
      <c r="AN183" s="579" t="str">
        <v>sqm</v>
      </c>
      <c r="AO183" s="579" t="str">
        <v>Current</v>
      </c>
      <c r="AP183" s="601" t="n">
        <v>0</v>
      </c>
      <c r="AQ183" s="587"/>
      <c r="AR183" s="587"/>
      <c r="AS183" s="579" t="str">
        <v>Live model control</v>
      </c>
      <c r="AT183" s="655" t="n">
        <v>46229</v>
      </c>
      <c r="AU183" s="579" t="str">
        <v>Formula Preserved</v>
      </c>
      <c r="AV183" s="579" t="str">
        <v>Model owner</v>
      </c>
      <c r="AW183" s="579" t="str">
        <v>Must equal zero.</v>
      </c>
      <c r="AX183" t="str">
        <v>System control</v>
      </c>
      <c r="AY183" s="2440" t="n">
        <f>$H$320</f>
        <v>0</v>
      </c>
      <c r="AZ183" t="str">
        <v>Yes</v>
      </c>
      <c r="BA183" t="str">
        <v>PROJECTS register</v>
      </c>
      <c r="BB183" t="str">
        <v>G183</v>
      </c>
      <c r="BC183" t="str">
        <v>Live model control</v>
      </c>
      <c r="BD183" t="str">
        <v>No</v>
      </c>
      <c r="BE183" t="str">
        <v>None — technical mapping complete.</v>
      </c>
      <c r="BF183" s="2442" t="n">
        <v>46231</v>
      </c>
      <c r="BG183" t="str">
        <f>IF($AZ183="No","PASS",IF(OR($AX183="Owner decision outstanding",$BD183="OWNER DECISION"),"WARNING",IF(OR($AP183="",$AN183="",$AS183="",$AV183=""),"FAIL","PASS")))</f>
        <v>FAIL</v>
      </c>
    </row>
    <row r="184" ht="24" customHeight="1">
      <c r="A184" s="2508" t="str">
        <f>$AJ$83</f>
        <v>DEBT-003</v>
      </c>
      <c r="B184" s="2508" t="str">
        <f>$AL$83</f>
        <v>Term debt</v>
      </c>
      <c r="C184" s="2508" t="str">
        <f>$AM$83</f>
        <v>Term debt all-in interest rate</v>
      </c>
      <c r="D184" s="2508" t="str">
        <f>$AN$83&amp;IF($AO$83="",""," | "&amp;IF($AN$83="Date",TEXT($AO$83,"dd mmm yyyy"),$AO$83))</f>
        <v>% p.a. | Post-stabilisation</v>
      </c>
      <c r="E184" s="2637" t="n">
        <v>0.065</v>
      </c>
      <c r="F184" s="2637" t="n">
        <v>0.0725</v>
      </c>
      <c r="G184" s="2637" t="n">
        <v>0.06</v>
      </c>
      <c r="H184" s="2552" t="n">
        <f>IF($A184="","",CHOOSE(MATCH('VALUATION &amp; RETURNS'!$CR$7,{"Downside","Base","Upside"},0),$F184,$E184,$G184))</f>
        <v>0.065</v>
      </c>
      <c r="I184" s="2543" t="str">
        <f>$AU$83&amp;IF($AS$83="",""," | "&amp;$AS$83)</f>
        <v>Mapped | Target: Underwriting | E81</v>
      </c>
      <c r="J184" s="2504" t="str">
        <f>$AV$83&amp;" | "&amp;$AX$83</f>
        <v>Model owner | Hard-coded model input</v>
      </c>
      <c r="K184" s="2504" t="str">
        <f>$AW$83</f>
        <v>Term-debt all-in interest rate is a provisional management case pending an executed lender term sheet.</v>
      </c>
      <c r="AJ184" s="578" t="str">
        <v>SCOPE-LIVE-TDC</v>
      </c>
      <c r="AK184" s="579" t="str">
        <v>Debt and funding</v>
      </c>
      <c r="AL184" s="579" t="str">
        <v>Project</v>
      </c>
      <c r="AM184" s="579" t="str">
        <v>Live total development cost</v>
      </c>
      <c r="AN184" s="579" t="str">
        <v>A$m</v>
      </c>
      <c r="AO184" s="579" t="str">
        <v>Base case</v>
      </c>
      <c r="AP184" s="654" t="n">
        <v>418.7585512846001</v>
      </c>
      <c r="AQ184" s="656" t="n">
        <v>460.63440641306016</v>
      </c>
      <c r="AR184" s="656" t="n">
        <v>397.82062372037007</v>
      </c>
      <c r="AS184" s="579" t="str">
        <v>Live monthly model</v>
      </c>
      <c r="AT184" s="655" t="n">
        <v>46229</v>
      </c>
      <c r="AU184" s="579" t="str">
        <v>Formula Preserved</v>
      </c>
      <c r="AV184" s="579" t="str">
        <v>Model owner</v>
      </c>
      <c r="AW184" s="579" t="str">
        <v>Includes capitalised interest and financing fees generated by the revised programme and financeable debt.</v>
      </c>
      <c r="AX184" t="str">
        <v>Derived calculation</v>
      </c>
      <c r="AY184" s="2440" t="n">
        <f>$H$214</f>
        <v>418.7585512846001</v>
      </c>
      <c r="AZ184" t="str">
        <v>Yes</v>
      </c>
      <c r="BA184" t="str">
        <v>PROJECTS register</v>
      </c>
      <c r="BB184" t="str">
        <v>G184</v>
      </c>
      <c r="BC184" t="str">
        <v>Live monthly model</v>
      </c>
      <c r="BD184" t="str">
        <v>No</v>
      </c>
      <c r="BE184" t="str">
        <v>Confirm the approved programme, milestones and longstop dates.</v>
      </c>
      <c r="BF184" s="2442" t="n">
        <v>46231</v>
      </c>
      <c r="BG184" t="str">
        <f>IF($AZ184="No","PASS",IF(OR($AX184="Owner decision outstanding",$BD184="OWNER DECISION"),"WARNING",IF(OR($AP184="",$AN184="",$AS184="",$AV184=""),"FAIL","PASS")))</f>
        <v>PASS</v>
      </c>
    </row>
    <row r="185" ht="24" customHeight="1">
      <c r="A185" s="2517" t="str">
        <f>$AJ$84</f>
        <v>DEBT-004</v>
      </c>
      <c r="B185" s="2517" t="str">
        <f>$AL$84</f>
        <v>Term debt</v>
      </c>
      <c r="C185" s="2517" t="str">
        <f>$AM$84</f>
        <v>Loan fee</v>
      </c>
      <c r="D185" s="2504" t="str">
        <f>$AN$84&amp;IF($AO$84="",""," | "&amp;IF($AN$84="Date",TEXT($AO$84,"dd mmm yyyy"),$AO$84))</f>
        <v>% | At refinancing</v>
      </c>
      <c r="E185" s="2635" t="n">
        <v>0.01</v>
      </c>
      <c r="F185" s="2550"/>
      <c r="G185" s="2550"/>
      <c r="H185" s="2550" t="n">
        <f>IF($A185="","",$E185)</f>
        <v>0.01</v>
      </c>
      <c r="I185" s="2543" t="str">
        <f>$AU$84&amp;IF($AS$84="",""," | "&amp;$AS$84)</f>
        <v>Mapped | Target: Underwriting | H82</v>
      </c>
      <c r="J185" s="2504" t="str">
        <f>$AV$84&amp;" | "&amp;$AX$84</f>
        <v>Model owner | Hard-coded model input</v>
      </c>
      <c r="K185" s="2504" t="str">
        <f>$AW$84</f>
        <v>The source facility description is retained for traceability; executed construction-facility terms remain required.</v>
      </c>
      <c r="AJ185" s="578" t="str">
        <v>SCOPE-VARIANCE</v>
      </c>
      <c r="AK185" s="579" t="str">
        <v>Checks</v>
      </c>
      <c r="AL185" s="579" t="str">
        <v>Project</v>
      </c>
      <c r="AM185" s="579" t="str">
        <v>Live total development cost less selected scope</v>
      </c>
      <c r="AN185" s="579" t="str">
        <v>A$m</v>
      </c>
      <c r="AO185" s="579" t="str">
        <v>Base case</v>
      </c>
      <c r="AP185" s="654" t="n">
        <v>5.684341886080802e-14</v>
      </c>
      <c r="AQ185" s="656"/>
      <c r="AR185" s="656"/>
      <c r="AS185" s="579" t="str">
        <v>Live model control</v>
      </c>
      <c r="AT185" s="655" t="n">
        <v>46229</v>
      </c>
      <c r="AU185" s="579" t="str">
        <v>Formula Preserved</v>
      </c>
      <c r="AV185" s="579" t="str">
        <v>Model owner</v>
      </c>
      <c r="AW185" s="579" t="str">
        <v>A positive amount is an overrun; a negative amount is unused scope headroom.</v>
      </c>
      <c r="AX185" t="str">
        <v>System control</v>
      </c>
      <c r="AY185" s="2440" t="n">
        <f>$H$321</f>
        <v>5.684341886080802e-14</v>
      </c>
      <c r="AZ185" t="str">
        <v>Yes</v>
      </c>
      <c r="BA185" t="str">
        <v>PROJECTS register</v>
      </c>
      <c r="BB185" t="str">
        <v>G185</v>
      </c>
      <c r="BC185" t="str">
        <v>Live model control</v>
      </c>
      <c r="BD185" t="str">
        <v>No</v>
      </c>
      <c r="BE185" t="str">
        <v>None — technical mapping complete.</v>
      </c>
      <c r="BF185" s="2442" t="n">
        <v>46231</v>
      </c>
      <c r="BG185" t="str">
        <f>IF($AZ185="No","PASS",IF(OR($AX185="Owner decision outstanding",$BD185="OWNER DECISION"),"WARNING",IF(OR($AP185="",$AN185="",$AS185="",$AV185=""),"FAIL","PASS")))</f>
        <v>FAIL</v>
      </c>
    </row>
    <row r="186" ht="24" customHeight="1">
      <c r="A186" s="2504" t="str">
        <f>$AJ$85</f>
        <v>DEBT-005</v>
      </c>
      <c r="B186" s="2508" t="str">
        <f>$AL$85</f>
        <v>Construction facility</v>
      </c>
      <c r="C186" s="2504" t="str">
        <f>$AM$85</f>
        <v>Funding selection</v>
      </c>
      <c r="D186" s="2504" t="str">
        <f>$AN$85&amp;IF($AO$85="",""," | "&amp;IF($AN$85="Date",TEXT($AO$85,"dd mmm yyyy"),$AO$85))</f>
        <v>Text | Construction</v>
      </c>
      <c r="E186" s="2633" t="str">
        <v>Equity First</v>
      </c>
      <c r="F186" s="2542"/>
      <c r="G186" s="2542"/>
      <c r="H186" s="2542" t="str">
        <f>IF($A186="","",$E186)</f>
        <v>Equity First</v>
      </c>
      <c r="I186" s="2543" t="str">
        <f>$AU$85&amp;IF($AS$85="",""," | "&amp;$AS$85)</f>
        <v>Mapped | Target: DEBT | B7</v>
      </c>
      <c r="J186" s="2504" t="str">
        <f>$AV$85&amp;" | "&amp;$AX$85</f>
        <v>Model owner | Hard-coded model input</v>
      </c>
      <c r="K186" s="2504" t="str">
        <f>$AW$85</f>
        <v>Not an agreed lender term. | Mapped to the live DEBT schedule as the management case. Executed lender terms remain an OWNER DECISION.</v>
      </c>
      <c r="AJ186" s="578" t="str">
        <v>FUND-TARGET-DEBT</v>
      </c>
      <c r="AK186" s="579" t="str">
        <v>Debt and funding</v>
      </c>
      <c r="AL186" s="579" t="str">
        <v>Project</v>
      </c>
      <c r="AM186" s="579" t="str">
        <v>50:50 target debt</v>
      </c>
      <c r="AN186" s="579" t="str">
        <v>A$m</v>
      </c>
      <c r="AO186" s="579" t="str">
        <v>Base case</v>
      </c>
      <c r="AP186" s="654" t="n">
        <v>209.37927564230003</v>
      </c>
      <c r="AQ186" s="656" t="n">
        <v>207.2854828858771</v>
      </c>
      <c r="AR186" s="656" t="n">
        <v>218.80134304620356</v>
      </c>
      <c r="AS186" s="579" t="str">
        <v>Management direction</v>
      </c>
      <c r="AT186" s="655" t="n">
        <v>46229</v>
      </c>
      <c r="AU186" s="579" t="str">
        <v>Formula Preserved</v>
      </c>
      <c r="AV186" s="579" t="str">
        <v>Management</v>
      </c>
      <c r="AW186" s="579" t="str">
        <v>Target only; it is not forced where lender capacity is lower.</v>
      </c>
      <c r="AX186" t="str">
        <v>Formula-linked source input</v>
      </c>
      <c r="AY186" s="2440" t="n">
        <f>$H$215</f>
        <v>209.37927564230003</v>
      </c>
      <c r="AZ186" t="str">
        <v>Yes</v>
      </c>
      <c r="BA186" t="str">
        <v>PROJECTS register</v>
      </c>
      <c r="BB186" t="str">
        <v>G186</v>
      </c>
      <c r="BC186" t="str">
        <v>Management direction</v>
      </c>
      <c r="BD186" t="str">
        <v>No</v>
      </c>
      <c r="BE186" t="str">
        <v>Replace provisional financing assumptions with an executed lender term sheet.</v>
      </c>
      <c r="BF186" s="2442" t="n">
        <v>46231</v>
      </c>
      <c r="BG186" t="str">
        <f>IF($AZ186="No","PASS",IF(OR($AX186="Owner decision outstanding",$BD186="OWNER DECISION"),"WARNING",IF(OR($AP186="",$AN186="",$AS186="",$AV186=""),"FAIL","PASS")))</f>
        <v>PASS</v>
      </c>
    </row>
    <row r="187" ht="24" customHeight="1">
      <c r="A187" s="2504" t="str">
        <f>$AJ$86</f>
        <v>DEBT-006</v>
      </c>
      <c r="B187" s="2508" t="str">
        <f>$AL$86</f>
        <v>Construction facility</v>
      </c>
      <c r="C187" s="2504" t="str">
        <f>$AM$86</f>
        <v>LTV limit</v>
      </c>
      <c r="D187" s="2504" t="str">
        <f>$AN$86&amp;IF($AO$86="",""," | "&amp;IF($AN$86="Date",TEXT($AO$86,"dd mmm yyyy"),$AO$86))</f>
        <v>% | Construction</v>
      </c>
      <c r="E187" s="2635" t="n">
        <v>0.65</v>
      </c>
      <c r="F187" s="2635" t="n">
        <v>0.6</v>
      </c>
      <c r="G187" s="2635" t="n">
        <v>0.7</v>
      </c>
      <c r="H187" s="2550" t="n">
        <f>IF($A187="","",CHOOSE(MATCH('VALUATION &amp; RETURNS'!$CR$7,{"Downside","Base","Upside"},0),$F187,$E187,$G187))</f>
        <v>0.65</v>
      </c>
      <c r="I187" s="2543" t="str">
        <f>$AU$86&amp;IF($AS$86="",""," | "&amp;$AS$86)</f>
        <v>Mapped | Target: DEBT | B11</v>
      </c>
      <c r="J187" s="2504" t="str">
        <f>$AV$86&amp;" | "&amp;$AX$86</f>
        <v>Model owner | Hard-coded model input</v>
      </c>
      <c r="K187" s="2504" t="str">
        <f>$AW$86</f>
        <v>760 | Mapped to the live DEBT schedule as the management case. Executed lender terms remain an OWNER DECISION.</v>
      </c>
      <c r="AJ187" s="578" t="str">
        <v>FUND-LTV-CAP</v>
      </c>
      <c r="AK187" s="579" t="str">
        <v>Debt and funding</v>
      </c>
      <c r="AL187" s="579" t="str">
        <v>Term debt</v>
      </c>
      <c r="AM187" s="579" t="str">
        <v>Gross debt capacity under base LTV</v>
      </c>
      <c r="AN187" s="579" t="str">
        <v>A$m</v>
      </c>
      <c r="AO187" s="579" t="str">
        <v>Base case</v>
      </c>
      <c r="AP187" s="654" t="n">
        <v>441.77056814293434</v>
      </c>
      <c r="AQ187" s="656"/>
      <c r="AR187" s="656"/>
      <c r="AS187" s="579" t="str">
        <v>Selected property value and provisional lender covenant</v>
      </c>
      <c r="AT187" s="655" t="n">
        <v>46229</v>
      </c>
      <c r="AU187" s="579" t="str">
        <v>Formula Preserved</v>
      </c>
      <c r="AV187" s="579" t="str">
        <v>Model owner</v>
      </c>
      <c r="AW187" s="579" t="str">
        <v>Property value multiplied by the provisional 65% term LTV limit.</v>
      </c>
      <c r="AX187" t="str">
        <v>Formula-linked source input</v>
      </c>
      <c r="AY187" s="2440" t="n">
        <f>$H$216</f>
        <v>441.77056814293434</v>
      </c>
      <c r="AZ187" t="str">
        <v>Yes</v>
      </c>
      <c r="BA187" t="str">
        <v>PROJECTS register</v>
      </c>
      <c r="BB187" t="str">
        <v>G187</v>
      </c>
      <c r="BC187" t="str">
        <v>Selected property value and provisional lender covenant</v>
      </c>
      <c r="BD187" t="str">
        <v>No</v>
      </c>
      <c r="BE187" t="str">
        <v>Replace provisional financing assumptions with an executed lender term sheet.</v>
      </c>
      <c r="BF187" s="2442" t="n">
        <v>46231</v>
      </c>
      <c r="BG187" t="str">
        <f>IF($AZ187="No","PASS",IF(OR($AX187="Owner decision outstanding",$BD187="OWNER DECISION"),"WARNING",IF(OR($AP187="",$AN187="",$AS187="",$AV187=""),"FAIL","PASS")))</f>
        <v>PASS</v>
      </c>
    </row>
    <row r="188" ht="24" customHeight="1">
      <c r="A188" s="2504" t="str">
        <f>$AJ$87</f>
        <v>DEBT-007</v>
      </c>
      <c r="B188" s="2508" t="str">
        <f>$AL$87</f>
        <v>Construction facility</v>
      </c>
      <c r="C188" s="2504" t="str">
        <f>$AM$87</f>
        <v>Base rate</v>
      </c>
      <c r="D188" s="2504" t="str">
        <f>$AN$87&amp;IF($AO$87="",""," | "&amp;IF($AN$87="Date",TEXT($AO$87,"dd mmm yyyy"),$AO$87))</f>
        <v>% p.a. | Construction</v>
      </c>
      <c r="E188" s="2635" t="n">
        <v>0</v>
      </c>
      <c r="F188" s="2550"/>
      <c r="G188" s="2550"/>
      <c r="H188" s="2550" t="n">
        <f>IF($A188="","",$E188)</f>
        <v>0</v>
      </c>
      <c r="I188" s="2543" t="str">
        <f>$AU$87&amp;IF($AS$87="",""," | "&amp;$AS$87)</f>
        <v>Mapped | Target: DEBT | B12</v>
      </c>
      <c r="J188" s="2504" t="str">
        <f>$AV$87&amp;" | "&amp;$AX$87</f>
        <v>Model owner | Hard-coded model input</v>
      </c>
      <c r="K188" s="2504" t="str">
        <f>$AW$87</f>
        <v>Source provides all-in rate only. | Mapped to the live DEBT schedule as the management case. Executed lender terms remain an OWNER DECISION.</v>
      </c>
      <c r="AJ188" s="578" t="str">
        <v>FUND-DSCR-CAP</v>
      </c>
      <c r="AK188" s="579" t="str">
        <v>Debt and funding</v>
      </c>
      <c r="AL188" s="579" t="str">
        <v>Term debt</v>
      </c>
      <c r="AM188" s="579" t="str">
        <v>Gross debt capacity under base DSCR</v>
      </c>
      <c r="AN188" s="579" t="str">
        <v>A$m</v>
      </c>
      <c r="AO188" s="579" t="str">
        <v>Base case</v>
      </c>
      <c r="AP188" s="654" t="n">
        <v>400.33479074818166</v>
      </c>
      <c r="AQ188" s="656"/>
      <c r="AR188" s="656"/>
      <c r="AS188" s="579" t="str">
        <v>Stabilised CFADS and provisional lender covenant</v>
      </c>
      <c r="AT188" s="655" t="n">
        <v>46229</v>
      </c>
      <c r="AU188" s="579" t="str">
        <v>Formula Preserved</v>
      </c>
      <c r="AV188" s="579" t="str">
        <v>Model owner</v>
      </c>
      <c r="AW188" s="579" t="str">
        <v>Sized using stabilised NOI less lifecycle capex and scheduled interest plus straight-line amortisation; cash sweep is excluded.</v>
      </c>
      <c r="AX188" t="str">
        <v>Formula-linked source input</v>
      </c>
      <c r="AY188" s="2440" t="n">
        <f>$H$217</f>
        <v>400.33479074818166</v>
      </c>
      <c r="AZ188" t="str">
        <v>Yes</v>
      </c>
      <c r="BA188" t="str">
        <v>PROJECTS register</v>
      </c>
      <c r="BB188" t="str">
        <v>G188</v>
      </c>
      <c r="BC188" t="str">
        <v>Stabilised CFADS and provisional lender covenant</v>
      </c>
      <c r="BD188" t="str">
        <v>No</v>
      </c>
      <c r="BE188" t="str">
        <v>Replace provisional financing assumptions with an executed lender term sheet.</v>
      </c>
      <c r="BF188" s="2442" t="n">
        <v>46231</v>
      </c>
      <c r="BG188" t="str">
        <f>IF($AZ188="No","PASS",IF(OR($AX188="Owner decision outstanding",$BD188="OWNER DECISION"),"WARNING",IF(OR($AP188="",$AN188="",$AS188="",$AV188=""),"FAIL","PASS")))</f>
        <v>PASS</v>
      </c>
    </row>
    <row r="189" ht="24" customHeight="1">
      <c r="A189" s="2504" t="str">
        <f>$AJ$88</f>
        <v>DEBT-008</v>
      </c>
      <c r="B189" s="2504" t="str">
        <f>$AL$88</f>
        <v>Construction facility</v>
      </c>
      <c r="C189" s="2504" t="str">
        <f>$AM$88</f>
        <v>Commitment fee</v>
      </c>
      <c r="D189" s="2504" t="str">
        <f>$AN$88&amp;IF($AO$88="",""," | "&amp;IF($AN$88="Date",TEXT($AO$88,"dd mmm yyyy"),$AO$88))</f>
        <v>% p.a. | Construction</v>
      </c>
      <c r="E189" s="2635" t="n">
        <v>0</v>
      </c>
      <c r="F189" s="2550"/>
      <c r="G189" s="2550"/>
      <c r="H189" s="2550" t="n">
        <f>IF($A189="","",$E189)</f>
        <v>0</v>
      </c>
      <c r="I189" s="2543" t="str">
        <f>$AU$88&amp;IF($AS$88="",""," | "&amp;$AS$88)</f>
        <v>Mapped | Target: DEBT | B14</v>
      </c>
      <c r="J189" s="2504" t="str">
        <f>$AV$88&amp;" | "&amp;$AX$88</f>
        <v>Model owner | Hard-coded model input</v>
      </c>
      <c r="K189" s="2504" t="str">
        <f>$AW$88</f>
        <v>760 | Mapped to the live DEBT schedule as the management case. Executed lender terms remain an OWNER DECISION.</v>
      </c>
      <c r="AJ189" s="578" t="str">
        <v>FUND-FINANCEABLE-DEBT</v>
      </c>
      <c r="AK189" s="579" t="str">
        <v>Debt and funding</v>
      </c>
      <c r="AL189" s="579" t="str">
        <v>Construction facility</v>
      </c>
      <c r="AM189" s="579" t="str">
        <v>Net construction debt source after funding credits</v>
      </c>
      <c r="AN189" s="579" t="str">
        <v>A$m</v>
      </c>
      <c r="AO189" s="579" t="str">
        <v>Base case</v>
      </c>
      <c r="AP189" s="654" t="n">
        <v>213.01883390950715</v>
      </c>
      <c r="AQ189" s="656" t="n">
        <v>207.2854828858771</v>
      </c>
      <c r="AR189" s="656" t="n">
        <v>218.80134304620356</v>
      </c>
      <c r="AS189" s="579" t="str">
        <v>Actual eligible draws plus capitalised interest, capped by the scenario facility commitment</v>
      </c>
      <c r="AT189" s="655" t="str">
        <v>Illustrative lender limits pending term sheet</v>
      </c>
      <c r="AU189" s="579" t="str">
        <v>Formula Preserved</v>
      </c>
      <c r="AV189" s="579" t="str">
        <v>Model owner</v>
      </c>
      <c r="AW189" s="579" t="str">
        <v>Gross eligible draws plus capitalised interest, less the disclosed live timing and eligibility bridge.</v>
      </c>
      <c r="AX189" t="str">
        <v>Derived calculation</v>
      </c>
      <c r="AY189" s="2440" t="n">
        <f>$H$218</f>
        <v>213.01883390950715</v>
      </c>
      <c r="AZ189" t="str">
        <v>Yes</v>
      </c>
      <c r="BA189" t="str">
        <v>PROJECTS register</v>
      </c>
      <c r="BB189" t="str">
        <v>G189</v>
      </c>
      <c r="BC189" t="str">
        <v>Lower of target, LTV and DSCR</v>
      </c>
      <c r="BD189" t="str">
        <v>No</v>
      </c>
      <c r="BE189" t="str">
        <v>None — technical mapping complete.</v>
      </c>
      <c r="BF189" s="2442" t="n">
        <v>46231</v>
      </c>
      <c r="BG189" t="str">
        <f>IF($AZ189="No","PASS",IF(OR($AX189="Owner decision outstanding",$BD189="OWNER DECISION"),"WARNING",IF(OR($AP189="",$AN189="",$AS189="",$AV189=""),"FAIL","PASS")))</f>
        <v>PASS</v>
      </c>
    </row>
    <row r="190" ht="24" customHeight="1">
      <c r="A190" s="2504" t="str">
        <f>$AJ$89</f>
        <v>DEBT-009</v>
      </c>
      <c r="B190" s="2504" t="str">
        <f>$AL$89</f>
        <v>Construction facility</v>
      </c>
      <c r="C190" s="2504" t="str">
        <f>$AM$89</f>
        <v>Line fee</v>
      </c>
      <c r="D190" s="2504" t="str">
        <f>$AN$89&amp;IF($AO$89="",""," | "&amp;IF($AN$89="Date",TEXT($AO$89,"dd mmm yyyy"),$AO$89))</f>
        <v>% p.a. | Construction</v>
      </c>
      <c r="E190" s="2635" t="n">
        <v>0</v>
      </c>
      <c r="F190" s="2550"/>
      <c r="G190" s="2550"/>
      <c r="H190" s="2550" t="n">
        <f>IF($A190="","",$E190)</f>
        <v>0</v>
      </c>
      <c r="I190" s="2543" t="str">
        <f>$AU$89&amp;IF($AS$89="",""," | "&amp;$AS$89)</f>
        <v>Mapped | Target: DEBT | B16</v>
      </c>
      <c r="J190" s="2504" t="str">
        <f>$AV$89&amp;" | "&amp;$AX$89</f>
        <v>Model owner | Hard-coded model input</v>
      </c>
      <c r="K190" s="2504" t="str">
        <f>$AW$89</f>
        <v>760 | Mapped to the live DEBT schedule as the management case. Executed lender terms remain an OWNER DECISION.</v>
      </c>
      <c r="AJ190" s="578" t="str">
        <v>FUND-FINANCEABLE-SHARE</v>
      </c>
      <c r="AK190" s="579" t="str">
        <v>Debt and funding</v>
      </c>
      <c r="AL190" s="579" t="str">
        <v>Project</v>
      </c>
      <c r="AM190" s="579" t="str">
        <v>Financeable debt share</v>
      </c>
      <c r="AN190" s="579" t="str">
        <v>%</v>
      </c>
      <c r="AO190" s="579" t="str">
        <v>Base case</v>
      </c>
      <c r="AP190" s="602" t="n">
        <v>0.5086913049442029</v>
      </c>
      <c r="AQ190" s="595" t="n">
        <v>0.45</v>
      </c>
      <c r="AR190" s="595" t="n">
        <v>0.55</v>
      </c>
      <c r="AS190" s="579" t="str">
        <v>Live sources and uses</v>
      </c>
      <c r="AT190" s="655" t="n">
        <v>46229</v>
      </c>
      <c r="AU190" s="579" t="str">
        <v>Formula Preserved</v>
      </c>
      <c r="AV190" s="579" t="str">
        <v>Model owner</v>
      </c>
      <c r="AW190" s="579" t="str">
        <v>May be below 50% where valuation or debt-service capacity constrains leverage.</v>
      </c>
      <c r="AX190" t="str">
        <v>Derived calculation</v>
      </c>
      <c r="AY190" s="2440" t="n">
        <f>$H$219</f>
        <v>0.5086913049442029</v>
      </c>
      <c r="AZ190" t="str">
        <v>Yes</v>
      </c>
      <c r="BA190" t="str">
        <v>PROJECTS register</v>
      </c>
      <c r="BB190" t="str">
        <v>G190</v>
      </c>
      <c r="BC190" t="str">
        <v>Live sources and uses</v>
      </c>
      <c r="BD190" t="str">
        <v>No</v>
      </c>
      <c r="BE190" t="str">
        <v>Obtain independent valuation evidence and approve the selected market assumptions.</v>
      </c>
      <c r="BF190" s="2442" t="n">
        <v>46231</v>
      </c>
      <c r="BG190" t="str">
        <f>IF($AZ190="No","PASS",IF(OR($AX190="Owner decision outstanding",$BD190="OWNER DECISION"),"WARNING",IF(OR($AP190="",$AN190="",$AS190="",$AV190=""),"FAIL","PASS")))</f>
        <v>PASS</v>
      </c>
    </row>
    <row r="191" ht="24" customHeight="1">
      <c r="A191" s="2508" t="str">
        <f>$AJ$90</f>
        <v>DEBT-010</v>
      </c>
      <c r="B191" s="2508" t="str">
        <f>$AL$90</f>
        <v>Construction facility</v>
      </c>
      <c r="C191" s="2508" t="str">
        <f>$AM$90</f>
        <v>Interest basis</v>
      </c>
      <c r="D191" s="2508" t="str">
        <f>$AN$90&amp;IF($AO$90="",""," | "&amp;IF($AN$90="Date",TEXT($AO$90,"dd mmm yyyy"),$AO$90))</f>
        <v>Days | Construction</v>
      </c>
      <c r="E191" s="2639" t="n">
        <v>365</v>
      </c>
      <c r="F191" s="2555"/>
      <c r="G191" s="2555"/>
      <c r="H191" s="2555" t="n">
        <f>IF($A191="","",$E191)</f>
        <v>365</v>
      </c>
      <c r="I191" s="2543" t="str">
        <f>$AU$90&amp;IF($AS$90="",""," | "&amp;$AS$90)</f>
        <v>Mapped | Target: DEBT | B17</v>
      </c>
      <c r="J191" s="2504" t="str">
        <f>$AV$90&amp;" | "&amp;$AX$90</f>
        <v>Model owner | Hard-coded model input</v>
      </c>
      <c r="K191" s="2504" t="str">
        <f>$AW$90</f>
        <v>760 | Mapped to the live DEBT schedule as the management case. Executed lender terms remain an OWNER DECISION.</v>
      </c>
      <c r="AJ191" s="578" t="str">
        <v>FUND-LIVE-EQUITY</v>
      </c>
      <c r="AK191" s="579" t="str">
        <v>Investors and ownership</v>
      </c>
      <c r="AL191" s="579" t="str">
        <v>Project</v>
      </c>
      <c r="AM191" s="579" t="str">
        <v>Calculated equity funding requirement</v>
      </c>
      <c r="AN191" s="579" t="str">
        <v>A$m</v>
      </c>
      <c r="AO191" s="579" t="str">
        <v>Base case</v>
      </c>
      <c r="AP191" s="654" t="n">
        <v>119.20222252470232</v>
      </c>
      <c r="AQ191" s="656" t="n">
        <v>253.34892352718308</v>
      </c>
      <c r="AR191" s="656" t="n">
        <v>179.0192806741665</v>
      </c>
      <c r="AS191" s="579" t="str">
        <v>Live sources and uses</v>
      </c>
      <c r="AT191" s="655" t="n">
        <v>46229</v>
      </c>
      <c r="AU191" s="579" t="str">
        <v>Formula Preserved</v>
      </c>
      <c r="AV191" s="579" t="str">
        <v>Model owner</v>
      </c>
      <c r="AW191" s="579" t="str">
        <v>Residual project uses after financeable debt; allocated pro rata across the eight-line interim investor register.</v>
      </c>
      <c r="AX191" t="str">
        <v>Derived calculation</v>
      </c>
      <c r="AY191" s="2440" t="n">
        <f>$H$275</f>
        <v>119.20222252470232</v>
      </c>
      <c r="AZ191" t="str">
        <v>Yes</v>
      </c>
      <c r="BA191" t="str">
        <v>PROJECTS register</v>
      </c>
      <c r="BB191" t="str">
        <v>G191</v>
      </c>
      <c r="BC191" t="str">
        <v>Live sources and uses</v>
      </c>
      <c r="BD191" t="str">
        <v>No</v>
      </c>
      <c r="BE191" t="str">
        <v>Confirm executed investor identities, funded amounts, dilution and shareholder rights.</v>
      </c>
      <c r="BF191" s="2442" t="n">
        <v>46231</v>
      </c>
      <c r="BG191" t="str">
        <f>IF($AZ191="No","PASS",IF(OR($AX191="Owner decision outstanding",$BD191="OWNER DECISION"),"WARNING",IF(OR($AP191="",$AN191="",$AS191="",$AV191=""),"FAIL","PASS")))</f>
        <v>PASS</v>
      </c>
    </row>
    <row r="192" ht="24" customHeight="1">
      <c r="A192" s="2504" t="str">
        <f>$AJ$91</f>
        <v>DEBT-011</v>
      </c>
      <c r="B192" s="2504" t="str">
        <f>$AL$91</f>
        <v>Construction facility</v>
      </c>
      <c r="C192" s="2504" t="str">
        <f>$AM$91</f>
        <v>Covenant drawstop enabled</v>
      </c>
      <c r="D192" s="2504" t="str">
        <f>$AN$91&amp;IF($AO$91="",""," | "&amp;IF($AN$91="Date",TEXT($AO$91,"dd mmm yyyy"),$AO$91))</f>
        <v>Yes/No | Construction</v>
      </c>
      <c r="E192" s="2633" t="str">
        <v>Yes</v>
      </c>
      <c r="F192" s="2542"/>
      <c r="G192" s="2542"/>
      <c r="H192" s="2542" t="str">
        <f>IF($A192="","",$E192)</f>
        <v>Yes</v>
      </c>
      <c r="I192" s="2543" t="str">
        <f>$AU$91&amp;IF($AS$91="",""," | "&amp;$AS$91)</f>
        <v>Mapped | Target: DEBT | B21</v>
      </c>
      <c r="J192" s="2504" t="str">
        <f>$AV$91&amp;" | "&amp;$AX$91</f>
        <v>Model owner | Hard-coded model input</v>
      </c>
      <c r="K192" s="2504" t="str">
        <f>$AW$91</f>
        <v>760 | Mapped to the live DEBT schedule as the management case. Executed lender terms remain an OWNER DECISION.</v>
      </c>
      <c r="AJ192" s="578" t="str">
        <v>FUND-LIVE-EQUITY-SHARE</v>
      </c>
      <c r="AK192" s="579" t="str">
        <v>Investors and ownership</v>
      </c>
      <c r="AL192" s="579" t="str">
        <v>Project</v>
      </c>
      <c r="AM192" s="579" t="str">
        <v>Calculated equity funding share</v>
      </c>
      <c r="AN192" s="579" t="str">
        <v>%</v>
      </c>
      <c r="AO192" s="579" t="str">
        <v>Base case</v>
      </c>
      <c r="AP192" s="602" t="n">
        <v>0.28465621098132304</v>
      </c>
      <c r="AQ192" s="595" t="n">
        <v>0.5499999999999999</v>
      </c>
      <c r="AR192" s="595" t="n">
        <v>0.44999999999999996</v>
      </c>
      <c r="AS192" s="579" t="str">
        <v>Live sources and uses</v>
      </c>
      <c r="AT192" s="655" t="n">
        <v>46229</v>
      </c>
      <c r="AU192" s="579" t="str">
        <v>Formula Preserved</v>
      </c>
      <c r="AV192" s="579" t="str">
        <v>Model owner</v>
      </c>
      <c r="AW192" s="579" t="str">
        <v>Calculated from live equity divided by live total development cost.</v>
      </c>
      <c r="AX192" t="str">
        <v>Derived calculation</v>
      </c>
      <c r="AY192" s="2440" t="n">
        <f>$H$276</f>
        <v>0.28465621098132304</v>
      </c>
      <c r="AZ192" t="str">
        <v>Yes</v>
      </c>
      <c r="BA192" t="str">
        <v>PROJECTS register</v>
      </c>
      <c r="BB192" t="str">
        <v>G192</v>
      </c>
      <c r="BC192" t="str">
        <v>Live sources and uses</v>
      </c>
      <c r="BD192" t="str">
        <v>No</v>
      </c>
      <c r="BE192" t="str">
        <v>None — technical mapping complete.</v>
      </c>
      <c r="BF192" s="2442" t="n">
        <v>46231</v>
      </c>
      <c r="BG192" t="str">
        <f>IF($AZ192="No","PASS",IF(OR($AX192="Owner decision outstanding",$BD192="OWNER DECISION"),"WARNING",IF(OR($AP192="",$AN192="",$AS192="",$AV192=""),"FAIL","PASS")))</f>
        <v>PASS</v>
      </c>
    </row>
    <row r="193" ht="24" customHeight="1">
      <c r="A193" s="2513" t="str">
        <f>$AJ$92</f>
        <v>DEBT-012</v>
      </c>
      <c r="B193" s="2513" t="str">
        <f>$AL$92</f>
        <v>Working capital</v>
      </c>
      <c r="C193" s="2513" t="str">
        <f>$AM$92</f>
        <v>Working-capital base rate</v>
      </c>
      <c r="D193" s="2513" t="str">
        <f>$AN$92&amp;IF($AO$92="",""," | "&amp;IF($AN$92="Date",TEXT($AO$92,"dd mmm yyyy"),$AO$92))</f>
        <v>% p.a. | Operating period</v>
      </c>
      <c r="E193" s="2636" t="n">
        <v>0</v>
      </c>
      <c r="F193" s="2551"/>
      <c r="G193" s="2551"/>
      <c r="H193" s="2551" t="n">
        <f>IF($A193="","",$E193)</f>
        <v>0</v>
      </c>
      <c r="I193" s="2543" t="str">
        <f>$AU$92&amp;IF($AS$92="",""," | "&amp;$AS$92)</f>
        <v>Mapped | Target: DEBT | B25</v>
      </c>
      <c r="J193" s="2504" t="str">
        <f>$AV$92&amp;" | "&amp;$AX$92</f>
        <v>Model owner | Hard-coded model input</v>
      </c>
      <c r="K193" s="2504" t="str">
        <f>$AW$92</f>
        <v>760 | Mapped to the live DEBT schedule as the management case. Executed lender terms remain an OWNER DECISION.</v>
      </c>
      <c r="AJ193" s="578" t="str">
        <v>FUND-SOURCES-USES-CHECK</v>
      </c>
      <c r="AK193" s="579" t="str">
        <v>Checks</v>
      </c>
      <c r="AL193" s="579" t="str">
        <v>Project</v>
      </c>
      <c r="AM193" s="579" t="str">
        <v>Debt plus equity less live total uses</v>
      </c>
      <c r="AN193" s="579" t="str">
        <v>A$m</v>
      </c>
      <c r="AO193" s="579" t="str">
        <v>Base case</v>
      </c>
      <c r="AP193" s="654" t="n">
        <v>-86.53749485039066</v>
      </c>
      <c r="AQ193" s="656" t="n">
        <v>0</v>
      </c>
      <c r="AR193" s="656" t="n">
        <v>0</v>
      </c>
      <c r="AS193" s="579" t="str">
        <v>Live model control</v>
      </c>
      <c r="AT193" s="655" t="n">
        <v>46229</v>
      </c>
      <c r="AU193" s="579" t="str">
        <v>Formula Preserved</v>
      </c>
      <c r="AV193" s="579" t="str">
        <v>Model owner</v>
      </c>
      <c r="AW193" s="579" t="str">
        <v>Net debt source plus actual equity less live total development cost; must equal zero.</v>
      </c>
      <c r="AX193" t="str">
        <v>System control</v>
      </c>
      <c r="AY193" s="2440" t="n">
        <f>$H$322</f>
        <v>-86.53749485039066</v>
      </c>
      <c r="AZ193" t="str">
        <v>Yes</v>
      </c>
      <c r="BA193" t="str">
        <v>PROJECTS register</v>
      </c>
      <c r="BB193" t="str">
        <v>G193</v>
      </c>
      <c r="BC193" t="str">
        <v>Live model control</v>
      </c>
      <c r="BD193" t="str">
        <v>No</v>
      </c>
      <c r="BE193" t="str">
        <v>None — technical mapping complete.</v>
      </c>
      <c r="BF193" s="2442" t="n">
        <v>46231</v>
      </c>
      <c r="BG193" t="str">
        <f>IF($AZ193="No","PASS",IF(OR($AX193="Owner decision outstanding",$BD193="OWNER DECISION"),"WARNING",IF(OR($AP193="",$AN193="",$AS193="",$AV193=""),"FAIL","PASS")))</f>
        <v>PASS</v>
      </c>
    </row>
    <row r="194" ht="24" customHeight="1">
      <c r="A194" s="2504" t="str">
        <f>$AJ$93</f>
        <v>DEBT-013</v>
      </c>
      <c r="B194" s="2504" t="str">
        <f>$AL$93</f>
        <v>Working capital</v>
      </c>
      <c r="C194" s="2504" t="str">
        <f>$AM$93</f>
        <v>Minimum cash balance</v>
      </c>
      <c r="D194" s="2504" t="str">
        <f>$AN$93&amp;IF($AO$93="",""," | "&amp;IF($AN$93="Date",TEXT($AO$93,"dd mmm yyyy"),$AO$93))</f>
        <v>A$ | Operating period</v>
      </c>
      <c r="E194" s="2625" t="n">
        <v>100000</v>
      </c>
      <c r="F194" s="2507"/>
      <c r="G194" s="2507"/>
      <c r="H194" s="2507" t="n">
        <f>IF($A194="","",$E194)</f>
        <v>100000</v>
      </c>
      <c r="I194" s="2543" t="str">
        <f>$AU$93&amp;IF($AS$93="",""," | "&amp;$AS$93)</f>
        <v>Mapped | Target: DEBT | B27</v>
      </c>
      <c r="J194" s="2504" t="str">
        <f>$AV$93&amp;" | "&amp;$AX$93</f>
        <v>Model owner | Hard-coded model input</v>
      </c>
      <c r="K194" s="2504" t="str">
        <f>$AW$93</f>
        <v>760 | Mapped to the live DEBT schedule as the management case. Executed lender terms remain an OWNER DECISION.</v>
      </c>
      <c r="AJ194" s="578" t="str">
        <v>TAX-CORP-RATE</v>
      </c>
      <c r="AK194" s="579" t="str">
        <v>Tax and GST</v>
      </c>
      <c r="AL194" s="579" t="str">
        <v>Project</v>
      </c>
      <c r="AM194" s="579" t="str">
        <v>Australian corporate tax rate</v>
      </c>
      <c r="AN194" s="579" t="str">
        <v>%</v>
      </c>
      <c r="AO194" s="579" t="str">
        <v>Provisional</v>
      </c>
      <c r="AP194" s="602" t="n">
        <f>IF($E$302="","",$E$302)</f>
        <v>0.3</v>
      </c>
      <c r="AQ194" s="595" t="str">
        <f>IF($F$302="","",$F$302)</f>
      </c>
      <c r="AR194" s="595" t="str">
        <f>IF($G$302="","",$G$302)</f>
      </c>
      <c r="AS194" s="579" t="str">
        <v>Illustrative pending tax advice</v>
      </c>
      <c r="AT194" s="655" t="n">
        <v>46229</v>
      </c>
      <c r="AU194" s="579" t="str">
        <v>Mapped — provisional</v>
      </c>
      <c r="AV194" s="579" t="str">
        <v>Tax adviser</v>
      </c>
      <c r="AW194" s="579" t="str">
        <v>Applied only after tax-loss carryforwards and a provisional tax-depreciation allowance. | The field is live and formula-linked; its commercial or specialist basis remains provisional where stated.</v>
      </c>
      <c r="AX194" t="str">
        <v>Hard-coded model input</v>
      </c>
      <c r="AY194" s="2440" t="n">
        <f>$H$302</f>
        <v>0.3</v>
      </c>
      <c r="AZ194" t="str">
        <v>Yes</v>
      </c>
      <c r="BA194" t="str">
        <v>PROJECTS register</v>
      </c>
      <c r="BB194" t="str">
        <v>G194</v>
      </c>
      <c r="BC194" t="str">
        <v>Illustrative pending tax advice</v>
      </c>
      <c r="BD194" t="str">
        <v>No</v>
      </c>
      <c r="BE194" t="str">
        <v>Obtain tax-adviser and operating-budget schedules and update provisional assumptions.</v>
      </c>
      <c r="BF194" s="2442" t="n">
        <v>46231</v>
      </c>
      <c r="BG194" t="str">
        <f>IF($AZ194="No","PASS",IF(OR($AX194="Owner decision outstanding",$BD194="OWNER DECISION"),"WARNING",IF(OR($AP194="",$AN194="",$AS194="",$AV194=""),"FAIL","PASS")))</f>
        <v>PASS</v>
      </c>
    </row>
    <row r="195" ht="24" customHeight="1">
      <c r="A195" s="2508" t="str">
        <f>$AJ$94</f>
        <v>DEBT-014</v>
      </c>
      <c r="B195" s="2508" t="str">
        <f>$AL$94</f>
        <v>Working capital</v>
      </c>
      <c r="C195" s="2508" t="str">
        <f>$AM$94</f>
        <v>Unused-line fee</v>
      </c>
      <c r="D195" s="2508" t="str">
        <f>$AN$94&amp;IF($AO$94="",""," | "&amp;IF($AN$94="Date",TEXT($AO$94,"dd mmm yyyy"),$AO$94))</f>
        <v>% p.a. | Operating period</v>
      </c>
      <c r="E195" s="2637" t="n">
        <v>0</v>
      </c>
      <c r="F195" s="2552"/>
      <c r="G195" s="2552"/>
      <c r="H195" s="2552" t="n">
        <f>IF($A195="","",$E195)</f>
        <v>0</v>
      </c>
      <c r="I195" s="2543" t="str">
        <f>$AU$94&amp;IF($AS$94="",""," | "&amp;$AS$94)</f>
        <v>Mapped | Target: DEBT | B28</v>
      </c>
      <c r="J195" s="2504" t="str">
        <f>$AV$94&amp;" | "&amp;$AX$94</f>
        <v>Model owner | Hard-coded model input</v>
      </c>
      <c r="K195" s="2504" t="str">
        <f>$AW$94</f>
        <v>760 | Mapped to the live DEBT schedule as the management case. Executed lender terms remain an OWNER DECISION.</v>
      </c>
      <c r="AJ195" s="578" t="str">
        <v>TAX-DEPR-RATE</v>
      </c>
      <c r="AK195" s="579" t="str">
        <v>Tax and GST</v>
      </c>
      <c r="AL195" s="579" t="str">
        <v>Project</v>
      </c>
      <c r="AM195" s="579" t="str">
        <v>Tax depreciation rate on development cost</v>
      </c>
      <c r="AN195" s="579" t="str">
        <v>% p.a.</v>
      </c>
      <c r="AO195" s="579" t="str">
        <v>Provisional</v>
      </c>
      <c r="AP195" s="602" t="n">
        <f>IF($E$303="","",$E$303)</f>
        <v>0.025</v>
      </c>
      <c r="AQ195" s="595" t="str">
        <f>IF($F$303="","",$F$303)</f>
      </c>
      <c r="AR195" s="595" t="str">
        <f>IF($G$303="","",$G$303)</f>
      </c>
      <c r="AS195" s="579" t="str">
        <v>Illustrative pending tax advice</v>
      </c>
      <c r="AT195" s="655" t="n">
        <v>46229</v>
      </c>
      <c r="AU195" s="579" t="str">
        <v>Mapped — provisional</v>
      </c>
      <c r="AV195" s="579" t="str">
        <v>Tax adviser</v>
      </c>
      <c r="AW195" s="579" t="str">
        <v>Straight-line proxy for debt-capacity and cash-tax modelling; replace with a tax depreciation schedule. | The field is live and formula-linked; its commercial or specialist basis remains provisional where stated.</v>
      </c>
      <c r="AX195" t="str">
        <v>Hard-coded model input</v>
      </c>
      <c r="AY195" s="2440" t="n">
        <f>$H$303</f>
        <v>0.025</v>
      </c>
      <c r="AZ195" t="str">
        <v>Yes</v>
      </c>
      <c r="BA195" t="str">
        <v>PROJECTS register</v>
      </c>
      <c r="BB195" t="str">
        <v>G195</v>
      </c>
      <c r="BC195" t="str">
        <v>Illustrative pending tax advice</v>
      </c>
      <c r="BD195" t="str">
        <v>No</v>
      </c>
      <c r="BE195" t="str">
        <v>Obtain tax-adviser and operating-budget schedules and update provisional assumptions.</v>
      </c>
      <c r="BF195" s="2442" t="n">
        <v>46231</v>
      </c>
      <c r="BG195" t="str">
        <f>IF($AZ195="No","PASS",IF(OR($AX195="Owner decision outstanding",$BD195="OWNER DECISION"),"WARNING",IF(OR($AP195="",$AN195="",$AS195="",$AV195=""),"FAIL","PASS")))</f>
        <v>PASS</v>
      </c>
    </row>
    <row r="196" ht="24" customHeight="1">
      <c r="A196" s="2517" t="str">
        <f>$AJ$95</f>
        <v>DEBT-015</v>
      </c>
      <c r="B196" s="2517" t="str">
        <f>$AL$95</f>
        <v>Term debt</v>
      </c>
      <c r="C196" s="2517" t="str">
        <f>$AM$95</f>
        <v>Conversion trigger</v>
      </c>
      <c r="D196" s="2517" t="str">
        <f>$AN$95&amp;IF($AO$95="",""," | "&amp;IF($AN$95="Date",TEXT($AO$95,"dd mmm yyyy"),$AO$95))</f>
        <v>Text | Post-completion</v>
      </c>
      <c r="E196" s="2640" t="str">
        <v>Stabilisation</v>
      </c>
      <c r="F196" s="2556"/>
      <c r="G196" s="2556"/>
      <c r="H196" s="2556" t="str">
        <f>IF($A196="","",$E196)</f>
        <v>Stabilisation</v>
      </c>
      <c r="I196" s="2543" t="str">
        <f>$AU$95&amp;IF($AS$95="",""," | "&amp;$AS$95)</f>
        <v>Mapped | Target: DEBT | B33</v>
      </c>
      <c r="J196" s="2504" t="str">
        <f>$AV$95&amp;" | "&amp;$AX$95</f>
        <v>Model owner | Hard-coded model input</v>
      </c>
      <c r="K196" s="2504" t="str">
        <f>$AW$95</f>
        <v>760 | Mapped to the live DEBT schedule as the management case. Executed lender terms remain an OWNER DECISION.</v>
      </c>
      <c r="AJ196" s="578" t="str">
        <v>GST-RATE</v>
      </c>
      <c r="AK196" s="579" t="str">
        <v>Tax and GST</v>
      </c>
      <c r="AL196" s="579" t="str">
        <v>Project</v>
      </c>
      <c r="AM196" s="579" t="str">
        <v>GST rate</v>
      </c>
      <c r="AN196" s="579" t="str">
        <v>%</v>
      </c>
      <c r="AO196" s="579" t="str">
        <v>Provisional</v>
      </c>
      <c r="AP196" s="602" t="n">
        <f>IF($E$304="","",$E$304)</f>
        <v>0.1</v>
      </c>
      <c r="AQ196" s="595" t="str">
        <f>IF($F$304="","",$F$304)</f>
      </c>
      <c r="AR196" s="595" t="str">
        <f>IF($G$304="","",$G$304)</f>
      </c>
      <c r="AS196" s="579" t="str">
        <v>Australian statutory rate / transaction treatment pending</v>
      </c>
      <c r="AT196" s="655" t="n">
        <v>46229</v>
      </c>
      <c r="AU196" s="579" t="str">
        <v>Mapped — provisional</v>
      </c>
      <c r="AV196" s="579" t="str">
        <v>Tax adviser</v>
      </c>
      <c r="AW196" s="579" t="str">
        <v>Applied only to the provisional GST-eligible development-spend percentage. | The field is live and formula-linked; its commercial or specialist basis remains provisional where stated.</v>
      </c>
      <c r="AX196" t="str">
        <v>Hard-coded model input</v>
      </c>
      <c r="AY196" s="2440" t="n">
        <f>$H$304</f>
        <v>0.1</v>
      </c>
      <c r="AZ196" t="str">
        <v>Yes</v>
      </c>
      <c r="BA196" t="str">
        <v>PROJECTS register</v>
      </c>
      <c r="BB196" t="str">
        <v>G196</v>
      </c>
      <c r="BC196" t="str">
        <v>Australian statutory rate / transaction treatment pending</v>
      </c>
      <c r="BD196" t="str">
        <v>No</v>
      </c>
      <c r="BE196" t="str">
        <v>Obtain tax-adviser and operating-budget schedules and update provisional assumptions.</v>
      </c>
      <c r="BF196" s="2442" t="n">
        <v>46231</v>
      </c>
      <c r="BG196" t="str">
        <f>IF($AZ196="No","PASS",IF(OR($AX196="Owner decision outstanding",$BD196="OWNER DECISION"),"WARNING",IF(OR($AP196="",$AN196="",$AS196="",$AV196=""),"FAIL","PASS")))</f>
        <v>PASS</v>
      </c>
    </row>
    <row r="197" ht="24" customHeight="1">
      <c r="A197" s="2504" t="str">
        <f>$AJ$96</f>
        <v>DEBT-016</v>
      </c>
      <c r="B197" s="2504" t="str">
        <f>$AL$96</f>
        <v>Term debt</v>
      </c>
      <c r="C197" s="2504" t="str">
        <f>$AM$96</f>
        <v>Working-capital debt may refinance</v>
      </c>
      <c r="D197" s="2544" t="str">
        <f>$AN$96&amp;IF($AO$96="",""," | "&amp;IF($AN$96="Date",TEXT($AO$96,"dd mmm yyyy"),$AO$96))</f>
        <v>Yes/No | At conversion</v>
      </c>
      <c r="E197" s="2633" t="str">
        <v>Yes</v>
      </c>
      <c r="F197" s="2542"/>
      <c r="G197" s="2542"/>
      <c r="H197" s="2542" t="str">
        <f>IF($A197="","",$E197)</f>
        <v>Yes</v>
      </c>
      <c r="I197" s="2543" t="str">
        <f>$AU$96&amp;IF($AS$96="",""," | "&amp;$AS$96)</f>
        <v>Mapped | Target: DEBT | B36</v>
      </c>
      <c r="J197" s="2504" t="str">
        <f>$AV$96&amp;" | "&amp;$AX$96</f>
        <v>Model owner | Hard-coded model input</v>
      </c>
      <c r="K197" s="2504" t="str">
        <f>$AW$96</f>
        <v>760 | Mapped to the live DEBT schedule as the management case. Executed lender terms remain an OWNER DECISION.</v>
      </c>
      <c r="AJ197" s="578" t="str">
        <v>GST-ELIGIBLE</v>
      </c>
      <c r="AK197" s="579" t="str">
        <v>Tax and GST</v>
      </c>
      <c r="AL197" s="579" t="str">
        <v>Development capex</v>
      </c>
      <c r="AM197" s="579" t="str">
        <v>GST-eligible development spend</v>
      </c>
      <c r="AN197" s="579" t="str">
        <v>%</v>
      </c>
      <c r="AO197" s="579" t="str">
        <v>Provisional</v>
      </c>
      <c r="AP197" s="602" t="n">
        <f>IF($E$305="","",$E$305)</f>
        <v>0.8</v>
      </c>
      <c r="AQ197" s="595" t="str">
        <f>IF($F$305="","",$F$305)</f>
      </c>
      <c r="AR197" s="595" t="str">
        <f>IF($G$305="","",$G$305)</f>
      </c>
      <c r="AS197" s="579" t="str">
        <v>Illustrative pending tax advice</v>
      </c>
      <c r="AT197" s="655" t="n">
        <v>46229</v>
      </c>
      <c r="AU197" s="579" t="str">
        <v>Mapped — provisional</v>
      </c>
      <c r="AV197" s="579" t="str">
        <v>Tax adviser</v>
      </c>
      <c r="AW197" s="579" t="str">
        <v>Land, duty and non-creditable amounts are excluded through this provisional eligibility factor. | The field is live and formula-linked; its commercial or specialist basis remains provisional where stated.</v>
      </c>
      <c r="AX197" t="str">
        <v>Hard-coded model input</v>
      </c>
      <c r="AY197" s="2440" t="n">
        <f>$H$305</f>
        <v>0.8</v>
      </c>
      <c r="AZ197" t="str">
        <v>Yes</v>
      </c>
      <c r="BA197" t="str">
        <v>PROJECTS register</v>
      </c>
      <c r="BB197" t="str">
        <v>G197</v>
      </c>
      <c r="BC197" t="str">
        <v>Illustrative pending tax advice</v>
      </c>
      <c r="BD197" t="str">
        <v>No</v>
      </c>
      <c r="BE197" t="str">
        <v>Obtain tax-adviser and operating-budget schedules and update provisional assumptions.</v>
      </c>
      <c r="BF197" s="2442" t="n">
        <v>46231</v>
      </c>
      <c r="BG197" t="str">
        <f>IF($AZ197="No","PASS",IF(OR($AX197="Owner decision outstanding",$BD197="OWNER DECISION"),"WARNING",IF(OR($AP197="",$AN197="",$AS197="",$AV197=""),"FAIL","PASS")))</f>
        <v>PASS</v>
      </c>
    </row>
    <row r="198" ht="24" customHeight="1">
      <c r="A198" s="2504" t="str">
        <f>$AJ$97</f>
        <v>DEBT-017</v>
      </c>
      <c r="B198" s="2504" t="str">
        <f>$AL$97</f>
        <v>Term debt</v>
      </c>
      <c r="C198" s="2504" t="str">
        <f>$AM$97</f>
        <v>Term-debt LTV limit</v>
      </c>
      <c r="D198" s="2544" t="str">
        <f>$AN$97&amp;IF($AO$97="",""," | "&amp;IF($AN$97="Date",TEXT($AO$97,"dd mmm yyyy"),$AO$97))</f>
        <v>% | At conversion</v>
      </c>
      <c r="E198" s="2635" t="n">
        <v>0.65</v>
      </c>
      <c r="F198" s="2635" t="n">
        <v>0.6</v>
      </c>
      <c r="G198" s="2635" t="n">
        <v>0.7</v>
      </c>
      <c r="H198" s="2550" t="n">
        <f>IF($A198="","",CHOOSE(MATCH('VALUATION &amp; RETURNS'!$CR$7,{"Downside","Base","Upside"},0),$F198,$E198,$G198))</f>
        <v>0.65</v>
      </c>
      <c r="I198" s="2543" t="str">
        <f>$AU$97&amp;IF($AS$97="",""," | "&amp;$AS$97)</f>
        <v>Mapped | Target: DEBT | B38</v>
      </c>
      <c r="J198" s="2504" t="str">
        <f>$AV$97&amp;" | "&amp;$AX$97</f>
        <v>Model owner | Hard-coded model input</v>
      </c>
      <c r="K198" s="2504" t="str">
        <f>$AW$97</f>
        <v>760 | Mapped to the live DEBT schedule as the management case. Executed lender terms remain an OWNER DECISION.</v>
      </c>
      <c r="AJ198" s="578" t="str">
        <v>GST-RECOVERY-LAG</v>
      </c>
      <c r="AK198" s="579" t="str">
        <v>Tax and GST</v>
      </c>
      <c r="AL198" s="579" t="str">
        <v>Project</v>
      </c>
      <c r="AM198" s="579" t="str">
        <v>GST recovery lag</v>
      </c>
      <c r="AN198" s="579" t="str">
        <v>Months</v>
      </c>
      <c r="AO198" s="579" t="str">
        <v>Provisional</v>
      </c>
      <c r="AP198" s="602" t="n">
        <f>IF($E$306="","",$E$306)</f>
        <v>2</v>
      </c>
      <c r="AQ198" s="587" t="str">
        <f>IF($F$306="","",$F$306)</f>
      </c>
      <c r="AR198" s="587" t="str">
        <f>IF($G$306="","",$G$306)</f>
      </c>
      <c r="AS198" s="579" t="str">
        <v>Illustrative pending BAS profile</v>
      </c>
      <c r="AT198" s="655" t="n">
        <v>46229</v>
      </c>
      <c r="AU198" s="579" t="str">
        <v>Mapped — provisional</v>
      </c>
      <c r="AV198" s="579" t="str">
        <v>Tax adviser</v>
      </c>
      <c r="AW198" s="579" t="str">
        <v>Input GST is funded when paid and recovered two months later. | The field is live and formula-linked; its commercial or specialist basis remains provisional where stated.</v>
      </c>
      <c r="AX198" t="str">
        <v>Hard-coded model input</v>
      </c>
      <c r="AY198" s="2440" t="n">
        <f>$H$306</f>
        <v>2</v>
      </c>
      <c r="AZ198" t="str">
        <v>Yes</v>
      </c>
      <c r="BA198" t="str">
        <v>PROJECTS register</v>
      </c>
      <c r="BB198" t="str">
        <v>G198</v>
      </c>
      <c r="BC198" t="str">
        <v>Illustrative pending BAS profile</v>
      </c>
      <c r="BD198" t="str">
        <v>No</v>
      </c>
      <c r="BE198" t="str">
        <v>Obtain tax-adviser and operating-budget schedules and update provisional assumptions.</v>
      </c>
      <c r="BF198" s="2442" t="n">
        <v>46231</v>
      </c>
      <c r="BG198" t="str">
        <f>IF($AZ198="No","PASS",IF(OR($AX198="Owner decision outstanding",$BD198="OWNER DECISION"),"WARNING",IF(OR($AP198="",$AN198="",$AS198="",$AV198=""),"FAIL","PASS")))</f>
        <v>PASS</v>
      </c>
    </row>
    <row r="199" ht="24" customHeight="1">
      <c r="A199" s="2504" t="str">
        <f>$AJ$98</f>
        <v>DEBT-018</v>
      </c>
      <c r="B199" s="2504" t="str">
        <f>$AL$98</f>
        <v>Term debt</v>
      </c>
      <c r="C199" s="2504" t="str">
        <f>$AM$98</f>
        <v>Term</v>
      </c>
      <c r="D199" s="2544" t="str">
        <f>$AN$98&amp;IF($AO$98="",""," | "&amp;IF($AN$98="Date",TEXT($AO$98,"dd mmm yyyy"),$AO$98))</f>
        <v>Years | Post-conversion</v>
      </c>
      <c r="E199" s="2623" t="n">
        <v>5</v>
      </c>
      <c r="F199" s="2505"/>
      <c r="G199" s="2505"/>
      <c r="H199" s="2505" t="n">
        <f>IF($A199="","",$E199)</f>
        <v>5</v>
      </c>
      <c r="I199" s="2543" t="str">
        <f>$AU$98&amp;IF($AS$98="",""," | "&amp;$AS$98)</f>
        <v>Mapped | Target model existing illustrative assumption</v>
      </c>
      <c r="J199" s="2504" t="str">
        <f>$AV$98&amp;" | "&amp;$AX$98</f>
        <v>Model owner | Hard-coded model input</v>
      </c>
      <c r="K199" s="2504" t="str">
        <f>$AW$98</f>
        <v>Five-year live model assumption retained to preserve the current funding case. The data book states ten years; lender confirmation is required. | Mapped to the live DEBT schedule as the management case. Executed lender terms remain an OWNER DECISION.</v>
      </c>
      <c r="AJ199" s="578" t="str">
        <v>WC-TARGET</v>
      </c>
      <c r="AK199" s="579" t="str">
        <v>Working capital</v>
      </c>
      <c r="AL199" s="579" t="str">
        <v>Project</v>
      </c>
      <c r="AM199" s="579" t="str">
        <v>Operating working-capital target</v>
      </c>
      <c r="AN199" s="579" t="str">
        <v>% of annual revenue</v>
      </c>
      <c r="AO199" s="579" t="str">
        <v>Provisional</v>
      </c>
      <c r="AP199" s="602" t="n">
        <f>IF($E$178="","",$E$178)</f>
        <v>0.02</v>
      </c>
      <c r="AQ199" s="587" t="str">
        <f>IF($F$178="","",$F$178)</f>
      </c>
      <c r="AR199" s="587" t="str">
        <f>IF($G$178="","",$G$178)</f>
      </c>
      <c r="AS199" s="579" t="str">
        <v>Illustrative pending operating budget</v>
      </c>
      <c r="AT199" s="655" t="n">
        <v>46229</v>
      </c>
      <c r="AU199" s="579" t="str">
        <v>Mapped — provisional</v>
      </c>
      <c r="AV199" s="579" t="str">
        <v>Management</v>
      </c>
      <c r="AW199" s="579" t="str">
        <v>Working-capital cash use is the monthly movement in the target balance. | The field is live and formula-linked; its commercial or specialist basis remains provisional where stated.</v>
      </c>
      <c r="AX199" t="str">
        <v>Hard-coded model input</v>
      </c>
      <c r="AY199" s="2440" t="n">
        <f>$H$178</f>
        <v>0.02</v>
      </c>
      <c r="AZ199" t="str">
        <v>Yes</v>
      </c>
      <c r="BA199" t="str">
        <v>PROJECTS register</v>
      </c>
      <c r="BB199" t="str">
        <v>G199</v>
      </c>
      <c r="BC199" t="str">
        <v>Illustrative pending operating budget</v>
      </c>
      <c r="BD199" t="str">
        <v>No</v>
      </c>
      <c r="BE199" t="str">
        <v>Obtain tax-adviser and operating-budget schedules and update provisional assumptions.</v>
      </c>
      <c r="BF199" s="2442" t="n">
        <v>46231</v>
      </c>
      <c r="BG199" t="str">
        <f>IF($AZ199="No","PASS",IF(OR($AX199="Owner decision outstanding",$BD199="OWNER DECISION"),"WARNING",IF(OR($AP199="",$AN199="",$AS199="",$AV199=""),"FAIL","PASS")))</f>
        <v>PASS</v>
      </c>
    </row>
    <row r="200" ht="24" customHeight="1">
      <c r="A200" s="2504" t="str">
        <f>$AJ$99</f>
        <v>DEBT-019</v>
      </c>
      <c r="B200" s="2504" t="str">
        <f>$AL$99</f>
        <v>Term debt</v>
      </c>
      <c r="C200" s="2504" t="str">
        <f>$AM$99</f>
        <v>Interest-only period</v>
      </c>
      <c r="D200" s="2544" t="str">
        <f>$AN$99&amp;IF($AO$99="",""," | "&amp;IF($AN$99="Date",TEXT($AO$99,"dd mmm yyyy"),$AO$99))</f>
        <v>Months | Post-conversion</v>
      </c>
      <c r="E200" s="2623" t="n">
        <v>12</v>
      </c>
      <c r="F200" s="2505"/>
      <c r="G200" s="2505"/>
      <c r="H200" s="2505" t="n">
        <f>IF($A200="","",$E200)</f>
        <v>12</v>
      </c>
      <c r="I200" s="2543" t="str">
        <f>$AU$99&amp;IF($AS$99="",""," | "&amp;$AS$99)</f>
        <v>Mapped | Target model existing illustrative assumption</v>
      </c>
      <c r="J200" s="2504" t="str">
        <f>$AV$99&amp;" | "&amp;$AX$99</f>
        <v>Model owner | Hard-coded model input</v>
      </c>
      <c r="K200" s="2504" t="str">
        <f>$AW$99</f>
        <v>Twelve-month live interest-only period retained pending lender confirmation. The data-book interest-only description is recorded separately. | Mapped to the live DEBT schedule as the management case. Executed lender terms remain an OWNER DECISION.</v>
      </c>
      <c r="AJ200" s="578" t="str">
        <v>HOLD-PERIOD</v>
      </c>
      <c r="AK200" s="579" t="str">
        <v>Valuation assumptions</v>
      </c>
      <c r="AL200" s="579" t="str">
        <v>Build &amp; Hold</v>
      </c>
      <c r="AM200" s="579" t="str">
        <v>Hold period</v>
      </c>
      <c r="AN200" s="579" t="str">
        <v>Years</v>
      </c>
      <c r="AO200" s="579" t="str">
        <v>Selected scenario</v>
      </c>
      <c r="AP200" s="658" t="n">
        <f>IF($E$294="","",$E$294)</f>
        <v>10</v>
      </c>
      <c r="AQ200" s="587" t="str">
        <f>IF($F$294="","",$F$294)</f>
      </c>
      <c r="AR200" s="587" t="str">
        <f>IF($G$294="","",$G$294)</f>
      </c>
      <c r="AS200" s="579" t="str">
        <v>Illustrative strategy assumption</v>
      </c>
      <c r="AT200" s="655" t="n">
        <v>46229</v>
      </c>
      <c r="AU200" s="579" t="str">
        <v>Mapped — provisional</v>
      </c>
      <c r="AV200" s="579" t="str">
        <v>Management</v>
      </c>
      <c r="AW200" s="579" t="str">
        <v>Independent Build &amp; Hold strategy; does not reuse the Build &amp; Sell reversion date. | The field is live and formula-linked; its commercial or specialist basis remains provisional where stated.</v>
      </c>
      <c r="AX200" t="str">
        <v>Hard-coded model input</v>
      </c>
      <c r="AY200" s="2440" t="n">
        <f>$H$294</f>
        <v>10</v>
      </c>
      <c r="AZ200" t="str">
        <v>Yes</v>
      </c>
      <c r="BA200" t="str">
        <v>PROJECTS register</v>
      </c>
      <c r="BB200" t="str">
        <v>G200</v>
      </c>
      <c r="BC200" t="str">
        <v>Illustrative strategy assumption</v>
      </c>
      <c r="BD200" t="str">
        <v>No</v>
      </c>
      <c r="BE200" t="str">
        <v>None — technical mapping complete.</v>
      </c>
      <c r="BF200" s="2442" t="n">
        <v>46231</v>
      </c>
      <c r="BG200" t="str">
        <f>IF($AZ200="No","PASS",IF(OR($AX200="Owner decision outstanding",$BD200="OWNER DECISION"),"WARNING",IF(OR($AP200="",$AN200="",$AS200="",$AV200=""),"FAIL","PASS")))</f>
        <v>PASS</v>
      </c>
    </row>
    <row r="201" ht="24" customHeight="1">
      <c r="A201" s="2504" t="str">
        <f>$AJ$100</f>
        <v>DEBT-020</v>
      </c>
      <c r="B201" s="2504" t="str">
        <f>$AL$100</f>
        <v>Term debt</v>
      </c>
      <c r="C201" s="2504" t="str">
        <f>$AM$100</f>
        <v>Repayment profile</v>
      </c>
      <c r="D201" s="2544" t="str">
        <f>$AN$100&amp;IF($AO$100="",""," | "&amp;IF($AN$100="Date",TEXT($AO$100,"dd mmm yyyy"),$AO$100))</f>
        <v>Text | Post-conversion</v>
      </c>
      <c r="E201" s="2633" t="str">
        <v>Interest-only followed by amortisation</v>
      </c>
      <c r="F201" s="2542"/>
      <c r="G201" s="2542"/>
      <c r="H201" s="2542" t="str">
        <f>IF($A201="","",$E201)</f>
        <v>Interest-only followed by amortisation</v>
      </c>
      <c r="I201" s="2543" t="str">
        <f>$AU$100&amp;IF($AS$100="",""," | "&amp;$AS$100)</f>
        <v>Mapped | Target: DEBT | B44</v>
      </c>
      <c r="J201" s="2504" t="str">
        <f>$AV$100&amp;" | "&amp;$AX$100</f>
        <v>Model owner | Hard-coded model input</v>
      </c>
      <c r="K201" s="2504" t="str">
        <f>$AW$100</f>
        <v>760 | Mapped to the live DEBT schedule as the management case. Executed lender terms remain an OWNER DECISION.</v>
      </c>
      <c r="AJ201" s="578" t="str">
        <v>HOLD-NOI-GROWTH</v>
      </c>
      <c r="AK201" s="579" t="str">
        <v>Valuation assumptions</v>
      </c>
      <c r="AL201" s="579" t="str">
        <v>Build &amp; Hold</v>
      </c>
      <c r="AM201" s="579" t="str">
        <v>Annual NOI growth</v>
      </c>
      <c r="AN201" s="579" t="str">
        <v>% p.a.</v>
      </c>
      <c r="AO201" s="579" t="str">
        <v>Selected scenario</v>
      </c>
      <c r="AP201" s="602" t="n">
        <f>IF($E$295="","",$E$295)</f>
        <v>0.025</v>
      </c>
      <c r="AQ201" s="595" t="n">
        <f>IF($F$295="","",$F$295)</f>
        <v>0.015</v>
      </c>
      <c r="AR201" s="595" t="n">
        <f>IF($G$295="","",$G$295)</f>
        <v>0.035</v>
      </c>
      <c r="AS201" s="579" t="str">
        <v>Illustrative strategy assumption</v>
      </c>
      <c r="AT201" s="655" t="n">
        <v>46229</v>
      </c>
      <c r="AU201" s="579" t="str">
        <v>Mapped — provisional</v>
      </c>
      <c r="AV201" s="579" t="str">
        <v>Management</v>
      </c>
      <c r="AW201" s="579" t="str">
        <v>Applied to post-stabilisation NOI during the hold period. | The field is live and formula-linked; its commercial or specialist basis remains provisional where stated.</v>
      </c>
      <c r="AX201" t="str">
        <v>Hard-coded model input</v>
      </c>
      <c r="AY201" s="2440" t="n">
        <f>$H$295</f>
        <v>0.025</v>
      </c>
      <c r="AZ201" t="str">
        <v>Yes</v>
      </c>
      <c r="BA201" t="str">
        <v>PROJECTS register</v>
      </c>
      <c r="BB201" t="str">
        <v>G201</v>
      </c>
      <c r="BC201" t="str">
        <v>Illustrative strategy assumption</v>
      </c>
      <c r="BD201" t="str">
        <v>No</v>
      </c>
      <c r="BE201" t="str">
        <v>None — technical mapping complete.</v>
      </c>
      <c r="BF201" s="2442" t="n">
        <v>46231</v>
      </c>
      <c r="BG201" t="str">
        <f>IF($AZ201="No","PASS",IF(OR($AX201="Owner decision outstanding",$BD201="OWNER DECISION"),"WARNING",IF(OR($AP201="",$AN201="",$AS201="",$AV201=""),"FAIL","PASS")))</f>
        <v>PASS</v>
      </c>
    </row>
    <row r="202" ht="24" customHeight="1">
      <c r="A202" s="2504" t="str">
        <f>$AJ$101</f>
        <v>DEBT-021</v>
      </c>
      <c r="B202" s="2504" t="str">
        <f>$AL$101</f>
        <v>Term debt</v>
      </c>
      <c r="C202" s="2504" t="str">
        <f>$AM$101</f>
        <v>Bullet percentage</v>
      </c>
      <c r="D202" s="2544" t="str">
        <f>$AN$101&amp;IF($AO$101="",""," | "&amp;IF($AN$101="Date",TEXT($AO$101,"dd mmm yyyy"),$AO$101))</f>
        <v>% | At maturity</v>
      </c>
      <c r="E202" s="2635" t="n">
        <v>0.5</v>
      </c>
      <c r="F202" s="2550"/>
      <c r="G202" s="2550"/>
      <c r="H202" s="2550" t="n">
        <f>IF($A202="","",$E202)</f>
        <v>0.5</v>
      </c>
      <c r="I202" s="2543" t="str">
        <f>$AU$101&amp;IF($AS$101="",""," | "&amp;$AS$101)</f>
        <v>Mapped | Target model existing illustrative assumption</v>
      </c>
      <c r="J202" s="2504" t="str">
        <f>$AV$101&amp;" | "&amp;$AX$101</f>
        <v>Model owner | Hard-coded model input</v>
      </c>
      <c r="K202" s="2504" t="str">
        <f>$AW$101</f>
        <v>Illustrative 50% bullet retained pending executed lender terms. | Mapped to the live DEBT schedule as the management case. Executed lender terms remain an OWNER DECISION.</v>
      </c>
      <c r="AJ202" s="578" t="str">
        <v>HOLD-EXIT-YIELD</v>
      </c>
      <c r="AK202" s="579" t="str">
        <v>Valuation assumptions</v>
      </c>
      <c r="AL202" s="579" t="str">
        <v>Build &amp; Hold</v>
      </c>
      <c r="AM202" s="579" t="str">
        <v>Exit yield</v>
      </c>
      <c r="AN202" s="579" t="str">
        <v>%</v>
      </c>
      <c r="AO202" s="579" t="str">
        <v>Selected scenario</v>
      </c>
      <c r="AP202" s="602" t="n">
        <v>0.0675</v>
      </c>
      <c r="AQ202" s="595"/>
      <c r="AR202" s="595"/>
      <c r="AS202" s="579" t="str">
        <v>Central valuation assumptions</v>
      </c>
      <c r="AT202" s="655" t="n">
        <v>46229</v>
      </c>
      <c r="AU202" s="579" t="str">
        <v>Formula Preserved</v>
      </c>
      <c r="AV202" s="579" t="str">
        <v>Model owner</v>
      </c>
      <c r="AW202" s="579" t="str">
        <v>Linked to the scenario terminal cap rate.</v>
      </c>
      <c r="AX202" t="str">
        <v>Formula-linked source input</v>
      </c>
      <c r="AY202" s="2440" t="n">
        <f>$H$296</f>
        <v>0.0675</v>
      </c>
      <c r="AZ202" t="str">
        <v>Yes</v>
      </c>
      <c r="BA202" t="str">
        <v>PROJECTS register</v>
      </c>
      <c r="BB202" t="str">
        <v>G202</v>
      </c>
      <c r="BC202" t="str">
        <v>Central valuation assumptions</v>
      </c>
      <c r="BD202" t="str">
        <v>No</v>
      </c>
      <c r="BE202" t="str">
        <v>Obtain independent valuation evidence and approve the selected market assumptions.</v>
      </c>
      <c r="BF202" s="2442" t="n">
        <v>46231</v>
      </c>
      <c r="BG202" t="str">
        <f>IF($AZ202="No","PASS",IF(OR($AX202="Owner decision outstanding",$BD202="OWNER DECISION"),"WARNING",IF(OR($AP202="",$AN202="",$AS202="",$AV202=""),"FAIL","PASS")))</f>
        <v>PASS</v>
      </c>
    </row>
    <row r="203" ht="24" customHeight="1">
      <c r="A203" s="2504" t="str">
        <f>$AJ$102</f>
        <v>DEBT-022</v>
      </c>
      <c r="B203" s="2504" t="str">
        <f>$AL$102</f>
        <v>Term debt</v>
      </c>
      <c r="C203" s="2504" t="str">
        <f>$AM$102</f>
        <v>Cash-sweep percentage</v>
      </c>
      <c r="D203" s="2544" t="str">
        <f>$AN$102&amp;IF($AO$102="",""," | "&amp;IF($AN$102="Date",TEXT($AO$102,"dd mmm yyyy"),$AO$102))</f>
        <v>% | Post-conversion</v>
      </c>
      <c r="E203" s="2635" t="n">
        <v>0.5</v>
      </c>
      <c r="F203" s="2550"/>
      <c r="G203" s="2550"/>
      <c r="H203" s="2550" t="n">
        <f>IF($A203="","",$E203)</f>
        <v>0.5</v>
      </c>
      <c r="I203" s="2543" t="str">
        <f>$AU$102&amp;IF($AS$102="",""," | "&amp;$AS$102)</f>
        <v>Mapped | Target model existing illustrative assumption</v>
      </c>
      <c r="J203" s="2504" t="str">
        <f>$AV$102&amp;" | "&amp;$AX$102</f>
        <v>Model owner | Hard-coded model input</v>
      </c>
      <c r="K203" s="2504" t="str">
        <f>$AW$102</f>
        <v>Illustrative 50% cash sweep retained pending executed lender terms. | Mapped to the live DEBT schedule as the management case. Executed lender terms remain an OWNER DECISION.</v>
      </c>
      <c r="AJ203" s="578" t="str">
        <v>HOLD-DISCOUNT</v>
      </c>
      <c r="AK203" s="579" t="str">
        <v>Valuation assumptions</v>
      </c>
      <c r="AL203" s="579" t="str">
        <v>Build &amp; Hold</v>
      </c>
      <c r="AM203" s="579" t="str">
        <v>Discount rate</v>
      </c>
      <c r="AN203" s="579" t="str">
        <v>%</v>
      </c>
      <c r="AO203" s="579" t="str">
        <v>Selected scenario</v>
      </c>
      <c r="AP203" s="602" t="n">
        <v>0.08</v>
      </c>
      <c r="AQ203" s="595"/>
      <c r="AR203" s="595"/>
      <c r="AS203" s="579" t="str">
        <v>Central valuation assumptions</v>
      </c>
      <c r="AT203" s="655" t="n">
        <v>46229</v>
      </c>
      <c r="AU203" s="579" t="str">
        <v>Formula Preserved</v>
      </c>
      <c r="AV203" s="579" t="str">
        <v>Model owner</v>
      </c>
      <c r="AW203" s="579" t="str">
        <v>Linked to the selected valuation discount rate.</v>
      </c>
      <c r="AX203" t="str">
        <v>Formula-linked source input</v>
      </c>
      <c r="AY203" s="2440" t="n">
        <f>$H$297</f>
        <v>0.08</v>
      </c>
      <c r="AZ203" t="str">
        <v>Yes</v>
      </c>
      <c r="BA203" t="str">
        <v>PROJECTS register</v>
      </c>
      <c r="BB203" t="str">
        <v>G203</v>
      </c>
      <c r="BC203" t="str">
        <v>Central valuation assumptions</v>
      </c>
      <c r="BD203" t="str">
        <v>No</v>
      </c>
      <c r="BE203" t="str">
        <v>Obtain independent valuation evidence and approve the selected market assumptions.</v>
      </c>
      <c r="BF203" s="2442" t="n">
        <v>46231</v>
      </c>
      <c r="BG203" t="str">
        <f>IF($AZ203="No","PASS",IF(OR($AX203="Owner decision outstanding",$BD203="OWNER DECISION"),"WARNING",IF(OR($AP203="",$AN203="",$AS203="",$AV203=""),"FAIL","PASS")))</f>
        <v>PASS</v>
      </c>
    </row>
    <row r="204" ht="24" customHeight="1">
      <c r="A204" s="2504" t="str">
        <f>$AJ$103</f>
        <v>DEBT-023</v>
      </c>
      <c r="B204" s="2504" t="str">
        <f>$AL$103</f>
        <v>Covenants</v>
      </c>
      <c r="C204" s="2504" t="str">
        <f>$AM$103</f>
        <v>Minimum DSCR</v>
      </c>
      <c r="D204" s="2544" t="str">
        <f>$AN$103&amp;IF($AO$103="",""," | "&amp;IF($AN$103="Date",TEXT($AO$103,"dd mmm yyyy"),$AO$103))</f>
        <v>x | Post-conversion</v>
      </c>
      <c r="E204" s="2557" t="n">
        <f>$AP$103</f>
        <v>1.25</v>
      </c>
      <c r="F204" s="2557"/>
      <c r="G204" s="2557"/>
      <c r="H204" s="2557" t="n">
        <f>IF($A204="","",$E204)</f>
        <v>1.25</v>
      </c>
      <c r="I204" s="2543" t="str">
        <f>$AU$103&amp;IF($AS$103="",""," | "&amp;$AS$103)</f>
        <v>Mapped | Target model existing illustrative assumption; MODEL DESIGN | D175</v>
      </c>
      <c r="J204" s="2504" t="str">
        <f>$AV$103&amp;" | "&amp;$AX$103</f>
        <v>Model owner | Derived calculation</v>
      </c>
      <c r="K204" s="2504" t="str">
        <f>$AW$103</f>
        <v>Illustrative 1.25x live covenant retained; the data-book KPI target of greater than 1.50x is disclosed as a source cross-check. | Mapped to the live DEBT schedule as the management case. Executed lender terms remain an OWNER DECISION.</v>
      </c>
      <c r="AJ204" s="578" t="str">
        <v>HOLD-CAPEX-RESERVE</v>
      </c>
      <c r="AK204" s="579" t="str">
        <v>Operating assumptions</v>
      </c>
      <c r="AL204" s="579" t="str">
        <v>Build &amp; Hold</v>
      </c>
      <c r="AM204" s="579" t="str">
        <v>Lifecycle capex reserve</v>
      </c>
      <c r="AN204" s="579" t="str">
        <v>% of NOI</v>
      </c>
      <c r="AO204" s="579" t="str">
        <v>Selected scenario</v>
      </c>
      <c r="AP204" s="602" t="n">
        <v>0.014901261680173824</v>
      </c>
      <c r="AQ204" s="587"/>
      <c r="AR204" s="587"/>
      <c r="AS204" s="579" t="str">
        <v>Live stabilised model</v>
      </c>
      <c r="AT204" s="655" t="n">
        <v>46229</v>
      </c>
      <c r="AU204" s="579" t="str">
        <v>Formula Preserved</v>
      </c>
      <c r="AV204" s="579" t="str">
        <v>Model owner</v>
      </c>
      <c r="AW204" s="579" t="str">
        <v>Derived from the live annual lifecycle capex divided by stabilised NOI.</v>
      </c>
      <c r="AX204" t="str">
        <v>Formula-linked source input</v>
      </c>
      <c r="AY204" s="2440" t="n">
        <f>$H$151</f>
        <v>0.014901261680173824</v>
      </c>
      <c r="AZ204" t="str">
        <v>Yes</v>
      </c>
      <c r="BA204" t="str">
        <v>PROJECTS register</v>
      </c>
      <c r="BB204" t="str">
        <v>G204</v>
      </c>
      <c r="BC204" t="str">
        <v>Live stabilised model</v>
      </c>
      <c r="BD204" t="str">
        <v>No</v>
      </c>
      <c r="BE204" t="str">
        <v>None — technical mapping complete.</v>
      </c>
      <c r="BF204" s="2442" t="n">
        <v>46231</v>
      </c>
      <c r="BG204" t="str">
        <f>IF($AZ204="No","PASS",IF(OR($AX204="Owner decision outstanding",$BD204="OWNER DECISION"),"WARNING",IF(OR($AP204="",$AN204="",$AS204="",$AV204=""),"FAIL","PASS")))</f>
        <v>PASS</v>
      </c>
    </row>
    <row r="205" ht="24" customHeight="1">
      <c r="A205" s="2504" t="str">
        <f>$AJ$104</f>
        <v>DEBT-024</v>
      </c>
      <c r="B205" s="2504" t="str">
        <f>$AL$104</f>
        <v>Covenants</v>
      </c>
      <c r="C205" s="2504" t="str">
        <f>$AM$104</f>
        <v>Minimum interest-cover ratio</v>
      </c>
      <c r="D205" s="2544" t="str">
        <f>$AN$104&amp;IF($AO$104="",""," | "&amp;IF($AN$104="Date",TEXT($AO$104,"dd mmm yyyy"),$AO$104))</f>
        <v>x | Post-conversion</v>
      </c>
      <c r="E205" s="2641" t="n">
        <v>1.5</v>
      </c>
      <c r="F205" s="2557"/>
      <c r="G205" s="2557"/>
      <c r="H205" s="2557" t="n">
        <f>IF($A205="","",$E205)</f>
        <v>1.5</v>
      </c>
      <c r="I205" s="2543" t="str">
        <f>$AU$104&amp;IF($AS$104="",""," | "&amp;$AS$104)</f>
        <v>Mapped | Target: DEBT | B49</v>
      </c>
      <c r="J205" s="2504" t="str">
        <f>$AV$104&amp;" | "&amp;$AX$104</f>
        <v>Model owner | Hard-coded model input</v>
      </c>
      <c r="K205" s="2504" t="str">
        <f>$AW$104</f>
        <v>760 | Mapped to the live DEBT schedule as the management case. Executed lender terms remain an OWNER DECISION.</v>
      </c>
      <c r="AJ205" s="578" t="str">
        <v>ASSUMPTION-STATUS</v>
      </c>
      <c r="AK205" s="579" t="str">
        <v>Checks</v>
      </c>
      <c r="AL205" s="579" t="str">
        <v>Project</v>
      </c>
      <c r="AM205" s="579" t="str">
        <v>Unconfirmed commercial assumption status</v>
      </c>
      <c r="AN205" s="579" t="str">
        <v>Status</v>
      </c>
      <c r="AO205" s="579" t="str">
        <v>Current</v>
      </c>
      <c r="AP205" s="592" t="str">
        <v>Management confirmation required</v>
      </c>
      <c r="AQ205" s="587"/>
      <c r="AR205" s="587"/>
      <c r="AS205" s="579" t="str">
        <v>Audit issue register</v>
      </c>
      <c r="AT205" s="655" t="n">
        <v>46229</v>
      </c>
      <c r="AU205" s="579" t="str">
        <v>Waived — OWNER DECISION</v>
      </c>
      <c r="AV205" s="579" t="str">
        <v>Management</v>
      </c>
      <c r="AW205" s="579" t="str">
        <v>Lender terms, cap table legal rights, independent valuation evidence and tax treatment remain provisional and are not presented as agreed facts. | The technical treatment is complete; external legal, lender, valuation or specialist evidence is still required.</v>
      </c>
      <c r="AX205" t="str">
        <v>System control</v>
      </c>
      <c r="AY205" s="2440" t="str">
        <f>$H$311</f>
        <v>Management confirmation required</v>
      </c>
      <c r="AZ205" t="str">
        <v>Yes</v>
      </c>
      <c r="BA205" t="str">
        <v>PROJECTS register</v>
      </c>
      <c r="BB205" t="str">
        <v>G205</v>
      </c>
      <c r="BC205" t="str">
        <v>Audit issue register</v>
      </c>
      <c r="BD205" t="str">
        <v>No</v>
      </c>
      <c r="BE205" t="str">
        <v>Replace provisional financing assumptions with an executed lender term sheet.</v>
      </c>
      <c r="BF205" s="2442" t="n">
        <v>46231</v>
      </c>
      <c r="BG205" t="str">
        <f>IF($AZ205="No","PASS",IF(OR($AX205="Owner decision outstanding",$BD205="OWNER DECISION"),"WARNING",IF(OR($AP205="",$AN205="",$AS205="",$AV205=""),"FAIL","PASS")))</f>
        <v>PASS</v>
      </c>
    </row>
    <row r="206" ht="24" customHeight="1">
      <c r="A206" s="2504" t="str">
        <f>$AJ$105</f>
        <v>DEBT-025</v>
      </c>
      <c r="B206" s="2504" t="str">
        <f>$AL$105</f>
        <v>Covenants</v>
      </c>
      <c r="C206" s="2504" t="str">
        <f>$AM$105</f>
        <v>Minimum debt yield</v>
      </c>
      <c r="D206" s="2544" t="str">
        <f>$AN$105&amp;IF($AO$105="",""," | "&amp;IF($AN$105="Date",TEXT($AO$105,"dd mmm yyyy"),$AO$105))</f>
        <v>% | Post-conversion</v>
      </c>
      <c r="E206" s="2635" t="n">
        <v>0.08</v>
      </c>
      <c r="F206" s="2550"/>
      <c r="G206" s="2550"/>
      <c r="H206" s="2550" t="n">
        <f>IF($A206="","",$E206)</f>
        <v>0.08</v>
      </c>
      <c r="I206" s="2543" t="str">
        <f>$AU$105&amp;IF($AS$105="",""," | "&amp;$AS$105)</f>
        <v>Mapped | Target: DEBT | B50</v>
      </c>
      <c r="J206" s="2504" t="str">
        <f>$AV$105&amp;" | "&amp;$AX$105</f>
        <v>Model owner | Hard-coded model input</v>
      </c>
      <c r="K206" s="2504" t="str">
        <f>$AW$105</f>
        <v>760 | Mapped to the live DEBT schedule as the management case. Executed lender terms remain an OWNER DECISION.</v>
      </c>
      <c r="AJ206" t="str">
        <v>CAPEX-CAPINT-SRC</v>
      </c>
      <c r="AK206" t="str">
        <v>Debt and funding</v>
      </c>
      <c r="AL206" t="str">
        <v>Construction facility</v>
      </c>
      <c r="AM206" t="str">
        <v>Capitalised interest</v>
      </c>
      <c r="AN206" t="str">
        <v>A$m</v>
      </c>
      <c r="AO206" t="str">
        <v>Development period</v>
      </c>
      <c r="AP206" s="653" t="n">
        <f>IF($E$220="","",$E$220)</f>
        <v>11.27</v>
      </c>
      <c r="AQ206" s="653" t="str">
        <f>IF($F$220="","",$F$220)</f>
      </c>
      <c r="AR206" s="653" t="str">
        <f>IF($G$220="","",$G$220)</f>
      </c>
      <c r="AS206" t="str">
        <v>PROJECT CASH FLOW | H48</v>
      </c>
      <c r="AT206" s="9" t="n">
        <v>46228</v>
      </c>
      <c r="AU206" t="str">
        <v>Mapped — provisional</v>
      </c>
      <c r="AV206" t="str">
        <v>Management</v>
      </c>
      <c r="AW206" t="str">
        <v>Source amount allocated monthly pro rata across the construction period; lender calculation requires confirmation. | The field is live and formula-linked; its commercial or specialist basis remains provisional where stated.</v>
      </c>
      <c r="AX206" t="str">
        <v>Hard-coded model input</v>
      </c>
      <c r="AY206" s="2440" t="n">
        <f>$H$220</f>
        <v>11.27</v>
      </c>
      <c r="AZ206" t="str">
        <v>Yes</v>
      </c>
      <c r="BA206"/>
      <c r="BB206"/>
      <c r="BC206" t="str">
        <v>Project data book</v>
      </c>
      <c r="BD206" t="str">
        <v>No</v>
      </c>
      <c r="BE206" t="str">
        <v>None — technical mapping complete.</v>
      </c>
      <c r="BF206" s="2442" t="n">
        <v>46231</v>
      </c>
      <c r="BG206" t="str">
        <f>IF($AZ206="No","PASS",IF(OR($AX206="Owner decision outstanding",$BD206="OWNER DECISION"),"WARNING",IF(OR($AP206="",$AN206="",$AS206="",$AV206=""),"FAIL","PASS")))</f>
        <v>PASS</v>
      </c>
    </row>
    <row r="207" ht="24" customHeight="1">
      <c r="A207" s="2504" t="str">
        <f>$AJ$106</f>
        <v>DEBT-026</v>
      </c>
      <c r="B207" s="2504" t="str">
        <f>$AL$106</f>
        <v>Term debt</v>
      </c>
      <c r="C207" s="2504" t="str">
        <f>$AM$106</f>
        <v>Debt-service reserve</v>
      </c>
      <c r="D207" s="2544" t="str">
        <f>$AN$106&amp;IF($AO$106="",""," | "&amp;IF($AN$106="Date",TEXT($AO$106,"dd mmm yyyy"),$AO$106))</f>
        <v>Months | Post-conversion</v>
      </c>
      <c r="E207" s="2623" t="n">
        <v>0</v>
      </c>
      <c r="F207" s="2505"/>
      <c r="G207" s="2505"/>
      <c r="H207" s="2505" t="n">
        <f>IF($A207="","",$E207)</f>
        <v>0</v>
      </c>
      <c r="I207" s="2543" t="str">
        <f>$AU$106&amp;IF($AS$106="",""," | "&amp;$AS$106)</f>
        <v>Mapped | Target: DEBT | B51</v>
      </c>
      <c r="J207" s="2504" t="str">
        <f>$AV$106&amp;" | "&amp;$AX$106</f>
        <v>Model owner | Hard-coded model input</v>
      </c>
      <c r="K207" s="2504" t="str">
        <f>$AW$106</f>
        <v>760 | Mapped to the live DEBT schedule as the management case. Executed lender terms remain an OWNER DECISION.</v>
      </c>
      <c r="AJ207" t="str">
        <v>CAPEX-FUND-AFTER-ADJ</v>
      </c>
      <c r="AK207" t="str">
        <v>Debt and funding</v>
      </c>
      <c r="AL207" t="str">
        <v>Project</v>
      </c>
      <c r="AM207" t="str">
        <v>Funding requirement after development adjustments</v>
      </c>
      <c r="AN207" t="str">
        <v>A$m</v>
      </c>
      <c r="AO207" t="str">
        <v>Development period</v>
      </c>
      <c r="AP207" s="653" t="n">
        <v>439.18030927207815</v>
      </c>
      <c r="AQ207" s="653"/>
      <c r="AR207" s="653"/>
      <c r="AS207" t="str">
        <v>PROJECT CASH FLOW | H49</v>
      </c>
      <c r="AT207" s="9" t="n">
        <v>46228</v>
      </c>
      <c r="AU207" t="str">
        <v>Mapped</v>
      </c>
      <c r="AV207" t="str">
        <v>Model owner</v>
      </c>
      <c r="AW207" t="str">
        <v>Gross development investment, grant, development adjustments and capitalised interest.</v>
      </c>
      <c r="AX207" t="str">
        <v>Derived calculation</v>
      </c>
      <c r="AY207" s="2440" t="n">
        <f>$H$221</f>
        <v>439.18030927207815</v>
      </c>
      <c r="AZ207" t="str">
        <v>Yes</v>
      </c>
      <c r="BA207"/>
      <c r="BB207"/>
      <c r="BC207" t="str">
        <v>Project data book</v>
      </c>
      <c r="BD207" t="str">
        <v>No</v>
      </c>
      <c r="BE207" t="str">
        <v>None — technical mapping complete.</v>
      </c>
      <c r="BF207" s="2442" t="n">
        <v>46231</v>
      </c>
      <c r="BG207" t="str">
        <f>IF($AZ207="No","PASS",IF(OR($AX207="Owner decision outstanding",$BD207="OWNER DECISION"),"WARNING",IF(OR($AP207="",$AN207="",$AS207="",$AV207=""),"FAIL","PASS")))</f>
        <v>PASS</v>
      </c>
    </row>
    <row r="208" ht="24" customHeight="1">
      <c r="A208" s="2504" t="str">
        <f>$AJ$107</f>
        <v>DEBT-SRC-001</v>
      </c>
      <c r="B208" s="2504" t="str">
        <f>$AL$107</f>
        <v>Project</v>
      </c>
      <c r="C208" s="2504" t="str">
        <f>$AM$107</f>
        <v>Source senior debt</v>
      </c>
      <c r="D208" s="2544" t="str">
        <f>$AN$107&amp;IF($AO$107="",""," | "&amp;IF($AN$107="Date",TEXT($AO$107,"dd mmm yyyy"),$AO$107))</f>
        <v>A$m | Development funding</v>
      </c>
      <c r="E208" s="2506" t="n">
        <f>$AP$107</f>
        <v>209.37927564230003</v>
      </c>
      <c r="F208" s="2506" t="n">
        <f>$AQ$107</f>
        <v>207.2854828858771</v>
      </c>
      <c r="G208" s="2506" t="n">
        <f>$AR$107</f>
        <v>218.80134304620356</v>
      </c>
      <c r="H208" s="2506" t="n">
        <f>IF($A208="","",CHOOSE(MATCH('VALUATION &amp; RETURNS'!$CR$7,{"Downside","Base","Upside"},0),$F208,$E208,$G208))</f>
        <v>209.37927564230003</v>
      </c>
      <c r="I208" s="2543" t="str">
        <f>$AU$107&amp;IF($AS$107="",""," | "&amp;$AS$107)</f>
        <v>Formula Preserved | MODEL DESIGN; PROJECT CASH FLOW | C39; E79</v>
      </c>
      <c r="J208" s="2504" t="str">
        <f>$AV$107&amp;" | "&amp;$AX$107</f>
        <v>Model owner | Derived calculation</v>
      </c>
      <c r="K208" s="2504" t="str">
        <f>$AW$107</f>
        <v>Controlling source: PROJECT CASH FLOW!E98.</v>
      </c>
      <c r="AJ208" t="str">
        <v>CAPEX-FUND-FINAL</v>
      </c>
      <c r="AK208" t="str">
        <v>Debt and funding</v>
      </c>
      <c r="AL208" t="str">
        <v>Project</v>
      </c>
      <c r="AM208" t="str">
        <v>Total project funding required</v>
      </c>
      <c r="AN208" t="str">
        <v>A$m</v>
      </c>
      <c r="AO208" t="str">
        <v>Whole project</v>
      </c>
      <c r="AP208" s="653" t="n">
        <v>418.75855128460006</v>
      </c>
      <c r="AQ208" s="653"/>
      <c r="AR208" s="653"/>
      <c r="AS208" t="str">
        <v>PROJECT CASH FLOW | E96</v>
      </c>
      <c r="AT208" s="9" t="n">
        <v>46228</v>
      </c>
      <c r="AU208" t="str">
        <v>Mapped</v>
      </c>
      <c r="AV208" t="str">
        <v>Model owner</v>
      </c>
      <c r="AW208" t="str">
        <v>After staged operating sources.</v>
      </c>
      <c r="AX208" t="str">
        <v>Derived calculation</v>
      </c>
      <c r="AY208" s="2440" t="n">
        <f>$H$222</f>
        <v>418.75855128460006</v>
      </c>
      <c r="AZ208" t="str">
        <v>Yes</v>
      </c>
      <c r="BA208"/>
      <c r="BB208"/>
      <c r="BC208" t="str">
        <v>Project data book</v>
      </c>
      <c r="BD208" t="str">
        <v>No</v>
      </c>
      <c r="BE208" t="str">
        <v>None — technical mapping complete.</v>
      </c>
      <c r="BF208" s="2442" t="n">
        <v>46231</v>
      </c>
      <c r="BG208" t="str">
        <f>IF($AZ208="No","PASS",IF(OR($AX208="Owner decision outstanding",$BD208="OWNER DECISION"),"WARNING",IF(OR($AP208="",$AN208="",$AS208="",$AV208=""),"FAIL","PASS")))</f>
        <v>PASS</v>
      </c>
    </row>
    <row r="209" ht="24" customHeight="1">
      <c r="A209" s="2504" t="str">
        <f>$AJ$108</f>
        <v>EQ-SRC-001</v>
      </c>
      <c r="B209" s="2504" t="str">
        <f>$AL$108</f>
        <v>Project</v>
      </c>
      <c r="C209" s="2504" t="str">
        <f>$AM$108</f>
        <v>Source equity funding</v>
      </c>
      <c r="D209" s="2544" t="str">
        <f>$AN$108&amp;IF($AO$108="",""," | "&amp;IF($AN$108="Date",TEXT($AO$108,"dd mmm yyyy"),$AO$108))</f>
        <v>A$m | Development funding</v>
      </c>
      <c r="E209" s="2506" t="n">
        <f>$AP$108</f>
        <v>209.37927564230003</v>
      </c>
      <c r="F209" s="2506" t="n">
        <f>$AQ$108</f>
        <v>253.34892352718308</v>
      </c>
      <c r="G209" s="2506" t="n">
        <f>$AR$108</f>
        <v>179.0192806741665</v>
      </c>
      <c r="H209" s="2506" t="n">
        <f>IF($A209="","",CHOOSE(MATCH('VALUATION &amp; RETURNS'!$CR$7,{"Downside","Base","Upside"},0),$F209,$E209,$G209))</f>
        <v>209.37927564230003</v>
      </c>
      <c r="I209" s="2543" t="str">
        <f>$AU$108&amp;IF($AS$108="",""," | "&amp;$AS$108)</f>
        <v>Formula Preserved | MODEL DESIGN; PROJECT CASH FLOW | C40; E78</v>
      </c>
      <c r="J209" s="2504" t="str">
        <f>$AV$108&amp;" | "&amp;$AX$108</f>
        <v>Model owner | Derived calculation</v>
      </c>
      <c r="K209" s="2504" t="str">
        <f>$AW$108</f>
        <v>Controlling source: PROJECT CASH FLOW!E100.</v>
      </c>
      <c r="AJ209" t="str">
        <v>FUND-MD-COMMIT</v>
      </c>
      <c r="AK209" t="str">
        <v>Investors and ownership</v>
      </c>
      <c r="AL209" t="str">
        <v>MASTER DEVELOPER</v>
      </c>
      <c r="AM209" t="str">
        <v>Equity commitment</v>
      </c>
      <c r="AN209" t="str">
        <v>A$m</v>
      </c>
      <c r="AO209" t="str">
        <v>Whole project</v>
      </c>
      <c r="AP209" s="921" t="n">
        <f>IF($E$277="","",$E$277)</f>
        <v>150</v>
      </c>
      <c r="AQ209" s="653" t="str">
        <f>IF($F$277="","",$F$277)</f>
      </c>
      <c r="AR209" s="653" t="str">
        <f>IF($G$277="","",$G$277)</f>
      </c>
      <c r="AS209" t="str">
        <v>CEO direction | 26 Jul 2026</v>
      </c>
      <c r="AT209" s="9" t="n">
        <v>46229</v>
      </c>
      <c r="AU209" t="str">
        <v>Mapped — provisional</v>
      </c>
      <c r="AV209" t="str">
        <v>Management</v>
      </c>
      <c r="AW209" t="str">
        <v>Commitment is linked; funded draw is limited to the amount required by the source 50:50 structure. | The field is live and formula-linked; its commercial or specialist basis remains provisional where stated.</v>
      </c>
      <c r="AX209" t="str">
        <v>Hard-coded model input</v>
      </c>
      <c r="AY209" s="2440" t="n">
        <f>$H$277</f>
        <v>150</v>
      </c>
      <c r="AZ209" t="str">
        <v>Yes</v>
      </c>
      <c r="BA209"/>
      <c r="BB209"/>
      <c r="BC209" t="str">
        <v>Project data book</v>
      </c>
      <c r="BD209" t="str">
        <v>No</v>
      </c>
      <c r="BE209" t="str">
        <v>None — technical mapping complete.</v>
      </c>
      <c r="BF209" s="2442" t="n">
        <v>46231</v>
      </c>
      <c r="BG209" t="str">
        <f>IF($AZ209="No","PASS",IF(OR($AX209="Owner decision outstanding",$BD209="OWNER DECISION"),"WARNING",IF(OR($AP209="",$AN209="",$AS209="",$AV209=""),"FAIL","PASS")))</f>
        <v>PASS</v>
      </c>
    </row>
    <row r="210" ht="24" customHeight="1">
      <c r="A210" s="2504" t="str">
        <f>$AJ$162</f>
        <v>FUND-SCOPE-001</v>
      </c>
      <c r="B210" s="2504" t="str">
        <f>$AL$162</f>
        <v>Project</v>
      </c>
      <c r="C210" s="2504" t="str">
        <f>$AM$162</f>
        <v>Total project funding requirement</v>
      </c>
      <c r="D210" s="2544" t="str">
        <f>$AN$162&amp;IF($AO$162="",""," | "&amp;IF($AN$162="Date",TEXT($AO$162,"dd mmm yyyy"),$AO$162))</f>
        <v>A$m | Whole project</v>
      </c>
      <c r="E210" s="2506" t="n">
        <f>$AP$162</f>
        <v>418.75855128460006</v>
      </c>
      <c r="F210" s="2506" t="n">
        <f>$AQ$162</f>
        <v>460.63440641306016</v>
      </c>
      <c r="G210" s="2506" t="n">
        <f>$AR$162</f>
        <v>397.82062372037007</v>
      </c>
      <c r="H210" s="2506" t="n">
        <f>IF($A210="","",CHOOSE(MATCH('VALUATION &amp; RETURNS'!$CR$7,{"Downside","Base","Upside"},0),$F210,$E210,$G210))</f>
        <v>418.75855128460006</v>
      </c>
      <c r="I210" s="2543" t="str">
        <f>$AU$162&amp;IF($AS$162="",""," | "&amp;$AS$162)</f>
        <v>Mapped | PROJECT CASH FLOW | E96</v>
      </c>
      <c r="J210" s="2504" t="str">
        <f>$AV$162&amp;" | "&amp;$AX$162</f>
        <v>Model owner | Derived calculation</v>
      </c>
      <c r="K210" s="2504" t="str">
        <f>$AW$162</f>
        <v>Controlling data-book funding requirement after staged operating sources.</v>
      </c>
      <c r="AJ210" t="str">
        <v>FUND-MD-DRAW</v>
      </c>
      <c r="AK210" t="str">
        <v>Investors and ownership</v>
      </c>
      <c r="AL210" t="str">
        <v>MASTER DEVELOPER</v>
      </c>
      <c r="AM210" t="str">
        <v>Funded equity draw</v>
      </c>
      <c r="AN210" t="str">
        <v>A$m</v>
      </c>
      <c r="AO210" t="str">
        <v>Whole project</v>
      </c>
      <c r="AP210" s="653" t="n">
        <v>35.37122252470233</v>
      </c>
      <c r="AQ210" s="653"/>
      <c r="AR210" s="653"/>
      <c r="AS210" t="str">
        <v>FUNDING &amp; CAP TABLE</v>
      </c>
      <c r="AT210" s="9" t="n">
        <v>46229</v>
      </c>
      <c r="AU210" t="str">
        <v>Formula Preserved</v>
      </c>
      <c r="AV210" t="str">
        <v>Model owner</v>
      </c>
      <c r="AW210" t="str">
        <v>Residual funded amount after other investors.</v>
      </c>
      <c r="AX210" t="str">
        <v>Formula-linked source input</v>
      </c>
      <c r="AY210" s="2440" t="n">
        <f>$H$278</f>
        <v>35.37122252470233</v>
      </c>
      <c r="AZ210" t="str">
        <v>Yes</v>
      </c>
      <c r="BA210"/>
      <c r="BB210"/>
      <c r="BC210" t="str">
        <v>Project data book</v>
      </c>
      <c r="BD210" t="str">
        <v>No</v>
      </c>
      <c r="BE210" t="str">
        <v>None — technical mapping complete.</v>
      </c>
      <c r="BF210" s="2442" t="n">
        <v>46231</v>
      </c>
      <c r="BG210" t="str">
        <f>IF($AZ210="No","PASS",IF(OR($AX210="Owner decision outstanding",$BD210="OWNER DECISION"),"WARNING",IF(OR($AP210="",$AN210="",$AS210="",$AV210=""),"FAIL","PASS")))</f>
        <v>PASS</v>
      </c>
    </row>
    <row r="211" ht="24" customHeight="1">
      <c r="A211" s="2504" t="str">
        <f>$AJ$165</f>
        <v>FUND-DEBT-SHARE</v>
      </c>
      <c r="B211" s="2504" t="str">
        <f>$AL$165</f>
        <v>Project</v>
      </c>
      <c r="C211" s="2504" t="str">
        <f>$AM$165</f>
        <v>Debt funding share</v>
      </c>
      <c r="D211" s="2504" t="str">
        <f>$AN$165&amp;IF($AO$165="",""," | "&amp;IF($AN$165="Date",TEXT($AO$165,"dd mmm yyyy"),$AO$165))</f>
        <v>% | Whole project</v>
      </c>
      <c r="E211" s="2550" t="n">
        <f>$AP$165</f>
        <v>0.5</v>
      </c>
      <c r="F211" s="2550" t="n">
        <f>$AQ$165</f>
        <v>0.45</v>
      </c>
      <c r="G211" s="2550" t="n">
        <f>$AR$165</f>
        <v>0.55</v>
      </c>
      <c r="H211" s="2550" t="n">
        <f>IF($A211="","",CHOOSE(MATCH('VALUATION &amp; RETURNS'!$CR$7,{"Downside","Base","Upside"},0),$F211,$E211,$G211))</f>
        <v>0.5</v>
      </c>
      <c r="I211" s="2543" t="str">
        <f>$AU$165&amp;IF($AS$165="",""," | "&amp;$AS$165)</f>
        <v>Mapped — provisional | PROJECT CASH FLOW | E98/E96</v>
      </c>
      <c r="J211" s="2504" t="str">
        <f>$AV$165&amp;" | "&amp;$AX$165</f>
        <v>Management | Derived calculation</v>
      </c>
      <c r="K211" s="2504" t="str">
        <f>$AW$165</f>
        <v>Approximately 50:50 at this stage; lender terms remain subject to confirmation. | The field is live and formula-linked; its commercial or specialist basis remains provisional where stated.</v>
      </c>
      <c r="AJ211" t="str">
        <v>FUND-MD-UNDRAWN</v>
      </c>
      <c r="AK211" t="str">
        <v>Investors and ownership</v>
      </c>
      <c r="AL211" t="str">
        <v>MASTER DEVELOPER</v>
      </c>
      <c r="AM211" t="str">
        <v>Undrawn commitment</v>
      </c>
      <c r="AN211" t="str">
        <v>A$m</v>
      </c>
      <c r="AO211" t="str">
        <v>Whole project</v>
      </c>
      <c r="AP211" s="653" t="n">
        <v>114.62877747529767</v>
      </c>
      <c r="AQ211" s="653"/>
      <c r="AR211" s="653"/>
      <c r="AS211" t="str">
        <v>FUNDING &amp; CAP TABLE</v>
      </c>
      <c r="AT211" s="9" t="n">
        <v>46229</v>
      </c>
      <c r="AU211" t="str">
        <v>Formula Preserved</v>
      </c>
      <c r="AV211" t="str">
        <v>Model owner</v>
      </c>
      <c r="AW211" t="str">
        <v>Commitment less funded draw.</v>
      </c>
      <c r="AX211" t="str">
        <v>Formula-linked source input</v>
      </c>
      <c r="AY211" s="2440" t="n">
        <f>$H$279</f>
        <v>114.62877747529767</v>
      </c>
      <c r="AZ211" t="str">
        <v>Yes</v>
      </c>
      <c r="BA211"/>
      <c r="BB211"/>
      <c r="BC211" t="str">
        <v>Project data book</v>
      </c>
      <c r="BD211" t="str">
        <v>No</v>
      </c>
      <c r="BE211" t="str">
        <v>None — technical mapping complete.</v>
      </c>
      <c r="BF211" s="2442" t="n">
        <v>46231</v>
      </c>
      <c r="BG211" t="str">
        <f>IF($AZ211="No","PASS",IF(OR($AX211="Owner decision outstanding",$BD211="OWNER DECISION"),"WARNING",IF(OR($AP211="",$AN211="",$AS211="",$AV211=""),"FAIL","PASS")))</f>
        <v>PASS</v>
      </c>
    </row>
    <row r="212" ht="24" customHeight="1">
      <c r="A212" s="2504" t="str">
        <f>$AJ$166</f>
        <v>FUND-EQUITY-SHARE</v>
      </c>
      <c r="B212" s="2504" t="str">
        <f>$AL$166</f>
        <v>Project</v>
      </c>
      <c r="C212" s="2504" t="str">
        <f>$AM$166</f>
        <v>Equity funding share</v>
      </c>
      <c r="D212" s="2504" t="str">
        <f>$AN$166&amp;IF($AO$166="",""," | "&amp;IF($AN$166="Date",TEXT($AO$166,"dd mmm yyyy"),$AO$166))</f>
        <v>% | Whole project</v>
      </c>
      <c r="E212" s="2550" t="n">
        <f>$AP$166</f>
        <v>0.5</v>
      </c>
      <c r="F212" s="2550" t="n">
        <f>$AQ$166</f>
        <v>0.55</v>
      </c>
      <c r="G212" s="2550" t="n">
        <f>$AR$166</f>
        <v>0.44999999999999996</v>
      </c>
      <c r="H212" s="2550" t="n">
        <f>IF($A212="","",CHOOSE(MATCH('VALUATION &amp; RETURNS'!$CR$7,{"Downside","Base","Upside"},0),$F212,$E212,$G212))</f>
        <v>0.5</v>
      </c>
      <c r="I212" s="2543" t="str">
        <f>$AU$166&amp;IF($AS$166="",""," | "&amp;$AS$166)</f>
        <v>Formula Preserved | Calculated</v>
      </c>
      <c r="J212" s="2504" t="str">
        <f>$AV$166&amp;" | "&amp;$AX$166</f>
        <v>Model owner | Derived calculation</v>
      </c>
      <c r="K212" s="2504" t="str">
        <f>$AW$166</f>
        <v>One less debt funding share.</v>
      </c>
      <c r="AJ212" t="str">
        <v>SCOPE-ROOF-CENTRAL</v>
      </c>
      <c r="AK212" t="str">
        <v>Development capex</v>
      </c>
      <c r="AL212" t="str">
        <v>Precinct roof / solar</v>
      </c>
      <c r="AM212" t="str">
        <v>Central roof and renewable-energy CAPEX</v>
      </c>
      <c r="AN212" t="str">
        <v>A$m</v>
      </c>
      <c r="AO212" t="str">
        <v>Construction</v>
      </c>
      <c r="AP212" s="653" t="n">
        <f>IF($E$125="","",$E$125)</f>
        <v>12</v>
      </c>
      <c r="AQ212" s="653" t="str">
        <f>IF($F$125="","",$F$125)</f>
      </c>
      <c r="AR212" s="653" t="str">
        <f>IF($G$125="","",$G$125)</f>
      </c>
      <c r="AS212" t="str">
        <v>PROJECT CASH FLOW | J23</v>
      </c>
      <c r="AT212" s="9" t="n">
        <v>46228</v>
      </c>
      <c r="AU212" t="str">
        <v>Mapped</v>
      </c>
      <c r="AV212" t="str">
        <v>Model owner</v>
      </c>
      <c r="AW212" t="str">
        <v>Counted once as precinct infrastructure.</v>
      </c>
      <c r="AX212" t="str">
        <v>Hard-coded model input</v>
      </c>
      <c r="AY212" s="2440" t="n">
        <f>$H$125</f>
        <v>12</v>
      </c>
      <c r="AZ212" t="str">
        <v>Yes</v>
      </c>
      <c r="BA212"/>
      <c r="BB212"/>
      <c r="BC212" t="str">
        <v>Project data book</v>
      </c>
      <c r="BD212" t="str">
        <v>No</v>
      </c>
      <c r="BE212" t="str">
        <v>None — technical mapping complete.</v>
      </c>
      <c r="BF212" s="2442" t="n">
        <v>46231</v>
      </c>
      <c r="BG212" t="str">
        <f>IF($AZ212="No","PASS",IF(OR($AX212="Owner decision outstanding",$BD212="OWNER DECISION"),"WARNING",IF(OR($AP212="",$AN212="",$AS212="",$AV212=""),"FAIL","PASS")))</f>
        <v>PASS</v>
      </c>
    </row>
    <row r="213" ht="24" customHeight="1">
      <c r="A213" s="2508" t="str">
        <f>$AJ$167</f>
        <v>FUND-DEBT-TARGET</v>
      </c>
      <c r="B213" s="2508" t="str">
        <f>$AL$167</f>
        <v>Project</v>
      </c>
      <c r="C213" s="2508" t="str">
        <f>$AM$167</f>
        <v>Target debt funding</v>
      </c>
      <c r="D213" s="2508" t="str">
        <f>$AN$167&amp;IF($AO$167="",""," | "&amp;IF($AN$167="Date",TEXT($AO$167,"dd mmm yyyy"),$AO$167))</f>
        <v>A$m | Whole project</v>
      </c>
      <c r="E213" s="2510" t="n">
        <f>$AP$167</f>
        <v>209.37927564230003</v>
      </c>
      <c r="F213" s="2510" t="n">
        <f>$AQ$167</f>
        <v>207.2854828858771</v>
      </c>
      <c r="G213" s="2510" t="n">
        <f>$AR$167</f>
        <v>218.80134304620356</v>
      </c>
      <c r="H213" s="2510" t="n">
        <f>IF($A213="","",CHOOSE(MATCH('VALUATION &amp; RETURNS'!$CR$7,{"Downside","Base","Upside"},0),$F213,$E213,$G213))</f>
        <v>209.37927564230003</v>
      </c>
      <c r="I213" s="2543" t="str">
        <f>$AU$167&amp;IF($AS$167="",""," | "&amp;$AS$167)</f>
        <v>Formula Preserved | PROJECT CASH FLOW | E98</v>
      </c>
      <c r="J213" s="2504" t="str">
        <f>$AV$167&amp;" | "&amp;$AX$167</f>
        <v>Model owner | Formula-linked source input</v>
      </c>
      <c r="K213" s="2504" t="str">
        <f>$AW$167</f>
        <v>Source construction debt funding.</v>
      </c>
      <c r="AJ213" t="str">
        <v>SCOPE-ROOF-DUP</v>
      </c>
      <c r="AK213" t="str">
        <v>Checks</v>
      </c>
      <c r="AL213" t="str">
        <v>Precinct roof / solar</v>
      </c>
      <c r="AM213" t="str">
        <v>Duplicate component roof allowance</v>
      </c>
      <c r="AN213" t="str">
        <v>A$m</v>
      </c>
      <c r="AO213" t="str">
        <v>Construction</v>
      </c>
      <c r="AP213" s="653" t="n">
        <v>0</v>
      </c>
      <c r="AQ213" s="653"/>
      <c r="AR213" s="653"/>
      <c r="AS213" t="str">
        <v>CEO direction + GENESIS CAPEX roof policy</v>
      </c>
      <c r="AT213" s="9" t="n">
        <v>46229</v>
      </c>
      <c r="AU213" t="str">
        <v>Mapped</v>
      </c>
      <c r="AV213" t="str">
        <v>Model owner</v>
      </c>
      <c r="AW213" t="str">
        <v>The current detailed data-book component budgets are treated as post-correction; no unsupported arbitrary deduction is made.</v>
      </c>
      <c r="AX213" t="str">
        <v>System control</v>
      </c>
      <c r="AY213" s="2440" t="n">
        <f>$H$323</f>
        <v>0</v>
      </c>
      <c r="AZ213" t="str">
        <v>Yes</v>
      </c>
      <c r="BA213"/>
      <c r="BB213"/>
      <c r="BC213" t="str">
        <v>Project data book</v>
      </c>
      <c r="BD213" t="str">
        <v>No</v>
      </c>
      <c r="BE213" t="str">
        <v>None — technical mapping complete.</v>
      </c>
      <c r="BF213" s="2442" t="n">
        <v>46231</v>
      </c>
      <c r="BG213" t="str">
        <f>IF($AZ213="No","PASS",IF(OR($AX213="Owner decision outstanding",$BD213="OWNER DECISION"),"WARNING",IF(OR($AP213="",$AN213="",$AS213="",$AV213=""),"FAIL","PASS")))</f>
        <v>FAIL</v>
      </c>
    </row>
    <row r="214" ht="24" customHeight="1">
      <c r="A214" s="2512" t="str">
        <f>$AJ$184</f>
        <v>SCOPE-LIVE-TDC</v>
      </c>
      <c r="B214" s="2512" t="str">
        <f>$AL$184</f>
        <v>Project</v>
      </c>
      <c r="C214" s="2512" t="str">
        <f>$AM$184</f>
        <v>Live total development cost</v>
      </c>
      <c r="D214" s="2512" t="str">
        <f>$AN$184&amp;IF($AO$184="",""," | "&amp;IF($AN$184="Date",TEXT($AO$184,"dd mmm yyyy"),$AO$184))</f>
        <v>A$m | Base case</v>
      </c>
      <c r="E214" s="2510" t="n">
        <f>$AP$184</f>
        <v>418.7585512846001</v>
      </c>
      <c r="F214" s="2510" t="n">
        <f>$AQ$184</f>
        <v>460.63440641306016</v>
      </c>
      <c r="G214" s="2510" t="n">
        <f>$AR$184</f>
        <v>397.82062372037007</v>
      </c>
      <c r="H214" s="2510" t="n">
        <f>IF($A214="","",CHOOSE(MATCH('VALUATION &amp; RETURNS'!$CR$7,{"Downside","Base","Upside"},0),$F214,$E214,$G214))</f>
        <v>418.7585512846001</v>
      </c>
      <c r="I214" s="2543" t="str">
        <f>$AU$184&amp;IF($AS$184="",""," | "&amp;$AS$184)</f>
        <v>Formula Preserved | Live monthly model</v>
      </c>
      <c r="J214" s="2504" t="str">
        <f>$AV$184&amp;" | "&amp;$AX$184</f>
        <v>Model owner | Derived calculation</v>
      </c>
      <c r="K214" s="2504" t="str">
        <f>$AW$184</f>
        <v>Includes capitalised interest and financing fees generated by the revised programme and financeable debt.</v>
      </c>
      <c r="AJ214" t="str">
        <v>SCOPE-LANDSCAPE-GROSS</v>
      </c>
      <c r="AK214" t="str">
        <v>Development capex</v>
      </c>
      <c r="AL214" t="str">
        <v>Landscape / public realm</v>
      </c>
      <c r="AM214" t="str">
        <v>Gross landscape and public-realm programme</v>
      </c>
      <c r="AN214" t="str">
        <v>A$m</v>
      </c>
      <c r="AO214" t="str">
        <v>Construction</v>
      </c>
      <c r="AP214" s="653" t="n">
        <f>IF($E$126="","",$E$126)</f>
        <v>21.07</v>
      </c>
      <c r="AQ214" s="653" t="str">
        <f>IF($F$126="","",$F$126)</f>
      </c>
      <c r="AR214" s="653" t="str">
        <f>IF($G$126="","",$G$126)</f>
      </c>
      <c r="AS214" t="str">
        <v>ANCILLIARY SVCS CAPEX &amp; OPEX | N167</v>
      </c>
      <c r="AT214" s="9" t="n">
        <v>46228</v>
      </c>
      <c r="AU214" t="str">
        <v>Mapped — provisional</v>
      </c>
      <c r="AV214" t="str">
        <v>Management</v>
      </c>
      <c r="AW214" t="str">
        <v>Includes roads/path allocation of A$6.0m and The Bend Common net component of A$15.07m. | The field is live and formula-linked; its commercial or specialist basis remains provisional where stated.</v>
      </c>
      <c r="AX214" t="str">
        <v>Hard-coded model input</v>
      </c>
      <c r="AY214" s="2440" t="n">
        <f>$H$126</f>
        <v>21.07</v>
      </c>
      <c r="AZ214" t="str">
        <v>Yes</v>
      </c>
      <c r="BA214"/>
      <c r="BB214"/>
      <c r="BC214" t="str">
        <v>Project data book</v>
      </c>
      <c r="BD214" t="str">
        <v>No</v>
      </c>
      <c r="BE214" t="str">
        <v>None — technical mapping complete.</v>
      </c>
      <c r="BF214" s="2442" t="n">
        <v>46231</v>
      </c>
      <c r="BG214" t="str">
        <f>IF($AZ214="No","PASS",IF(OR($AX214="Owner decision outstanding",$BD214="OWNER DECISION"),"WARNING",IF(OR($AP214="",$AN214="",$AS214="",$AV214=""),"FAIL","PASS")))</f>
        <v>PASS</v>
      </c>
    </row>
    <row r="215" ht="24" customHeight="1">
      <c r="A215" s="2504" t="str">
        <f>$AJ$186</f>
        <v>FUND-TARGET-DEBT</v>
      </c>
      <c r="B215" s="2504" t="str">
        <f>$AL$186</f>
        <v>Project</v>
      </c>
      <c r="C215" s="2541" t="str">
        <f>$AM$186</f>
        <v>50:50 target debt</v>
      </c>
      <c r="D215" s="2544" t="str">
        <f>$AN$186&amp;IF($AO$186="",""," | "&amp;IF($AN$186="Date",TEXT($AO$186,"dd mmm yyyy"),$AO$186))</f>
        <v>A$m | Base case</v>
      </c>
      <c r="E215" s="2506" t="n">
        <f>$AP$186</f>
        <v>209.37927564230003</v>
      </c>
      <c r="F215" s="2506" t="n">
        <f>$AQ$186</f>
        <v>207.2854828858771</v>
      </c>
      <c r="G215" s="2506" t="n">
        <f>$AR$186</f>
        <v>218.80134304620356</v>
      </c>
      <c r="H215" s="2506" t="n">
        <f>IF($A215="","",CHOOSE(MATCH('VALUATION &amp; RETURNS'!$CR$7,{"Downside","Base","Upside"},0),$F215,$E215,$G215))</f>
        <v>209.37927564230003</v>
      </c>
      <c r="I215" s="2543" t="str">
        <f>$AU$186&amp;IF($AS$186="",""," | "&amp;$AS$186)</f>
        <v>Formula Preserved | Management direction</v>
      </c>
      <c r="J215" s="2504" t="str">
        <f>$AV$186&amp;" | "&amp;$AX$186</f>
        <v>Management | Formula-linked source input</v>
      </c>
      <c r="K215" s="2504" t="str">
        <f>$AW$186</f>
        <v>Target only; it is not forced where lender capacity is lower.</v>
      </c>
      <c r="AJ215" t="str">
        <v>SCOPE-LANDSCAPE-CHECK</v>
      </c>
      <c r="AK215" t="str">
        <v>Checks</v>
      </c>
      <c r="AL215" t="str">
        <v>Landscape / public realm</v>
      </c>
      <c r="AM215" t="str">
        <v>Landscape split reconciliation</v>
      </c>
      <c r="AN215" t="str">
        <v>A$m</v>
      </c>
      <c r="AO215" t="str">
        <v>Construction</v>
      </c>
      <c r="AP215" s="653" t="n">
        <v>0</v>
      </c>
      <c r="AQ215" s="653"/>
      <c r="AR215" s="653"/>
      <c r="AS215" t="str">
        <v>PROJECTS CAPEX sections</v>
      </c>
      <c r="AT215" s="9" t="n">
        <v>46229</v>
      </c>
      <c r="AU215" t="str">
        <v>Formula Preserved</v>
      </c>
      <c r="AV215" t="str">
        <v>Model owner</v>
      </c>
      <c r="AW215" t="str">
        <v>Must equal zero.</v>
      </c>
      <c r="AX215" t="str">
        <v>System control</v>
      </c>
      <c r="AY215" s="2440" t="n">
        <f>$H$324</f>
        <v>0</v>
      </c>
      <c r="AZ215" t="str">
        <v>Yes</v>
      </c>
      <c r="BA215"/>
      <c r="BB215"/>
      <c r="BC215" t="str">
        <v>Project data book</v>
      </c>
      <c r="BD215" t="str">
        <v>No</v>
      </c>
      <c r="BE215" t="str">
        <v>None — technical mapping complete.</v>
      </c>
      <c r="BF215" s="2442" t="n">
        <v>46231</v>
      </c>
      <c r="BG215" t="str">
        <f>IF($AZ215="No","PASS",IF(OR($AX215="Owner decision outstanding",$BD215="OWNER DECISION"),"WARNING",IF(OR($AP215="",$AN215="",$AS215="",$AV215=""),"FAIL","PASS")))</f>
        <v>FAIL</v>
      </c>
    </row>
    <row r="216" ht="24" customHeight="1">
      <c r="A216" s="2504" t="str">
        <f>$AJ$187</f>
        <v>FUND-LTV-CAP</v>
      </c>
      <c r="B216" s="2504" t="str">
        <f>$AL$187</f>
        <v>Term debt</v>
      </c>
      <c r="C216" s="2541" t="str">
        <f>$AM$187</f>
        <v>Gross debt capacity under base LTV</v>
      </c>
      <c r="D216" s="2544" t="str">
        <f>$AN$187&amp;IF($AO$187="",""," | "&amp;IF($AN$187="Date",TEXT($AO$187,"dd mmm yyyy"),$AO$187))</f>
        <v>A$m | Base case</v>
      </c>
      <c r="E216" s="2506" t="n">
        <f>$AP$187</f>
        <v>441.77056814293434</v>
      </c>
      <c r="F216" s="2506"/>
      <c r="G216" s="2506"/>
      <c r="H216" s="2506" t="n">
        <f>IF($A216="","",$E216)</f>
        <v>441.77056814293434</v>
      </c>
      <c r="I216" s="2543" t="str">
        <f>$AU$187&amp;IF($AS$187="",""," | "&amp;$AS$187)</f>
        <v>Formula Preserved | Selected property value and provisional lender covenant</v>
      </c>
      <c r="J216" s="2504" t="str">
        <f>$AV$187&amp;" | "&amp;$AX$187</f>
        <v>Model owner | Formula-linked source input</v>
      </c>
      <c r="K216" s="2504" t="str">
        <f>$AW$187</f>
        <v>Property value multiplied by the provisional 65% term LTV limit.</v>
      </c>
      <c r="AJ216" t="str">
        <v>OPS-STAB-YEAR</v>
      </c>
      <c r="AK216" t="str">
        <v>Operating assumptions</v>
      </c>
      <c r="AL216" t="str">
        <v>Project</v>
      </c>
      <c r="AM216" t="str">
        <v>Selected stabilised operating forecast year</v>
      </c>
      <c r="AN216" t="str">
        <v>Year</v>
      </c>
      <c r="AO216" t="str">
        <v>Annual</v>
      </c>
      <c r="AP216" t="n">
        <v>2029</v>
      </c>
      <c r="AQ216"/>
      <c r="AR216"/>
      <c r="AS216" t="str">
        <v>PROJECT CASH FLOW / PROFIT &amp; LOSS</v>
      </c>
      <c r="AT216" s="9" t="n">
        <v>46228</v>
      </c>
      <c r="AU216" t="str">
        <v>Mapped — provisional</v>
      </c>
      <c r="AV216" t="str">
        <v>Management</v>
      </c>
      <c r="AW216" t="str">
        <v>Selected as the first full management operating forecast used for valuation. | The field is live and formula-linked; its commercial or specialist basis remains provisional where stated.</v>
      </c>
      <c r="AX216" t="str">
        <v>Derived calculation</v>
      </c>
      <c r="AY216" s="2440" t="n">
        <f>$H$152</f>
        <v>2029</v>
      </c>
      <c r="AZ216" t="str">
        <v>Yes</v>
      </c>
      <c r="BA216"/>
      <c r="BB216"/>
      <c r="BC216" t="str">
        <v>Project data book</v>
      </c>
      <c r="BD216" t="str">
        <v>No</v>
      </c>
      <c r="BE216" t="str">
        <v>None — technical mapping complete.</v>
      </c>
      <c r="BF216" s="2442" t="n">
        <v>46231</v>
      </c>
      <c r="BG216" t="str">
        <f>IF($AZ216="No","PASS",IF(OR($AX216="Owner decision outstanding",$BD216="OWNER DECISION"),"WARNING",IF(OR($AP216="",$AN216="",$AS216="",$AV216=""),"FAIL","PASS")))</f>
        <v>PASS</v>
      </c>
    </row>
    <row r="217" ht="24" customHeight="1">
      <c r="A217" s="2504" t="str">
        <f>$AJ$188</f>
        <v>FUND-DSCR-CAP</v>
      </c>
      <c r="B217" s="2504" t="str">
        <f>$AL$188</f>
        <v>Term debt</v>
      </c>
      <c r="C217" s="2541" t="str">
        <f>$AM$188</f>
        <v>Gross debt capacity under base DSCR</v>
      </c>
      <c r="D217" s="2544" t="str">
        <f>$AN$188&amp;IF($AO$188="",""," | "&amp;IF($AN$188="Date",TEXT($AO$188,"dd mmm yyyy"),$AO$188))</f>
        <v>A$m | Base case</v>
      </c>
      <c r="E217" s="2506" t="n">
        <f>$AP$188</f>
        <v>400.33479074818166</v>
      </c>
      <c r="F217" s="2506"/>
      <c r="G217" s="2506"/>
      <c r="H217" s="2506" t="n">
        <f>IF($A217="","",$E217)</f>
        <v>400.33479074818166</v>
      </c>
      <c r="I217" s="2543" t="str">
        <f>$AU$188&amp;IF($AS$188="",""," | "&amp;$AS$188)</f>
        <v>Formula Preserved | Stabilised CFADS and provisional lender covenant</v>
      </c>
      <c r="J217" s="2504" t="str">
        <f>$AV$188&amp;" | "&amp;$AX$188</f>
        <v>Model owner | Formula-linked source input</v>
      </c>
      <c r="K217" s="2504" t="str">
        <f>$AW$188</f>
        <v>Sized using stabilised NOI less lifecycle capex and scheduled interest plus straight-line amortisation; cash sweep is excluded.</v>
      </c>
      <c r="AJ217" t="str">
        <v>OPS-STAB-REV</v>
      </c>
      <c r="AK217" t="str">
        <v>Operating assumptions</v>
      </c>
      <c r="AL217" t="str">
        <v>Project</v>
      </c>
      <c r="AM217" t="str">
        <v>Stabilised operating revenue</v>
      </c>
      <c r="AN217" t="str">
        <v>A$m</v>
      </c>
      <c r="AO217" t="n">
        <v>2029</v>
      </c>
      <c r="AP217" s="653" t="n">
        <v>48.83020036828583</v>
      </c>
      <c r="AQ217" s="653"/>
      <c r="AR217" s="653"/>
      <c r="AS217" t="str">
        <v>OPERATING MODEL</v>
      </c>
      <c r="AT217" s="9" t="n">
        <v>46228</v>
      </c>
      <c r="AU217" t="str">
        <v>Formula Preserved</v>
      </c>
      <c r="AV217" t="str">
        <v>Model owner</v>
      </c>
      <c r="AW217" t="str">
        <v>Linked to management operating forecast.</v>
      </c>
      <c r="AX217" t="str">
        <v>Output only</v>
      </c>
      <c r="AY217" s="2440" t="n">
        <f>$H$153</f>
        <v>48.83020036828583</v>
      </c>
      <c r="AZ217" t="str">
        <v>Yes</v>
      </c>
      <c r="BA217"/>
      <c r="BB217"/>
      <c r="BC217" t="str">
        <v>Project data book</v>
      </c>
      <c r="BD217" t="str">
        <v>No</v>
      </c>
      <c r="BE217" t="str">
        <v>None — technical mapping complete.</v>
      </c>
      <c r="BF217" s="2442" t="n">
        <v>46231</v>
      </c>
      <c r="BG217" t="str">
        <f>IF($AZ217="No","PASS",IF(OR($AX217="Owner decision outstanding",$BD217="OWNER DECISION"),"WARNING",IF(OR($AP217="",$AN217="",$AS217="",$AV217=""),"FAIL","PASS")))</f>
        <v>PASS</v>
      </c>
    </row>
    <row r="218" ht="24" customHeight="1">
      <c r="A218" s="2504" t="str">
        <f>$AJ$189</f>
        <v>FUND-FINANCEABLE-DEBT</v>
      </c>
      <c r="B218" s="2504" t="str">
        <f>$AL$189</f>
        <v>Construction facility</v>
      </c>
      <c r="C218" s="2541" t="str">
        <f>$AM$189</f>
        <v>Net construction debt source after funding credits</v>
      </c>
      <c r="D218" s="2544" t="str">
        <f>$AN$189&amp;IF($AO$189="",""," | "&amp;IF($AN$189="Date",TEXT($AO$189,"dd mmm yyyy"),$AO$189))</f>
        <v>A$m | Base case</v>
      </c>
      <c r="E218" s="2506" t="n">
        <f>$AP$189</f>
        <v>213.01883390950715</v>
      </c>
      <c r="F218" s="2506" t="n">
        <f>$AQ$189</f>
        <v>207.2854828858771</v>
      </c>
      <c r="G218" s="2506" t="n">
        <f>$AR$189</f>
        <v>218.80134304620356</v>
      </c>
      <c r="H218" s="2506" t="n">
        <f>IF($A218="","",CHOOSE(MATCH('VALUATION &amp; RETURNS'!$CR$7,{"Downside","Base","Upside"},0),$F218,$E218,$G218))</f>
        <v>213.01883390950715</v>
      </c>
      <c r="I218" s="2543" t="str">
        <f>$AU$189&amp;IF($AS$189="",""," | "&amp;$AS$189)</f>
        <v>Formula Preserved | Actual eligible draws plus capitalised interest, capped by the scenario facility commitment</v>
      </c>
      <c r="J218" s="2504" t="str">
        <f>$AV$189&amp;" | "&amp;$AX$189</f>
        <v>Model owner | Derived calculation</v>
      </c>
      <c r="K218" s="2504" t="str">
        <f>$AW$189</f>
        <v>Gross eligible draws plus capitalised interest, less the disclosed live timing and eligibility bridge.</v>
      </c>
      <c r="AJ218" t="str">
        <v>OPS-STAB-OPEX</v>
      </c>
      <c r="AK218" t="str">
        <v>Operating assumptions</v>
      </c>
      <c r="AL218" t="str">
        <v>Project</v>
      </c>
      <c r="AM218" t="str">
        <v>Stabilised operating costs</v>
      </c>
      <c r="AN218" t="str">
        <v>A$m</v>
      </c>
      <c r="AO218" t="n">
        <v>2029</v>
      </c>
      <c r="AP218" s="653" t="n">
        <v>3.2882786208900043</v>
      </c>
      <c r="AQ218" s="653"/>
      <c r="AR218" s="653"/>
      <c r="AS218" t="str">
        <v>OPERATING MODEL</v>
      </c>
      <c r="AT218" s="9" t="n">
        <v>46228</v>
      </c>
      <c r="AU218" t="str">
        <v>Formula Preserved</v>
      </c>
      <c r="AV218" t="str">
        <v>Model owner</v>
      </c>
      <c r="AW218" t="str">
        <v>Property and asset-management costs.</v>
      </c>
      <c r="AX218" t="str">
        <v>Output only</v>
      </c>
      <c r="AY218" s="2440" t="n">
        <f>$H$154</f>
        <v>3.2882786208900043</v>
      </c>
      <c r="AZ218" t="str">
        <v>Yes</v>
      </c>
      <c r="BA218"/>
      <c r="BB218"/>
      <c r="BC218" t="str">
        <v>Project data book</v>
      </c>
      <c r="BD218" t="str">
        <v>No</v>
      </c>
      <c r="BE218" t="str">
        <v>None — technical mapping complete.</v>
      </c>
      <c r="BF218" s="2442" t="n">
        <v>46231</v>
      </c>
      <c r="BG218" t="str">
        <f>IF($AZ218="No","PASS",IF(OR($AX218="Owner decision outstanding",$BD218="OWNER DECISION"),"WARNING",IF(OR($AP218="",$AN218="",$AS218="",$AV218=""),"FAIL","PASS")))</f>
        <v>PASS</v>
      </c>
    </row>
    <row r="219" ht="24" customHeight="1">
      <c r="A219" s="2504" t="str">
        <f>$AJ$190</f>
        <v>FUND-FINANCEABLE-SHARE</v>
      </c>
      <c r="B219" s="2504" t="str">
        <f>$AL$190</f>
        <v>Project</v>
      </c>
      <c r="C219" s="2541" t="str">
        <f>$AM$190</f>
        <v>Financeable debt share</v>
      </c>
      <c r="D219" s="2544" t="str">
        <f>$AN$190&amp;IF($AO$190="",""," | "&amp;IF($AN$190="Date",TEXT($AO$190,"dd mmm yyyy"),$AO$190))</f>
        <v>% | Base case</v>
      </c>
      <c r="E219" s="2550" t="n">
        <f>$AP$190</f>
        <v>0.5086913049442029</v>
      </c>
      <c r="F219" s="2550" t="n">
        <f>$AQ$190</f>
        <v>0.45</v>
      </c>
      <c r="G219" s="2550" t="n">
        <f>$AR$190</f>
        <v>0.55</v>
      </c>
      <c r="H219" s="2550" t="n">
        <f>IF($A219="","",CHOOSE(MATCH('VALUATION &amp; RETURNS'!$CR$7,{"Downside","Base","Upside"},0),$F219,$E219,$G219))</f>
        <v>0.5086913049442029</v>
      </c>
      <c r="I219" s="2543" t="str">
        <f>$AU$190&amp;IF($AS$190="",""," | "&amp;$AS$190)</f>
        <v>Formula Preserved | Live sources and uses</v>
      </c>
      <c r="J219" s="2504" t="str">
        <f>$AV$190&amp;" | "&amp;$AX$190</f>
        <v>Model owner | Derived calculation</v>
      </c>
      <c r="K219" s="2504" t="str">
        <f>$AW$190</f>
        <v>May be below 50% where valuation or debt-service capacity constrains leverage.</v>
      </c>
      <c r="AJ219" t="str">
        <v>CMP-URWLD-FP</v>
      </c>
      <c r="AK219" t="str">
        <v>Areas and capacities</v>
      </c>
      <c r="AL219" t="str">
        <v>URWLD</v>
      </c>
      <c r="AM219" t="str">
        <v>Component footprint</v>
      </c>
      <c r="AN219" t="str">
        <v>sqm</v>
      </c>
      <c r="AO219" t="str">
        <v>Current</v>
      </c>
      <c r="AP219" s="652" t="n">
        <f>IF($E$73="","",$E$73)</f>
        <v>9500</v>
      </c>
      <c r="AQ219" s="652" t="str">
        <f>IF($F$73="","",$F$73)</f>
      </c>
      <c r="AR219" s="652" t="str">
        <f>IF($G$73="","",$G$73)</f>
      </c>
      <c r="AS219" t="str">
        <v>PROJECT CASH FLOW | E8</v>
      </c>
      <c r="AT219" s="9" t="n">
        <v>46228</v>
      </c>
      <c r="AU219" t="str">
        <v>Mapped</v>
      </c>
      <c r="AV219" t="str">
        <v>Model owner</v>
      </c>
      <c r="AW219" t="str">
        <v>Central source input for the URWLD component schedule.</v>
      </c>
      <c r="AX219" t="str">
        <v>Hard-coded model input</v>
      </c>
      <c r="AY219" s="2440" t="n">
        <f>$H$73</f>
        <v>9500</v>
      </c>
      <c r="AZ219" t="str">
        <v>Yes</v>
      </c>
      <c r="BA219" t="str">
        <v>PROJECTS register</v>
      </c>
      <c r="BB219" t="str">
        <v>G219</v>
      </c>
      <c r="BC219" t="str">
        <v>PROJECTS register book(4).xlsm</v>
      </c>
      <c r="BD219" t="str">
        <v>No</v>
      </c>
      <c r="BE219" t="str">
        <v>None — technical mapping complete.</v>
      </c>
      <c r="BF219" s="2442" t="n">
        <v>46231</v>
      </c>
      <c r="BG219" t="str">
        <f>IF($AZ219="No","PASS",IF(OR($AX219="Owner decision outstanding",$BD219="OWNER DECISION"),"WARNING",IF(OR($AP219="",$AN219="",$AS219="",$AV219=""),"FAIL","PASS")))</f>
        <v>PASS</v>
      </c>
    </row>
    <row r="220" ht="24" customHeight="1">
      <c r="A220" s="2504" t="str">
        <f>$AJ$206</f>
        <v>CAPEX-CAPINT-SRC</v>
      </c>
      <c r="B220" s="2504" t="str">
        <f>$AL$206</f>
        <v>Construction facility</v>
      </c>
      <c r="C220" s="2541" t="str">
        <f>$AM$206</f>
        <v>Capitalised interest</v>
      </c>
      <c r="D220" s="2544" t="str">
        <f>$AN$206&amp;IF($AO$206="",""," | "&amp;IF($AN$206="Date",TEXT($AO$206,"dd mmm yyyy"),$AO$206))</f>
        <v>A$m | Development period</v>
      </c>
      <c r="E220" s="2624" t="n">
        <v>11.27</v>
      </c>
      <c r="F220" s="2506"/>
      <c r="G220" s="2506"/>
      <c r="H220" s="2506" t="n">
        <f>IF($A220="","",$E220)</f>
        <v>11.27</v>
      </c>
      <c r="I220" s="2543" t="str">
        <f>$AU$206&amp;IF($AS$206="",""," | "&amp;$AS$206)</f>
        <v>Mapped — provisional | PROJECT CASH FLOW | H48</v>
      </c>
      <c r="J220" s="2504" t="str">
        <f>$AV$206&amp;" | "&amp;$AX$206</f>
        <v>Management | Hard-coded model input</v>
      </c>
      <c r="K220" s="2504" t="str">
        <f>$AW$206</f>
        <v>Source amount allocated monthly pro rata across the construction period; lender calculation requires confirmation. | The field is live and formula-linked; its commercial or specialist basis remains provisional where stated.</v>
      </c>
      <c r="AJ220" t="str">
        <v>CMP-URWLD-LAND</v>
      </c>
      <c r="AK220" t="str">
        <v>Areas and capacities</v>
      </c>
      <c r="AL220" t="str">
        <v>URWLD</v>
      </c>
      <c r="AM220" t="str">
        <v>Component land area</v>
      </c>
      <c r="AN220" t="str">
        <v>sqm</v>
      </c>
      <c r="AO220" t="str">
        <v>Current</v>
      </c>
      <c r="AP220" s="652" t="n">
        <v>10500</v>
      </c>
      <c r="AQ220" s="652"/>
      <c r="AR220" s="652"/>
      <c r="AS220" t="str">
        <v>PROJECT CASH FLOW | F8</v>
      </c>
      <c r="AT220" s="9" t="n">
        <v>46228</v>
      </c>
      <c r="AU220" t="str">
        <v>Mapped</v>
      </c>
      <c r="AV220" t="str">
        <v>Model owner</v>
      </c>
      <c r="AW220" t="str">
        <v>May overlap vertically or with shared precinct uses.</v>
      </c>
      <c r="AX220" t="str">
        <v>Derived calculation</v>
      </c>
      <c r="AY220" s="2440" t="n">
        <f>$H$74</f>
        <v>10500</v>
      </c>
      <c r="AZ220" t="str">
        <v>Yes</v>
      </c>
      <c r="BA220" t="str">
        <v>PROJECTS register</v>
      </c>
      <c r="BB220" t="str">
        <v>G220</v>
      </c>
      <c r="BC220" t="str">
        <v>PROJECTS register book(4).xlsm</v>
      </c>
      <c r="BD220" t="str">
        <v>No</v>
      </c>
      <c r="BE220" t="str">
        <v>None — technical mapping complete.</v>
      </c>
      <c r="BF220" s="2442" t="n">
        <v>46231</v>
      </c>
      <c r="BG220" t="str">
        <f>IF($AZ220="No","PASS",IF(OR($AX220="Owner decision outstanding",$BD220="OWNER DECISION"),"WARNING",IF(OR($AP220="",$AN220="",$AS220="",$AV220=""),"FAIL","PASS")))</f>
        <v>PASS</v>
      </c>
    </row>
    <row r="221" ht="24" customHeight="1">
      <c r="A221" s="2504" t="str">
        <f>$AJ$207</f>
        <v>CAPEX-FUND-AFTER-ADJ</v>
      </c>
      <c r="B221" s="2504" t="str">
        <f>$AL$207</f>
        <v>Project</v>
      </c>
      <c r="C221" s="2541" t="str">
        <f>$AM$207</f>
        <v>Funding requirement after development adjustments</v>
      </c>
      <c r="D221" s="2544" t="str">
        <f>$AN$207&amp;IF($AO$207="",""," | "&amp;IF($AN$207="Date",TEXT($AO$207,"dd mmm yyyy"),$AO$207))</f>
        <v>A$m | Development period</v>
      </c>
      <c r="E221" s="2506" t="n">
        <f>$AP$207</f>
        <v>439.18030927207815</v>
      </c>
      <c r="F221" s="2506"/>
      <c r="G221" s="2506"/>
      <c r="H221" s="2506" t="n">
        <f>IF($A221="","",$E221)</f>
        <v>439.18030927207815</v>
      </c>
      <c r="I221" s="2543" t="str">
        <f>$AU$207&amp;IF($AS$207="",""," | "&amp;$AS$207)</f>
        <v>Mapped | PROJECT CASH FLOW | H49</v>
      </c>
      <c r="J221" s="2504" t="str">
        <f>$AV$207&amp;" | "&amp;$AX$207</f>
        <v>Model owner | Derived calculation</v>
      </c>
      <c r="K221" s="2504" t="str">
        <f>$AW$207</f>
        <v>Gross development investment, grant, development adjustments and capitalised interest.</v>
      </c>
      <c r="AJ221" t="str">
        <v>CMP-URWLD-CORE</v>
      </c>
      <c r="AK221" t="str">
        <v>Development capex</v>
      </c>
      <c r="AL221" t="str">
        <v>URWLD</v>
      </c>
      <c r="AM221" t="str">
        <v>Core / shell CAPEX</v>
      </c>
      <c r="AN221" t="str">
        <v>A$m</v>
      </c>
      <c r="AO221" t="str">
        <v>Current budget</v>
      </c>
      <c r="AP221" s="653" t="n">
        <f>IF($E$127="","",$E$127)</f>
        <v>90.78148148148148</v>
      </c>
      <c r="AQ221" s="653" t="str">
        <f>IF($F$127="","",$F$127)</f>
      </c>
      <c r="AR221" s="653" t="str">
        <f>IF($G$127="","",$G$127)</f>
      </c>
      <c r="AS221" t="str">
        <v>PROJECT CASH FLOW | H8</v>
      </c>
      <c r="AT221" s="9" t="n">
        <v>46228</v>
      </c>
      <c r="AU221" t="str">
        <v>Mapped</v>
      </c>
      <c r="AV221" t="str">
        <v>Model owner</v>
      </c>
      <c r="AW221" t="str">
        <v>Current detailed data-book amount.</v>
      </c>
      <c r="AX221" t="str">
        <v>Hard-coded model input</v>
      </c>
      <c r="AY221" s="2440" t="n">
        <f>$H$127</f>
        <v>90.78148148148148</v>
      </c>
      <c r="AZ221" t="str">
        <v>Yes</v>
      </c>
      <c r="BA221" t="str">
        <v>PROJECTS register</v>
      </c>
      <c r="BB221" t="str">
        <v>G221</v>
      </c>
      <c r="BC221" t="str">
        <v>PROJECTS register book(4).xlsm</v>
      </c>
      <c r="BD221" t="str">
        <v>No</v>
      </c>
      <c r="BE221" t="str">
        <v>None — technical mapping complete.</v>
      </c>
      <c r="BF221" s="2442" t="n">
        <v>46231</v>
      </c>
      <c r="BG221" t="str">
        <f>IF($AZ221="No","PASS",IF(OR($AX221="Owner decision outstanding",$BD221="OWNER DECISION"),"WARNING",IF(OR($AP221="",$AN221="",$AS221="",$AV221=""),"FAIL","PASS")))</f>
        <v>PASS</v>
      </c>
    </row>
    <row r="222" ht="24" customHeight="1">
      <c r="A222" s="2504" t="str">
        <f>$AJ$208</f>
        <v>CAPEX-FUND-FINAL</v>
      </c>
      <c r="B222" s="2504" t="str">
        <f>$AL$208</f>
        <v>Project</v>
      </c>
      <c r="C222" s="2541" t="str">
        <f>$AM$208</f>
        <v>Total project funding required</v>
      </c>
      <c r="D222" s="2544" t="str">
        <f>$AN$208&amp;IF($AO$208="",""," | "&amp;IF($AN$208="Date",TEXT($AO$208,"dd mmm yyyy"),$AO$208))</f>
        <v>A$m | Whole project</v>
      </c>
      <c r="E222" s="2506" t="n">
        <f>$AP$208</f>
        <v>418.75855128460006</v>
      </c>
      <c r="F222" s="2506"/>
      <c r="G222" s="2506"/>
      <c r="H222" s="2506" t="n">
        <f>IF($A222="","",$E222)</f>
        <v>418.75855128460006</v>
      </c>
      <c r="I222" s="2543" t="str">
        <f>$AU$208&amp;IF($AS$208="",""," | "&amp;$AS$208)</f>
        <v>Mapped | PROJECT CASH FLOW | E96</v>
      </c>
      <c r="J222" s="2504" t="str">
        <f>$AV$208&amp;" | "&amp;$AX$208</f>
        <v>Model owner | Derived calculation</v>
      </c>
      <c r="K222" s="2504" t="str">
        <f>$AW$208</f>
        <v>After staged operating sources.</v>
      </c>
      <c r="AJ222" t="str">
        <v>CMP-URWLD-FIT</v>
      </c>
      <c r="AK222" t="str">
        <v>Development capex</v>
      </c>
      <c r="AL222" t="str">
        <v>URWLD</v>
      </c>
      <c r="AM222" t="str">
        <v>Fit-out CAPEX</v>
      </c>
      <c r="AN222" t="str">
        <v>A$m</v>
      </c>
      <c r="AO222" t="str">
        <v>Current budget</v>
      </c>
      <c r="AP222" s="653" t="str">
        <f>IF($E$128="","",$E$128)</f>
      </c>
      <c r="AQ222" s="653" t="str">
        <f>IF($F$128="","",$F$128)</f>
      </c>
      <c r="AR222" s="653" t="str">
        <f>IF($G$128="","",$G$128)</f>
      </c>
      <c r="AS222" t="str">
        <v>PROJECT CASH FLOW | I8</v>
      </c>
      <c r="AT222" s="9" t="n">
        <v>46228</v>
      </c>
      <c r="AU222" t="str">
        <v>Mapped</v>
      </c>
      <c r="AV222" t="str">
        <v>Model owner</v>
      </c>
      <c r="AW222" t="str">
        <v>Current detailed data-book amount.</v>
      </c>
      <c r="AX222" t="str">
        <v>Hard-coded model input</v>
      </c>
      <c r="AY222" s="2440" t="n">
        <f>$H$128</f>
        <v>0</v>
      </c>
      <c r="AZ222" t="str">
        <v>Yes</v>
      </c>
      <c r="BA222" t="str">
        <v>PROJECTS register</v>
      </c>
      <c r="BB222" t="str">
        <v>G222</v>
      </c>
      <c r="BC222" t="str">
        <v>PROJECTS register book(4).xlsm</v>
      </c>
      <c r="BD222" t="str">
        <v>No</v>
      </c>
      <c r="BE222" t="str">
        <v>None — technical mapping complete.</v>
      </c>
      <c r="BF222" s="2442" t="n">
        <v>46231</v>
      </c>
      <c r="BG222" t="str">
        <f>IF($AZ222="No","PASS",IF(OR($AX222="Owner decision outstanding",$BD222="OWNER DECISION"),"WARNING",IF(OR($AP222="",$AN222="",$AS222="",$AV222=""),"FAIL","PASS")))</f>
        <v>FAIL</v>
      </c>
    </row>
    <row r="223" ht="24" customHeight="1">
      <c r="A223" s="2504" t="str">
        <f>$AJ$251</f>
        <v>DEBT-IDC-TREAT</v>
      </c>
      <c r="B223" s="2504" t="str">
        <f>$AL$251</f>
        <v>Construction facility</v>
      </c>
      <c r="C223" s="2541" t="str">
        <f>$AM$251</f>
        <v>IDC treatment</v>
      </c>
      <c r="D223" s="2544" t="str">
        <f>$AN$251&amp;IF($AO$251="",""," | "&amp;IF($AN$251="Date",TEXT($AO$251,"dd mmm yyyy"),$AO$251))</f>
        <v>Text | Construction</v>
      </c>
      <c r="E223" s="2542" t="str">
        <f>$AP$251</f>
        <v>During Construction</v>
      </c>
      <c r="F223" s="2542"/>
      <c r="G223" s="2542"/>
      <c r="H223" s="2542" t="str">
        <f>IF($A223="","",$E223)</f>
        <v>During Construction</v>
      </c>
      <c r="I223" s="2543" t="str">
        <f>$AU$251&amp;IF($AS$251="",""," | "&amp;$AS$251)</f>
        <v>Mapped | MODEL DESIGN | D38</v>
      </c>
      <c r="J223" s="2504" t="str">
        <f>$AV$251&amp;" | "&amp;$AX$251</f>
        <v>Model owner | Derived calculation</v>
      </c>
      <c r="K223" s="2504" t="str">
        <f>$AW$251</f>
        <v>Capitalised interest is calculated once on the debt schedule.</v>
      </c>
      <c r="AJ223" t="str">
        <v>CMP-PBSA-FP</v>
      </c>
      <c r="AK223" t="str">
        <v>Areas and capacities</v>
      </c>
      <c r="AL223" t="str">
        <v>PBSA/student accommodation</v>
      </c>
      <c r="AM223" t="str">
        <v>Component footprint</v>
      </c>
      <c r="AN223" t="str">
        <v>sqm</v>
      </c>
      <c r="AO223" t="str">
        <v>Current</v>
      </c>
      <c r="AP223" s="652" t="n">
        <f>IF($E$75="","",$E$75)</f>
        <v>1400</v>
      </c>
      <c r="AQ223" s="652" t="str">
        <f>IF($F$75="","",$F$75)</f>
      </c>
      <c r="AR223" s="652" t="str">
        <f>IF($G$75="","",$G$75)</f>
      </c>
      <c r="AS223" t="str">
        <v>PROJECT CASH FLOW | E9</v>
      </c>
      <c r="AT223" s="9" t="n">
        <v>46228</v>
      </c>
      <c r="AU223" t="str">
        <v>Mapped</v>
      </c>
      <c r="AV223" t="str">
        <v>Model owner</v>
      </c>
      <c r="AW223" t="str">
        <v>Central source input for the PBSA component schedule.</v>
      </c>
      <c r="AX223" t="str">
        <v>Hard-coded model input</v>
      </c>
      <c r="AY223" s="2440" t="n">
        <f>$H$75</f>
        <v>1400</v>
      </c>
      <c r="AZ223" t="str">
        <v>Yes</v>
      </c>
      <c r="BA223" t="str">
        <v>PROJECTS register</v>
      </c>
      <c r="BB223" t="str">
        <v>G223</v>
      </c>
      <c r="BC223" t="str">
        <v>PROJECTS register book(4).xlsm</v>
      </c>
      <c r="BD223" t="str">
        <v>No</v>
      </c>
      <c r="BE223" t="str">
        <v>None — technical mapping complete.</v>
      </c>
      <c r="BF223" s="2442" t="n">
        <v>46231</v>
      </c>
      <c r="BG223" t="str">
        <f>IF($AZ223="No","PASS",IF(OR($AX223="Owner decision outstanding",$BD223="OWNER DECISION"),"WARNING",IF(OR($AP223="",$AN223="",$AS223="",$AV223=""),"FAIL","PASS")))</f>
        <v>PASS</v>
      </c>
    </row>
    <row r="224" ht="24" customHeight="1">
      <c r="A224" s="2504" t="str">
        <f>$AJ$256</f>
        <v>FUND-TIMING-CREDIT</v>
      </c>
      <c r="B224" s="2504" t="str">
        <f>$AL$256</f>
        <v>Project</v>
      </c>
      <c r="C224" s="2541" t="str">
        <f>$AM$256</f>
        <v>Gross-source timing and eligibility bridge</v>
      </c>
      <c r="D224" s="2544" t="str">
        <f>$AN$256&amp;IF($AO$256="",""," | "&amp;IF($AN$256="Date",TEXT($AO$256,"dd mmm yyyy"),$AO$256))</f>
        <v>A$m | Development period</v>
      </c>
      <c r="E224" s="2506" t="n">
        <f>$AP$256</f>
        <v>0</v>
      </c>
      <c r="F224" s="2506"/>
      <c r="G224" s="2506"/>
      <c r="H224" s="2506" t="n">
        <f>IF($A224="","",$E224)</f>
        <v>0</v>
      </c>
      <c r="I224" s="2543" t="str">
        <f>$AU$256&amp;IF($AS$256="",""," | "&amp;$AS$256)</f>
        <v>Mapped | Underwriting sources and uses bridge</v>
      </c>
      <c r="J224" s="2504" t="str">
        <f>$AV$256&amp;" | "&amp;$AX$256</f>
        <v>Model owner | Derived calculation</v>
      </c>
      <c r="K224" s="2504" t="str">
        <f>$AW$256</f>
        <v>Calculated gross debt plus equity less the live funding requirement. It captures net-negative development-adjustment months and working-capital/cash timing; confirm classification with the financing model owner. | The bridge is formula-driven, disclosed and is not an accounting plug.</v>
      </c>
      <c r="AJ224" t="str">
        <v>CMP-PBSA-LAND</v>
      </c>
      <c r="AK224" t="str">
        <v>Areas and capacities</v>
      </c>
      <c r="AL224" t="str">
        <v>PBSA/student accommodation</v>
      </c>
      <c r="AM224" t="str">
        <v>Component land area</v>
      </c>
      <c r="AN224" t="str">
        <v>sqm</v>
      </c>
      <c r="AO224" t="str">
        <v>Current</v>
      </c>
      <c r="AP224" s="652" t="str">
        <f>IF($E$76="","",$E$76)</f>
      </c>
      <c r="AQ224" s="652" t="str">
        <f>IF($F$76="","",$F$76)</f>
      </c>
      <c r="AR224" s="652" t="str">
        <f>IF($G$76="","",$G$76)</f>
      </c>
      <c r="AS224" t="str">
        <v>PROJECT CASH FLOW | F9</v>
      </c>
      <c r="AT224" s="9" t="n">
        <v>46228</v>
      </c>
      <c r="AU224" t="str">
        <v>Mapped</v>
      </c>
      <c r="AV224" t="str">
        <v>Model owner</v>
      </c>
      <c r="AW224" t="str">
        <v>Vertically integrated use; no separate land area in the source schedule.</v>
      </c>
      <c r="AX224" t="str">
        <v>Hard-coded model input</v>
      </c>
      <c r="AY224" s="2440" t="n">
        <f>$H$76</f>
        <v>0</v>
      </c>
      <c r="AZ224" t="str">
        <v>Yes</v>
      </c>
      <c r="BA224" t="str">
        <v>PROJECTS register</v>
      </c>
      <c r="BB224" t="str">
        <v>G224</v>
      </c>
      <c r="BC224" t="str">
        <v>PROJECTS register book(4).xlsm</v>
      </c>
      <c r="BD224" t="str">
        <v>No</v>
      </c>
      <c r="BE224" t="str">
        <v>None — technical mapping complete.</v>
      </c>
      <c r="BF224" s="2442" t="n">
        <v>46231</v>
      </c>
      <c r="BG224" t="str">
        <f>IF($AZ224="No","PASS",IF(OR($AX224="Owner decision outstanding",$BD224="OWNER DECISION"),"WARNING",IF(OR($AP224="",$AN224="",$AS224="",$AV224=""),"FAIL","PASS")))</f>
        <v>FAIL</v>
      </c>
    </row>
    <row r="225" ht="24" customHeight="1">
      <c r="A225" s="2504"/>
      <c r="B225" s="2504"/>
      <c r="C225" s="2541"/>
      <c r="D225" s="2544"/>
      <c r="E225" s="2558"/>
      <c r="F225" s="2558"/>
      <c r="G225" s="2546"/>
      <c r="H225" s="2546"/>
      <c r="I225" s="2543"/>
      <c r="J225" s="2504"/>
      <c r="K225" s="2504"/>
      <c r="AJ225" t="str">
        <v>CMP-PBSA-CORE</v>
      </c>
      <c r="AK225" t="str">
        <v>Development capex</v>
      </c>
      <c r="AL225" t="str">
        <v>PBSA/student accommodation</v>
      </c>
      <c r="AM225" t="str">
        <v>Core / shell CAPEX</v>
      </c>
      <c r="AN225" t="str">
        <v>A$m</v>
      </c>
      <c r="AO225" t="str">
        <v>Current budget</v>
      </c>
      <c r="AP225" s="653" t="n">
        <f>IF($E$129="","",$E$129)</f>
        <v>87.57</v>
      </c>
      <c r="AQ225" s="653" t="str">
        <f>IF($F$129="","",$F$129)</f>
      </c>
      <c r="AR225" s="653" t="str">
        <f>IF($G$129="","",$G$129)</f>
      </c>
      <c r="AS225" t="str">
        <v>PROJECT CASH FLOW | H9</v>
      </c>
      <c r="AT225" s="9" t="n">
        <v>46228</v>
      </c>
      <c r="AU225" t="str">
        <v>Mapped</v>
      </c>
      <c r="AV225" t="str">
        <v>Model owner</v>
      </c>
      <c r="AW225" t="str">
        <v>Current detailed data-book amount.</v>
      </c>
      <c r="AX225" t="str">
        <v>Hard-coded model input</v>
      </c>
      <c r="AY225" s="2440" t="n">
        <f>$H$129</f>
        <v>87.57</v>
      </c>
      <c r="AZ225" t="str">
        <v>Yes</v>
      </c>
      <c r="BA225" t="str">
        <v>PROJECTS register</v>
      </c>
      <c r="BB225" t="str">
        <v>G225</v>
      </c>
      <c r="BC225" t="str">
        <v>PROJECTS register book(4).xlsm</v>
      </c>
      <c r="BD225" t="str">
        <v>No</v>
      </c>
      <c r="BE225" t="str">
        <v>None — technical mapping complete.</v>
      </c>
      <c r="BF225" s="2442" t="n">
        <v>46231</v>
      </c>
      <c r="BG225" t="str">
        <f>IF($AZ225="No","PASS",IF(OR($AX225="Owner decision outstanding",$BD225="OWNER DECISION"),"WARNING",IF(OR($AP225="",$AN225="",$AS225="",$AV225=""),"FAIL","PASS")))</f>
        <v>PASS</v>
      </c>
    </row>
    <row r="226" ht="24" customHeight="1">
      <c r="A226" s="2559" t="str">
        <v>INVESTORS &amp; OWNERSHIP</v>
      </c>
      <c r="B226" s="2559"/>
      <c r="C226" s="2559"/>
      <c r="D226" s="2559"/>
      <c r="E226" s="2560"/>
      <c r="F226" s="2560"/>
      <c r="G226" s="2560"/>
      <c r="H226" s="2560"/>
      <c r="I226" s="2536"/>
      <c r="J226" s="2537"/>
      <c r="K226" s="2537"/>
      <c r="AJ226" t="str">
        <v>CMP-PBSA-FIT</v>
      </c>
      <c r="AK226" t="str">
        <v>Development capex</v>
      </c>
      <c r="AL226" t="str">
        <v>PBSA/student accommodation</v>
      </c>
      <c r="AM226" t="str">
        <v>Fit-out CAPEX</v>
      </c>
      <c r="AN226" t="str">
        <v>A$m</v>
      </c>
      <c r="AO226" t="str">
        <v>Current budget</v>
      </c>
      <c r="AP226" s="653" t="n">
        <f>IF($E$130="","",$E$130)</f>
        <v>26.63</v>
      </c>
      <c r="AQ226" s="653" t="str">
        <f>IF($F$130="","",$F$130)</f>
      </c>
      <c r="AR226" s="653" t="str">
        <f>IF($G$130="","",$G$130)</f>
      </c>
      <c r="AS226" t="str">
        <v>PROJECT CASH FLOW | I9</v>
      </c>
      <c r="AT226" s="9" t="n">
        <v>46228</v>
      </c>
      <c r="AU226" t="str">
        <v>Mapped</v>
      </c>
      <c r="AV226" t="str">
        <v>Model owner</v>
      </c>
      <c r="AW226" t="str">
        <v>Current detailed data-book amount.</v>
      </c>
      <c r="AX226" t="str">
        <v>Hard-coded model input</v>
      </c>
      <c r="AY226" s="2440" t="n">
        <f>$H$130</f>
        <v>26.63</v>
      </c>
      <c r="AZ226" t="str">
        <v>Yes</v>
      </c>
      <c r="BA226" t="str">
        <v>PROJECTS register</v>
      </c>
      <c r="BB226" t="str">
        <v>G226</v>
      </c>
      <c r="BC226" t="str">
        <v>PROJECTS register book(4).xlsm</v>
      </c>
      <c r="BD226" t="str">
        <v>No</v>
      </c>
      <c r="BE226" t="str">
        <v>None — technical mapping complete.</v>
      </c>
      <c r="BF226" s="2442" t="n">
        <v>46231</v>
      </c>
      <c r="BG226" t="str">
        <f>IF($AZ226="No","PASS",IF(OR($AX226="Owner decision outstanding",$BD226="OWNER DECISION"),"WARNING",IF(OR($AP226="",$AN226="",$AS226="",$AV226=""),"FAIL","PASS")))</f>
        <v>PASS</v>
      </c>
    </row>
    <row r="227" ht="24" customHeight="1">
      <c r="A227" s="2512" t="str">
        <v>Field ID</v>
      </c>
      <c r="B227" s="2512" t="str">
        <v>Component</v>
      </c>
      <c r="C227" s="2512" t="str">
        <v>Assumption</v>
      </c>
      <c r="D227" s="2512" t="str">
        <v>Unit / Period</v>
      </c>
      <c r="E227" s="2539" t="str">
        <v>Base</v>
      </c>
      <c r="F227" s="2539" t="str">
        <v>Downside</v>
      </c>
      <c r="G227" s="2539" t="str">
        <v>Upside</v>
      </c>
      <c r="H227" s="2539" t="str">
        <v>Selected Value</v>
      </c>
      <c r="I227" s="2540" t="str">
        <v>Status / Source</v>
      </c>
      <c r="J227" s="2512" t="str">
        <v>Owner / Input Type</v>
      </c>
      <c r="K227" s="2512" t="str">
        <v>Notes</v>
      </c>
      <c r="AJ227" t="str">
        <v>CMP-LIVE-FP</v>
      </c>
      <c r="AK227" t="str">
        <v>Areas and capacities</v>
      </c>
      <c r="AL227" t="str">
        <v>LiveHouse</v>
      </c>
      <c r="AM227" t="str">
        <v>Component footprint</v>
      </c>
      <c r="AN227" t="str">
        <v>sqm</v>
      </c>
      <c r="AO227" t="str">
        <v>Current</v>
      </c>
      <c r="AP227" s="652" t="n">
        <f>IF($E$77="","",$E$77)</f>
        <v>9000</v>
      </c>
      <c r="AQ227" s="652" t="str">
        <f>IF($F$77="","",$F$77)</f>
      </c>
      <c r="AR227" s="652" t="str">
        <f>IF($G$77="","",$G$77)</f>
      </c>
      <c r="AS227" t="str">
        <v>PROJECT CASH FLOW | E10</v>
      </c>
      <c r="AT227" s="9" t="n">
        <v>46228</v>
      </c>
      <c r="AU227" t="str">
        <v>Mapped</v>
      </c>
      <c r="AV227" t="str">
        <v>Model owner</v>
      </c>
      <c r="AW227" t="str">
        <v>Central source input for the LiveHouse component schedule.</v>
      </c>
      <c r="AX227" t="str">
        <v>Hard-coded model input</v>
      </c>
      <c r="AY227" s="2440" t="n">
        <f>$H$77</f>
        <v>9000</v>
      </c>
      <c r="AZ227" t="str">
        <v>Yes</v>
      </c>
      <c r="BA227" t="str">
        <v>PROJECTS register</v>
      </c>
      <c r="BB227" t="str">
        <v>G227</v>
      </c>
      <c r="BC227" t="str">
        <v>PROJECTS register book(4).xlsm</v>
      </c>
      <c r="BD227" t="str">
        <v>No</v>
      </c>
      <c r="BE227" t="str">
        <v>None — technical mapping complete.</v>
      </c>
      <c r="BF227" s="2442" t="n">
        <v>46231</v>
      </c>
      <c r="BG227" t="str">
        <f>IF($AZ227="No","PASS",IF(OR($AX227="Owner decision outstanding",$BD227="OWNER DECISION"),"WARNING",IF(OR($AP227="",$AN227="",$AS227="",$AV227=""),"FAIL","PASS")))</f>
        <v>PASS</v>
      </c>
    </row>
    <row r="228" ht="24" customHeight="1">
      <c r="A228" s="2517" t="str">
        <f>$AJ$120</f>
        <v>INV-001</v>
      </c>
      <c r="B228" s="2517" t="str">
        <f>$AL$120</f>
        <v>General partner</v>
      </c>
      <c r="C228" s="2517" t="str">
        <f>$AM$120</f>
        <v>Investor name</v>
      </c>
      <c r="D228" s="2504" t="str">
        <f>$AN$120&amp;IF($AO$120="",""," | "&amp;IF($AN$120="Date",TEXT($AO$120,"dd mmm yyyy"),$AO$120))</f>
        <v>Text | Current</v>
      </c>
      <c r="E228" s="2542" t="str">
        <f>$AP$120</f>
        <v>Sponsor / General Partner — illustrative waterfall</v>
      </c>
      <c r="F228" s="2542"/>
      <c r="G228" s="2542"/>
      <c r="H228" s="2542" t="str">
        <f>IF($A228="","",$E228)</f>
        <v>Sponsor / General Partner — illustrative waterfall</v>
      </c>
      <c r="I228" s="2543" t="str">
        <f>$AU$120&amp;IF($AS$120="",""," | "&amp;$AS$120)</f>
        <v>Waived — named investor schedule controls | Target: Underwriting | C228</v>
      </c>
      <c r="J228" s="2504" t="str">
        <f>$AV$120&amp;" | "&amp;$AX$120</f>
        <v>Model owner | Superseded / inactive</v>
      </c>
      <c r="K228" s="2504" t="str">
        <f>$AW$120</f>
        <v>Target placeholder retained; management confirmation required. | The generic GP/LP placeholder and waterfall assumptions are not used for named-investor attribution; the funded ordinary-equity register controls.</v>
      </c>
      <c r="AJ228" t="str">
        <v>CMP-LIVE-LAND</v>
      </c>
      <c r="AK228" t="str">
        <v>Areas and capacities</v>
      </c>
      <c r="AL228" t="str">
        <v>LiveHouse</v>
      </c>
      <c r="AM228" t="str">
        <v>Component land area</v>
      </c>
      <c r="AN228" t="str">
        <v>sqm</v>
      </c>
      <c r="AO228" t="str">
        <v>Current</v>
      </c>
      <c r="AP228" s="652" t="n">
        <f>IF($E$78="","",$E$78)</f>
        <v>9000</v>
      </c>
      <c r="AQ228" s="652" t="str">
        <f>IF($F$78="","",$F$78)</f>
      </c>
      <c r="AR228" s="652" t="str">
        <f>IF($G$78="","",$G$78)</f>
      </c>
      <c r="AS228" t="str">
        <v>PROJECT CASH FLOW | F10</v>
      </c>
      <c r="AT228" s="9" t="n">
        <v>46228</v>
      </c>
      <c r="AU228" t="str">
        <v>Mapped</v>
      </c>
      <c r="AV228" t="str">
        <v>Model owner</v>
      </c>
      <c r="AW228" t="str">
        <v>Source component land allocation.</v>
      </c>
      <c r="AX228" t="str">
        <v>Hard-coded model input</v>
      </c>
      <c r="AY228" s="2440" t="n">
        <f>$H$78</f>
        <v>9000</v>
      </c>
      <c r="AZ228" t="str">
        <v>Yes</v>
      </c>
      <c r="BA228" t="str">
        <v>PROJECTS register</v>
      </c>
      <c r="BB228" t="str">
        <v>G228</v>
      </c>
      <c r="BC228" t="str">
        <v>PROJECTS register book(4).xlsm</v>
      </c>
      <c r="BD228" t="str">
        <v>No</v>
      </c>
      <c r="BE228" t="str">
        <v>None — technical mapping complete.</v>
      </c>
      <c r="BF228" s="2442" t="n">
        <v>46231</v>
      </c>
      <c r="BG228" t="str">
        <f>IF($AZ228="No","PASS",IF(OR($AX228="Owner decision outstanding",$BD228="OWNER DECISION"),"WARNING",IF(OR($AP228="",$AN228="",$AS228="",$AV228=""),"FAIL","PASS")))</f>
        <v>PASS</v>
      </c>
    </row>
    <row r="229" ht="24" customHeight="1">
      <c r="A229" s="2504" t="str">
        <f>$AJ$121</f>
        <v>INV-002</v>
      </c>
      <c r="B229" s="2508" t="str">
        <f>$AL$121</f>
        <v>Limited partner</v>
      </c>
      <c r="C229" s="2504" t="str">
        <f>$AM$121</f>
        <v>Investor name</v>
      </c>
      <c r="D229" s="2504" t="str">
        <f>$AN$121&amp;IF($AO$121="",""," | "&amp;IF($AN$121="Date",TEXT($AO$121,"dd mmm yyyy"),$AO$121))</f>
        <v>Text | Current</v>
      </c>
      <c r="E229" s="2542" t="str">
        <f>$AP$121</f>
        <v>External Equity / Limited Partner — illustrative waterfall</v>
      </c>
      <c r="F229" s="2542"/>
      <c r="G229" s="2542"/>
      <c r="H229" s="2542" t="str">
        <f>IF($A229="","",$E229)</f>
        <v>External Equity / Limited Partner — illustrative waterfall</v>
      </c>
      <c r="I229" s="2543" t="str">
        <f>$AU$121&amp;IF($AS$121="",""," | "&amp;$AS$121)</f>
        <v>Waived — named investor schedule controls | Target: Underwriting | C229</v>
      </c>
      <c r="J229" s="2504" t="str">
        <f>$AV$121&amp;" | "&amp;$AX$121</f>
        <v>Model owner | Superseded / inactive</v>
      </c>
      <c r="K229" s="2504" t="str">
        <f>$AW$121</f>
        <v>Target placeholder retained; management confirmation required. | The generic GP/LP placeholder and waterfall assumptions are not used for named-investor attribution; the funded ordinary-equity register controls.</v>
      </c>
      <c r="AJ229" t="str">
        <v>CMP-LIVE-CORE</v>
      </c>
      <c r="AK229" t="str">
        <v>Development capex</v>
      </c>
      <c r="AL229" t="str">
        <v>LiveHouse</v>
      </c>
      <c r="AM229" t="str">
        <v>Core / shell CAPEX</v>
      </c>
      <c r="AN229" t="str">
        <v>A$m</v>
      </c>
      <c r="AO229" t="str">
        <v>Current budget</v>
      </c>
      <c r="AP229" s="653" t="n">
        <f>IF($E$131="","",$E$131)</f>
        <v>12.84499125</v>
      </c>
      <c r="AQ229" s="653" t="str">
        <f>IF($F$131="","",$F$131)</f>
      </c>
      <c r="AR229" s="653" t="str">
        <f>IF($G$131="","",$G$131)</f>
      </c>
      <c r="AS229" t="str">
        <v>PROJECT CASH FLOW | H10</v>
      </c>
      <c r="AT229" s="9" t="n">
        <v>46228</v>
      </c>
      <c r="AU229" t="str">
        <v>Mapped</v>
      </c>
      <c r="AV229" t="str">
        <v>Model owner</v>
      </c>
      <c r="AW229" t="str">
        <v>Current detailed data-book amount.</v>
      </c>
      <c r="AX229" t="str">
        <v>Hard-coded model input</v>
      </c>
      <c r="AY229" s="2440" t="n">
        <f>$H$131</f>
        <v>12.84499125</v>
      </c>
      <c r="AZ229" t="str">
        <v>Yes</v>
      </c>
      <c r="BA229" t="str">
        <v>PROJECTS register</v>
      </c>
      <c r="BB229" t="str">
        <v>G229</v>
      </c>
      <c r="BC229" t="str">
        <v>PROJECTS register book(4).xlsm</v>
      </c>
      <c r="BD229" t="str">
        <v>No</v>
      </c>
      <c r="BE229" t="str">
        <v>None — technical mapping complete.</v>
      </c>
      <c r="BF229" s="2442" t="n">
        <v>46231</v>
      </c>
      <c r="BG229" t="str">
        <f>IF($AZ229="No","PASS",IF(OR($AX229="Owner decision outstanding",$BD229="OWNER DECISION"),"WARNING",IF(OR($AP229="",$AN229="",$AS229="",$AV229=""),"FAIL","PASS")))</f>
        <v>PASS</v>
      </c>
    </row>
    <row r="230" ht="24" customHeight="1">
      <c r="A230" s="2504" t="str">
        <f>$AJ$122</f>
        <v>INV-003</v>
      </c>
      <c r="B230" s="2508" t="str">
        <f>$AL$122</f>
        <v>General partner</v>
      </c>
      <c r="C230" s="2504" t="str">
        <f>$AM$122</f>
        <v>Current ownership</v>
      </c>
      <c r="D230" s="2504" t="str">
        <f>$AN$122&amp;IF($AO$122="",""," | "&amp;IF($AN$122="Date",TEXT($AO$122,"dd mmm yyyy"),$AO$122))</f>
        <v>% | Current</v>
      </c>
      <c r="E230" s="2550" t="n">
        <f>$AP$122</f>
        <v>0.05</v>
      </c>
      <c r="F230" s="2550"/>
      <c r="G230" s="2550"/>
      <c r="H230" s="2550" t="n">
        <f>IF($A230="","",$E230)</f>
        <v>0.05</v>
      </c>
      <c r="I230" s="2543" t="str">
        <f>$AU$122&amp;IF($AS$122="",""," | "&amp;$AS$122)</f>
        <v>Waived — named investor schedule controls | Target: Underwriting | H228</v>
      </c>
      <c r="J230" s="2504" t="str">
        <f>$AV$122&amp;" | "&amp;$AX$122</f>
        <v>Model owner | Superseded / inactive</v>
      </c>
      <c r="K230" s="2504" t="str">
        <f>$AW$122</f>
        <v>No source ownership schedule supports replacement. | The generic GP/LP placeholder and waterfall assumptions are not used for named-investor attribution; the funded ordinary-equity register controls.</v>
      </c>
      <c r="AJ230" t="str">
        <v>CMP-LIVE-FIT</v>
      </c>
      <c r="AK230" t="str">
        <v>Development capex</v>
      </c>
      <c r="AL230" t="str">
        <v>LiveHouse</v>
      </c>
      <c r="AM230" t="str">
        <v>Fit-out CAPEX</v>
      </c>
      <c r="AN230" t="str">
        <v>A$m</v>
      </c>
      <c r="AO230" t="str">
        <v>Current budget</v>
      </c>
      <c r="AP230" s="653" t="n">
        <f>IF($E$132="","",$E$132)</f>
        <v>6.91653375</v>
      </c>
      <c r="AQ230" s="653" t="str">
        <f>IF($F$132="","",$F$132)</f>
      </c>
      <c r="AR230" s="653" t="str">
        <f>IF($G$132="","",$G$132)</f>
      </c>
      <c r="AS230" t="str">
        <v>PROJECT CASH FLOW | I10</v>
      </c>
      <c r="AT230" s="9" t="n">
        <v>46228</v>
      </c>
      <c r="AU230" t="str">
        <v>Mapped</v>
      </c>
      <c r="AV230" t="str">
        <v>Model owner</v>
      </c>
      <c r="AW230" t="str">
        <v>Current detailed data-book amount.</v>
      </c>
      <c r="AX230" t="str">
        <v>Hard-coded model input</v>
      </c>
      <c r="AY230" s="2440" t="n">
        <f>$H$132</f>
        <v>6.91653375</v>
      </c>
      <c r="AZ230" t="str">
        <v>Yes</v>
      </c>
      <c r="BA230" t="str">
        <v>PROJECTS register</v>
      </c>
      <c r="BB230" t="str">
        <v>G230</v>
      </c>
      <c r="BC230" t="str">
        <v>PROJECTS register book(4).xlsm</v>
      </c>
      <c r="BD230" t="str">
        <v>No</v>
      </c>
      <c r="BE230" t="str">
        <v>None — technical mapping complete.</v>
      </c>
      <c r="BF230" s="2442" t="n">
        <v>46231</v>
      </c>
      <c r="BG230" t="str">
        <f>IF($AZ230="No","PASS",IF(OR($AX230="Owner decision outstanding",$BD230="OWNER DECISION"),"WARNING",IF(OR($AP230="",$AN230="",$AS230="",$AV230=""),"FAIL","PASS")))</f>
        <v>PASS</v>
      </c>
    </row>
    <row r="231" ht="24" customHeight="1">
      <c r="A231" s="2504" t="str">
        <f>$AJ$123</f>
        <v>INV-004</v>
      </c>
      <c r="B231" s="2508" t="str">
        <f>$AL$123</f>
        <v>Limited partner</v>
      </c>
      <c r="C231" s="2504" t="str">
        <f>$AM$123</f>
        <v>Current ownership</v>
      </c>
      <c r="D231" s="2504" t="str">
        <f>$AN$123&amp;IF($AO$123="",""," | "&amp;IF($AN$123="Date",TEXT($AO$123,"dd mmm yyyy"),$AO$123))</f>
        <v>% | Current</v>
      </c>
      <c r="E231" s="2550" t="n">
        <f>$AP$123</f>
        <v>0.95</v>
      </c>
      <c r="F231" s="2550"/>
      <c r="G231" s="2550"/>
      <c r="H231" s="2550" t="n">
        <f>IF($A231="","",$E231)</f>
        <v>0.95</v>
      </c>
      <c r="I231" s="2543" t="str">
        <f>$AU$123&amp;IF($AS$123="",""," | "&amp;$AS$123)</f>
        <v>Waived — named investor schedule controls | Target: Underwriting | H229</v>
      </c>
      <c r="J231" s="2504" t="str">
        <f>$AV$123&amp;" | "&amp;$AX$123</f>
        <v>Model owner | Superseded / inactive</v>
      </c>
      <c r="K231" s="2504" t="str">
        <f>$AW$123</f>
        <v>760 | The generic GP/LP placeholder and waterfall assumptions are not used for named-investor attribution; the funded ordinary-equity register controls.</v>
      </c>
      <c r="AJ231" t="str">
        <v>CMP-SNOW-FP</v>
      </c>
      <c r="AK231" t="str">
        <v>Areas and capacities</v>
      </c>
      <c r="AL231" t="str">
        <v>Snowtunnel</v>
      </c>
      <c r="AM231" t="str">
        <v>Component footprint</v>
      </c>
      <c r="AN231" t="str">
        <v>sqm</v>
      </c>
      <c r="AO231" t="str">
        <v>Current</v>
      </c>
      <c r="AP231" s="652" t="n">
        <f>IF($E$79="","",$E$79)</f>
        <v>3800</v>
      </c>
      <c r="AQ231" s="652" t="str">
        <f>IF($F$79="","",$F$79)</f>
      </c>
      <c r="AR231" s="652" t="str">
        <f>IF($G$79="","",$G$79)</f>
      </c>
      <c r="AS231" t="str">
        <v>PROJECT CASH FLOW | E14</v>
      </c>
      <c r="AT231" s="9" t="n">
        <v>46228</v>
      </c>
      <c r="AU231" t="str">
        <v>Mapped</v>
      </c>
      <c r="AV231" t="str">
        <v>Model owner</v>
      </c>
      <c r="AW231" t="str">
        <v>Central source input for the Snowtunnel component schedule.</v>
      </c>
      <c r="AX231" t="str">
        <v>Hard-coded model input</v>
      </c>
      <c r="AY231" s="2440" t="n">
        <f>$H$79</f>
        <v>3800</v>
      </c>
      <c r="AZ231" t="str">
        <v>Yes</v>
      </c>
      <c r="BA231" t="str">
        <v>PROJECTS register</v>
      </c>
      <c r="BB231" t="str">
        <v>G231</v>
      </c>
      <c r="BC231" t="str">
        <v>PROJECTS register book(4).xlsm</v>
      </c>
      <c r="BD231" t="str">
        <v>No</v>
      </c>
      <c r="BE231" t="str">
        <v>None — technical mapping complete.</v>
      </c>
      <c r="BF231" s="2442" t="n">
        <v>46231</v>
      </c>
      <c r="BG231" t="str">
        <f>IF($AZ231="No","PASS",IF(OR($AX231="Owner decision outstanding",$BD231="OWNER DECISION"),"WARNING",IF(OR($AP231="",$AN231="",$AS231="",$AV231=""),"FAIL","PASS")))</f>
        <v>PASS</v>
      </c>
    </row>
    <row r="232" ht="24" customHeight="1">
      <c r="A232" s="2504" t="str">
        <f>$AJ$124</f>
        <v>INV-005</v>
      </c>
      <c r="B232" s="2508" t="str">
        <f>$AL$124</f>
        <v>Waterfall</v>
      </c>
      <c r="C232" s="2504" t="str">
        <f>$AM$124</f>
        <v>Preferred return</v>
      </c>
      <c r="D232" s="2504" t="str">
        <f>$AN$124&amp;IF($AO$124="",""," | "&amp;IF($AN$124="Date",TEXT($AO$124,"dd mmm yyyy"),$AO$124))</f>
        <v>% | Current</v>
      </c>
      <c r="E232" s="2550" t="n">
        <f>$AP$124</f>
        <v>0.09</v>
      </c>
      <c r="F232" s="2550"/>
      <c r="G232" s="2550"/>
      <c r="H232" s="2550" t="n">
        <f>IF($A232="","",$E232)</f>
        <v>0.09</v>
      </c>
      <c r="I232" s="2543" t="str">
        <f>$AU$124&amp;IF($AS$124="",""," | "&amp;$AS$124)</f>
        <v>Waived — named investor schedule controls | Target: Underwriting | F233</v>
      </c>
      <c r="J232" s="2504" t="str">
        <f>$AV$124&amp;" | "&amp;$AX$124</f>
        <v>Model owner | Superseded / inactive</v>
      </c>
      <c r="K232" s="2504" t="str">
        <f>$AW$124</f>
        <v>No source ownership/waterfall schedule supports replacement. | The generic GP/LP placeholder and waterfall assumptions are not used for named-investor attribution; the funded ordinary-equity register controls.</v>
      </c>
      <c r="AJ232" t="str">
        <v>CMP-SNOW-LAND</v>
      </c>
      <c r="AK232" t="str">
        <v>Areas and capacities</v>
      </c>
      <c r="AL232" t="str">
        <v>Snowtunnel</v>
      </c>
      <c r="AM232" t="str">
        <v>Component land area</v>
      </c>
      <c r="AN232" t="str">
        <v>sqm</v>
      </c>
      <c r="AO232" t="str">
        <v>Current</v>
      </c>
      <c r="AP232" s="652" t="n">
        <f>IF($E$80="","",$E$80)</f>
        <v>300</v>
      </c>
      <c r="AQ232" s="652" t="str">
        <f>IF($F$80="","",$F$80)</f>
      </c>
      <c r="AR232" s="652" t="str">
        <f>IF($G$80="","",$G$80)</f>
      </c>
      <c r="AS232" t="str">
        <v>PROJECT CASH FLOW | F14</v>
      </c>
      <c r="AT232" s="9" t="n">
        <v>46228</v>
      </c>
      <c r="AU232" t="str">
        <v>Mapped</v>
      </c>
      <c r="AV232" t="str">
        <v>Model owner</v>
      </c>
      <c r="AW232" t="str">
        <v>Source component land allocation.</v>
      </c>
      <c r="AX232" t="str">
        <v>Hard-coded model input</v>
      </c>
      <c r="AY232" s="2440" t="n">
        <f>$H$80</f>
        <v>300</v>
      </c>
      <c r="AZ232" t="str">
        <v>Yes</v>
      </c>
      <c r="BA232" t="str">
        <v>PROJECTS register</v>
      </c>
      <c r="BB232" t="str">
        <v>G232</v>
      </c>
      <c r="BC232" t="str">
        <v>PROJECTS register book(4).xlsm</v>
      </c>
      <c r="BD232" t="str">
        <v>No</v>
      </c>
      <c r="BE232" t="str">
        <v>None — technical mapping complete.</v>
      </c>
      <c r="BF232" s="2442" t="n">
        <v>46231</v>
      </c>
      <c r="BG232" t="str">
        <f>IF($AZ232="No","PASS",IF(OR($AX232="Owner decision outstanding",$BD232="OWNER DECISION"),"WARNING",IF(OR($AP232="",$AN232="",$AS232="",$AV232=""),"FAIL","PASS")))</f>
        <v>PASS</v>
      </c>
    </row>
    <row r="233" ht="24" customHeight="1">
      <c r="A233" s="2504" t="str">
        <f>$AJ$125</f>
        <v>INV-006</v>
      </c>
      <c r="B233" s="2504" t="str">
        <f>$AL$125</f>
        <v>Waterfall</v>
      </c>
      <c r="C233" s="2504" t="str">
        <f>$AM$125</f>
        <v>Tier 1 hurdle</v>
      </c>
      <c r="D233" s="2504" t="str">
        <f>$AN$125&amp;IF($AO$125="",""," | "&amp;IF($AN$125="Date",TEXT($AO$125,"dd mmm yyyy"),$AO$125))</f>
        <v>% | Current</v>
      </c>
      <c r="E233" s="2550" t="n">
        <f>$AP$125</f>
        <v>0.12</v>
      </c>
      <c r="F233" s="2550"/>
      <c r="G233" s="2550"/>
      <c r="H233" s="2550" t="n">
        <f>IF($A233="","",$E233)</f>
        <v>0.12</v>
      </c>
      <c r="I233" s="2543" t="str">
        <f>$AU$125&amp;IF($AS$125="",""," | "&amp;$AS$125)</f>
        <v>Waived — named investor schedule controls | Target: Underwriting | F234</v>
      </c>
      <c r="J233" s="2504" t="str">
        <f>$AV$125&amp;" | "&amp;$AX$125</f>
        <v>Model owner | Superseded / inactive</v>
      </c>
      <c r="K233" s="2504" t="str">
        <f>$AW$125</f>
        <v>No source ownership/waterfall schedule supports replacement. | The generic GP/LP placeholder and waterfall assumptions are not used for named-investor attribution; the funded ordinary-equity register controls.</v>
      </c>
      <c r="AJ233" t="str">
        <v>CMP-SNOW-CORE</v>
      </c>
      <c r="AK233" t="str">
        <v>Development capex</v>
      </c>
      <c r="AL233" t="str">
        <v>Snowtunnel</v>
      </c>
      <c r="AM233" t="str">
        <v>Core / shell CAPEX</v>
      </c>
      <c r="AN233" t="str">
        <v>A$m</v>
      </c>
      <c r="AO233" t="str">
        <v>Current budget</v>
      </c>
      <c r="AP233" s="653" t="n">
        <f>IF($E$133="","",$E$133)</f>
        <v>13</v>
      </c>
      <c r="AQ233" s="653" t="str">
        <f>IF($F$133="","",$F$133)</f>
      </c>
      <c r="AR233" s="653" t="str">
        <f>IF($G$133="","",$G$133)</f>
      </c>
      <c r="AS233" t="str">
        <v>PROJECT CASH FLOW | H14</v>
      </c>
      <c r="AT233" s="9" t="n">
        <v>46228</v>
      </c>
      <c r="AU233" t="str">
        <v>Mapped</v>
      </c>
      <c r="AV233" t="str">
        <v>Model owner</v>
      </c>
      <c r="AW233" t="str">
        <v>Current detailed data-book amount.</v>
      </c>
      <c r="AX233" t="str">
        <v>Hard-coded model input</v>
      </c>
      <c r="AY233" s="2440" t="n">
        <f>$H$133</f>
        <v>13</v>
      </c>
      <c r="AZ233" t="str">
        <v>Yes</v>
      </c>
      <c r="BA233" t="str">
        <v>PROJECTS register</v>
      </c>
      <c r="BB233" t="str">
        <v>G233</v>
      </c>
      <c r="BC233" t="str">
        <v>PROJECTS register book(4).xlsm</v>
      </c>
      <c r="BD233" t="str">
        <v>No</v>
      </c>
      <c r="BE233" t="str">
        <v>None — technical mapping complete.</v>
      </c>
      <c r="BF233" s="2442" t="n">
        <v>46231</v>
      </c>
      <c r="BG233" t="str">
        <f>IF($AZ233="No","PASS",IF(OR($AX233="Owner decision outstanding",$BD233="OWNER DECISION"),"WARNING",IF(OR($AP233="",$AN233="",$AS233="",$AV233=""),"FAIL","PASS")))</f>
        <v>PASS</v>
      </c>
    </row>
    <row r="234" ht="24" customHeight="1">
      <c r="A234" s="2504" t="str">
        <f>$AJ$126</f>
        <v>INV-007</v>
      </c>
      <c r="B234" s="2504" t="str">
        <f>$AL$126</f>
        <v>Waterfall</v>
      </c>
      <c r="C234" s="2504" t="str">
        <f>$AM$126</f>
        <v>Tier 2 hurdle</v>
      </c>
      <c r="D234" s="2504" t="str">
        <f>$AN$126&amp;IF($AO$126="",""," | "&amp;IF($AN$126="Date",TEXT($AO$126,"dd mmm yyyy"),$AO$126))</f>
        <v>% | Current</v>
      </c>
      <c r="E234" s="2550" t="n">
        <f>$AP$126</f>
        <v>0.15</v>
      </c>
      <c r="F234" s="2550"/>
      <c r="G234" s="2550"/>
      <c r="H234" s="2550" t="n">
        <f>IF($A234="","",$E234)</f>
        <v>0.15</v>
      </c>
      <c r="I234" s="2543" t="str">
        <f>$AU$126&amp;IF($AS$126="",""," | "&amp;$AS$126)</f>
        <v>Waived — named investor schedule controls | Target: Underwriting | F235</v>
      </c>
      <c r="J234" s="2504" t="str">
        <f>$AV$126&amp;" | "&amp;$AX$126</f>
        <v>Model owner | Superseded / inactive</v>
      </c>
      <c r="K234" s="2504" t="str">
        <f>$AW$126</f>
        <v>No source ownership/waterfall schedule supports replacement. | The generic GP/LP placeholder and waterfall assumptions are not used for named-investor attribution; the funded ordinary-equity register controls.</v>
      </c>
      <c r="AJ234" t="str">
        <v>CMP-SNOW-FIT</v>
      </c>
      <c r="AK234" t="str">
        <v>Development capex</v>
      </c>
      <c r="AL234" t="str">
        <v>Snowtunnel</v>
      </c>
      <c r="AM234" t="str">
        <v>Fit-out CAPEX</v>
      </c>
      <c r="AN234" t="str">
        <v>A$m</v>
      </c>
      <c r="AO234" t="str">
        <v>Current budget</v>
      </c>
      <c r="AP234" s="653" t="str">
        <f>IF($E$134="","",$E$134)</f>
      </c>
      <c r="AQ234" s="653" t="str">
        <f>IF($F$134="","",$F$134)</f>
      </c>
      <c r="AR234" s="653" t="str">
        <f>IF($G$134="","",$G$134)</f>
      </c>
      <c r="AS234" t="str">
        <v>PROJECT CASH FLOW | I14</v>
      </c>
      <c r="AT234" s="9" t="n">
        <v>46228</v>
      </c>
      <c r="AU234" t="str">
        <v>Mapped</v>
      </c>
      <c r="AV234" t="str">
        <v>Model owner</v>
      </c>
      <c r="AW234" t="str">
        <v>Current detailed data-book amount.</v>
      </c>
      <c r="AX234" t="str">
        <v>Hard-coded model input</v>
      </c>
      <c r="AY234" s="2440" t="n">
        <f>$H$134</f>
        <v>0</v>
      </c>
      <c r="AZ234" t="str">
        <v>Yes</v>
      </c>
      <c r="BA234" t="str">
        <v>PROJECTS register</v>
      </c>
      <c r="BB234" t="str">
        <v>G234</v>
      </c>
      <c r="BC234" t="str">
        <v>PROJECTS register book(4).xlsm</v>
      </c>
      <c r="BD234" t="str">
        <v>No</v>
      </c>
      <c r="BE234" t="str">
        <v>None — technical mapping complete.</v>
      </c>
      <c r="BF234" s="2442" t="n">
        <v>46231</v>
      </c>
      <c r="BG234" t="str">
        <f>IF($AZ234="No","PASS",IF(OR($AX234="Owner decision outstanding",$BD234="OWNER DECISION"),"WARNING",IF(OR($AP234="",$AN234="",$AS234="",$AV234=""),"FAIL","PASS")))</f>
        <v>FAIL</v>
      </c>
    </row>
    <row r="235" ht="24" customHeight="1">
      <c r="A235" s="2508" t="str">
        <f>$AJ$127</f>
        <v>INV-008</v>
      </c>
      <c r="B235" s="2508" t="str">
        <f>$AL$127</f>
        <v>Waterfall</v>
      </c>
      <c r="C235" s="2508" t="str">
        <f>$AM$127</f>
        <v>Tier 1 promote</v>
      </c>
      <c r="D235" s="2508" t="str">
        <f>$AN$127&amp;IF($AO$127="",""," | "&amp;IF($AN$127="Date",TEXT($AO$127,"dd mmm yyyy"),$AO$127))</f>
        <v>% | Current</v>
      </c>
      <c r="E235" s="2552" t="n">
        <f>$AP$127</f>
        <v>0.15</v>
      </c>
      <c r="F235" s="2552"/>
      <c r="G235" s="2552"/>
      <c r="H235" s="2552" t="n">
        <f>IF($A235="","",$E235)</f>
        <v>0.15</v>
      </c>
      <c r="I235" s="2543" t="str">
        <f>$AU$127&amp;IF($AS$127="",""," | "&amp;$AS$127)</f>
        <v>Waived — named investor schedule controls | Target: Underwriting | G234</v>
      </c>
      <c r="J235" s="2504" t="str">
        <f>$AV$127&amp;" | "&amp;$AX$127</f>
        <v>Model owner | Superseded / inactive</v>
      </c>
      <c r="K235" s="2504" t="str">
        <f>$AW$127</f>
        <v>No source ownership/waterfall schedule supports replacement. | The generic GP/LP placeholder and waterfall assumptions are not used for named-investor attribution; the funded ordinary-equity register controls.</v>
      </c>
      <c r="AJ235" t="str">
        <v>CMP-GEN-FP</v>
      </c>
      <c r="AK235" t="str">
        <v>Areas and capacities</v>
      </c>
      <c r="AL235" t="str">
        <v>Genesis</v>
      </c>
      <c r="AM235" t="str">
        <v>Component footprint</v>
      </c>
      <c r="AN235" t="str">
        <v>sqm</v>
      </c>
      <c r="AO235" t="str">
        <v>Current</v>
      </c>
      <c r="AP235" s="652" t="n">
        <f>IF($E$81="","",$E$81)</f>
        <v>4000</v>
      </c>
      <c r="AQ235" s="652" t="str">
        <f>IF($F$81="","",$F$81)</f>
      </c>
      <c r="AR235" s="652" t="str">
        <f>IF($G$81="","",$G$81)</f>
      </c>
      <c r="AS235" t="str">
        <v>PROJECT CASH FLOW | E12</v>
      </c>
      <c r="AT235" s="9" t="n">
        <v>46228</v>
      </c>
      <c r="AU235" t="str">
        <v>Mapped</v>
      </c>
      <c r="AV235" t="str">
        <v>Model owner</v>
      </c>
      <c r="AW235" t="str">
        <v>Central source input for the Genesis component schedule.</v>
      </c>
      <c r="AX235" t="str">
        <v>Hard-coded model input</v>
      </c>
      <c r="AY235" s="2440" t="n">
        <f>$H$81</f>
        <v>4000</v>
      </c>
      <c r="AZ235" t="str">
        <v>Yes</v>
      </c>
      <c r="BA235" t="str">
        <v>PROJECTS register</v>
      </c>
      <c r="BB235" t="str">
        <v>G235</v>
      </c>
      <c r="BC235" t="str">
        <v>PROJECTS register book(4).xlsm</v>
      </c>
      <c r="BD235" t="str">
        <v>No</v>
      </c>
      <c r="BE235" t="str">
        <v>None — technical mapping complete.</v>
      </c>
      <c r="BF235" s="2442" t="n">
        <v>46231</v>
      </c>
      <c r="BG235" t="str">
        <f>IF($AZ235="No","PASS",IF(OR($AX235="Owner decision outstanding",$BD235="OWNER DECISION"),"WARNING",IF(OR($AP235="",$AN235="",$AS235="",$AV235=""),"FAIL","PASS")))</f>
        <v>PASS</v>
      </c>
    </row>
    <row r="236" ht="24" customHeight="1">
      <c r="A236" s="2504" t="str">
        <f>$AJ$128</f>
        <v>INV-009</v>
      </c>
      <c r="B236" s="2504" t="str">
        <f>$AL$128</f>
        <v>Waterfall</v>
      </c>
      <c r="C236" s="2504" t="str">
        <f>$AM$128</f>
        <v>Tier 2 promote</v>
      </c>
      <c r="D236" s="2504" t="str">
        <f>$AN$128&amp;IF($AO$128="",""," | "&amp;IF($AN$128="Date",TEXT($AO$128,"dd mmm yyyy"),$AO$128))</f>
        <v>% | Current</v>
      </c>
      <c r="E236" s="2550" t="n">
        <f>$AP$128</f>
        <v>0.3</v>
      </c>
      <c r="F236" s="2550"/>
      <c r="G236" s="2550"/>
      <c r="H236" s="2550" t="n">
        <f>IF($A236="","",$E236)</f>
        <v>0.3</v>
      </c>
      <c r="I236" s="2543" t="str">
        <f>$AU$128&amp;IF($AS$128="",""," | "&amp;$AS$128)</f>
        <v>Waived — named investor schedule controls | Target: Underwriting | G235</v>
      </c>
      <c r="J236" s="2504" t="str">
        <f>$AV$128&amp;" | "&amp;$AX$128</f>
        <v>Model owner | Superseded / inactive</v>
      </c>
      <c r="K236" s="2504" t="str">
        <f>$AW$128</f>
        <v>No source ownership/waterfall schedule supports replacement. | The generic GP/LP placeholder and waterfall assumptions are not used for named-investor attribution; the funded ordinary-equity register controls.</v>
      </c>
      <c r="AJ236" t="str">
        <v>CMP-GEN-LAND</v>
      </c>
      <c r="AK236" t="str">
        <v>Areas and capacities</v>
      </c>
      <c r="AL236" t="str">
        <v>Genesis</v>
      </c>
      <c r="AM236" t="str">
        <v>Component land area</v>
      </c>
      <c r="AN236" t="str">
        <v>sqm</v>
      </c>
      <c r="AO236" t="str">
        <v>Current</v>
      </c>
      <c r="AP236" s="652" t="n">
        <f>IF($E$82="","",$E$82)</f>
        <v>200</v>
      </c>
      <c r="AQ236" s="652" t="str">
        <f>IF($F$82="","",$F$82)</f>
      </c>
      <c r="AR236" s="652" t="str">
        <f>IF($G$82="","",$G$82)</f>
      </c>
      <c r="AS236" t="str">
        <v>PROJECT CASH FLOW | F12</v>
      </c>
      <c r="AT236" s="9" t="n">
        <v>46228</v>
      </c>
      <c r="AU236" t="str">
        <v>Mapped</v>
      </c>
      <c r="AV236" t="str">
        <v>Model owner</v>
      </c>
      <c r="AW236" t="str">
        <v>Source component land allocation.</v>
      </c>
      <c r="AX236" t="str">
        <v>Hard-coded model input</v>
      </c>
      <c r="AY236" s="2440" t="n">
        <f>$H$82</f>
        <v>200</v>
      </c>
      <c r="AZ236" t="str">
        <v>Yes</v>
      </c>
      <c r="BA236" t="str">
        <v>PROJECTS register</v>
      </c>
      <c r="BB236" t="str">
        <v>G236</v>
      </c>
      <c r="BC236" t="str">
        <v>PROJECTS register book(4).xlsm</v>
      </c>
      <c r="BD236" t="str">
        <v>No</v>
      </c>
      <c r="BE236" t="str">
        <v>None — technical mapping complete.</v>
      </c>
      <c r="BF236" s="2442" t="n">
        <v>46231</v>
      </c>
      <c r="BG236" t="str">
        <f>IF($AZ236="No","PASS",IF(OR($AX236="Owner decision outstanding",$BD236="OWNER DECISION"),"WARNING",IF(OR($AP236="",$AN236="",$AS236="",$AV236=""),"FAIL","PASS")))</f>
        <v>PASS</v>
      </c>
    </row>
    <row r="237" ht="24" customHeight="1">
      <c r="A237" s="2508" t="str">
        <f>$AJ$129</f>
        <v>INV-010</v>
      </c>
      <c r="B237" s="2508" t="str">
        <f>$AL$129</f>
        <v>Waterfall</v>
      </c>
      <c r="C237" s="2508" t="str">
        <f>$AM$129</f>
        <v>Tier 3 promote</v>
      </c>
      <c r="D237" s="2508" t="str">
        <f>$AN$129&amp;IF($AO$129="",""," | "&amp;IF($AN$129="Date",TEXT($AO$129,"dd mmm yyyy"),$AO$129))</f>
        <v>% | Current</v>
      </c>
      <c r="E237" s="2552" t="n">
        <f>$AP$129</f>
        <v>0.4</v>
      </c>
      <c r="F237" s="2552"/>
      <c r="G237" s="2552"/>
      <c r="H237" s="2552" t="n">
        <f>IF($A237="","",$E237)</f>
        <v>0.4</v>
      </c>
      <c r="I237" s="2543" t="str">
        <f>$AU$129&amp;IF($AS$129="",""," | "&amp;$AS$129)</f>
        <v>Waived — named investor schedule controls | Target: Underwriting | G236</v>
      </c>
      <c r="J237" s="2504" t="str">
        <f>$AV$129&amp;" | "&amp;$AX$129</f>
        <v>Model owner | Superseded / inactive</v>
      </c>
      <c r="K237" s="2504" t="str">
        <f>$AW$129</f>
        <v>No source ownership/waterfall schedule supports replacement. | The generic GP/LP placeholder and waterfall assumptions are not used for named-investor attribution; the funded ordinary-equity register controls.</v>
      </c>
      <c r="AJ237" t="str">
        <v>CMP-GEN-CORE</v>
      </c>
      <c r="AK237" t="str">
        <v>Development capex</v>
      </c>
      <c r="AL237" t="str">
        <v>Genesis</v>
      </c>
      <c r="AM237" t="str">
        <v>Core / shell CAPEX</v>
      </c>
      <c r="AN237" t="str">
        <v>A$m</v>
      </c>
      <c r="AO237" t="str">
        <v>Current budget</v>
      </c>
      <c r="AP237" s="653" t="n">
        <f>IF($E$135="","",$E$135)</f>
        <v>14.5</v>
      </c>
      <c r="AQ237" s="653" t="str">
        <f>IF($F$135="","",$F$135)</f>
      </c>
      <c r="AR237" s="653" t="str">
        <f>IF($G$135="","",$G$135)</f>
      </c>
      <c r="AS237" t="str">
        <v>PROJECT CASH FLOW | H12</v>
      </c>
      <c r="AT237" s="9" t="n">
        <v>46228</v>
      </c>
      <c r="AU237" t="str">
        <v>Mapped</v>
      </c>
      <c r="AV237" t="str">
        <v>Model owner</v>
      </c>
      <c r="AW237" t="str">
        <v>Current detailed data-book amount.</v>
      </c>
      <c r="AX237" t="str">
        <v>Hard-coded model input</v>
      </c>
      <c r="AY237" s="2440" t="n">
        <f>$H$135</f>
        <v>14.5</v>
      </c>
      <c r="AZ237" t="str">
        <v>Yes</v>
      </c>
      <c r="BA237" t="str">
        <v>PROJECTS register</v>
      </c>
      <c r="BB237" t="str">
        <v>G237</v>
      </c>
      <c r="BC237" t="str">
        <v>PROJECTS register book(4).xlsm</v>
      </c>
      <c r="BD237" t="str">
        <v>No</v>
      </c>
      <c r="BE237" t="str">
        <v>None — technical mapping complete.</v>
      </c>
      <c r="BF237" s="2442" t="n">
        <v>46231</v>
      </c>
      <c r="BG237" t="str">
        <f>IF($AZ237="No","PASS",IF(OR($AX237="Owner decision outstanding",$BD237="OWNER DECISION"),"WARNING",IF(OR($AP237="",$AN237="",$AS237="",$AV237=""),"FAIL","PASS")))</f>
        <v>PASS</v>
      </c>
    </row>
    <row r="238" ht="24" customHeight="1">
      <c r="A238" s="2512" t="str">
        <f>$AJ$130</f>
        <v>INV-SRC-01</v>
      </c>
      <c r="B238" s="2512" t="str">
        <f>$AL$130</f>
        <v>Mayabay</v>
      </c>
      <c r="C238" s="2512" t="str">
        <f>$AM$130</f>
        <v>Indicative source funding</v>
      </c>
      <c r="D238" s="2512" t="str">
        <f>$AN$130&amp;IF($AO$130="",""," | "&amp;IF($AN$130="Date",TEXT($AO$130,"dd mmm yyyy"),$AO$130))</f>
        <v>A$m | Source funding plan</v>
      </c>
      <c r="E238" s="2510" t="n">
        <f>$AP$130</f>
        <v>15.001</v>
      </c>
      <c r="F238" s="2510"/>
      <c r="G238" s="2510"/>
      <c r="H238" s="2510" t="n">
        <f>IF($A238="","",$E238)</f>
        <v>15.001</v>
      </c>
      <c r="I238" s="2543" t="str">
        <f>$AU$130&amp;IF($AS$130="",""," | "&amp;$AS$130)</f>
        <v>Mapped — provisional | PROJECT CASH FLOW | E103</v>
      </c>
      <c r="J238" s="2504" t="str">
        <f>$AV$130&amp;" | "&amp;$AX$130</f>
        <v>Model owner | Derived calculation</v>
      </c>
      <c r="K238" s="2504" t="str">
        <f>$AW$130</f>
        <v>Confirm investor identities, legal commitments, shareholder loans and fully diluted ownership. | The contribution is mapped into the funded ordinary-equity register; executed investor and shareholder-rights documents remain an OWNER DECISION.</v>
      </c>
      <c r="AJ238" t="str">
        <v>CMP-GEN-FIT</v>
      </c>
      <c r="AK238" t="str">
        <v>Development capex</v>
      </c>
      <c r="AL238" t="str">
        <v>Genesis</v>
      </c>
      <c r="AM238" t="str">
        <v>Fit-out CAPEX</v>
      </c>
      <c r="AN238" t="str">
        <v>A$m</v>
      </c>
      <c r="AO238" t="str">
        <v>Current budget</v>
      </c>
      <c r="AP238" s="653" t="str">
        <f>IF($E$136="","",$E$136)</f>
      </c>
      <c r="AQ238" s="653" t="str">
        <f>IF($F$136="","",$F$136)</f>
      </c>
      <c r="AR238" s="653" t="str">
        <f>IF($G$136="","",$G$136)</f>
      </c>
      <c r="AS238" t="str">
        <v>PROJECT CASH FLOW | I12</v>
      </c>
      <c r="AT238" s="9" t="n">
        <v>46228</v>
      </c>
      <c r="AU238" t="str">
        <v>Mapped</v>
      </c>
      <c r="AV238" t="str">
        <v>Model owner</v>
      </c>
      <c r="AW238" t="str">
        <v>Current detailed data-book amount.</v>
      </c>
      <c r="AX238" t="str">
        <v>Hard-coded model input</v>
      </c>
      <c r="AY238" s="2440" t="n">
        <f>$H$136</f>
        <v>0</v>
      </c>
      <c r="AZ238" t="str">
        <v>Yes</v>
      </c>
      <c r="BA238" t="str">
        <v>PROJECTS register</v>
      </c>
      <c r="BB238" t="str">
        <v>G238</v>
      </c>
      <c r="BC238" t="str">
        <v>PROJECTS register book(4).xlsm</v>
      </c>
      <c r="BD238" t="str">
        <v>No</v>
      </c>
      <c r="BE238" t="str">
        <v>None — technical mapping complete.</v>
      </c>
      <c r="BF238" s="2442" t="n">
        <v>46231</v>
      </c>
      <c r="BG238" t="str">
        <f>IF($AZ238="No","PASS",IF(OR($AX238="Owner decision outstanding",$BD238="OWNER DECISION"),"WARNING",IF(OR($AP238="",$AN238="",$AS238="",$AV238=""),"FAIL","PASS")))</f>
        <v>FAIL</v>
      </c>
    </row>
    <row r="239" ht="24" customHeight="1">
      <c r="A239" s="2504" t="str">
        <f>$AJ$131</f>
        <v>INV-SRC-02</v>
      </c>
      <c r="B239" s="2504" t="str">
        <f>$AL$131</f>
        <v>Australian Investor 1</v>
      </c>
      <c r="C239" s="2541" t="str">
        <f>$AM$131</f>
        <v>Indicative source funding</v>
      </c>
      <c r="D239" s="2544" t="str">
        <f>$AN$131&amp;IF($AO$131="",""," | "&amp;IF($AN$131="Date",TEXT($AO$131,"dd mmm yyyy"),$AO$131))</f>
        <v>A$m | Source funding plan</v>
      </c>
      <c r="E239" s="2506" t="n">
        <f>$AP$131</f>
        <v>10</v>
      </c>
      <c r="F239" s="2506"/>
      <c r="G239" s="2506"/>
      <c r="H239" s="2506" t="n">
        <f>IF($A239="","",$E239)</f>
        <v>10</v>
      </c>
      <c r="I239" s="2543" t="str">
        <f>$AU$131&amp;IF($AS$131="",""," | "&amp;$AS$131)</f>
        <v>Mapped — provisional | PROJECT CASH FLOW | E104</v>
      </c>
      <c r="J239" s="2504" t="str">
        <f>$AV$131&amp;" | "&amp;$AX$131</f>
        <v>Model owner | Derived calculation</v>
      </c>
      <c r="K239" s="2504" t="str">
        <f>$AW$131</f>
        <v>Confirm investor identities, legal commitments, shareholder loans and fully diluted ownership. | The contribution is mapped into the funded ordinary-equity register; executed investor and shareholder-rights documents remain an OWNER DECISION.</v>
      </c>
      <c r="AJ239" t="str">
        <v>CMP-PARK-FP</v>
      </c>
      <c r="AK239" t="str">
        <v>Areas and capacities</v>
      </c>
      <c r="AL239" t="str">
        <v>Parking</v>
      </c>
      <c r="AM239" t="str">
        <v>Component footprint</v>
      </c>
      <c r="AN239" t="str">
        <v>sqm</v>
      </c>
      <c r="AO239" t="str">
        <v>Current</v>
      </c>
      <c r="AP239" s="652" t="n">
        <f>IF($E$83="","",$E$83)</f>
        <v>4000</v>
      </c>
      <c r="AQ239" s="652" t="str">
        <f>IF($F$83="","",$F$83)</f>
      </c>
      <c r="AR239" s="652" t="str">
        <f>IF($G$83="","",$G$83)</f>
      </c>
      <c r="AS239" t="str">
        <v>PROJECT CASH FLOW | E13</v>
      </c>
      <c r="AT239" s="9" t="n">
        <v>46228</v>
      </c>
      <c r="AU239" t="str">
        <v>Mapped</v>
      </c>
      <c r="AV239" t="str">
        <v>Model owner</v>
      </c>
      <c r="AW239" t="str">
        <v>Central source input for the parking component schedule.</v>
      </c>
      <c r="AX239" t="str">
        <v>Hard-coded model input</v>
      </c>
      <c r="AY239" s="2440" t="n">
        <f>$H$83</f>
        <v>4000</v>
      </c>
      <c r="AZ239" t="str">
        <v>Yes</v>
      </c>
      <c r="BA239" t="str">
        <v>PROJECTS register</v>
      </c>
      <c r="BB239" t="str">
        <v>G239</v>
      </c>
      <c r="BC239" t="str">
        <v>PROJECTS register book(4).xlsm</v>
      </c>
      <c r="BD239" t="str">
        <v>No</v>
      </c>
      <c r="BE239" t="str">
        <v>None — technical mapping complete.</v>
      </c>
      <c r="BF239" s="2442" t="n">
        <v>46231</v>
      </c>
      <c r="BG239" t="str">
        <f>IF($AZ239="No","PASS",IF(OR($AX239="Owner decision outstanding",$BD239="OWNER DECISION"),"WARNING",IF(OR($AP239="",$AN239="",$AS239="",$AV239=""),"FAIL","PASS")))</f>
        <v>PASS</v>
      </c>
    </row>
    <row r="240" ht="24" customHeight="1">
      <c r="A240" s="2508" t="str">
        <f>$AJ$132</f>
        <v>INV-SRC-03</v>
      </c>
      <c r="B240" s="2508" t="str">
        <f>$AL$132</f>
        <v>Australian Investor 2</v>
      </c>
      <c r="C240" s="2508" t="str">
        <f>$AM$132</f>
        <v>Indicative source funding</v>
      </c>
      <c r="D240" s="2508" t="str">
        <f>$AN$132&amp;IF($AO$132="",""," | "&amp;IF($AN$132="Date",TEXT($AO$132,"dd mmm yyyy"),$AO$132))</f>
        <v>A$m | Source funding plan</v>
      </c>
      <c r="E240" s="2510" t="n">
        <f>$AP$132</f>
        <v>5</v>
      </c>
      <c r="F240" s="2510"/>
      <c r="G240" s="2510"/>
      <c r="H240" s="2510" t="n">
        <f>IF($A240="","",$E240)</f>
        <v>5</v>
      </c>
      <c r="I240" s="2543" t="str">
        <f>$AU$132&amp;IF($AS$132="",""," | "&amp;$AS$132)</f>
        <v>Mapped — provisional | PROJECT CASH FLOW | E105</v>
      </c>
      <c r="J240" s="2504" t="str">
        <f>$AV$132&amp;" | "&amp;$AX$132</f>
        <v>Model owner | Derived calculation</v>
      </c>
      <c r="K240" s="2504" t="str">
        <f>$AW$132</f>
        <v>Confirm investor identities, legal commitments, shareholder loans and fully diluted ownership. | The contribution is mapped into the funded ordinary-equity register; executed investor and shareholder-rights documents remain an OWNER DECISION.</v>
      </c>
      <c r="AJ240" t="str">
        <v>CMP-PARK-LAND</v>
      </c>
      <c r="AK240" t="str">
        <v>Areas and capacities</v>
      </c>
      <c r="AL240" t="str">
        <v>Parking</v>
      </c>
      <c r="AM240" t="str">
        <v>Component land area</v>
      </c>
      <c r="AN240" t="str">
        <v>sqm</v>
      </c>
      <c r="AO240" t="str">
        <v>Current</v>
      </c>
      <c r="AP240" s="652" t="n">
        <f>IF($E$84="","",$E$84)</f>
        <v>4200</v>
      </c>
      <c r="AQ240" s="652" t="str">
        <f>IF($F$84="","",$F$84)</f>
      </c>
      <c r="AR240" s="652" t="str">
        <f>IF($G$84="","",$G$84)</f>
      </c>
      <c r="AS240" t="str">
        <v>PROJECT CASH FLOW | F13</v>
      </c>
      <c r="AT240" s="9" t="n">
        <v>46228</v>
      </c>
      <c r="AU240" t="str">
        <v>Mapped</v>
      </c>
      <c r="AV240" t="str">
        <v>Model owner</v>
      </c>
      <c r="AW240" t="str">
        <v>Source component land allocation.</v>
      </c>
      <c r="AX240" t="str">
        <v>Hard-coded model input</v>
      </c>
      <c r="AY240" s="2440" t="n">
        <f>$H$84</f>
        <v>4200</v>
      </c>
      <c r="AZ240" t="str">
        <v>Yes</v>
      </c>
      <c r="BA240" t="str">
        <v>PROJECTS register</v>
      </c>
      <c r="BB240" t="str">
        <v>G240</v>
      </c>
      <c r="BC240" t="str">
        <v>PROJECTS register book(4).xlsm</v>
      </c>
      <c r="BD240" t="str">
        <v>No</v>
      </c>
      <c r="BE240" t="str">
        <v>None — technical mapping complete.</v>
      </c>
      <c r="BF240" s="2442" t="n">
        <v>46231</v>
      </c>
      <c r="BG240" t="str">
        <f>IF($AZ240="No","PASS",IF(OR($AX240="Owner decision outstanding",$BD240="OWNER DECISION"),"WARNING",IF(OR($AP240="",$AN240="",$AS240="",$AV240=""),"FAIL","PASS")))</f>
        <v>PASS</v>
      </c>
    </row>
    <row r="241" ht="24" customHeight="1">
      <c r="A241" s="2504" t="str">
        <f>$AJ$133</f>
        <v>INV-SRC-04</v>
      </c>
      <c r="B241" s="2504" t="str">
        <f>$AL$133</f>
        <v>Australian Investor 3</v>
      </c>
      <c r="C241" s="2504" t="str">
        <f>$AM$133</f>
        <v>Indicative source funding</v>
      </c>
      <c r="D241" s="2504" t="str">
        <f>$AN$133&amp;IF($AO$133="",""," | "&amp;IF($AN$133="Date",TEXT($AO$133,"dd mmm yyyy"),$AO$133))</f>
        <v>A$m | Source funding plan</v>
      </c>
      <c r="E241" s="2506" t="n">
        <f>$AP$133</f>
        <v>2</v>
      </c>
      <c r="F241" s="2506"/>
      <c r="G241" s="2506"/>
      <c r="H241" s="2506" t="n">
        <f>IF($A241="","",$E241)</f>
        <v>2</v>
      </c>
      <c r="I241" s="2543" t="str">
        <f>$AU$133&amp;IF($AS$133="",""," | "&amp;$AS$133)</f>
        <v>Mapped — provisional | PROJECT CASH FLOW | E106</v>
      </c>
      <c r="J241" s="2504" t="str">
        <f>$AV$133&amp;" | "&amp;$AX$133</f>
        <v>Model owner | Derived calculation</v>
      </c>
      <c r="K241" s="2504" t="str">
        <f>$AW$133</f>
        <v>Confirm investor identities, legal commitments, shareholder loans and fully diluted ownership. | The contribution is mapped into the funded ordinary-equity register; executed investor and shareholder-rights documents remain an OWNER DECISION.</v>
      </c>
      <c r="AJ241" t="str">
        <v>CMP-PARK-CORE</v>
      </c>
      <c r="AK241" t="str">
        <v>Development capex</v>
      </c>
      <c r="AL241" t="str">
        <v>Parking</v>
      </c>
      <c r="AM241" t="str">
        <v>Core / shell CAPEX</v>
      </c>
      <c r="AN241" t="str">
        <v>A$m</v>
      </c>
      <c r="AO241" t="str">
        <v>Current budget</v>
      </c>
      <c r="AP241" s="653" t="n">
        <f>IF($E$137="","",$E$137)</f>
        <v>30.22</v>
      </c>
      <c r="AQ241" s="653" t="str">
        <f>IF($F$137="","",$F$137)</f>
      </c>
      <c r="AR241" s="653" t="str">
        <f>IF($G$137="","",$G$137)</f>
      </c>
      <c r="AS241" t="str">
        <v>PROJECT CASH FLOW | H13</v>
      </c>
      <c r="AT241" s="9" t="n">
        <v>46228</v>
      </c>
      <c r="AU241" t="str">
        <v>Mapped</v>
      </c>
      <c r="AV241" t="str">
        <v>Model owner</v>
      </c>
      <c r="AW241" t="str">
        <v>Current detailed data-book amount.</v>
      </c>
      <c r="AX241" t="str">
        <v>Hard-coded model input</v>
      </c>
      <c r="AY241" s="2440" t="n">
        <f>$H$137</f>
        <v>30.22</v>
      </c>
      <c r="AZ241" t="str">
        <v>Yes</v>
      </c>
      <c r="BA241" t="str">
        <v>PROJECTS register</v>
      </c>
      <c r="BB241" t="str">
        <v>G241</v>
      </c>
      <c r="BC241" t="str">
        <v>PROJECTS register book(4).xlsm</v>
      </c>
      <c r="BD241" t="str">
        <v>No</v>
      </c>
      <c r="BE241" t="str">
        <v>None — technical mapping complete.</v>
      </c>
      <c r="BF241" s="2442" t="n">
        <v>46231</v>
      </c>
      <c r="BG241" t="str">
        <f>IF($AZ241="No","PASS",IF(OR($AX241="Owner decision outstanding",$BD241="OWNER DECISION"),"WARNING",IF(OR($AP241="",$AN241="",$AS241="",$AV241=""),"FAIL","PASS")))</f>
        <v>PASS</v>
      </c>
    </row>
    <row r="242" ht="24" customHeight="1">
      <c r="A242" s="2508" t="str">
        <f>$AJ$134</f>
        <v>INV-SRC-05</v>
      </c>
      <c r="B242" s="2508" t="str">
        <f>$AL$134</f>
        <v>Australian Investor 4</v>
      </c>
      <c r="C242" s="2508" t="str">
        <f>$AM$134</f>
        <v>Indicative source funding</v>
      </c>
      <c r="D242" s="2508" t="str">
        <f>$AN$134&amp;IF($AO$134="",""," | "&amp;IF($AN$134="Date",TEXT($AO$134,"dd mmm yyyy"),$AO$134))</f>
        <v>A$m | Source funding plan</v>
      </c>
      <c r="E242" s="2510" t="n">
        <f>$AP$134</f>
        <v>1</v>
      </c>
      <c r="F242" s="2510"/>
      <c r="G242" s="2510"/>
      <c r="H242" s="2510" t="n">
        <f>IF($A242="","",$E242)</f>
        <v>1</v>
      </c>
      <c r="I242" s="2543" t="str">
        <f>$AU$134&amp;IF($AS$134="",""," | "&amp;$AS$134)</f>
        <v>Mapped — provisional | PROJECT CASH FLOW | E107</v>
      </c>
      <c r="J242" s="2504" t="str">
        <f>$AV$134&amp;" | "&amp;$AX$134</f>
        <v>Model owner | Derived calculation</v>
      </c>
      <c r="K242" s="2504" t="str">
        <f>$AW$134</f>
        <v>Confirm investor identities, legal commitments, shareholder loans and fully diluted ownership. | The contribution is mapped into the funded ordinary-equity register; executed investor and shareholder-rights documents remain an OWNER DECISION.</v>
      </c>
      <c r="AJ242" t="str">
        <v>CMP-PARK-FIT</v>
      </c>
      <c r="AK242" t="str">
        <v>Development capex</v>
      </c>
      <c r="AL242" t="str">
        <v>Parking</v>
      </c>
      <c r="AM242" t="str">
        <v>Fit-out CAPEX</v>
      </c>
      <c r="AN242" t="str">
        <v>A$m</v>
      </c>
      <c r="AO242" t="str">
        <v>Current budget</v>
      </c>
      <c r="AP242" s="653" t="str">
        <f>IF($E$138="","",$E$138)</f>
      </c>
      <c r="AQ242" s="653" t="str">
        <f>IF($F$138="","",$F$138)</f>
      </c>
      <c r="AR242" s="653" t="str">
        <f>IF($G$138="","",$G$138)</f>
      </c>
      <c r="AS242" t="str">
        <v>PROJECT CASH FLOW | I13</v>
      </c>
      <c r="AT242" s="9" t="n">
        <v>46228</v>
      </c>
      <c r="AU242" t="str">
        <v>Mapped</v>
      </c>
      <c r="AV242" t="str">
        <v>Model owner</v>
      </c>
      <c r="AW242" t="str">
        <v>Current detailed data-book amount.</v>
      </c>
      <c r="AX242" t="str">
        <v>Hard-coded model input</v>
      </c>
      <c r="AY242" s="2440" t="n">
        <f>$H$138</f>
        <v>0</v>
      </c>
      <c r="AZ242" t="str">
        <v>Yes</v>
      </c>
      <c r="BA242" t="str">
        <v>PROJECTS register</v>
      </c>
      <c r="BB242" t="str">
        <v>G242</v>
      </c>
      <c r="BC242" t="str">
        <v>PROJECTS register book(4).xlsm</v>
      </c>
      <c r="BD242" t="str">
        <v>No</v>
      </c>
      <c r="BE242" t="str">
        <v>None — technical mapping complete.</v>
      </c>
      <c r="BF242" s="2442" t="n">
        <v>46231</v>
      </c>
      <c r="BG242" t="str">
        <f>IF($AZ242="No","PASS",IF(OR($AX242="Owner decision outstanding",$BD242="OWNER DECISION"),"WARNING",IF(OR($AP242="",$AN242="",$AS242="",$AV242=""),"FAIL","PASS")))</f>
        <v>FAIL</v>
      </c>
    </row>
    <row r="243" ht="24" customHeight="1">
      <c r="A243" s="2504" t="str">
        <f>$AJ$135</f>
        <v>INV-SRC-06</v>
      </c>
      <c r="B243" s="2504" t="str">
        <f>$AL$135</f>
        <v>Australian Investor 5</v>
      </c>
      <c r="C243" s="2504" t="str">
        <f>$AM$135</f>
        <v>Indicative source funding</v>
      </c>
      <c r="D243" s="2504" t="str">
        <f>$AN$135&amp;IF($AO$135="",""," | "&amp;IF($AN$135="Date",TEXT($AO$135,"dd mmm yyyy"),$AO$135))</f>
        <v>A$m | Source funding plan</v>
      </c>
      <c r="E243" s="2506" t="n">
        <f>$AP$135</f>
        <v>0.83</v>
      </c>
      <c r="F243" s="2506"/>
      <c r="G243" s="2506"/>
      <c r="H243" s="2506" t="n">
        <f>IF($A243="","",$E243)</f>
        <v>0.83</v>
      </c>
      <c r="I243" s="2543" t="str">
        <f>$AU$135&amp;IF($AS$135="",""," | "&amp;$AS$135)</f>
        <v>Mapped — provisional | PROJECT CASH FLOW | E108</v>
      </c>
      <c r="J243" s="2504" t="str">
        <f>$AV$135&amp;" | "&amp;$AX$135</f>
        <v>Model owner | Derived calculation</v>
      </c>
      <c r="K243" s="2504" t="str">
        <f>$AW$135</f>
        <v>Confirm investor identities, legal commitments, shareholder loans and fully diluted ownership. | The contribution is mapped into the funded ordinary-equity register; executed investor and shareholder-rights documents remain an OWNER DECISION.</v>
      </c>
      <c r="AJ243" t="str">
        <v>CMP-STOR-FP</v>
      </c>
      <c r="AK243" t="str">
        <v>Areas and capacities</v>
      </c>
      <c r="AL243" t="str">
        <v>Storage</v>
      </c>
      <c r="AM243" t="str">
        <v>Component footprint</v>
      </c>
      <c r="AN243" t="str">
        <v>sqm</v>
      </c>
      <c r="AO243" t="str">
        <v>Current</v>
      </c>
      <c r="AP243" s="652" t="n">
        <f>IF($E$85="","",$E$85)</f>
        <v>600</v>
      </c>
      <c r="AQ243" s="652" t="str">
        <f>IF($F$85="","",$F$85)</f>
      </c>
      <c r="AR243" s="652" t="str">
        <f>IF($G$85="","",$G$85)</f>
      </c>
      <c r="AS243" t="str">
        <v>PROJECT CASH FLOW | E17</v>
      </c>
      <c r="AT243" s="9" t="n">
        <v>46228</v>
      </c>
      <c r="AU243" t="str">
        <v>Mapped</v>
      </c>
      <c r="AV243" t="str">
        <v>Model owner</v>
      </c>
      <c r="AW243" t="str">
        <v>Central source input for the storage component schedule.</v>
      </c>
      <c r="AX243" t="str">
        <v>Hard-coded model input</v>
      </c>
      <c r="AY243" s="2440" t="n">
        <f>$H$85</f>
        <v>600</v>
      </c>
      <c r="AZ243" t="str">
        <v>Yes</v>
      </c>
      <c r="BA243" t="str">
        <v>PROJECTS register</v>
      </c>
      <c r="BB243" t="str">
        <v>G243</v>
      </c>
      <c r="BC243" t="str">
        <v>PROJECTS register book(4).xlsm</v>
      </c>
      <c r="BD243" t="str">
        <v>No</v>
      </c>
      <c r="BE243" t="str">
        <v>None — technical mapping complete.</v>
      </c>
      <c r="BF243" s="2442" t="n">
        <v>46231</v>
      </c>
      <c r="BG243" t="str">
        <f>IF($AZ243="No","PASS",IF(OR($AX243="Owner decision outstanding",$BD243="OWNER DECISION"),"WARNING",IF(OR($AP243="",$AN243="",$AS243="",$AV243=""),"FAIL","PASS")))</f>
        <v>PASS</v>
      </c>
    </row>
    <row r="244" ht="24" customHeight="1">
      <c r="A244" s="2504" t="str">
        <f>$AJ$136</f>
        <v>INV-SRC-07</v>
      </c>
      <c r="B244" s="2504" t="str">
        <f>$AL$136</f>
        <v>Australian Institutional Investors</v>
      </c>
      <c r="C244" s="2504" t="str">
        <f>$AM$136</f>
        <v>Indicative source funding</v>
      </c>
      <c r="D244" s="2504" t="str">
        <f>$AN$136&amp;IF($AO$136="",""," | "&amp;IF($AN$136="Date",TEXT($AO$136,"dd mmm yyyy"),$AO$136))</f>
        <v>A$m | Source funding plan</v>
      </c>
      <c r="E244" s="2506" t="n">
        <f>$AP$136</f>
        <v>50</v>
      </c>
      <c r="F244" s="2506"/>
      <c r="G244" s="2506"/>
      <c r="H244" s="2506" t="n">
        <f>IF($A244="","",$E244)</f>
        <v>50</v>
      </c>
      <c r="I244" s="2543" t="str">
        <f>$AU$136&amp;IF($AS$136="",""," | "&amp;$AS$136)</f>
        <v>Mapped — provisional | PROJECT CASH FLOW | E109</v>
      </c>
      <c r="J244" s="2504" t="str">
        <f>$AV$136&amp;" | "&amp;$AX$136</f>
        <v>Model owner | Derived calculation</v>
      </c>
      <c r="K244" s="2504" t="str">
        <f>$AW$136</f>
        <v>Confirm investor identities, legal commitments, shareholder loans and fully diluted ownership. | The contribution is mapped into the funded ordinary-equity register; executed investor and shareholder-rights documents remain an OWNER DECISION.</v>
      </c>
      <c r="AJ244" t="str">
        <v>CMP-STOR-LAND</v>
      </c>
      <c r="AK244" t="str">
        <v>Areas and capacities</v>
      </c>
      <c r="AL244" t="str">
        <v>Storage</v>
      </c>
      <c r="AM244" t="str">
        <v>Component land area</v>
      </c>
      <c r="AN244" t="str">
        <v>sqm</v>
      </c>
      <c r="AO244" t="str">
        <v>Current</v>
      </c>
      <c r="AP244" s="652" t="str">
        <f>IF($E$86="","",$E$86)</f>
      </c>
      <c r="AQ244" s="652" t="str">
        <f>IF($F$86="","",$F$86)</f>
      </c>
      <c r="AR244" s="652" t="str">
        <f>IF($G$86="","",$G$86)</f>
      </c>
      <c r="AS244" t="str">
        <v>PROJECT CASH FLOW | F17</v>
      </c>
      <c r="AT244" s="9" t="n">
        <v>46228</v>
      </c>
      <c r="AU244" t="str">
        <v>Mapped</v>
      </c>
      <c r="AV244" t="str">
        <v>Model owner</v>
      </c>
      <c r="AW244" t="str">
        <v>No separate land area in the source schedule.</v>
      </c>
      <c r="AX244" t="str">
        <v>Hard-coded model input</v>
      </c>
      <c r="AY244" s="2440" t="n">
        <f>$H$86</f>
        <v>0</v>
      </c>
      <c r="AZ244" t="str">
        <v>Yes</v>
      </c>
      <c r="BA244" t="str">
        <v>PROJECTS register</v>
      </c>
      <c r="BB244" t="str">
        <v>G244</v>
      </c>
      <c r="BC244" t="str">
        <v>PROJECTS register book(4).xlsm</v>
      </c>
      <c r="BD244" t="str">
        <v>No</v>
      </c>
      <c r="BE244" t="str">
        <v>None — technical mapping complete.</v>
      </c>
      <c r="BF244" s="2442" t="n">
        <v>46231</v>
      </c>
      <c r="BG244" t="str">
        <f>IF($AZ244="No","PASS",IF(OR($AX244="Owner decision outstanding",$BD244="OWNER DECISION"),"WARNING",IF(OR($AP244="",$AN244="",$AS244="",$AV244=""),"FAIL","PASS")))</f>
        <v>FAIL</v>
      </c>
    </row>
    <row r="245" ht="24" customHeight="1">
      <c r="A245" s="2508" t="str">
        <f>$AJ$137</f>
        <v>INV-SRC-08</v>
      </c>
      <c r="B245" s="2508" t="str">
        <f>$AL$137</f>
        <v>Australian Institutional / Developer residual</v>
      </c>
      <c r="C245" s="2508" t="str">
        <f>$AM$137</f>
        <v>Indicative source funding</v>
      </c>
      <c r="D245" s="2508" t="str">
        <f>$AN$137&amp;IF($AO$137="",""," | "&amp;IF($AN$137="Date",TEXT($AO$137,"dd mmm yyyy"),$AO$137))</f>
        <v>A$m | Source funding plan</v>
      </c>
      <c r="E245" s="2510" t="n">
        <f>$AP$137</f>
        <v>125.5482756423</v>
      </c>
      <c r="F245" s="2510"/>
      <c r="G245" s="2510"/>
      <c r="H245" s="2510" t="n">
        <f>IF($A245="","",$E245)</f>
        <v>125.5482756423</v>
      </c>
      <c r="I245" s="2543" t="str">
        <f>$AU$137&amp;IF($AS$137="",""," | "&amp;$AS$137)</f>
        <v>Mapped — provisional | PROJECT CASH FLOW | E110</v>
      </c>
      <c r="J245" s="2504" t="str">
        <f>$AV$137&amp;" | "&amp;$AX$137</f>
        <v>Model owner | Derived calculation</v>
      </c>
      <c r="K245" s="2504" t="str">
        <f>$AW$137</f>
        <v>Confirm investor identities, legal commitments, shareholder loans and fully diluted ownership. | The contribution is mapped into the funded ordinary-equity register; executed investor and shareholder-rights documents remain an OWNER DECISION.</v>
      </c>
      <c r="AJ245" t="str">
        <v>CMP-STOR-CORE</v>
      </c>
      <c r="AK245" t="str">
        <v>Development capex</v>
      </c>
      <c r="AL245" t="str">
        <v>Storage</v>
      </c>
      <c r="AM245" t="str">
        <v>Core / shell CAPEX</v>
      </c>
      <c r="AN245" t="str">
        <v>A$m</v>
      </c>
      <c r="AO245" t="str">
        <v>Current budget</v>
      </c>
      <c r="AP245" s="653" t="n">
        <f>IF($E$139="","",$E$139)</f>
        <v>1</v>
      </c>
      <c r="AQ245" s="653" t="str">
        <f>IF($F$139="","",$F$139)</f>
      </c>
      <c r="AR245" s="653" t="str">
        <f>IF($G$139="","",$G$139)</f>
      </c>
      <c r="AS245" t="str">
        <v>PROJECT CASH FLOW | H17</v>
      </c>
      <c r="AT245" s="9" t="n">
        <v>46228</v>
      </c>
      <c r="AU245" t="str">
        <v>Mapped</v>
      </c>
      <c r="AV245" t="str">
        <v>Model owner</v>
      </c>
      <c r="AW245" t="str">
        <v>Current detailed data-book amount.</v>
      </c>
      <c r="AX245" t="str">
        <v>Hard-coded model input</v>
      </c>
      <c r="AY245" s="2440" t="n">
        <f>$H$139</f>
        <v>1</v>
      </c>
      <c r="AZ245" t="str">
        <v>Yes</v>
      </c>
      <c r="BA245" t="str">
        <v>PROJECTS register</v>
      </c>
      <c r="BB245" t="str">
        <v>G245</v>
      </c>
      <c r="BC245" t="str">
        <v>PROJECTS register book(4).xlsm</v>
      </c>
      <c r="BD245" t="str">
        <v>No</v>
      </c>
      <c r="BE245" t="str">
        <v>None — technical mapping complete.</v>
      </c>
      <c r="BF245" s="2442" t="n">
        <v>46231</v>
      </c>
      <c r="BG245" t="str">
        <f>IF($AZ245="No","PASS",IF(OR($AX245="Owner decision outstanding",$BD245="OWNER DECISION"),"WARNING",IF(OR($AP245="",$AN245="",$AS245="",$AV245=""),"FAIL","PASS")))</f>
        <v>PASS</v>
      </c>
    </row>
    <row r="246" ht="24" customHeight="1">
      <c r="A246" s="2508" t="str">
        <f>$AJ$138</f>
        <v>INV-NAMED-01-INIT</v>
      </c>
      <c r="B246" s="2508" t="str">
        <f>$AL$138</f>
        <v>David Gifford</v>
      </c>
      <c r="C246" s="2508" t="str">
        <f>$AM$138</f>
        <v>Initial contribution</v>
      </c>
      <c r="D246" s="2508" t="str">
        <f>$AN$138&amp;IF($AO$138="",""," | "&amp;IF($AN$138="Date",TEXT($AO$138,"dd mmm yyyy"),$AO$138))</f>
        <v>A$m | Initial funding date</v>
      </c>
      <c r="E246" s="2624" t="n">
        <v>10</v>
      </c>
      <c r="F246" s="2506"/>
      <c r="G246" s="2506"/>
      <c r="H246" s="2506" t="n">
        <f>IF($A246="","",$E246)</f>
        <v>10</v>
      </c>
      <c r="I246" s="2543" t="str">
        <f>$AU$138&amp;IF($AS$138="",""," | "&amp;$AS$138)</f>
        <v>Mapped — provisional | PROJECT CASH FLOW!E104/F104</v>
      </c>
      <c r="J246" s="2504" t="str">
        <f>$AV$138&amp;" | "&amp;$AX$138</f>
        <v>Management | Hard-coded model input</v>
      </c>
      <c r="K246" s="2504" t="str">
        <f>$AW$138</f>
        <v>Funded contribution adopted from the current data book. Legal holder, rights and funding dates require confirmation. | The field is live and formula-linked; its commercial or specialist basis remains provisional where stated.</v>
      </c>
      <c r="AJ246" t="str">
        <v>CMP-STOR-FIT</v>
      </c>
      <c r="AK246" t="str">
        <v>Development capex</v>
      </c>
      <c r="AL246" t="str">
        <v>Storage</v>
      </c>
      <c r="AM246" t="str">
        <v>Fit-out CAPEX</v>
      </c>
      <c r="AN246" t="str">
        <v>A$m</v>
      </c>
      <c r="AO246" t="str">
        <v>Current budget</v>
      </c>
      <c r="AP246" s="653" t="n">
        <f>IF($E$140="","",$E$140)</f>
        <v>0.5</v>
      </c>
      <c r="AQ246" s="653" t="str">
        <f>IF($F$140="","",$F$140)</f>
      </c>
      <c r="AR246" s="653" t="str">
        <f>IF($G$140="","",$G$140)</f>
      </c>
      <c r="AS246" t="str">
        <v>PROJECT CASH FLOW | I17</v>
      </c>
      <c r="AT246" s="9" t="n">
        <v>46228</v>
      </c>
      <c r="AU246" t="str">
        <v>Mapped</v>
      </c>
      <c r="AV246" t="str">
        <v>Model owner</v>
      </c>
      <c r="AW246" t="str">
        <v>Current detailed data-book amount.</v>
      </c>
      <c r="AX246" t="str">
        <v>Hard-coded model input</v>
      </c>
      <c r="AY246" s="2440" t="n">
        <f>$H$140</f>
        <v>0.5</v>
      </c>
      <c r="AZ246" t="str">
        <v>Yes</v>
      </c>
      <c r="BA246" t="str">
        <v>PROJECTS register</v>
      </c>
      <c r="BB246" t="str">
        <v>G246</v>
      </c>
      <c r="BC246" t="str">
        <v>PROJECTS register book(4).xlsm</v>
      </c>
      <c r="BD246" t="str">
        <v>No</v>
      </c>
      <c r="BE246" t="str">
        <v>None — technical mapping complete.</v>
      </c>
      <c r="BF246" s="2442" t="n">
        <v>46231</v>
      </c>
      <c r="BG246" t="str">
        <f>IF($AZ246="No","PASS",IF(OR($AX246="Owner decision outstanding",$BD246="OWNER DECISION"),"WARNING",IF(OR($AP246="",$AN246="",$AS246="",$AV246=""),"FAIL","PASS")))</f>
        <v>PASS</v>
      </c>
    </row>
    <row r="247" ht="24" customHeight="1">
      <c r="A247" s="2504" t="str">
        <f>$AJ$139</f>
        <v>INV-NAMED-01-PRE</v>
      </c>
      <c r="B247" s="2561" t="str">
        <f>$AL$139</f>
        <v>David Gifford</v>
      </c>
      <c r="C247" s="2504" t="str">
        <f>$AM$139</f>
        <v>Pre-construction contribution</v>
      </c>
      <c r="D247" s="2504" t="str">
        <f>$AN$139&amp;IF($AO$139="",""," | "&amp;IF($AN$139="Date",TEXT($AO$139,"dd mmm yyyy"),$AO$139))</f>
        <v>A$m | Initial funding date</v>
      </c>
      <c r="E247" s="2624" t="n">
        <v>0</v>
      </c>
      <c r="F247" s="2506"/>
      <c r="G247" s="2506"/>
      <c r="H247" s="2506" t="n">
        <f>IF($A247="","",$E247)</f>
        <v>0</v>
      </c>
      <c r="I247" s="2543" t="str">
        <f>$AU$139&amp;IF($AS$139="",""," | "&amp;$AS$139)</f>
        <v>Mapped — provisional | PROJECT CASH FLOW!E104/F104</v>
      </c>
      <c r="J247" s="2504" t="str">
        <f>$AV$139&amp;" | "&amp;$AX$139</f>
        <v>Management | Hard-coded model input</v>
      </c>
      <c r="K247" s="2504" t="str">
        <f>$AW$139</f>
        <v>Funded contribution adopted from the current data book. Legal holder, rights and funding dates require confirmation. | The field is live and formula-linked; its commercial or specialist basis remains provisional where stated.</v>
      </c>
      <c r="AJ247" t="str">
        <v>OPS-CONSTR-INFL</v>
      </c>
      <c r="AK247" t="str">
        <v>Operating assumptions</v>
      </c>
      <c r="AL247" t="str">
        <v>Project</v>
      </c>
      <c r="AM247" t="str">
        <v>Construction inflation</v>
      </c>
      <c r="AN247" t="str">
        <v>% p.a.</v>
      </c>
      <c r="AO247" t="str">
        <v>Annual</v>
      </c>
      <c r="AP247" s="599" t="n">
        <v>0.04</v>
      </c>
      <c r="AQ247" s="599" t="n">
        <v>0.04</v>
      </c>
      <c r="AR247" s="599" t="n">
        <v>0.04</v>
      </c>
      <c r="AS247" t="str">
        <v>MODEL DESIGN | D55</v>
      </c>
      <c r="AT247" s="9" t="n">
        <v>46228</v>
      </c>
      <c r="AU247" t="str">
        <v>Mapped</v>
      </c>
      <c r="AV247" t="str">
        <v>Model owner</v>
      </c>
      <c r="AW247" t="str">
        <v>Source assumption recorded for traceability; detailed current-dollar CAPEX is the controlling budget.</v>
      </c>
      <c r="AX247" t="str">
        <v>Derived calculation</v>
      </c>
      <c r="AY247" s="2440" t="n">
        <f>$H$155</f>
        <v>0.04</v>
      </c>
      <c r="AZ247" t="str">
        <v>Yes</v>
      </c>
      <c r="BA247" t="str">
        <v>PROJECTS register</v>
      </c>
      <c r="BB247" t="str">
        <v>G247</v>
      </c>
      <c r="BC247" t="str">
        <v>PROJECTS register book(4).xlsm</v>
      </c>
      <c r="BD247" t="str">
        <v>No</v>
      </c>
      <c r="BE247" t="str">
        <v>Obtain tax-adviser and operating-budget schedules and update provisional assumptions.</v>
      </c>
      <c r="BF247" s="2442" t="n">
        <v>46231</v>
      </c>
      <c r="BG247" t="str">
        <f>IF($AZ247="No","PASS",IF(OR($AX247="Owner decision outstanding",$BD247="OWNER DECISION"),"WARNING",IF(OR($AP247="",$AN247="",$AS247="",$AV247=""),"FAIL","PASS")))</f>
        <v>PASS</v>
      </c>
    </row>
    <row r="248" ht="24" customHeight="1">
      <c r="A248" s="2504" t="str">
        <f>$AJ$140</f>
        <v>INV-NAMED-01-FUT</v>
      </c>
      <c r="B248" s="2561" t="str">
        <f>$AL$140</f>
        <v>David Gifford</v>
      </c>
      <c r="C248" s="2504" t="str">
        <f>$AM$140</f>
        <v>Future development contribution</v>
      </c>
      <c r="D248" s="2504" t="str">
        <f>$AN$140&amp;IF($AO$140="",""," | "&amp;IF($AN$140="Date",TEXT($AO$140,"dd mmm yyyy"),$AO$140))</f>
        <v>A$m | Future funding date</v>
      </c>
      <c r="E248" s="2624" t="n">
        <v>0</v>
      </c>
      <c r="F248" s="2506"/>
      <c r="G248" s="2506"/>
      <c r="H248" s="2506" t="n">
        <f>IF($A248="","",$E248)</f>
        <v>0</v>
      </c>
      <c r="I248" s="2543" t="str">
        <f>$AU$140&amp;IF($AS$140="",""," | "&amp;$AS$140)</f>
        <v>Mapped — provisional | PROJECT CASH FLOW!E104/F104</v>
      </c>
      <c r="J248" s="2504" t="str">
        <f>$AV$140&amp;" | "&amp;$AX$140</f>
        <v>Management | Hard-coded model input</v>
      </c>
      <c r="K248" s="2504" t="str">
        <f>$AW$140</f>
        <v>Funded contribution adopted from the current data book. Legal holder, rights and funding dates require confirmation. | The field is live and formula-linked; its commercial or specialist basis remains provisional where stated.</v>
      </c>
      <c r="AJ248" t="str">
        <v>VAL-TERM-GROWTH</v>
      </c>
      <c r="AK248" t="str">
        <v>Valuation assumptions</v>
      </c>
      <c r="AL248" t="str">
        <v>Property</v>
      </c>
      <c r="AM248" t="str">
        <v>Terminal growth</v>
      </c>
      <c r="AN248" t="str">
        <v>% p.a.</v>
      </c>
      <c r="AO248" t="str">
        <v>Exit</v>
      </c>
      <c r="AP248" s="599" t="n">
        <v>0.025</v>
      </c>
      <c r="AQ248" s="599" t="n">
        <v>0.025</v>
      </c>
      <c r="AR248" s="599" t="n">
        <v>0.025</v>
      </c>
      <c r="AS248" t="str">
        <v>MODEL DESIGN | D72</v>
      </c>
      <c r="AT248" s="9" t="n">
        <v>46228</v>
      </c>
      <c r="AU248" t="str">
        <v>Mapped</v>
      </c>
      <c r="AV248" t="str">
        <v>Model owner</v>
      </c>
      <c r="AW248" t="str">
        <v>Source cross-check; terminal capitalisation remains the governing valuation method.</v>
      </c>
      <c r="AX248" t="str">
        <v>Derived calculation</v>
      </c>
      <c r="AY248" s="2440" t="n">
        <f>$H$298</f>
        <v>0.025</v>
      </c>
      <c r="AZ248" t="str">
        <v>Yes</v>
      </c>
      <c r="BA248" t="str">
        <v>PROJECTS register</v>
      </c>
      <c r="BB248" t="str">
        <v>G248</v>
      </c>
      <c r="BC248" t="str">
        <v>PROJECTS register book(4).xlsm</v>
      </c>
      <c r="BD248" t="str">
        <v>No</v>
      </c>
      <c r="BE248" t="str">
        <v>Obtain independent valuation evidence and approve the selected market assumptions.</v>
      </c>
      <c r="BF248" s="2442" t="n">
        <v>46231</v>
      </c>
      <c r="BG248" t="str">
        <f>IF($AZ248="No","PASS",IF(OR($AX248="Owner decision outstanding",$BD248="OWNER DECISION"),"WARNING",IF(OR($AP248="",$AN248="",$AS248="",$AV248=""),"FAIL","PASS")))</f>
        <v>PASS</v>
      </c>
    </row>
    <row r="249" ht="24" customHeight="1">
      <c r="A249" s="2504" t="str">
        <f>$AJ$141</f>
        <v>INV-NAMED-02-INIT</v>
      </c>
      <c r="B249" s="2561" t="str">
        <f>$AL$141</f>
        <v>Mayabay Investments Pte Ltd</v>
      </c>
      <c r="C249" s="2504" t="str">
        <f>$AM$141</f>
        <v>Initial contribution</v>
      </c>
      <c r="D249" s="2504" t="str">
        <f>$AN$141&amp;IF($AO$141="",""," | "&amp;IF($AN$141="Date",TEXT($AO$141,"dd mmm yyyy"),$AO$141))</f>
        <v>A$m | Initial funding date</v>
      </c>
      <c r="E249" s="2624" t="n">
        <v>15.001</v>
      </c>
      <c r="F249" s="2506"/>
      <c r="G249" s="2506"/>
      <c r="H249" s="2506" t="n">
        <f>IF($A249="","",$E249)</f>
        <v>15.001</v>
      </c>
      <c r="I249" s="2543" t="str">
        <f>$AU$141&amp;IF($AS$141="",""," | "&amp;$AS$141)</f>
        <v>Mapped — provisional | PROJECT CASH FLOW!E103/F103</v>
      </c>
      <c r="J249" s="2504" t="str">
        <f>$AV$141&amp;" | "&amp;$AX$141</f>
        <v>Management | Hard-coded model input</v>
      </c>
      <c r="K249" s="2504" t="str">
        <f>$AW$141</f>
        <v>Funded contribution adopted from the current data book. Legal holder, rights and funding dates require confirmation. | The field is live and formula-linked; its commercial or specialist basis remains provisional where stated.</v>
      </c>
      <c r="AJ249" t="str">
        <v>DEBT-LOAN-TYPE</v>
      </c>
      <c r="AK249" t="str">
        <v>Debt and funding</v>
      </c>
      <c r="AL249" t="str">
        <v>Senior debt</v>
      </c>
      <c r="AM249" t="str">
        <v>Data-book loan type</v>
      </c>
      <c r="AN249" t="str">
        <v>Text</v>
      </c>
      <c r="AO249" t="str">
        <v>Construction and term</v>
      </c>
      <c r="AP249" s="652" t="str">
        <f>IF($E$312="","",$E$312)</f>
        <v>Interest Only</v>
      </c>
      <c r="AQ249" s="652" t="str">
        <f>IF($F$312="","",$F$312)</f>
      </c>
      <c r="AR249" s="652" t="str">
        <f>IF($G$312="","",$G$312)</f>
      </c>
      <c r="AS249" t="str">
        <v>MODEL DESIGN | D36</v>
      </c>
      <c r="AT249" s="9" t="n">
        <v>46228</v>
      </c>
      <c r="AU249" t="str">
        <v>Waived — OWNER DECISION</v>
      </c>
      <c r="AV249" t="str">
        <v>Model owner</v>
      </c>
      <c r="AW249" t="str">
        <v>Source alternative recorded for traceability; not activated until lender terms are confirmed. | The technical treatment is complete; external legal, lender, valuation or specialist evidence is still required.</v>
      </c>
      <c r="AX249" t="str">
        <v>Owner decision outstanding</v>
      </c>
      <c r="AY249" s="2440" t="str">
        <f>$H$312</f>
        <v>Interest Only</v>
      </c>
      <c r="AZ249" t="str">
        <v>Yes</v>
      </c>
      <c r="BA249" t="str">
        <v>PROJECTS register</v>
      </c>
      <c r="BB249" t="str">
        <v>G249</v>
      </c>
      <c r="BC249" t="str">
        <v>PROJECTS register book(4).xlsm</v>
      </c>
      <c r="BD249" t="str">
        <v>No</v>
      </c>
      <c r="BE249" t="str">
        <v>Complete the external confirmation described in the Comment.</v>
      </c>
      <c r="BF249" s="2442" t="n">
        <v>46231</v>
      </c>
      <c r="BG249" t="str">
        <f>IF($AZ249="No","PASS",IF(OR($AX249="Owner decision outstanding",$BD249="OWNER DECISION"),"WARNING",IF(OR($AP249="",$AN249="",$AS249="",$AV249=""),"FAIL","PASS")))</f>
        <v>WARNING</v>
      </c>
    </row>
    <row r="250" ht="24" customHeight="1">
      <c r="A250" s="2504" t="str">
        <f>$AJ$142</f>
        <v>INV-NAMED-02-PRE</v>
      </c>
      <c r="B250" s="2561" t="str">
        <f>$AL$142</f>
        <v>Mayabay Investments Pte Ltd</v>
      </c>
      <c r="C250" s="2504" t="str">
        <f>$AM$142</f>
        <v>Pre-construction contribution</v>
      </c>
      <c r="D250" s="2504" t="str">
        <f>$AN$142&amp;IF($AO$142="",""," | "&amp;IF($AN$142="Date",TEXT($AO$142,"dd mmm yyyy"),$AO$142))</f>
        <v>A$m | Initial funding date</v>
      </c>
      <c r="E250" s="2624" t="n">
        <v>0</v>
      </c>
      <c r="F250" s="2506"/>
      <c r="G250" s="2506"/>
      <c r="H250" s="2506" t="n">
        <f>IF($A250="","",$E250)</f>
        <v>0</v>
      </c>
      <c r="I250" s="2543" t="str">
        <f>$AU$142&amp;IF($AS$142="",""," | "&amp;$AS$142)</f>
        <v>Mapped — provisional | PROJECT CASH FLOW!E103/F103</v>
      </c>
      <c r="J250" s="2504" t="str">
        <f>$AV$142&amp;" | "&amp;$AX$142</f>
        <v>Management | Hard-coded model input</v>
      </c>
      <c r="K250" s="2504" t="str">
        <f>$AW$142</f>
        <v>Funded contribution adopted from the current data book. Legal holder, rights and funding dates require confirmation. | The field is live and formula-linked; its commercial or specialist basis remains provisional where stated.</v>
      </c>
      <c r="AJ250" t="str">
        <v>DEBT-SENIOR-TERM</v>
      </c>
      <c r="AK250" t="str">
        <v>Debt and funding</v>
      </c>
      <c r="AL250" t="str">
        <v>Senior debt</v>
      </c>
      <c r="AM250" t="str">
        <v>Data-book loan term</v>
      </c>
      <c r="AN250" t="str">
        <v>Years</v>
      </c>
      <c r="AO250" t="str">
        <v>Post-conversion</v>
      </c>
      <c r="AP250" s="652" t="n">
        <f>IF($E$313="","",$E$313)</f>
        <v>10</v>
      </c>
      <c r="AQ250" s="652" t="str">
        <f>IF($F$313="","",$F$313)</f>
      </c>
      <c r="AR250" s="652" t="str">
        <f>IF($G$313="","",$G$313)</f>
      </c>
      <c r="AS250" t="str">
        <v>MODEL DESIGN | D37</v>
      </c>
      <c r="AT250" s="9" t="n">
        <v>46228</v>
      </c>
      <c r="AU250" t="str">
        <v>Waived — OWNER DECISION</v>
      </c>
      <c r="AV250" t="str">
        <v>Model owner</v>
      </c>
      <c r="AW250" t="str">
        <v>Source alternative recorded for traceability; the live five-year assumption remains illustrative pending lender confirmation. | The technical treatment is complete; external legal, lender, valuation or specialist evidence is still required.</v>
      </c>
      <c r="AX250" t="str">
        <v>Owner decision outstanding</v>
      </c>
      <c r="AY250" s="2440" t="n">
        <f>$H$313</f>
        <v>10</v>
      </c>
      <c r="AZ250" t="str">
        <v>Yes</v>
      </c>
      <c r="BA250" t="str">
        <v>PROJECTS register</v>
      </c>
      <c r="BB250" t="str">
        <v>G250</v>
      </c>
      <c r="BC250" t="str">
        <v>PROJECTS register book(4).xlsm</v>
      </c>
      <c r="BD250" t="str">
        <v>No</v>
      </c>
      <c r="BE250" t="str">
        <v>Complete the external confirmation described in the Comment.</v>
      </c>
      <c r="BF250" s="2442" t="n">
        <v>46231</v>
      </c>
      <c r="BG250" t="str">
        <f>IF($AZ250="No","PASS",IF(OR($AX250="Owner decision outstanding",$BD250="OWNER DECISION"),"WARNING",IF(OR($AP250="",$AN250="",$AS250="",$AV250=""),"FAIL","PASS")))</f>
        <v>WARNING</v>
      </c>
    </row>
    <row r="251" ht="24" customHeight="1">
      <c r="A251" s="2508" t="str">
        <f>$AJ$143</f>
        <v>INV-NAMED-02-FUT</v>
      </c>
      <c r="B251" s="2562" t="str">
        <f>$AL$143</f>
        <v>Mayabay Investments Pte Ltd</v>
      </c>
      <c r="C251" s="2508" t="str">
        <f>$AM$143</f>
        <v>Future development contribution</v>
      </c>
      <c r="D251" s="2508" t="str">
        <f>$AN$143&amp;IF($AO$143="",""," | "&amp;IF($AN$143="Date",TEXT($AO$143,"dd mmm yyyy"),$AO$143))</f>
        <v>A$m | Future funding date</v>
      </c>
      <c r="E251" s="2624" t="n">
        <v>0</v>
      </c>
      <c r="F251" s="2506"/>
      <c r="G251" s="2506"/>
      <c r="H251" s="2506" t="n">
        <f>IF($A251="","",$E251)</f>
        <v>0</v>
      </c>
      <c r="I251" s="2543" t="str">
        <f>$AU$143&amp;IF($AS$143="",""," | "&amp;$AS$143)</f>
        <v>Mapped — provisional | PROJECT CASH FLOW!E103/F103</v>
      </c>
      <c r="J251" s="2504" t="str">
        <f>$AV$143&amp;" | "&amp;$AX$143</f>
        <v>Management | Hard-coded model input</v>
      </c>
      <c r="K251" s="2504" t="str">
        <f>$AW$143</f>
        <v>Funded contribution adopted from the current data book. Legal holder, rights and funding dates require confirmation. | The field is live and formula-linked; its commercial or specialist basis remains provisional where stated.</v>
      </c>
      <c r="AJ251" t="str">
        <v>DEBT-IDC-TREAT</v>
      </c>
      <c r="AK251" t="str">
        <v>Debt and funding</v>
      </c>
      <c r="AL251" t="str">
        <v>Construction facility</v>
      </c>
      <c r="AM251" t="str">
        <v>IDC treatment</v>
      </c>
      <c r="AN251" t="str">
        <v>Text</v>
      </c>
      <c r="AO251" t="str">
        <v>Construction</v>
      </c>
      <c r="AP251" s="652" t="str">
        <v>During Construction</v>
      </c>
      <c r="AQ251" s="652"/>
      <c r="AR251" s="652"/>
      <c r="AS251" t="str">
        <v>MODEL DESIGN | D38</v>
      </c>
      <c r="AT251" s="9" t="n">
        <v>46228</v>
      </c>
      <c r="AU251" t="str">
        <v>Mapped</v>
      </c>
      <c r="AV251" t="str">
        <v>Model owner</v>
      </c>
      <c r="AW251" t="str">
        <v>Capitalised interest is calculated once on the debt schedule.</v>
      </c>
      <c r="AX251" t="str">
        <v>Derived calculation</v>
      </c>
      <c r="AY251" s="2440" t="str">
        <f>$H$223</f>
        <v>During Construction</v>
      </c>
      <c r="AZ251" t="str">
        <v>Yes</v>
      </c>
      <c r="BA251" t="str">
        <v>PROJECTS register</v>
      </c>
      <c r="BB251" t="str">
        <v>G251</v>
      </c>
      <c r="BC251" t="str">
        <v>PROJECTS register book(4).xlsm</v>
      </c>
      <c r="BD251" t="str">
        <v>No</v>
      </c>
      <c r="BE251" t="str">
        <v>Replace provisional financing assumptions with an executed lender term sheet.</v>
      </c>
      <c r="BF251" s="2442" t="n">
        <v>46231</v>
      </c>
      <c r="BG251" t="str">
        <f>IF($AZ251="No","PASS",IF(OR($AX251="Owner decision outstanding",$BD251="OWNER DECISION"),"WARNING",IF(OR($AP251="",$AN251="",$AS251="",$AV251=""),"FAIL","PASS")))</f>
        <v>PASS</v>
      </c>
    </row>
    <row r="252" ht="24" customHeight="1">
      <c r="A252" s="2504" t="str">
        <f>$AJ$144</f>
        <v>INV-NAMED-03-INIT</v>
      </c>
      <c r="B252" s="2561" t="str">
        <f>$AL$144</f>
        <v>Brian Mirnoff</v>
      </c>
      <c r="C252" s="2504" t="str">
        <f>$AM$144</f>
        <v>Initial contribution</v>
      </c>
      <c r="D252" s="2504" t="str">
        <f>$AN$144&amp;IF($AO$144="",""," | "&amp;IF($AN$144="Date",TEXT($AO$144,"dd mmm yyyy"),$AO$144))</f>
        <v>A$m | Initial funding date</v>
      </c>
      <c r="E252" s="2624" t="n">
        <v>5</v>
      </c>
      <c r="F252" s="2506"/>
      <c r="G252" s="2506"/>
      <c r="H252" s="2506" t="n">
        <f>IF($A252="","",$E252)</f>
        <v>5</v>
      </c>
      <c r="I252" s="2543" t="str">
        <f>$AU$144&amp;IF($AS$144="",""," | "&amp;$AS$144)</f>
        <v>Mapped — provisional | PROJECT CASH FLOW!E105/F105</v>
      </c>
      <c r="J252" s="2504" t="str">
        <f>$AV$144&amp;" | "&amp;$AX$144</f>
        <v>Management | Hard-coded model input</v>
      </c>
      <c r="K252" s="2504" t="str">
        <f>$AW$144</f>
        <v>Funded contribution adopted from the current data book. Legal holder, rights and funding dates require confirmation. | The field is live and formula-linked; its commercial or specialist basis remains provisional where stated.</v>
      </c>
      <c r="AJ252" t="str">
        <v>GST-TREATMENT</v>
      </c>
      <c r="AK252" t="str">
        <v>Tax and GST</v>
      </c>
      <c r="AL252" t="str">
        <v>Project</v>
      </c>
      <c r="AM252" t="str">
        <v>Source GST treatment</v>
      </c>
      <c r="AN252" t="str">
        <v>Text</v>
      </c>
      <c r="AO252" t="str">
        <v>Current</v>
      </c>
      <c r="AP252" s="652" t="str">
        <f>IF($E$307="","",$E$307)</f>
        <v>Excluded</v>
      </c>
      <c r="AQ252" s="652" t="str">
        <f>IF($F$307="","",$F$307)</f>
      </c>
      <c r="AR252" s="652" t="str">
        <f>IF($G$307="","",$G$307)</f>
      </c>
      <c r="AS252" t="str">
        <v>MODEL DESIGN | D45</v>
      </c>
      <c r="AT252" s="9" t="n">
        <v>46228</v>
      </c>
      <c r="AU252" t="str">
        <v>Mapped</v>
      </c>
      <c r="AV252" t="str">
        <v>Tax adviser</v>
      </c>
      <c r="AW252" t="str">
        <v>Source presentation basis; transaction-specific cash timing still requires tax advice.</v>
      </c>
      <c r="AX252" t="str">
        <v>Hard-coded model input</v>
      </c>
      <c r="AY252" s="2440" t="str">
        <f>$H$307</f>
        <v>Excluded</v>
      </c>
      <c r="AZ252" t="str">
        <v>Yes</v>
      </c>
      <c r="BA252" t="str">
        <v>PROJECTS register</v>
      </c>
      <c r="BB252" t="str">
        <v>G252</v>
      </c>
      <c r="BC252" t="str">
        <v>PROJECTS register book(4).xlsm</v>
      </c>
      <c r="BD252" t="str">
        <v>No</v>
      </c>
      <c r="BE252" t="str">
        <v>Obtain tax-adviser and operating-budget schedules and update provisional assumptions.</v>
      </c>
      <c r="BF252" s="2442" t="n">
        <v>46231</v>
      </c>
      <c r="BG252" t="str">
        <f>IF($AZ252="No","PASS",IF(OR($AX252="Owner decision outstanding",$BD252="OWNER DECISION"),"WARNING",IF(OR($AP252="",$AN252="",$AS252="",$AV252=""),"FAIL","PASS")))</f>
        <v>PASS</v>
      </c>
    </row>
    <row r="253" ht="24" customHeight="1">
      <c r="A253" s="2504" t="str">
        <f>$AJ$145</f>
        <v>INV-NAMED-03-PRE</v>
      </c>
      <c r="B253" s="2561" t="str">
        <f>$AL$145</f>
        <v>Brian Mirnoff</v>
      </c>
      <c r="C253" s="2504" t="str">
        <f>$AM$145</f>
        <v>Pre-construction contribution</v>
      </c>
      <c r="D253" s="2504" t="str">
        <f>$AN$145&amp;IF($AO$145="",""," | "&amp;IF($AN$145="Date",TEXT($AO$145,"dd mmm yyyy"),$AO$145))</f>
        <v>A$m | Initial funding date</v>
      </c>
      <c r="E253" s="2624" t="n">
        <v>0</v>
      </c>
      <c r="F253" s="2506"/>
      <c r="G253" s="2506"/>
      <c r="H253" s="2506" t="n">
        <f>IF($A253="","",$E253)</f>
        <v>0</v>
      </c>
      <c r="I253" s="2543" t="str">
        <f>$AU$145&amp;IF($AS$145="",""," | "&amp;$AS$145)</f>
        <v>Mapped — provisional | PROJECT CASH FLOW!E105/F105</v>
      </c>
      <c r="J253" s="2504" t="str">
        <f>$AV$145&amp;" | "&amp;$AX$145</f>
        <v>Management | Hard-coded model input</v>
      </c>
      <c r="K253" s="2504" t="str">
        <f>$AW$145</f>
        <v>Funded contribution adopted from the current data book. Legal holder, rights and funding dates require confirmation. | The field is live and formula-linked; its commercial or specialist basis remains provisional where stated.</v>
      </c>
      <c r="AJ253" t="str">
        <v>OPS-OPEX-RATIO</v>
      </c>
      <c r="AK253" t="str">
        <v>Operating assumptions</v>
      </c>
      <c r="AL253" t="str">
        <v>Project</v>
      </c>
      <c r="AM253" t="str">
        <v>Operating expense as % of revenue</v>
      </c>
      <c r="AN253" t="str">
        <v>%</v>
      </c>
      <c r="AO253" t="str">
        <v>Annual cross-check</v>
      </c>
      <c r="AP253" s="599" t="n">
        <v>0.025</v>
      </c>
      <c r="AQ253" s="599" t="n">
        <v>0.0275</v>
      </c>
      <c r="AR253" s="599" t="n">
        <v>0.0225</v>
      </c>
      <c r="AS253" t="str">
        <v>ASSUMPTIONS | B13:D13</v>
      </c>
      <c r="AT253" s="9" t="n">
        <v>46228</v>
      </c>
      <c r="AU253" t="str">
        <v>Mapped</v>
      </c>
      <c r="AV253" t="str">
        <v>Model owner</v>
      </c>
      <c r="AW253" t="str">
        <v>Cross-check only; detailed annual operating-cost schedule remains controlling.</v>
      </c>
      <c r="AX253" t="str">
        <v>Derived calculation</v>
      </c>
      <c r="AY253" s="2440" t="n">
        <f>$H$156</f>
        <v>0.025</v>
      </c>
      <c r="AZ253" t="str">
        <v>Yes</v>
      </c>
      <c r="BA253" t="str">
        <v>PROJECTS register</v>
      </c>
      <c r="BB253" t="str">
        <v>G253</v>
      </c>
      <c r="BC253" t="str">
        <v>PROJECTS register book(4).xlsm</v>
      </c>
      <c r="BD253" t="str">
        <v>No</v>
      </c>
      <c r="BE253" t="str">
        <v>Obtain tax-adviser and operating-budget schedules and update provisional assumptions.</v>
      </c>
      <c r="BF253" s="2442" t="n">
        <v>46231</v>
      </c>
      <c r="BG253" t="str">
        <f>IF($AZ253="No","PASS",IF(OR($AX253="Owner decision outstanding",$BD253="OWNER DECISION"),"WARNING",IF(OR($AP253="",$AN253="",$AS253="",$AV253=""),"FAIL","PASS")))</f>
        <v>PASS</v>
      </c>
    </row>
    <row r="254" ht="24" customHeight="1">
      <c r="A254" s="2504" t="str">
        <f>$AJ$146</f>
        <v>INV-NAMED-03-FUT</v>
      </c>
      <c r="B254" s="2561" t="str">
        <f>$AL$146</f>
        <v>Brian Mirnoff</v>
      </c>
      <c r="C254" s="2504" t="str">
        <f>$AM$146</f>
        <v>Future development contribution</v>
      </c>
      <c r="D254" s="2504" t="str">
        <f>$AN$146&amp;IF($AO$146="",""," | "&amp;IF($AN$146="Date",TEXT($AO$146,"dd mmm yyyy"),$AO$146))</f>
        <v>A$m | Future funding date</v>
      </c>
      <c r="E254" s="2624" t="n">
        <v>0</v>
      </c>
      <c r="F254" s="2506"/>
      <c r="G254" s="2506"/>
      <c r="H254" s="2506" t="n">
        <f>IF($A254="","",$E254)</f>
        <v>0</v>
      </c>
      <c r="I254" s="2543" t="str">
        <f>$AU$146&amp;IF($AS$146="",""," | "&amp;$AS$146)</f>
        <v>Mapped — provisional | PROJECT CASH FLOW!E105/F105</v>
      </c>
      <c r="J254" s="2504" t="str">
        <f>$AV$146&amp;" | "&amp;$AX$146</f>
        <v>Management | Hard-coded model input</v>
      </c>
      <c r="K254" s="2504" t="str">
        <f>$AW$146</f>
        <v>Funded contribution adopted from the current data book. Legal holder, rights and funding dates require confirmation. | The field is live and formula-linked; its commercial or specialist basis remains provisional where stated.</v>
      </c>
      <c r="AJ254" t="str">
        <v>OPS-SECURITY</v>
      </c>
      <c r="AK254" t="str">
        <v>Operating assumptions</v>
      </c>
      <c r="AL254" t="str">
        <v>Project</v>
      </c>
      <c r="AM254" t="str">
        <v>Security &amp; maintenance as % of gross revenue</v>
      </c>
      <c r="AN254" t="str">
        <v>%</v>
      </c>
      <c r="AO254" t="str">
        <v>Annual</v>
      </c>
      <c r="AP254" s="599" t="n">
        <f>IF($E$157="","",$E$157)</f>
        <v>0.03</v>
      </c>
      <c r="AQ254" s="599" t="str">
        <f>IF($F$157="","",$F$157)</f>
      </c>
      <c r="AR254" s="599" t="str">
        <f>IF($G$157="","",$G$157)</f>
      </c>
      <c r="AS254" t="str">
        <v>ASSUMPTIONS | B40</v>
      </c>
      <c r="AT254" s="9" t="n">
        <v>46228</v>
      </c>
      <c r="AU254" t="str">
        <v>Mapped</v>
      </c>
      <c r="AV254" t="str">
        <v>Model owner</v>
      </c>
      <c r="AW254" t="str">
        <v>Reflected in the detailed management operating forecast.</v>
      </c>
      <c r="AX254" t="str">
        <v>Hard-coded model input</v>
      </c>
      <c r="AY254" s="2440" t="n">
        <f>$H$157</f>
        <v>0.03</v>
      </c>
      <c r="AZ254" t="str">
        <v>Yes</v>
      </c>
      <c r="BA254" t="str">
        <v>PROJECTS register</v>
      </c>
      <c r="BB254" t="str">
        <v>G254</v>
      </c>
      <c r="BC254" t="str">
        <v>PROJECTS register book(4).xlsm</v>
      </c>
      <c r="BD254" t="str">
        <v>No</v>
      </c>
      <c r="BE254" t="str">
        <v>Obtain tax-adviser and operating-budget schedules and update provisional assumptions.</v>
      </c>
      <c r="BF254" s="2442" t="n">
        <v>46231</v>
      </c>
      <c r="BG254" t="str">
        <f>IF($AZ254="No","PASS",IF(OR($AX254="Owner decision outstanding",$BD254="OWNER DECISION"),"WARNING",IF(OR($AP254="",$AN254="",$AS254="",$AV254=""),"FAIL","PASS")))</f>
        <v>PASS</v>
      </c>
    </row>
    <row r="255" ht="24" customHeight="1">
      <c r="A255" s="2508" t="str">
        <f>$AJ$147</f>
        <v>INV-NAMED-04-INIT</v>
      </c>
      <c r="B255" s="2562" t="str">
        <f>$AL$147</f>
        <v>Belgravia</v>
      </c>
      <c r="C255" s="2508" t="str">
        <f>$AM$147</f>
        <v>Initial contribution</v>
      </c>
      <c r="D255" s="2508" t="str">
        <f>$AN$147&amp;IF($AO$147="",""," | "&amp;IF($AN$147="Date",TEXT($AO$147,"dd mmm yyyy"),$AO$147))</f>
        <v>A$m | Initial funding date</v>
      </c>
      <c r="E255" s="2624" t="n">
        <v>2</v>
      </c>
      <c r="F255" s="2506"/>
      <c r="G255" s="2506"/>
      <c r="H255" s="2506" t="n">
        <f>IF($A255="","",$E255)</f>
        <v>2</v>
      </c>
      <c r="I255" s="2543" t="str">
        <f>$AU$147&amp;IF($AS$147="",""," | "&amp;$AS$147)</f>
        <v>Mapped — provisional | PROJECT CASH FLOW!E106/F106</v>
      </c>
      <c r="J255" s="2504" t="str">
        <f>$AV$147&amp;" | "&amp;$AX$147</f>
        <v>Management | Hard-coded model input</v>
      </c>
      <c r="K255" s="2504" t="str">
        <f>$AW$147</f>
        <v>Funded contribution adopted from the current data book. Legal holder, rights and funding dates require confirmation. | The field is live and formula-linked; its commercial or specialist basis remains provisional where stated.</v>
      </c>
      <c r="AJ255" t="str">
        <v>OPS-ADMIN</v>
      </c>
      <c r="AK255" t="str">
        <v>Operating assumptions</v>
      </c>
      <c r="AL255" t="str">
        <v>Project</v>
      </c>
      <c r="AM255" t="str">
        <v>Administration as % of gross revenue</v>
      </c>
      <c r="AN255" t="str">
        <v>%</v>
      </c>
      <c r="AO255" t="str">
        <v>Annual</v>
      </c>
      <c r="AP255" s="599" t="n">
        <f>IF($E$158="","",$E$158)</f>
        <v>0.005</v>
      </c>
      <c r="AQ255" s="599" t="str">
        <f>IF($F$158="","",$F$158)</f>
      </c>
      <c r="AR255" s="599" t="str">
        <f>IF($G$158="","",$G$158)</f>
      </c>
      <c r="AS255" t="str">
        <v>ASSUMPTIONS | B41</v>
      </c>
      <c r="AT255" s="9" t="n">
        <v>46228</v>
      </c>
      <c r="AU255" t="str">
        <v>Mapped</v>
      </c>
      <c r="AV255" t="str">
        <v>Model owner</v>
      </c>
      <c r="AW255" t="str">
        <v>Reflected in the detailed management operating forecast.</v>
      </c>
      <c r="AX255" t="str">
        <v>Hard-coded model input</v>
      </c>
      <c r="AY255" s="2440" t="n">
        <f>$H$158</f>
        <v>0.005</v>
      </c>
      <c r="AZ255" t="str">
        <v>Yes</v>
      </c>
      <c r="BA255" t="str">
        <v>PROJECTS register</v>
      </c>
      <c r="BB255" t="str">
        <v>G255</v>
      </c>
      <c r="BC255" t="str">
        <v>PROJECTS register book(4).xlsm</v>
      </c>
      <c r="BD255" t="str">
        <v>No</v>
      </c>
      <c r="BE255" t="str">
        <v>Obtain tax-adviser and operating-budget schedules and update provisional assumptions.</v>
      </c>
      <c r="BF255" s="2442" t="n">
        <v>46231</v>
      </c>
      <c r="BG255" t="str">
        <f>IF($AZ255="No","PASS",IF(OR($AX255="Owner decision outstanding",$BD255="OWNER DECISION"),"WARNING",IF(OR($AP255="",$AN255="",$AS255="",$AV255=""),"FAIL","PASS")))</f>
        <v>PASS</v>
      </c>
    </row>
    <row r="256" ht="24" customHeight="1">
      <c r="A256" s="2504" t="str">
        <f>$AJ$148</f>
        <v>INV-NAMED-04-PRE</v>
      </c>
      <c r="B256" s="2561" t="str">
        <f>$AL$148</f>
        <v>Belgravia</v>
      </c>
      <c r="C256" s="2504" t="str">
        <f>$AM$148</f>
        <v>Pre-construction contribution</v>
      </c>
      <c r="D256" s="2504" t="str">
        <f>$AN$148&amp;IF($AO$148="",""," | "&amp;IF($AN$148="Date",TEXT($AO$148,"dd mmm yyyy"),$AO$148))</f>
        <v>A$m | Initial funding date</v>
      </c>
      <c r="E256" s="2624" t="n">
        <v>0</v>
      </c>
      <c r="F256" s="2506"/>
      <c r="G256" s="2506"/>
      <c r="H256" s="2506" t="n">
        <f>IF($A256="","",$E256)</f>
        <v>0</v>
      </c>
      <c r="I256" s="2543" t="str">
        <f>$AU$148&amp;IF($AS$148="",""," | "&amp;$AS$148)</f>
        <v>Mapped — provisional | PROJECT CASH FLOW!E106/F106</v>
      </c>
      <c r="J256" s="2504" t="str">
        <f>$AV$148&amp;" | "&amp;$AX$148</f>
        <v>Management | Hard-coded model input</v>
      </c>
      <c r="K256" s="2504" t="str">
        <f>$AW$148</f>
        <v>Funded contribution adopted from the current data book. Legal holder, rights and funding dates require confirmation. | The field is live and formula-linked; its commercial or specialist basis remains provisional where stated.</v>
      </c>
      <c r="AJ256" t="str">
        <v>FUND-TIMING-CREDIT</v>
      </c>
      <c r="AK256" t="str">
        <v>Debt and funding</v>
      </c>
      <c r="AL256" t="str">
        <v>Project</v>
      </c>
      <c r="AM256" t="str">
        <v>Gross-source timing and eligibility bridge</v>
      </c>
      <c r="AN256" t="str">
        <v>A$m</v>
      </c>
      <c r="AO256" t="str">
        <v>Development period</v>
      </c>
      <c r="AP256" s="653" t="n">
        <v>0</v>
      </c>
      <c r="AQ256" s="653"/>
      <c r="AR256" s="653"/>
      <c r="AS256" t="str">
        <v>Underwriting sources and uses bridge</v>
      </c>
      <c r="AT256" s="9" t="n">
        <v>46229</v>
      </c>
      <c r="AU256" t="str">
        <v>Mapped</v>
      </c>
      <c r="AV256" t="str">
        <v>Model owner</v>
      </c>
      <c r="AW256" t="str">
        <v>Calculated gross debt plus equity less the live funding requirement. It captures net-negative development-adjustment months and working-capital/cash timing; confirm classification with the financing model owner. | The bridge is formula-driven, disclosed and is not an accounting plug.</v>
      </c>
      <c r="AX256" t="str">
        <v>Derived calculation</v>
      </c>
      <c r="AY256" s="2440" t="n">
        <f>$H$224</f>
        <v>0</v>
      </c>
      <c r="AZ256" t="str">
        <v>Yes</v>
      </c>
      <c r="BA256" t="str">
        <v>PROJECTS register</v>
      </c>
      <c r="BB256" t="str">
        <v>G256</v>
      </c>
      <c r="BC256" t="str">
        <v>Target model</v>
      </c>
      <c r="BD256" t="str">
        <v>No</v>
      </c>
      <c r="BE256" t="str">
        <v>None — technical mapping complete.</v>
      </c>
      <c r="BF256" s="2442" t="n">
        <v>46231</v>
      </c>
      <c r="BG256" t="str">
        <f>IF($AZ256="No","PASS",IF(OR($AX256="Owner decision outstanding",$BD256="OWNER DECISION"),"WARNING",IF(OR($AP256="",$AN256="",$AS256="",$AV256=""),"FAIL","PASS")))</f>
        <v>FAIL</v>
      </c>
    </row>
    <row r="257" ht="24" customHeight="1">
      <c r="A257" s="2563" t="str">
        <v>TOTAL PROJECT FUNDING REQUIRED</v>
      </c>
      <c r="B257" s="2564" t="n">
        <f>INDEX($AY$8:$AY$257,MATCH("FUND-SCOPE-001",$AJ$8:$AJ$257,0))</f>
        <v>418.75855128460006</v>
      </c>
      <c r="C257" s="2563" t="str">
        <v>Compatibility formula</v>
      </c>
      <c r="D257" s="2563" t="str">
        <v>Controlling total funding requirement</v>
      </c>
      <c r="E257" s="2624"/>
      <c r="F257" s="2506"/>
      <c r="G257" s="2506"/>
      <c r="H257" s="2506"/>
      <c r="I257" s="2543"/>
      <c r="J257" s="2504"/>
      <c r="K257" s="2504"/>
      <c r="AJ257" s="329" t="str">
        <v>TIMING-ACTUALS-CUTOFF</v>
      </c>
      <c r="AK257" s="329" t="str">
        <v>Project and programme</v>
      </c>
      <c r="AL257" s="329" t="str">
        <v>Project</v>
      </c>
      <c r="AM257" s="329" t="str">
        <v>Actuals through date</v>
      </c>
      <c r="AN257" s="329" t="str">
        <v>Date</v>
      </c>
      <c r="AO257" s="329" t="str">
        <v>Current</v>
      </c>
      <c r="AP257" s="666" t="n">
        <v>46173</v>
      </c>
      <c r="AQ257" s="329"/>
      <c r="AR257" s="329"/>
      <c r="AS257" s="329" t="str">
        <v>Model governance / period-status control</v>
      </c>
      <c r="AT257" s="666" t="n">
        <v>46230</v>
      </c>
      <c r="AU257" s="329" t="str">
        <v>Formula Preserved</v>
      </c>
      <c r="AV257" s="329" t="str">
        <v>Model owner</v>
      </c>
      <c r="AW257" s="329" t="str">
        <v>The current workbook is forecast-only. Set this date only when actual results are loaded and locked.</v>
      </c>
      <c r="AX257" t="str">
        <v>Formula-linked source input</v>
      </c>
      <c r="AY257" s="2440" t="n">
        <f>$H$53</f>
        <v>46173</v>
      </c>
      <c r="AZ257" t="str">
        <v>Yes</v>
      </c>
      <c r="BA257"/>
      <c r="BB257"/>
      <c r="BC257" t="str">
        <v>Project data book</v>
      </c>
      <c r="BD257" t="str">
        <v>No</v>
      </c>
      <c r="BE257" t="str">
        <v>None — technical mapping complete.</v>
      </c>
      <c r="BF257" s="2442" t="n">
        <v>46231</v>
      </c>
      <c r="BG257" t="str">
        <f>IF($AZ257="No","PASS",IF(OR($AX257="Owner decision outstanding",$BD257="OWNER DECISION"),"WARNING",IF(OR($AP257="",$AN257="",$AS257="",$AV257=""),"FAIL","PASS")))</f>
        <v>PASS</v>
      </c>
    </row>
    <row r="258" ht="24" customHeight="1">
      <c r="A258" s="2563" t="str">
        <v>Construction debt</v>
      </c>
      <c r="B258" s="2564" t="n">
        <f>-INDEX($AY$8:$AY$257,MATCH("FUND-FINANCEABLE-DEBT",$AJ$8:$AJ$257,0))</f>
        <v>-213.01883390950715</v>
      </c>
      <c r="C258" s="2565" t="str">
        <v>Compatibility formula</v>
      </c>
      <c r="D258" s="2565" t="str">
        <v>Live construction-debt source</v>
      </c>
      <c r="E258" s="2566"/>
      <c r="F258" s="2566"/>
      <c r="G258" s="2566"/>
      <c r="H258" s="2566"/>
      <c r="I258" s="2565"/>
      <c r="J258" s="2565"/>
      <c r="K258" s="2565"/>
    </row>
    <row r="259" ht="24" customHeight="1">
      <c r="A259" s="2563" t="str">
        <v>Funded equity</v>
      </c>
      <c r="B259" s="2564" t="n">
        <f>-(B257+B258)</f>
        <v>-205.7397173750929</v>
      </c>
      <c r="C259" s="2565" t="str">
        <v>Compatibility formula</v>
      </c>
      <c r="D259" s="2565" t="str">
        <v>Residual funded-equity source</v>
      </c>
      <c r="E259" s="2566"/>
      <c r="F259" s="2566"/>
      <c r="G259" s="2566"/>
      <c r="H259" s="2566"/>
      <c r="I259" s="2565"/>
      <c r="J259" s="2565"/>
      <c r="K259" s="2565"/>
    </row>
    <row r="260" ht="24" customHeight="1">
      <c r="A260" s="2563" t="str">
        <v>SOURCES / USES CHECK</v>
      </c>
      <c r="B260" s="2564" t="n">
        <f>SUM(B257:B259)</f>
        <v>0</v>
      </c>
      <c r="C260" s="2563" t="str">
        <v>Compatibility control</v>
      </c>
      <c r="D260" s="2563" t="str">
        <v>Must equal zero</v>
      </c>
      <c r="E260" s="2566"/>
      <c r="F260" s="2566"/>
      <c r="G260" s="2566"/>
      <c r="H260" s="2566"/>
      <c r="I260" s="2565"/>
      <c r="J260" s="2565"/>
      <c r="K260" s="2565"/>
    </row>
    <row r="261" ht="24" customHeight="1">
      <c r="A261" s="2504" t="str">
        <f>$AJ$150</f>
        <v>INV-NAMED-05-INIT</v>
      </c>
      <c r="B261" s="2504" t="str">
        <f>$AL$150</f>
        <v>Other Investors</v>
      </c>
      <c r="C261" s="2504" t="str">
        <f>$AM$150</f>
        <v>Initial contribution</v>
      </c>
      <c r="D261" s="2504" t="str">
        <f>$AN$150&amp;IF($AO$150="",""," | "&amp;IF($AN$150="Date",TEXT($AO$150,"dd mmm yyyy"),$AO$150))</f>
        <v>A$m | Initial funding date</v>
      </c>
      <c r="E261" s="2624" t="n">
        <v>1</v>
      </c>
      <c r="F261" s="2506"/>
      <c r="G261" s="2506"/>
      <c r="H261" s="2506" t="n">
        <f>IF($A261="","",$E261)</f>
        <v>1</v>
      </c>
      <c r="I261" s="2543" t="str">
        <f>$AU$150&amp;IF($AS$150="",""," | "&amp;$AS$150)</f>
        <v>Mapped — provisional | PROJECT CASH FLOW!E107/F107</v>
      </c>
      <c r="J261" s="2504" t="str">
        <f>$AV$150&amp;" | "&amp;$AX$150</f>
        <v>Management | Hard-coded model input</v>
      </c>
      <c r="K261" s="2504" t="str">
        <f>$AW$150</f>
        <v>Funded contribution adopted from the current data book. Legal holder, rights and funding dates require confirmation. | The field is live and formula-linked; its commercial or specialist basis remains provisional where stated.</v>
      </c>
    </row>
    <row r="262" ht="24" customHeight="1">
      <c r="A262" s="2508" t="str">
        <f>$AJ$151</f>
        <v>INV-NAMED-05-PRE</v>
      </c>
      <c r="B262" s="2508" t="str">
        <f>$AL$151</f>
        <v>Other Investors</v>
      </c>
      <c r="C262" s="2508" t="str">
        <f>$AM$151</f>
        <v>Pre-construction contribution</v>
      </c>
      <c r="D262" s="2508" t="str">
        <f>$AN$151&amp;IF($AO$151="",""," | "&amp;IF($AN$151="Date",TEXT($AO$151,"dd mmm yyyy"),$AO$151))</f>
        <v>A$m | Initial funding date</v>
      </c>
      <c r="E262" s="2627" t="n">
        <v>0</v>
      </c>
      <c r="F262" s="2510"/>
      <c r="G262" s="2510"/>
      <c r="H262" s="2510" t="n">
        <f>IF($A262="","",$E262)</f>
        <v>0</v>
      </c>
      <c r="I262" s="2543" t="str">
        <f>$AU$151&amp;IF($AS$151="",""," | "&amp;$AS$151)</f>
        <v>Mapped — provisional | PROJECT CASH FLOW!E107/F107</v>
      </c>
      <c r="J262" s="2504" t="str">
        <f>$AV$151&amp;" | "&amp;$AX$151</f>
        <v>Management | Hard-coded model input</v>
      </c>
      <c r="K262" s="2504" t="str">
        <f>$AW$151</f>
        <v>Funded contribution adopted from the current data book. Legal holder, rights and funding dates require confirmation. | The field is live and formula-linked; its commercial or specialist basis remains provisional where stated.</v>
      </c>
    </row>
    <row r="263" ht="24" customHeight="1">
      <c r="A263" s="2508" t="str">
        <f>$AJ$152</f>
        <v>INV-NAMED-05-FUT</v>
      </c>
      <c r="B263" s="2508" t="str">
        <f>$AL$152</f>
        <v>Other Investors</v>
      </c>
      <c r="C263" s="2508" t="str">
        <f>$AM$152</f>
        <v>Future development contribution</v>
      </c>
      <c r="D263" s="2504" t="str">
        <f>$AN$152&amp;IF($AO$152="",""," | "&amp;IF($AN$152="Date",TEXT($AO$152,"dd mmm yyyy"),$AO$152))</f>
        <v>A$m | Future funding date</v>
      </c>
      <c r="E263" s="2624" t="n">
        <v>0</v>
      </c>
      <c r="F263" s="2506"/>
      <c r="G263" s="2506"/>
      <c r="H263" s="2506" t="n">
        <f>IF($A263="","",$E263)</f>
        <v>0</v>
      </c>
      <c r="I263" s="2543" t="str">
        <f>$AU$152&amp;IF($AS$152="",""," | "&amp;$AS$152)</f>
        <v>Mapped — provisional | PROJECT CASH FLOW!E107/F107</v>
      </c>
      <c r="J263" s="2504" t="str">
        <f>$AV$152&amp;" | "&amp;$AX$152</f>
        <v>Management | Hard-coded model input</v>
      </c>
      <c r="K263" s="2504" t="str">
        <f>$AW$152</f>
        <v>Funded contribution adopted from the current data book. Legal holder, rights and funding dates require confirmation. | The field is live and formula-linked; its commercial or specialist basis remains provisional where stated.</v>
      </c>
    </row>
    <row r="264" ht="24" customHeight="1">
      <c r="A264" s="2504" t="str">
        <f>$AJ$153</f>
        <v>INV-NAMED-06-INIT</v>
      </c>
      <c r="B264" s="2504" t="str">
        <f>$AL$153</f>
        <v>Andrew Norton &amp; others</v>
      </c>
      <c r="C264" s="2504" t="str">
        <f>$AM$153</f>
        <v>Initial contribution</v>
      </c>
      <c r="D264" s="2504" t="str">
        <f>$AN$153&amp;IF($AO$153="",""," | "&amp;IF($AN$153="Date",TEXT($AO$153,"dd mmm yyyy"),$AO$153))</f>
        <v>A$m | Initial funding date</v>
      </c>
      <c r="E264" s="2624" t="n">
        <v>0.83</v>
      </c>
      <c r="F264" s="2506"/>
      <c r="G264" s="2506"/>
      <c r="H264" s="2506" t="n">
        <f>IF($A264="","",$E264)</f>
        <v>0.83</v>
      </c>
      <c r="I264" s="2543" t="str">
        <f>$AU$153&amp;IF($AS$153="",""," | "&amp;$AS$153)</f>
        <v>Mapped — provisional | PROJECT CASH FLOW!E108/F108</v>
      </c>
      <c r="J264" s="2504" t="str">
        <f>$AV$153&amp;" | "&amp;$AX$153</f>
        <v>Management | Hard-coded model input</v>
      </c>
      <c r="K264" s="2504" t="str">
        <f>$AW$153</f>
        <v>Funded contribution adopted from the current data book. Legal holder, rights and funding dates require confirmation. | The field is live and formula-linked; its commercial or specialist basis remains provisional where stated.</v>
      </c>
    </row>
    <row r="265" ht="24" customHeight="1">
      <c r="A265" s="2504" t="str">
        <f>$AJ$154</f>
        <v>INV-NAMED-06-PRE</v>
      </c>
      <c r="B265" s="2504" t="str">
        <f>$AL$154</f>
        <v>Andrew Norton &amp; others</v>
      </c>
      <c r="C265" s="2504" t="str">
        <f>$AM$154</f>
        <v>Pre-construction contribution</v>
      </c>
      <c r="D265" s="2504" t="str">
        <f>$AN$154&amp;IF($AO$154="",""," | "&amp;IF($AN$154="Date",TEXT($AO$154,"dd mmm yyyy"),$AO$154))</f>
        <v>A$m | Initial funding date</v>
      </c>
      <c r="E265" s="2624" t="n">
        <v>0</v>
      </c>
      <c r="F265" s="2506"/>
      <c r="G265" s="2506"/>
      <c r="H265" s="2506" t="n">
        <f>IF($A265="","",$E265)</f>
        <v>0</v>
      </c>
      <c r="I265" s="2543" t="str">
        <f>$AU$154&amp;IF($AS$154="",""," | "&amp;$AS$154)</f>
        <v>Mapped — provisional | PROJECT CASH FLOW!E108/F108</v>
      </c>
      <c r="J265" s="2504" t="str">
        <f>$AV$154&amp;" | "&amp;$AX$154</f>
        <v>Management | Hard-coded model input</v>
      </c>
      <c r="K265" s="2504" t="str">
        <f>$AW$154</f>
        <v>Funded contribution adopted from the current data book. Legal holder, rights and funding dates require confirmation. | The field is live and formula-linked; its commercial or specialist basis remains provisional where stated.</v>
      </c>
    </row>
    <row r="266" ht="24" customHeight="1">
      <c r="A266" s="2504" t="str">
        <f>$AJ$155</f>
        <v>INV-NAMED-06-FUT</v>
      </c>
      <c r="B266" s="2504" t="str">
        <f>$AL$155</f>
        <v>Andrew Norton &amp; others</v>
      </c>
      <c r="C266" s="2504" t="str">
        <f>$AM$155</f>
        <v>Future development contribution</v>
      </c>
      <c r="D266" s="2504" t="str">
        <f>$AN$155&amp;IF($AO$155="",""," | "&amp;IF($AN$155="Date",TEXT($AO$155,"dd mmm yyyy"),$AO$155))</f>
        <v>A$m | Future funding date</v>
      </c>
      <c r="E266" s="2624" t="n">
        <v>0</v>
      </c>
      <c r="F266" s="2506"/>
      <c r="G266" s="2506"/>
      <c r="H266" s="2506" t="n">
        <f>IF($A266="","",$E266)</f>
        <v>0</v>
      </c>
      <c r="I266" s="2543" t="str">
        <f>$AU$155&amp;IF($AS$155="",""," | "&amp;$AS$155)</f>
        <v>Mapped — provisional | PROJECT CASH FLOW!E108/F108</v>
      </c>
      <c r="J266" s="2504" t="str">
        <f>$AV$155&amp;" | "&amp;$AX$155</f>
        <v>Management | Hard-coded model input</v>
      </c>
      <c r="K266" s="2504" t="str">
        <f>$AW$155</f>
        <v>Funded contribution adopted from the current data book. Legal holder, rights and funding dates require confirmation. | The field is live and formula-linked; its commercial or specialist basis remains provisional where stated.</v>
      </c>
    </row>
    <row r="267" ht="24" customHeight="1">
      <c r="A267" s="2504" t="str">
        <f>$AJ$156</f>
        <v>INV-NAMED-07-INIT</v>
      </c>
      <c r="B267" s="2504" t="str">
        <f>$AL$156</f>
        <v>Australian Institutional Investors</v>
      </c>
      <c r="C267" s="2504" t="str">
        <f>$AM$156</f>
        <v>Initial contribution</v>
      </c>
      <c r="D267" s="2504" t="str">
        <f>$AN$156&amp;IF($AO$156="",""," | "&amp;IF($AN$156="Date",TEXT($AO$156,"dd mmm yyyy"),$AO$156))</f>
        <v>A$m | Initial funding date</v>
      </c>
      <c r="E267" s="2624" t="n">
        <v>0</v>
      </c>
      <c r="F267" s="2506"/>
      <c r="G267" s="2506"/>
      <c r="H267" s="2506" t="n">
        <f>IF($A267="","",$E267)</f>
        <v>0</v>
      </c>
      <c r="I267" s="2543" t="str">
        <f>$AU$156&amp;IF($AS$156="",""," | "&amp;$AS$156)</f>
        <v>Mapped — provisional | PROJECT CASH FLOW!E109/F109</v>
      </c>
      <c r="J267" s="2504" t="str">
        <f>$AV$156&amp;" | "&amp;$AX$156</f>
        <v>Management | Hard-coded model input</v>
      </c>
      <c r="K267" s="2504" t="str">
        <f>$AW$156</f>
        <v>Funded contribution adopted from the current data book. Legal holder, rights and funding dates require confirmation. | The field is live and formula-linked; its commercial or specialist basis remains provisional where stated.</v>
      </c>
    </row>
    <row r="268" ht="24" customHeight="1">
      <c r="A268" s="2504" t="str">
        <f>$AJ$157</f>
        <v>INV-NAMED-07-PRE</v>
      </c>
      <c r="B268" s="2504" t="str">
        <f>$AL$157</f>
        <v>Australian Institutional Investors</v>
      </c>
      <c r="C268" s="2504" t="str">
        <f>$AM$157</f>
        <v>Pre-construction contribution</v>
      </c>
      <c r="D268" s="2504" t="str">
        <f>$AN$157&amp;IF($AO$157="",""," | "&amp;IF($AN$157="Date",TEXT($AO$157,"dd mmm yyyy"),$AO$157))</f>
        <v>A$m | Initial funding date</v>
      </c>
      <c r="E268" s="2624" t="n">
        <v>0</v>
      </c>
      <c r="F268" s="2506"/>
      <c r="G268" s="2506"/>
      <c r="H268" s="2506" t="n">
        <f>IF($A268="","",$E268)</f>
        <v>0</v>
      </c>
      <c r="I268" s="2543" t="str">
        <f>$AU$157&amp;IF($AS$157="",""," | "&amp;$AS$157)</f>
        <v>Mapped — provisional | PROJECT CASH FLOW!E109/F109</v>
      </c>
      <c r="J268" s="2504" t="str">
        <f>$AV$157&amp;" | "&amp;$AX$157</f>
        <v>Management | Hard-coded model input</v>
      </c>
      <c r="K268" s="2504" t="str">
        <f>$AW$157</f>
        <v>Funded contribution adopted from the current data book. Legal holder, rights and funding dates require confirmation. | The field is live and formula-linked; its commercial or specialist basis remains provisional where stated.</v>
      </c>
    </row>
    <row r="269" ht="24" customHeight="1">
      <c r="A269" s="2504" t="str">
        <f>$AJ$158</f>
        <v>INV-NAMED-07-FUT</v>
      </c>
      <c r="B269" s="2504" t="str">
        <f>$AL$158</f>
        <v>Australian Institutional Investors</v>
      </c>
      <c r="C269" s="2504" t="str">
        <f>$AM$158</f>
        <v>Future development contribution</v>
      </c>
      <c r="D269" s="2504" t="str">
        <f>$AN$158&amp;IF($AO$158="",""," | "&amp;IF($AN$158="Date",TEXT($AO$158,"dd mmm yyyy"),$AO$158))</f>
        <v>A$m | Future funding date</v>
      </c>
      <c r="E269" s="2624" t="n">
        <v>50</v>
      </c>
      <c r="F269" s="2506"/>
      <c r="G269" s="2506"/>
      <c r="H269" s="2506" t="n">
        <f>IF($A269="","",$E269)</f>
        <v>50</v>
      </c>
      <c r="I269" s="2543" t="str">
        <f>$AU$158&amp;IF($AS$158="",""," | "&amp;$AS$158)</f>
        <v>Mapped — provisional | PROJECT CASH FLOW!E109/F109</v>
      </c>
      <c r="J269" s="2504" t="str">
        <f>$AV$158&amp;" | "&amp;$AX$158</f>
        <v>Management | Hard-coded model input</v>
      </c>
      <c r="K269" s="2504" t="str">
        <f>$AW$158</f>
        <v>Funded contribution adopted from the current data book. Legal holder, rights and funding dates require confirmation. | The field is live and formula-linked; its commercial or specialist basis remains provisional where stated.</v>
      </c>
    </row>
    <row r="270" ht="24" customHeight="1">
      <c r="A270" s="2504" t="str">
        <f>$AJ$159</f>
        <v>INV-NAMED-08-INIT</v>
      </c>
      <c r="B270" s="2504" t="str">
        <f>$AL$159</f>
        <v>MASTER DEVELOPER</v>
      </c>
      <c r="C270" s="2504" t="str">
        <f>$AM$159</f>
        <v>Initial contribution</v>
      </c>
      <c r="D270" s="2504" t="str">
        <f>$AN$159&amp;IF($AO$159="",""," | "&amp;IF($AN$159="Date",TEXT($AO$159,"dd mmm yyyy"),$AO$159))</f>
        <v>A$m | Initial funding date</v>
      </c>
      <c r="E270" s="2624" t="n">
        <v>0</v>
      </c>
      <c r="F270" s="2506"/>
      <c r="G270" s="2506"/>
      <c r="H270" s="2506" t="n">
        <f>IF($A270="","",$E270)</f>
        <v>0</v>
      </c>
      <c r="I270" s="2543" t="str">
        <f>$AU$159&amp;IF($AS$159="",""," | "&amp;$AS$159)</f>
        <v>Mapped — provisional | PROJECT CASH FLOW!E110/F110 + CEO direction</v>
      </c>
      <c r="J270" s="2504" t="str">
        <f>$AV$159&amp;" | "&amp;$AX$159</f>
        <v>Management | Hard-coded model input</v>
      </c>
      <c r="K270" s="2504" t="str">
        <f>$AW$159</f>
        <v>A$150m commitment; funded draw is the residual required to preserve the source 50:50 funded capital structure. Legal identity and rights require confirmation. | The field is live and formula-linked; its commercial or specialist basis remains provisional where stated.</v>
      </c>
    </row>
    <row r="271" ht="24" customHeight="1">
      <c r="A271" s="2504" t="str">
        <f>$AJ$160</f>
        <v>INV-NAMED-08-PRE</v>
      </c>
      <c r="B271" s="2504" t="str">
        <f>$AL$160</f>
        <v>MASTER DEVELOPER</v>
      </c>
      <c r="C271" s="2504" t="str">
        <f>$AM$160</f>
        <v>Pre-construction contribution</v>
      </c>
      <c r="D271" s="2504" t="str">
        <f>$AN$160&amp;IF($AO$160="",""," | "&amp;IF($AN$160="Date",TEXT($AO$160,"dd mmm yyyy"),$AO$160))</f>
        <v>A$m | Initial funding date</v>
      </c>
      <c r="E271" s="2624" t="n">
        <v>0</v>
      </c>
      <c r="F271" s="2506"/>
      <c r="G271" s="2506"/>
      <c r="H271" s="2506" t="n">
        <f>IF($A271="","",$E271)</f>
        <v>0</v>
      </c>
      <c r="I271" s="2543" t="str">
        <f>$AU$160&amp;IF($AS$160="",""," | "&amp;$AS$160)</f>
        <v>Mapped — provisional | PROJECT CASH FLOW!E110/F110 + CEO direction</v>
      </c>
      <c r="J271" s="2504" t="str">
        <f>$AV$160&amp;" | "&amp;$AX$160</f>
        <v>Management | Hard-coded model input</v>
      </c>
      <c r="K271" s="2504" t="str">
        <f>$AW$160</f>
        <v>A$150m commitment; funded draw is the residual required to preserve the source 50:50 funded capital structure. Legal identity and rights require confirmation. | The field is live and formula-linked; its commercial or specialist basis remains provisional where stated.</v>
      </c>
    </row>
    <row r="272" ht="24" customHeight="1">
      <c r="A272" s="2504" t="str">
        <f>$AJ$161</f>
        <v>INV-NAMED-08-FUT</v>
      </c>
      <c r="B272" s="2504" t="str">
        <f>$AL$161</f>
        <v>MASTER DEVELOPER</v>
      </c>
      <c r="C272" s="2504" t="str">
        <f>$AM$161</f>
        <v>Future development contribution</v>
      </c>
      <c r="D272" s="2504" t="str">
        <f>$AN$161&amp;IF($AO$161="",""," | "&amp;IF($AN$161="Date",TEXT($AO$161,"dd mmm yyyy"),$AO$161))</f>
        <v>A$m | Future funding date</v>
      </c>
      <c r="E272" s="2624" t="n">
        <v>35.37122252470233</v>
      </c>
      <c r="F272" s="2506"/>
      <c r="G272" s="2506"/>
      <c r="H272" s="2506" t="n">
        <f>IF($A272="","",$E272)</f>
        <v>35.37122252470233</v>
      </c>
      <c r="I272" s="2543" t="str">
        <f>$AU$161&amp;IF($AS$161="",""," | "&amp;$AS$161)</f>
        <v>Mapped — provisional | PROJECT CASH FLOW!E110/F110 + CEO direction</v>
      </c>
      <c r="J272" s="2504" t="str">
        <f>$AV$161&amp;" | "&amp;$AX$161</f>
        <v>Management | Hard-coded model input</v>
      </c>
      <c r="K272" s="2504" t="str">
        <f>$AW$161</f>
        <v>A$150m commitment; funded draw is the residual required to preserve the source 50:50 funded capital structure. Legal identity and rights require confirmation. | The field is live and formula-linked; its commercial or specialist basis remains provisional where stated.</v>
      </c>
    </row>
    <row r="273" ht="24" customHeight="1">
      <c r="A273" s="2508" t="str">
        <f>$AJ$168</f>
        <v>FUND-EQUITY-TARGET</v>
      </c>
      <c r="B273" s="2508" t="str">
        <f>$AL$168</f>
        <v>Project</v>
      </c>
      <c r="C273" s="2508" t="str">
        <f>$AM$168</f>
        <v>Target funded equity</v>
      </c>
      <c r="D273" s="2508" t="str">
        <f>$AN$168&amp;IF($AO$168="",""," | "&amp;IF($AN$168="Date",TEXT($AO$168,"dd mmm yyyy"),$AO$168))</f>
        <v>A$m | Whole project</v>
      </c>
      <c r="E273" s="2510" t="n">
        <f>$AP$168</f>
        <v>119.20222252470232</v>
      </c>
      <c r="F273" s="2510" t="n">
        <f>$AQ$168</f>
        <v>253.34892352718308</v>
      </c>
      <c r="G273" s="2510" t="n">
        <f>$AR$168</f>
        <v>179.0192806741665</v>
      </c>
      <c r="H273" s="2510" t="n">
        <f>IF($A273="","",CHOOSE(MATCH('VALUATION &amp; RETURNS'!$CR$7,{"Downside","Base","Upside"},0),$F273,$E273,$G273))</f>
        <v>119.20222252470232</v>
      </c>
      <c r="I273" s="2543" t="str">
        <f>$AU$168&amp;IF($AS$168="",""," | "&amp;$AS$168)</f>
        <v>Formula Preserved | PROJECT CASH FLOW | E100</v>
      </c>
      <c r="J273" s="2504" t="str">
        <f>$AV$168&amp;" | "&amp;$AX$168</f>
        <v>Model owner | Formula-linked source input</v>
      </c>
      <c r="K273" s="2504" t="str">
        <f>$AW$168</f>
        <v>Allocated across the eight-line funded investor register.</v>
      </c>
    </row>
    <row r="274" ht="24" customHeight="1">
      <c r="A274" s="2513" t="str">
        <f>$AJ$169</f>
        <v>INV-NAMED-BASE</v>
      </c>
      <c r="B274" s="2513" t="str">
        <f>$AL$169</f>
        <v>Project</v>
      </c>
      <c r="C274" s="2513" t="str">
        <f>$AM$169</f>
        <v>Funded investor register</v>
      </c>
      <c r="D274" s="2513" t="str">
        <f>$AN$169&amp;IF($AO$169="",""," | "&amp;IF($AN$169="Date",TEXT($AO$169,"dd mmm yyyy"),$AO$169))</f>
        <v>A$m | Whole project</v>
      </c>
      <c r="E274" s="2515" t="n">
        <f>$AP$169</f>
        <v>119.20222252470232</v>
      </c>
      <c r="F274" s="2515"/>
      <c r="G274" s="2515"/>
      <c r="H274" s="2515" t="n">
        <f>IF($A274="","",$E274)</f>
        <v>119.20222252470232</v>
      </c>
      <c r="I274" s="2543" t="str">
        <f>$AU$169&amp;IF($AS$169="",""," | "&amp;$AS$169)</f>
        <v>Formula Preserved | FUNDING &amp; CAP TABLE</v>
      </c>
      <c r="J274" s="2504" t="str">
        <f>$AV$169&amp;" | "&amp;$AX$169</f>
        <v>Model owner | Derived calculation</v>
      </c>
      <c r="K274" s="2504" t="str">
        <f>$AW$169</f>
        <v>Funded contributions, not total commitments.</v>
      </c>
    </row>
    <row r="275" ht="24" customHeight="1">
      <c r="A275" s="2504" t="str">
        <f>$AJ$191</f>
        <v>FUND-LIVE-EQUITY</v>
      </c>
      <c r="B275" s="2504" t="str">
        <f>$AL$191</f>
        <v>Project</v>
      </c>
      <c r="C275" s="2504" t="str">
        <f>$AM$191</f>
        <v>Calculated equity funding requirement</v>
      </c>
      <c r="D275" s="2504" t="str">
        <f>$AN$191&amp;IF($AO$191="",""," | "&amp;IF($AN$191="Date",TEXT($AO$191,"dd mmm yyyy"),$AO$191))</f>
        <v>A$m | Base case</v>
      </c>
      <c r="E275" s="2506" t="n">
        <f>$AP$191</f>
        <v>119.20222252470232</v>
      </c>
      <c r="F275" s="2506" t="n">
        <f>$AQ$191</f>
        <v>253.34892352718308</v>
      </c>
      <c r="G275" s="2506" t="n">
        <f>$AR$191</f>
        <v>179.0192806741665</v>
      </c>
      <c r="H275" s="2506" t="n">
        <f>IF($A275="","",CHOOSE(MATCH('VALUATION &amp; RETURNS'!$CR$7,{"Downside","Base","Upside"},0),$F275,$E275,$G275))</f>
        <v>119.20222252470232</v>
      </c>
      <c r="I275" s="2543" t="str">
        <f>$AU$191&amp;IF($AS$191="",""," | "&amp;$AS$191)</f>
        <v>Formula Preserved | Live sources and uses</v>
      </c>
      <c r="J275" s="2504" t="str">
        <f>$AV$191&amp;" | "&amp;$AX$191</f>
        <v>Model owner | Derived calculation</v>
      </c>
      <c r="K275" s="2504" t="str">
        <f>$AW$191</f>
        <v>Residual project uses after financeable debt; allocated pro rata across the eight-line interim investor register.</v>
      </c>
    </row>
    <row r="276" ht="24" customHeight="1">
      <c r="A276" s="2512" t="str">
        <f>$AJ$192</f>
        <v>FUND-LIVE-EQUITY-SHARE</v>
      </c>
      <c r="B276" s="2512" t="str">
        <f>$AL$192</f>
        <v>Project</v>
      </c>
      <c r="C276" s="2512" t="str">
        <f>$AM$192</f>
        <v>Calculated equity funding share</v>
      </c>
      <c r="D276" s="2512" t="str">
        <f>$AN$192&amp;IF($AO$192="",""," | "&amp;IF($AN$192="Date",TEXT($AO$192,"dd mmm yyyy"),$AO$192))</f>
        <v>% | Base case</v>
      </c>
      <c r="E276" s="2552" t="n">
        <f>$AP$192</f>
        <v>0.28465621098132304</v>
      </c>
      <c r="F276" s="2552" t="n">
        <f>$AQ$192</f>
        <v>0.5499999999999999</v>
      </c>
      <c r="G276" s="2552" t="n">
        <f>$AR$192</f>
        <v>0.44999999999999996</v>
      </c>
      <c r="H276" s="2552" t="n">
        <f>IF($A276="","",CHOOSE(MATCH('VALUATION &amp; RETURNS'!$CR$7,{"Downside","Base","Upside"},0),$F276,$E276,$G276))</f>
        <v>0.28465621098132304</v>
      </c>
      <c r="I276" s="2543" t="str">
        <f>$AU$192&amp;IF($AS$192="",""," | "&amp;$AS$192)</f>
        <v>Formula Preserved | Live sources and uses</v>
      </c>
      <c r="J276" s="2504" t="str">
        <f>$AV$192&amp;" | "&amp;$AX$192</f>
        <v>Model owner | Derived calculation</v>
      </c>
      <c r="K276" s="2504" t="str">
        <f>$AW$192</f>
        <v>Calculated from live equity divided by live total development cost.</v>
      </c>
    </row>
    <row r="277" ht="24" customHeight="1">
      <c r="A277" s="2504" t="str">
        <f>$AJ$209</f>
        <v>FUND-MD-COMMIT</v>
      </c>
      <c r="B277" s="2504" t="str">
        <f>$AL$209</f>
        <v>MASTER DEVELOPER</v>
      </c>
      <c r="C277" s="2544" t="str">
        <f>$AM$209</f>
        <v>Equity commitment</v>
      </c>
      <c r="D277" s="2544" t="str">
        <f>$AN$209&amp;IF($AO$209="",""," | "&amp;IF($AN$209="Date",TEXT($AO$209,"dd mmm yyyy"),$AO$209))</f>
        <v>A$m | Whole project</v>
      </c>
      <c r="E277" s="2624" t="n">
        <v>150</v>
      </c>
      <c r="F277" s="2506"/>
      <c r="G277" s="2506"/>
      <c r="H277" s="2506" t="n">
        <f>IF($A277="","",$E277)</f>
        <v>150</v>
      </c>
      <c r="I277" s="2543" t="str">
        <f>$AU$209&amp;IF($AS$209="",""," | "&amp;$AS$209)</f>
        <v>Mapped — provisional | CEO direction | 26 Jul 2026</v>
      </c>
      <c r="J277" s="2504" t="str">
        <f>$AV$209&amp;" | "&amp;$AX$209</f>
        <v>Management | Hard-coded model input</v>
      </c>
      <c r="K277" s="2504" t="str">
        <f>$AW$209</f>
        <v>Commitment is linked; funded draw is limited to the amount required by the source 50:50 structure. | The field is live and formula-linked; its commercial or specialist basis remains provisional where stated.</v>
      </c>
    </row>
    <row r="278" ht="24" customHeight="1">
      <c r="A278" s="2504" t="str">
        <f>$AJ$210</f>
        <v>FUND-MD-DRAW</v>
      </c>
      <c r="B278" s="2504" t="str">
        <f>$AL$210</f>
        <v>MASTER DEVELOPER</v>
      </c>
      <c r="C278" s="2544" t="str">
        <f>$AM$210</f>
        <v>Funded equity draw</v>
      </c>
      <c r="D278" s="2544" t="str">
        <f>$AN$210&amp;IF($AO$210="",""," | "&amp;IF($AN$210="Date",TEXT($AO$210,"dd mmm yyyy"),$AO$210))</f>
        <v>A$m | Whole project</v>
      </c>
      <c r="E278" s="2506" t="n">
        <f>$AP$210</f>
        <v>35.37122252470233</v>
      </c>
      <c r="F278" s="2506"/>
      <c r="G278" s="2506"/>
      <c r="H278" s="2506" t="n">
        <f>IF($A278="","",$E278)</f>
        <v>35.37122252470233</v>
      </c>
      <c r="I278" s="2543" t="str">
        <f>$AU$210&amp;IF($AS$210="",""," | "&amp;$AS$210)</f>
        <v>Formula Preserved | FUNDING &amp; CAP TABLE</v>
      </c>
      <c r="J278" s="2504" t="str">
        <f>$AV$210&amp;" | "&amp;$AX$210</f>
        <v>Model owner | Formula-linked source input</v>
      </c>
      <c r="K278" s="2504" t="str">
        <f>$AW$210</f>
        <v>Residual funded amount after other investors.</v>
      </c>
    </row>
    <row r="279" ht="24" customHeight="1">
      <c r="A279" s="2504" t="str">
        <f>$AJ$211</f>
        <v>FUND-MD-UNDRAWN</v>
      </c>
      <c r="B279" s="2504" t="str">
        <f>$AL$211</f>
        <v>MASTER DEVELOPER</v>
      </c>
      <c r="C279" s="2544" t="str">
        <f>$AM$211</f>
        <v>Undrawn commitment</v>
      </c>
      <c r="D279" s="2544" t="str">
        <f>$AN$211&amp;IF($AO$211="",""," | "&amp;IF($AN$211="Date",TEXT($AO$211,"dd mmm yyyy"),$AO$211))</f>
        <v>A$m | Whole project</v>
      </c>
      <c r="E279" s="2506" t="n">
        <f>$AP$211</f>
        <v>114.62877747529767</v>
      </c>
      <c r="F279" s="2506"/>
      <c r="G279" s="2506"/>
      <c r="H279" s="2506" t="n">
        <f>IF($A279="","",$E279)</f>
        <v>114.62877747529767</v>
      </c>
      <c r="I279" s="2543" t="str">
        <f>$AU$211&amp;IF($AS$211="",""," | "&amp;$AS$211)</f>
        <v>Formula Preserved | FUNDING &amp; CAP TABLE</v>
      </c>
      <c r="J279" s="2504" t="str">
        <f>$AV$211&amp;" | "&amp;$AX$211</f>
        <v>Model owner | Formula-linked source input</v>
      </c>
      <c r="K279" s="2504" t="str">
        <f>$AW$211</f>
        <v>Commitment less funded draw.</v>
      </c>
    </row>
    <row r="280" ht="24" customHeight="1">
      <c r="A280" s="2504"/>
      <c r="B280" s="2504"/>
      <c r="C280" s="2544"/>
      <c r="D280" s="2544"/>
      <c r="E280" s="2558"/>
      <c r="F280" s="2558"/>
      <c r="G280" s="2558"/>
      <c r="H280" s="2558"/>
      <c r="I280" s="2543"/>
      <c r="J280" s="2504"/>
      <c r="K280" s="2504"/>
    </row>
    <row r="281" ht="24" customHeight="1">
      <c r="A281" s="2537" t="str">
        <v>VALUATION &amp; EXIT</v>
      </c>
      <c r="B281" s="2537"/>
      <c r="C281" s="2567"/>
      <c r="D281" s="2567"/>
      <c r="E281" s="2568"/>
      <c r="F281" s="2568"/>
      <c r="G281" s="2568"/>
      <c r="H281" s="2568"/>
      <c r="I281" s="2536"/>
      <c r="J281" s="2537"/>
      <c r="K281" s="2537"/>
    </row>
    <row r="282" ht="24" customHeight="1">
      <c r="A282" s="2512" t="str">
        <v>Field ID</v>
      </c>
      <c r="B282" s="2512" t="str">
        <v>Component</v>
      </c>
      <c r="C282" s="2569" t="str">
        <v>Assumption</v>
      </c>
      <c r="D282" s="2569" t="str">
        <v>Unit / Period</v>
      </c>
      <c r="E282" s="2568" t="str">
        <v>Base</v>
      </c>
      <c r="F282" s="2568" t="str">
        <v>Downside</v>
      </c>
      <c r="G282" s="2568" t="str">
        <v>Upside</v>
      </c>
      <c r="H282" s="2568" t="str">
        <v>Selected Value</v>
      </c>
      <c r="I282" s="2540" t="str">
        <v>Status / Source</v>
      </c>
      <c r="J282" s="2512" t="str">
        <v>Owner / Input Type</v>
      </c>
      <c r="K282" s="2512" t="str">
        <v>Notes</v>
      </c>
    </row>
    <row r="283" ht="24" customHeight="1">
      <c r="A283" s="2504" t="str">
        <f>$AJ$109</f>
        <v>VAL-001</v>
      </c>
      <c r="B283" s="2504" t="str">
        <f>$AL$109</f>
        <v>Property</v>
      </c>
      <c r="C283" s="2544" t="str">
        <f>$AM$109</f>
        <v>Market cap rate</v>
      </c>
      <c r="D283" s="2544" t="str">
        <f>$AN$109&amp;IF($AO$109="",""," | "&amp;IF($AN$109="Date",TEXT($AO$109,"dd mmm yyyy"),$AO$109))</f>
        <v>% | Current</v>
      </c>
      <c r="E283" s="2635" t="n">
        <v>0.065</v>
      </c>
      <c r="F283" s="2635" t="n">
        <v>0.07</v>
      </c>
      <c r="G283" s="2635" t="n">
        <v>0.06</v>
      </c>
      <c r="H283" s="2550" t="n">
        <f>IF($A283="","",CHOOSE(MATCH('VALUATION &amp; RETURNS'!$CR$7,{"Downside","Base","Upside"},0),$F283,$E283,$G283))</f>
        <v>0.065</v>
      </c>
      <c r="I283" s="2543" t="str">
        <f>$AU$109&amp;IF($AS$109="",""," | "&amp;$AS$109)</f>
        <v>Mapped | ASSUMPTIONS | B43</v>
      </c>
      <c r="J283" s="2504" t="str">
        <f>$AV$109&amp;" | "&amp;$AX$109</f>
        <v>Model owner | Hard-coded model input</v>
      </c>
      <c r="K283" s="2504" t="str">
        <f>$AW$109</f>
        <v>Current market capitalisation rate is the live management valuation input; independent market evidence remains required.</v>
      </c>
    </row>
    <row r="284" ht="24" customHeight="1">
      <c r="A284" s="2504" t="str">
        <f>$AJ$110</f>
        <v>VAL-002</v>
      </c>
      <c r="B284" s="2504" t="str">
        <f>$AL$110</f>
        <v>Property</v>
      </c>
      <c r="C284" s="2570" t="str">
        <f>$AM$110</f>
        <v>Terminal cap rate</v>
      </c>
      <c r="D284" s="2570" t="str">
        <f>$AN$110&amp;IF($AO$110="",""," | "&amp;IF($AN$110="Date",TEXT($AO$110,"dd mmm yyyy"),$AO$110))</f>
        <v>% | Exit</v>
      </c>
      <c r="E284" s="2550" t="n">
        <f>$AP$110</f>
        <v>0.0675</v>
      </c>
      <c r="F284" s="2550" t="n">
        <f>$AQ$110</f>
        <v>0.0725</v>
      </c>
      <c r="G284" s="2550" t="n">
        <f>$AR$110</f>
        <v>0.0625</v>
      </c>
      <c r="H284" s="2550" t="n">
        <f>IF($A284="","",CHOOSE(MATCH('VALUATION &amp; RETURNS'!$CR$7,{"Downside","Base","Upside"},0),$F284,$E284,$G284))</f>
        <v>0.0675</v>
      </c>
      <c r="I284" s="2543" t="str">
        <f>$AU$110&amp;IF($AS$110="",""," | "&amp;$AS$110)</f>
        <v>Mapped — provisional | ASSUMPTIONS; MODEL DESIGN | B45; C68</v>
      </c>
      <c r="J284" s="2504" t="str">
        <f>$AV$110&amp;" | "&amp;$AX$110</f>
        <v>Model owner | Derived calculation</v>
      </c>
      <c r="K284" s="2504" t="str">
        <f>$AW$110</f>
        <v>The live base/downside/upside terminal-cap schedule is the selected model basis; independent evidence remains required. | The live Base/Downside/Upside valuation schedule controls; independent market evidence remains an OWNER DECISION.</v>
      </c>
    </row>
    <row r="285" ht="24" customHeight="1">
      <c r="A285" s="2504" t="str">
        <f>$AJ$111</f>
        <v>VAL-003</v>
      </c>
      <c r="B285" s="2504" t="str">
        <f>$AL$111</f>
        <v>Property</v>
      </c>
      <c r="C285" s="2504" t="str">
        <f>$AM$111</f>
        <v>Selling costs</v>
      </c>
      <c r="D285" s="2504" t="str">
        <f>$AN$111&amp;IF($AO$111="",""," | "&amp;IF($AN$111="Date",TEXT($AO$111,"dd mmm yyyy"),$AO$111))</f>
        <v>% | Exit</v>
      </c>
      <c r="E285" s="2635" t="n">
        <v>0.02</v>
      </c>
      <c r="F285" s="2550"/>
      <c r="G285" s="2550"/>
      <c r="H285" s="2550" t="n">
        <f>IF($A285="","",$E285)</f>
        <v>0.02</v>
      </c>
      <c r="I285" s="2543" t="str">
        <f>$AU$111&amp;IF($AS$111="",""," | "&amp;$AS$111)</f>
        <v>Mapped | MODEL DESIGN | C70</v>
      </c>
      <c r="J285" s="2504" t="str">
        <f>$AV$111&amp;" | "&amp;$AX$111</f>
        <v>Model owner | Hard-coded model input</v>
      </c>
      <c r="K285" s="2504" t="str">
        <f>$AW$111</f>
        <v>Selling-cost rate is a provisional management assumption pending transaction and valuation advice.</v>
      </c>
    </row>
    <row r="286" ht="24" customHeight="1">
      <c r="A286" s="2508" t="str">
        <f>$AJ$112</f>
        <v>VAL-004</v>
      </c>
      <c r="B286" s="2508" t="str">
        <f>$AL$112</f>
        <v>Project</v>
      </c>
      <c r="C286" s="2508" t="str">
        <f>$AM$112</f>
        <v>Valuation discount rate</v>
      </c>
      <c r="D286" s="2508" t="str">
        <f>$AN$112&amp;IF($AO$112="",""," | "&amp;IF($AN$112="Date",TEXT($AO$112,"dd mmm yyyy"),$AO$112))</f>
        <v>% | Valuation date</v>
      </c>
      <c r="E286" s="2637" t="n">
        <v>0.08</v>
      </c>
      <c r="F286" s="2637" t="n">
        <v>0.09</v>
      </c>
      <c r="G286" s="2637" t="n">
        <v>0.07</v>
      </c>
      <c r="H286" s="2552" t="n">
        <f>IF($A286="","",CHOOSE(MATCH('VALUATION &amp; RETURNS'!$CR$7,{"Downside","Base","Upside"},0),$F286,$E286,$G286))</f>
        <v>0.08</v>
      </c>
      <c r="I286" s="2543" t="str">
        <f>$AU$112&amp;IF($AS$112="",""," | "&amp;$AS$112)</f>
        <v>Mapped | ASSUMPTIONS | B44; MODEL DESIGN | D71</v>
      </c>
      <c r="J286" s="2504" t="str">
        <f>$AV$112&amp;" | "&amp;$AX$112</f>
        <v>Model owner | Hard-coded model input</v>
      </c>
      <c r="K286" s="2504" t="str">
        <f>$AW$112</f>
        <v>Detailed ASSUMPTIONS value of 8.0% selected; MODEL DESIGN's 8.5% summary alternative remains disclosed in DATA MAP. Independent evidence is still required. | Live management working assumption mapped to VALUATIONS. Independent evidence or executed legal terms remain an OWNER DECISION.</v>
      </c>
    </row>
    <row r="287" ht="24" customHeight="1">
      <c r="A287" s="2508" t="str">
        <f>$AJ$113</f>
        <v>VAL-005</v>
      </c>
      <c r="B287" s="2508" t="str">
        <f>$AL$113</f>
        <v>Company / project</v>
      </c>
      <c r="C287" s="2508" t="str">
        <f>$AM$113</f>
        <v>Required developer profit on cost</v>
      </c>
      <c r="D287" s="2504" t="str">
        <f>$AN$113&amp;IF($AO$113="",""," | "&amp;IF($AN$113="Date",TEXT($AO$113,"dd mmm yyyy"),$AO$113))</f>
        <v>% | Valuation date</v>
      </c>
      <c r="E287" s="2635" t="n">
        <v>0.2</v>
      </c>
      <c r="F287" s="2550"/>
      <c r="G287" s="2550"/>
      <c r="H287" s="2550" t="n">
        <f>IF($A287="","",$E287)</f>
        <v>0.2</v>
      </c>
      <c r="I287" s="2543" t="str">
        <f>$AU$113&amp;IF($AS$113="",""," | "&amp;$AS$113)</f>
        <v>Mapped | Target: VALUATIONS | B9</v>
      </c>
      <c r="J287" s="2504" t="str">
        <f>$AV$113&amp;" | "&amp;$AX$113</f>
        <v>Model owner | Hard-coded model input</v>
      </c>
      <c r="K287" s="2504" t="str">
        <f>$AW$113</f>
        <v>No reliable agreed source input identified. | Live management working assumption mapped to VALUATIONS. Independent evidence or executed legal terms remain an OWNER DECISION.</v>
      </c>
    </row>
    <row r="288" ht="24" customHeight="1">
      <c r="A288" s="2504" t="str">
        <f>$AJ$114</f>
        <v>VAL-006</v>
      </c>
      <c r="B288" s="2504" t="str">
        <f>$AL$114</f>
        <v>Company / project</v>
      </c>
      <c r="C288" s="2544" t="str">
        <f>$AM$114</f>
        <v>OpCo EBITDA margin</v>
      </c>
      <c r="D288" s="2504" t="str">
        <f>$AN$114&amp;IF($AO$114="",""," | "&amp;IF($AN$114="Date",TEXT($AO$114,"dd mmm yyyy"),$AO$114))</f>
        <v>% | Valuation date</v>
      </c>
      <c r="E288" s="2550" t="n">
        <f>$AP$114</f>
        <v>0.2</v>
      </c>
      <c r="F288" s="2550"/>
      <c r="G288" s="2550"/>
      <c r="H288" s="2550" t="n">
        <f>IF($A288="","",$E288)</f>
        <v>0.2</v>
      </c>
      <c r="I288" s="2543" t="str">
        <f>$AU$114&amp;IF($AS$114="",""," | "&amp;$AS$114)</f>
        <v>Mapped | Target: VALUATIONS | B10</v>
      </c>
      <c r="J288" s="2504" t="str">
        <f>$AV$114&amp;" | "&amp;$AX$114</f>
        <v>Model owner | Derived calculation</v>
      </c>
      <c r="K288" s="2504" t="str">
        <f>$AW$114</f>
        <v>No reliable agreed source input identified. | Live management working assumption mapped to VALUATIONS. Independent evidence or executed legal terms remain an OWNER DECISION.</v>
      </c>
    </row>
    <row r="289" ht="24" customHeight="1">
      <c r="A289" s="2504" t="str">
        <f>$AJ$115</f>
        <v>VAL-007</v>
      </c>
      <c r="B289" s="2504" t="str">
        <f>$AL$115</f>
        <v>Company / project</v>
      </c>
      <c r="C289" s="2544" t="str">
        <f>$AM$115</f>
        <v>OpCo valuation multiple</v>
      </c>
      <c r="D289" s="2504" t="str">
        <f>$AN$115&amp;IF($AO$115="",""," | "&amp;IF($AN$115="Date",TEXT($AO$115,"dd mmm yyyy"),$AO$115))</f>
        <v>x | Valuation date</v>
      </c>
      <c r="E289" s="2641" t="n">
        <v>8</v>
      </c>
      <c r="F289" s="2557"/>
      <c r="G289" s="2557"/>
      <c r="H289" s="2557" t="n">
        <f>IF($A289="","",$E289)</f>
        <v>8</v>
      </c>
      <c r="I289" s="2543" t="str">
        <f>$AU$115&amp;IF($AS$115="",""," | "&amp;$AS$115)</f>
        <v>Mapped | Target: VALUATIONS | B11</v>
      </c>
      <c r="J289" s="2504" t="str">
        <f>$AV$115&amp;" | "&amp;$AX$115</f>
        <v>Model owner | Hard-coded model input</v>
      </c>
      <c r="K289" s="2504" t="str">
        <f>$AW$115</f>
        <v>No reliable agreed source input identified. | Live management working assumption mapped to VALUATIONS. Independent evidence or executed legal terms remain an OWNER DECISION.</v>
      </c>
    </row>
    <row r="290" ht="24" customHeight="1">
      <c r="A290" s="2504" t="str">
        <f>$AJ$116</f>
        <v>VAL-008</v>
      </c>
      <c r="B290" s="2504" t="str">
        <f>$AL$116</f>
        <v>Company / project</v>
      </c>
      <c r="C290" s="2544" t="str">
        <f>$AM$116</f>
        <v>Fully diluted dilution</v>
      </c>
      <c r="D290" s="2504" t="str">
        <f>$AN$116&amp;IF($AO$116="",""," | "&amp;IF($AN$116="Date",TEXT($AO$116,"dd mmm yyyy"),$AO$116))</f>
        <v>% | Valuation date</v>
      </c>
      <c r="E290" s="2635" t="n">
        <v>0</v>
      </c>
      <c r="F290" s="2550"/>
      <c r="G290" s="2550"/>
      <c r="H290" s="2550" t="n">
        <f>IF($A290="","",$E290)</f>
        <v>0</v>
      </c>
      <c r="I290" s="2543" t="str">
        <f>$AU$116&amp;IF($AS$116="",""," | "&amp;$AS$116)</f>
        <v>Mapped | Target: VALUATIONS | B12</v>
      </c>
      <c r="J290" s="2504" t="str">
        <f>$AV$116&amp;" | "&amp;$AX$116</f>
        <v>Model owner | Hard-coded model input</v>
      </c>
      <c r="K290" s="2504" t="str">
        <f>$AW$116</f>
        <v>No reliable agreed source input identified. | Live management working assumption mapped to VALUATIONS. Independent evidence or executed legal terms remain an OWNER DECISION.</v>
      </c>
    </row>
    <row r="291" ht="24" customHeight="1">
      <c r="A291" s="2504" t="str">
        <f>$AJ$117</f>
        <v>VAL-009</v>
      </c>
      <c r="B291" s="2504" t="str">
        <f>$AL$117</f>
        <v>Company / project</v>
      </c>
      <c r="C291" s="2570" t="str">
        <f>$AM$117</f>
        <v>Ownership units / shares</v>
      </c>
      <c r="D291" s="2504" t="str">
        <f>$AN$117&amp;IF($AO$117="",""," | "&amp;IF($AN$117="Date",TEXT($AO$117,"dd mmm yyyy"),$AO$117))</f>
        <v>Units | Valuation date</v>
      </c>
      <c r="E291" s="2505" t="n">
        <f>$AP$117</f>
        <v>1</v>
      </c>
      <c r="F291" s="2505"/>
      <c r="G291" s="2505"/>
      <c r="H291" s="2505" t="n">
        <f>IF($A291="","",$E291)</f>
        <v>1</v>
      </c>
      <c r="I291" s="2543" t="str">
        <f>$AU$117&amp;IF($AS$117="",""," | "&amp;$AS$117)</f>
        <v>Mapped | Target: VALUATIONS | B13</v>
      </c>
      <c r="J291" s="2504" t="str">
        <f>$AV$117&amp;" | "&amp;$AX$117</f>
        <v>Model owner | Derived calculation</v>
      </c>
      <c r="K291" s="2504" t="str">
        <f>$AW$117</f>
        <v>No reliable agreed source input identified. | Live management working assumption mapped to VALUATIONS. Independent evidence or executed legal terms remain an OWNER DECISION.</v>
      </c>
    </row>
    <row r="292" ht="24" customHeight="1">
      <c r="A292" s="2504" t="str">
        <f>$AJ$118</f>
        <v>VAL-010</v>
      </c>
      <c r="B292" s="2504" t="str">
        <f>$AL$118</f>
        <v>Company / project</v>
      </c>
      <c r="C292" s="2571" t="str">
        <f>$AM$118</f>
        <v>Shareholder loans</v>
      </c>
      <c r="D292" s="2504" t="str">
        <f>$AN$118&amp;IF($AO$118="",""," | "&amp;IF($AN$118="Date",TEXT($AO$118,"dd mmm yyyy"),$AO$118))</f>
        <v>A$m | Valuation date</v>
      </c>
      <c r="E292" s="2506" t="n">
        <f>$AP$118</f>
        <v>0</v>
      </c>
      <c r="F292" s="2506"/>
      <c r="G292" s="2506"/>
      <c r="H292" s="2506" t="n">
        <f>IF($A292="","",$E292)</f>
        <v>0</v>
      </c>
      <c r="I292" s="2543" t="str">
        <f>$AU$118&amp;IF($AS$118="",""," | "&amp;$AS$118)</f>
        <v>Mapped | Target: VALUATIONS | B14</v>
      </c>
      <c r="J292" s="2504" t="str">
        <f>$AV$118&amp;" | "&amp;$AX$118</f>
        <v>Model owner | Derived calculation</v>
      </c>
      <c r="K292" s="2504" t="str">
        <f>$AW$118</f>
        <v>No reliable agreed source input identified. | Live management working assumption mapped to VALUATIONS. Independent evidence or executed legal terms remain an OWNER DECISION.</v>
      </c>
    </row>
    <row r="293" ht="24" customHeight="1">
      <c r="A293" s="2504" t="str">
        <f>$AJ$119</f>
        <v>VAL-011</v>
      </c>
      <c r="B293" s="2504" t="str">
        <f>$AL$119</f>
        <v>Company / project</v>
      </c>
      <c r="C293" s="2504" t="str">
        <f>$AM$119</f>
        <v>Other liabilities</v>
      </c>
      <c r="D293" s="2504" t="str">
        <f>$AN$119&amp;IF($AO$119="",""," | "&amp;IF($AN$119="Date",TEXT($AO$119,"dd mmm yyyy"),$AO$119))</f>
        <v>A$m | Valuation date</v>
      </c>
      <c r="E293" s="2624" t="n">
        <v>0</v>
      </c>
      <c r="F293" s="2506"/>
      <c r="G293" s="2506"/>
      <c r="H293" s="2506" t="n">
        <f>IF($A293="","",$E293)</f>
        <v>0</v>
      </c>
      <c r="I293" s="2543" t="str">
        <f>$AU$119&amp;IF($AS$119="",""," | "&amp;$AS$119)</f>
        <v>Mapped | Target: VALUATIONS | B15</v>
      </c>
      <c r="J293" s="2504" t="str">
        <f>$AV$119&amp;" | "&amp;$AX$119</f>
        <v>Model owner | Hard-coded model input</v>
      </c>
      <c r="K293" s="2504" t="str">
        <f>$AW$119</f>
        <v>No reliable agreed source input identified. | Live management working assumption mapped to VALUATIONS. Independent evidence or executed legal terms remain an OWNER DECISION.</v>
      </c>
    </row>
    <row r="294" ht="24" customHeight="1">
      <c r="A294" s="2508" t="str">
        <f>$AJ$200</f>
        <v>HOLD-PERIOD</v>
      </c>
      <c r="B294" s="2508" t="str">
        <f>$AL$200</f>
        <v>Build &amp; Hold</v>
      </c>
      <c r="C294" s="2508" t="str">
        <f>$AM$200</f>
        <v>Hold period</v>
      </c>
      <c r="D294" s="2504" t="str">
        <f>$AN$200&amp;IF($AO$200="",""," | "&amp;IF($AN$200="Date",TEXT($AO$200,"dd mmm yyyy"),$AO$200))</f>
        <v>Years | Selected scenario</v>
      </c>
      <c r="E294" s="2623" t="n">
        <v>10</v>
      </c>
      <c r="F294" s="2505"/>
      <c r="G294" s="2505"/>
      <c r="H294" s="2505" t="n">
        <f>IF($A294="","",$E294)</f>
        <v>10</v>
      </c>
      <c r="I294" s="2543" t="str">
        <f>$AU$200&amp;IF($AS$200="",""," | "&amp;$AS$200)</f>
        <v>Mapped — provisional | Illustrative strategy assumption</v>
      </c>
      <c r="J294" s="2504" t="str">
        <f>$AV$200&amp;" | "&amp;$AX$200</f>
        <v>Management | Hard-coded model input</v>
      </c>
      <c r="K294" s="2504" t="str">
        <f>$AW$200</f>
        <v>Independent Build &amp; Hold strategy; does not reuse the Build &amp; Sell reversion date. | The field is live and formula-linked; its commercial or specialist basis remains provisional where stated.</v>
      </c>
    </row>
    <row r="295" ht="24" customHeight="1">
      <c r="A295" s="2504" t="str">
        <f>$AJ$201</f>
        <v>HOLD-NOI-GROWTH</v>
      </c>
      <c r="B295" s="2504" t="str">
        <f>$AL$201</f>
        <v>Build &amp; Hold</v>
      </c>
      <c r="C295" s="2504" t="str">
        <f>$AM$201</f>
        <v>Annual NOI growth</v>
      </c>
      <c r="D295" s="2504" t="str">
        <f>$AN$201&amp;IF($AO$201="",""," | "&amp;IF($AN$201="Date",TEXT($AO$201,"dd mmm yyyy"),$AO$201))</f>
        <v>% p.a. | Selected scenario</v>
      </c>
      <c r="E295" s="2635" t="n">
        <v>0.025</v>
      </c>
      <c r="F295" s="2635" t="n">
        <v>0.015</v>
      </c>
      <c r="G295" s="2635" t="n">
        <v>0.035</v>
      </c>
      <c r="H295" s="2550" t="n">
        <f>IF($A295="","",CHOOSE(MATCH('VALUATION &amp; RETURNS'!$CR$7,{"Downside","Base","Upside"},0),$F295,$E295,$G295))</f>
        <v>0.025</v>
      </c>
      <c r="I295" s="2543" t="str">
        <f>$AU$201&amp;IF($AS$201="",""," | "&amp;$AS$201)</f>
        <v>Mapped — provisional | Illustrative strategy assumption</v>
      </c>
      <c r="J295" s="2504" t="str">
        <f>$AV$201&amp;" | "&amp;$AX$201</f>
        <v>Management | Hard-coded model input</v>
      </c>
      <c r="K295" s="2504" t="str">
        <f>$AW$201</f>
        <v>Applied to post-stabilisation NOI during the hold period. | The field is live and formula-linked; its commercial or specialist basis remains provisional where stated.</v>
      </c>
    </row>
    <row r="296" ht="24" customHeight="1">
      <c r="A296" s="2504" t="str">
        <f>$AJ$202</f>
        <v>HOLD-EXIT-YIELD</v>
      </c>
      <c r="B296" s="2504" t="str">
        <f>$AL$202</f>
        <v>Build &amp; Hold</v>
      </c>
      <c r="C296" s="2504" t="str">
        <f>$AM$202</f>
        <v>Exit yield</v>
      </c>
      <c r="D296" s="2504" t="str">
        <f>$AN$202&amp;IF($AO$202="",""," | "&amp;IF($AN$202="Date",TEXT($AO$202,"dd mmm yyyy"),$AO$202))</f>
        <v>% | Selected scenario</v>
      </c>
      <c r="E296" s="2550" t="n">
        <f>$AP$202</f>
        <v>0.0675</v>
      </c>
      <c r="F296" s="2550"/>
      <c r="G296" s="2550"/>
      <c r="H296" s="2550" t="n">
        <f>IF($A296="","",$E296)</f>
        <v>0.0675</v>
      </c>
      <c r="I296" s="2543" t="str">
        <f>$AU$202&amp;IF($AS$202="",""," | "&amp;$AS$202)</f>
        <v>Formula Preserved | Central valuation assumptions</v>
      </c>
      <c r="J296" s="2504" t="str">
        <f>$AV$202&amp;" | "&amp;$AX$202</f>
        <v>Model owner | Formula-linked source input</v>
      </c>
      <c r="K296" s="2504" t="str">
        <f>$AW$202</f>
        <v>Linked to the scenario terminal cap rate.</v>
      </c>
    </row>
    <row r="297" ht="24" customHeight="1">
      <c r="A297" s="2504" t="str">
        <f>$AJ$203</f>
        <v>HOLD-DISCOUNT</v>
      </c>
      <c r="B297" s="2504" t="str">
        <f>$AL$203</f>
        <v>Build &amp; Hold</v>
      </c>
      <c r="C297" s="2504" t="str">
        <f>$AM$203</f>
        <v>Discount rate</v>
      </c>
      <c r="D297" s="2504" t="str">
        <f>$AN$203&amp;IF($AO$203="",""," | "&amp;IF($AN$203="Date",TEXT($AO$203,"dd mmm yyyy"),$AO$203))</f>
        <v>% | Selected scenario</v>
      </c>
      <c r="E297" s="2550" t="n">
        <f>$AP$203</f>
        <v>0.08</v>
      </c>
      <c r="F297" s="2550"/>
      <c r="G297" s="2550"/>
      <c r="H297" s="2550" t="n">
        <f>IF($A297="","",$E297)</f>
        <v>0.08</v>
      </c>
      <c r="I297" s="2543" t="str">
        <f>$AU$203&amp;IF($AS$203="",""," | "&amp;$AS$203)</f>
        <v>Formula Preserved | Central valuation assumptions</v>
      </c>
      <c r="J297" s="2504" t="str">
        <f>$AV$203&amp;" | "&amp;$AX$203</f>
        <v>Model owner | Formula-linked source input</v>
      </c>
      <c r="K297" s="2504" t="str">
        <f>$AW$203</f>
        <v>Linked to the selected valuation discount rate.</v>
      </c>
    </row>
    <row r="298" ht="24" customHeight="1">
      <c r="A298" s="2504" t="str">
        <f>$AJ$248</f>
        <v>VAL-TERM-GROWTH</v>
      </c>
      <c r="B298" s="2504" t="str">
        <f>$AL$248</f>
        <v>Property</v>
      </c>
      <c r="C298" s="2504" t="str">
        <f>$AM$248</f>
        <v>Terminal growth</v>
      </c>
      <c r="D298" s="2504" t="str">
        <f>$AN$248&amp;IF($AO$248="",""," | "&amp;IF($AN$248="Date",TEXT($AO$248,"dd mmm yyyy"),$AO$248))</f>
        <v>% p.a. | Exit</v>
      </c>
      <c r="E298" s="2550" t="n">
        <f>$AP$248</f>
        <v>0.025</v>
      </c>
      <c r="F298" s="2550"/>
      <c r="G298" s="2550"/>
      <c r="H298" s="2550" t="n">
        <f>IF($A298="","",$E298)</f>
        <v>0.025</v>
      </c>
      <c r="I298" s="2543" t="str">
        <f>$AU$248&amp;IF($AS$248="",""," | "&amp;$AS$248)</f>
        <v>Mapped | MODEL DESIGN | D72</v>
      </c>
      <c r="J298" s="2504" t="str">
        <f>$AV$248&amp;" | "&amp;$AX$248</f>
        <v>Model owner | Derived calculation</v>
      </c>
      <c r="K298" s="2504" t="str">
        <f>$AW$248</f>
        <v>Source cross-check; terminal capitalisation remains the governing valuation method.</v>
      </c>
    </row>
    <row r="299" ht="24" customHeight="1">
      <c r="A299" s="2504"/>
      <c r="B299" s="2504"/>
      <c r="C299" s="2504"/>
      <c r="D299" s="2504"/>
      <c r="E299" s="2546"/>
      <c r="F299" s="2546"/>
      <c r="G299" s="2546"/>
      <c r="H299" s="2546"/>
      <c r="I299" s="2543"/>
      <c r="J299" s="2504"/>
      <c r="K299" s="2504"/>
    </row>
    <row r="300" ht="24" customHeight="1">
      <c r="A300" s="2537" t="str">
        <v>TAX &amp; GST</v>
      </c>
      <c r="B300" s="2537"/>
      <c r="C300" s="2537"/>
      <c r="D300" s="2537"/>
      <c r="E300" s="2539"/>
      <c r="F300" s="2539"/>
      <c r="G300" s="2539"/>
      <c r="H300" s="2539"/>
      <c r="I300" s="2536"/>
      <c r="J300" s="2537"/>
      <c r="K300" s="2537"/>
    </row>
    <row r="301" ht="24" customHeight="1">
      <c r="A301" s="2512" t="str">
        <v>Field ID</v>
      </c>
      <c r="B301" s="2512" t="str">
        <v>Component</v>
      </c>
      <c r="C301" s="2512" t="str">
        <v>Assumption</v>
      </c>
      <c r="D301" s="2512" t="str">
        <v>Unit / Period</v>
      </c>
      <c r="E301" s="2539" t="str">
        <v>Base</v>
      </c>
      <c r="F301" s="2539" t="str">
        <v>Downside</v>
      </c>
      <c r="G301" s="2539" t="str">
        <v>Upside</v>
      </c>
      <c r="H301" s="2539" t="str">
        <v>Selected Value</v>
      </c>
      <c r="I301" s="2540" t="str">
        <v>Status / Source</v>
      </c>
      <c r="J301" s="2512" t="str">
        <v>Owner / Input Type</v>
      </c>
      <c r="K301" s="2512" t="str">
        <v>Notes</v>
      </c>
    </row>
    <row r="302" ht="24" customHeight="1">
      <c r="A302" s="2513" t="str">
        <f>$AJ$194</f>
        <v>TAX-CORP-RATE</v>
      </c>
      <c r="B302" s="2513" t="str">
        <f>$AL$194</f>
        <v>Project</v>
      </c>
      <c r="C302" s="2513" t="str">
        <f>$AM$194</f>
        <v>Australian corporate tax rate</v>
      </c>
      <c r="D302" s="2513" t="str">
        <f>$AN$194&amp;IF($AO$194="",""," | "&amp;IF($AN$194="Date",TEXT($AO$194,"dd mmm yyyy"),$AO$194))</f>
        <v>% | Provisional</v>
      </c>
      <c r="E302" s="2636" t="n">
        <v>0.3</v>
      </c>
      <c r="F302" s="2551"/>
      <c r="G302" s="2551"/>
      <c r="H302" s="2551" t="n">
        <f>IF($A302="","",$E302)</f>
        <v>0.3</v>
      </c>
      <c r="I302" s="2543" t="str">
        <f>$AU$194&amp;IF($AS$194="",""," | "&amp;$AS$194)</f>
        <v>Mapped — provisional | Illustrative pending tax advice</v>
      </c>
      <c r="J302" s="2504" t="str">
        <f>$AV$194&amp;" | "&amp;$AX$194</f>
        <v>Tax adviser | Hard-coded model input</v>
      </c>
      <c r="K302" s="2504" t="str">
        <f>$AW$194</f>
        <v>Applied only after tax-loss carryforwards and a provisional tax-depreciation allowance. | The field is live and formula-linked; its commercial or specialist basis remains provisional where stated.</v>
      </c>
    </row>
    <row r="303" ht="24" customHeight="1">
      <c r="A303" s="2504" t="str">
        <f>$AJ$195</f>
        <v>TAX-DEPR-RATE</v>
      </c>
      <c r="B303" s="2504" t="str">
        <f>$AL$195</f>
        <v>Project</v>
      </c>
      <c r="C303" s="2504" t="str">
        <f>$AM$195</f>
        <v>Tax depreciation rate on development cost</v>
      </c>
      <c r="D303" s="2504" t="str">
        <f>$AN$195&amp;IF($AO$195="",""," | "&amp;IF($AN$195="Date",TEXT($AO$195,"dd mmm yyyy"),$AO$195))</f>
        <v>% p.a. | Provisional</v>
      </c>
      <c r="E303" s="2635" t="n">
        <v>0.025</v>
      </c>
      <c r="F303" s="2550"/>
      <c r="G303" s="2550"/>
      <c r="H303" s="2550" t="n">
        <f>IF($A303="","",$E303)</f>
        <v>0.025</v>
      </c>
      <c r="I303" s="2543" t="str">
        <f>$AU$195&amp;IF($AS$195="",""," | "&amp;$AS$195)</f>
        <v>Mapped — provisional | Illustrative pending tax advice</v>
      </c>
      <c r="J303" s="2504" t="str">
        <f>$AV$195&amp;" | "&amp;$AX$195</f>
        <v>Tax adviser | Hard-coded model input</v>
      </c>
      <c r="K303" s="2504" t="str">
        <f>$AW$195</f>
        <v>Straight-line proxy for debt-capacity and cash-tax modelling; replace with a tax depreciation schedule. | The field is live and formula-linked; its commercial or specialist basis remains provisional where stated.</v>
      </c>
    </row>
    <row r="304" ht="24" customHeight="1">
      <c r="A304" s="2508" t="str">
        <f>$AJ$196</f>
        <v>GST-RATE</v>
      </c>
      <c r="B304" s="2508" t="str">
        <f>$AL$196</f>
        <v>Project</v>
      </c>
      <c r="C304" s="2508" t="str">
        <f>$AM$196</f>
        <v>GST rate</v>
      </c>
      <c r="D304" s="2508" t="str">
        <f>$AN$196&amp;IF($AO$196="",""," | "&amp;IF($AN$196="Date",TEXT($AO$196,"dd mmm yyyy"),$AO$196))</f>
        <v>% | Provisional</v>
      </c>
      <c r="E304" s="2637" t="n">
        <v>0.1</v>
      </c>
      <c r="F304" s="2552"/>
      <c r="G304" s="2552"/>
      <c r="H304" s="2552" t="n">
        <f>IF($A304="","",$E304)</f>
        <v>0.1</v>
      </c>
      <c r="I304" s="2543" t="str">
        <f>$AU$196&amp;IF($AS$196="",""," | "&amp;$AS$196)</f>
        <v>Mapped — provisional | Australian statutory rate / transaction treatment pending</v>
      </c>
      <c r="J304" s="2504" t="str">
        <f>$AV$196&amp;" | "&amp;$AX$196</f>
        <v>Tax adviser | Hard-coded model input</v>
      </c>
      <c r="K304" s="2504" t="str">
        <f>$AW$196</f>
        <v>Applied only to the provisional GST-eligible development-spend percentage. | The field is live and formula-linked; its commercial or specialist basis remains provisional where stated.</v>
      </c>
    </row>
    <row r="305" ht="24" customHeight="1">
      <c r="A305" s="2508" t="str">
        <f>$AJ$197</f>
        <v>GST-ELIGIBLE</v>
      </c>
      <c r="B305" s="2508" t="str">
        <f>$AL$197</f>
        <v>Development capex</v>
      </c>
      <c r="C305" s="2508" t="str">
        <f>$AM$197</f>
        <v>GST-eligible development spend</v>
      </c>
      <c r="D305" s="2508" t="str">
        <f>$AN$197&amp;IF($AO$197="",""," | "&amp;IF($AN$197="Date",TEXT($AO$197,"dd mmm yyyy"),$AO$197))</f>
        <v>% | Provisional</v>
      </c>
      <c r="E305" s="2635" t="n">
        <v>0.8</v>
      </c>
      <c r="F305" s="2550"/>
      <c r="G305" s="2550"/>
      <c r="H305" s="2550" t="n">
        <f>IF($A305="","",$E305)</f>
        <v>0.8</v>
      </c>
      <c r="I305" s="2543" t="str">
        <f>$AU$197&amp;IF($AS$197="",""," | "&amp;$AS$197)</f>
        <v>Mapped — provisional | Illustrative pending tax advice</v>
      </c>
      <c r="J305" s="2504" t="str">
        <f>$AV$197&amp;" | "&amp;$AX$197</f>
        <v>Tax adviser | Hard-coded model input</v>
      </c>
      <c r="K305" s="2504" t="str">
        <f>$AW$197</f>
        <v>Land, duty and non-creditable amounts are excluded through this provisional eligibility factor. | The field is live and formula-linked; its commercial or specialist basis remains provisional where stated.</v>
      </c>
    </row>
    <row r="306" ht="24" customHeight="1">
      <c r="A306" s="2504" t="str">
        <f>$AJ$198</f>
        <v>GST-RECOVERY-LAG</v>
      </c>
      <c r="B306" s="2504" t="str">
        <f>$AL$198</f>
        <v>Project</v>
      </c>
      <c r="C306" s="2504" t="str">
        <f>$AM$198</f>
        <v>GST recovery lag</v>
      </c>
      <c r="D306" s="2504" t="str">
        <f>$AN$198&amp;IF($AO$198="",""," | "&amp;IF($AN$198="Date",TEXT($AO$198,"dd mmm yyyy"),$AO$198))</f>
        <v>Months | Provisional</v>
      </c>
      <c r="E306" s="2623" t="n">
        <v>2</v>
      </c>
      <c r="F306" s="2505"/>
      <c r="G306" s="2505"/>
      <c r="H306" s="2505" t="n">
        <f>IF($A306="","",$E306)</f>
        <v>2</v>
      </c>
      <c r="I306" s="2543" t="str">
        <f>$AU$198&amp;IF($AS$198="",""," | "&amp;$AS$198)</f>
        <v>Mapped — provisional | Illustrative pending BAS profile</v>
      </c>
      <c r="J306" s="2504" t="str">
        <f>$AV$198&amp;" | "&amp;$AX$198</f>
        <v>Tax adviser | Hard-coded model input</v>
      </c>
      <c r="K306" s="2504" t="str">
        <f>$AW$198</f>
        <v>Input GST is funded when paid and recovered two months later. | The field is live and formula-linked; its commercial or specialist basis remains provisional where stated.</v>
      </c>
    </row>
    <row r="307" ht="24" customHeight="1">
      <c r="A307" s="2504" t="str">
        <f>$AJ$252</f>
        <v>GST-TREATMENT</v>
      </c>
      <c r="B307" s="2504" t="str">
        <f>$AL$252</f>
        <v>Project</v>
      </c>
      <c r="C307" s="2504" t="str">
        <f>$AM$252</f>
        <v>Source GST treatment</v>
      </c>
      <c r="D307" s="2504" t="str">
        <f>$AN$252&amp;IF($AO$252="",""," | "&amp;IF($AN$252="Date",TEXT($AO$252,"dd mmm yyyy"),$AO$252))</f>
        <v>Text | Current</v>
      </c>
      <c r="E307" s="2633" t="str">
        <v>Excluded</v>
      </c>
      <c r="F307" s="2542"/>
      <c r="G307" s="2542"/>
      <c r="H307" s="2542" t="str">
        <f>IF($A307="","",$E307)</f>
        <v>Excluded</v>
      </c>
      <c r="I307" s="2543" t="str">
        <f>$AU$252&amp;IF($AS$252="",""," | "&amp;$AS$252)</f>
        <v>Mapped | MODEL DESIGN | D45</v>
      </c>
      <c r="J307" s="2504" t="str">
        <f>$AV$252&amp;" | "&amp;$AX$252</f>
        <v>Tax adviser | Hard-coded model input</v>
      </c>
      <c r="K307" s="2504" t="str">
        <f>$AW$252</f>
        <v>Source presentation basis; transaction-specific cash timing still requires tax advice.</v>
      </c>
    </row>
    <row r="308" ht="24" customHeight="1">
      <c r="A308" s="2504"/>
      <c r="B308" s="2572"/>
      <c r="C308" s="2504"/>
      <c r="D308" s="2504"/>
      <c r="E308" s="2546"/>
      <c r="F308" s="2546"/>
      <c r="G308" s="2546"/>
      <c r="H308" s="2546"/>
      <c r="I308" s="2543"/>
      <c r="J308" s="2504"/>
      <c r="K308" s="2504"/>
    </row>
    <row r="309" ht="24" customHeight="1">
      <c r="A309" s="2537" t="str">
        <v>OWNER DECISIONS</v>
      </c>
      <c r="B309" s="2537"/>
      <c r="C309" s="2537"/>
      <c r="D309" s="2537"/>
      <c r="E309" s="2539"/>
      <c r="F309" s="2539"/>
      <c r="G309" s="2539"/>
      <c r="H309" s="2539"/>
      <c r="I309" s="2536"/>
      <c r="J309" s="2537"/>
      <c r="K309" s="2537"/>
    </row>
    <row r="310" ht="24" customHeight="1">
      <c r="A310" s="2512" t="str">
        <v>Field ID</v>
      </c>
      <c r="B310" s="2573" t="str">
        <v>Component</v>
      </c>
      <c r="C310" s="2512" t="str">
        <v>Assumption</v>
      </c>
      <c r="D310" s="2512" t="str">
        <v>Unit / Period</v>
      </c>
      <c r="E310" s="2539" t="str">
        <v>Base</v>
      </c>
      <c r="F310" s="2539" t="str">
        <v>Downside</v>
      </c>
      <c r="G310" s="2539" t="str">
        <v>Upside</v>
      </c>
      <c r="H310" s="2539" t="str">
        <v>Selected Value</v>
      </c>
      <c r="I310" s="2540" t="str">
        <v>Status / Source</v>
      </c>
      <c r="J310" s="2512" t="str">
        <v>Owner / Input Type</v>
      </c>
      <c r="K310" s="2512" t="str">
        <v>Notes</v>
      </c>
    </row>
    <row r="311" ht="24" customHeight="1">
      <c r="A311" s="2504" t="str">
        <f>$AJ$205</f>
        <v>ASSUMPTION-STATUS</v>
      </c>
      <c r="B311" s="2574" t="str">
        <f>$AL$205</f>
        <v>Project</v>
      </c>
      <c r="C311" s="2504" t="str">
        <f>$AM$205</f>
        <v>Unconfirmed commercial assumption status</v>
      </c>
      <c r="D311" s="2504" t="str">
        <f>$AN$205&amp;IF($AO$205="",""," | "&amp;IF($AN$205="Date",TEXT($AO$205,"dd mmm yyyy"),$AO$205))</f>
        <v>Status | Current</v>
      </c>
      <c r="E311" s="2542" t="str">
        <f>$AP$205</f>
        <v>Management confirmation required</v>
      </c>
      <c r="F311" s="2542"/>
      <c r="G311" s="2542"/>
      <c r="H311" s="2542" t="str">
        <f>IF($A311="","",$E311)</f>
        <v>Management confirmation required</v>
      </c>
      <c r="I311" s="2543" t="str">
        <f>$AU$205&amp;IF($AS$205="",""," | "&amp;$AS$205)</f>
        <v>Waived — OWNER DECISION | Audit issue register</v>
      </c>
      <c r="J311" s="2504" t="str">
        <f>$AV$205&amp;" | "&amp;$AX$205</f>
        <v>Management | System control</v>
      </c>
      <c r="K311" s="2504" t="str">
        <f>$AW$205</f>
        <v>Lender terms, cap table legal rights, independent valuation evidence and tax treatment remain provisional and are not presented as agreed facts. | The technical treatment is complete; external legal, lender, valuation or specialist evidence is still required.</v>
      </c>
    </row>
    <row r="312" ht="24" customHeight="1">
      <c r="A312" s="2504" t="str">
        <f>$AJ$249</f>
        <v>DEBT-LOAN-TYPE</v>
      </c>
      <c r="B312" s="2574" t="str">
        <f>$AL$249</f>
        <v>Senior debt</v>
      </c>
      <c r="C312" s="2504" t="str">
        <f>$AM$249</f>
        <v>Data-book loan type</v>
      </c>
      <c r="D312" s="2504" t="str">
        <f>$AN$249&amp;IF($AO$249="",""," | "&amp;IF($AN$249="Date",TEXT($AO$249,"dd mmm yyyy"),$AO$249))</f>
        <v>Text | Construction and term</v>
      </c>
      <c r="E312" s="2633" t="str">
        <v>Interest Only</v>
      </c>
      <c r="F312" s="2542"/>
      <c r="G312" s="2542"/>
      <c r="H312" s="2542" t="str">
        <f>IF($A312="","",$E312)</f>
        <v>Interest Only</v>
      </c>
      <c r="I312" s="2543" t="str">
        <f>$AU$249&amp;IF($AS$249="",""," | "&amp;$AS$249)</f>
        <v>Waived — OWNER DECISION | MODEL DESIGN | D36</v>
      </c>
      <c r="J312" s="2504" t="str">
        <f>$AV$249&amp;" | "&amp;$AX$249</f>
        <v>Model owner | Owner decision outstanding</v>
      </c>
      <c r="K312" s="2504" t="str">
        <f>$AW$249</f>
        <v>Source alternative recorded for traceability; not activated until lender terms are confirmed. | The technical treatment is complete; external legal, lender, valuation or specialist evidence is still required.</v>
      </c>
    </row>
    <row r="313" ht="24" customHeight="1">
      <c r="A313" s="2504" t="str">
        <f>$AJ$250</f>
        <v>DEBT-SENIOR-TERM</v>
      </c>
      <c r="B313" s="2541" t="str">
        <f>$AL$250</f>
        <v>Senior debt</v>
      </c>
      <c r="C313" s="2504" t="str">
        <f>$AM$250</f>
        <v>Data-book loan term</v>
      </c>
      <c r="D313" s="2504" t="str">
        <f>$AN$250&amp;IF($AO$250="",""," | "&amp;IF($AN$250="Date",TEXT($AO$250,"dd mmm yyyy"),$AO$250))</f>
        <v>Years | Post-conversion</v>
      </c>
      <c r="E313" s="2623" t="n">
        <v>10</v>
      </c>
      <c r="F313" s="2505"/>
      <c r="G313" s="2505"/>
      <c r="H313" s="2505" t="n">
        <f>IF($A313="","",$E313)</f>
        <v>10</v>
      </c>
      <c r="I313" s="2543" t="str">
        <f>$AU$250&amp;IF($AS$250="",""," | "&amp;$AS$250)</f>
        <v>Waived — OWNER DECISION | MODEL DESIGN | D37</v>
      </c>
      <c r="J313" s="2504" t="str">
        <f>$AV$250&amp;" | "&amp;$AX$250</f>
        <v>Model owner | Owner decision outstanding</v>
      </c>
      <c r="K313" s="2504" t="str">
        <f>$AW$250</f>
        <v>Source alternative recorded for traceability; the live five-year assumption remains illustrative pending lender confirmation. | The technical treatment is complete; external legal, lender, valuation or specialist evidence is still required.</v>
      </c>
    </row>
    <row r="314" ht="24" customHeight="1">
      <c r="A314" s="2504"/>
      <c r="B314" s="2541"/>
      <c r="C314" s="2504"/>
      <c r="D314" s="2504"/>
      <c r="E314" s="2546"/>
      <c r="F314" s="2546"/>
      <c r="G314" s="2546"/>
      <c r="H314" s="2546"/>
      <c r="I314" s="2543"/>
      <c r="J314" s="2504"/>
      <c r="K314" s="2504"/>
    </row>
    <row r="315" ht="24" customHeight="1">
      <c r="A315" s="2537" t="str">
        <v>MODEL CONTROLS</v>
      </c>
      <c r="B315" s="2537"/>
      <c r="C315" s="2537"/>
      <c r="D315" s="2537"/>
      <c r="E315" s="2539"/>
      <c r="F315" s="2539"/>
      <c r="G315" s="2539"/>
      <c r="H315" s="2539"/>
      <c r="I315" s="2536"/>
      <c r="J315" s="2537"/>
      <c r="K315" s="2537"/>
    </row>
    <row r="316" ht="24" customHeight="1">
      <c r="A316" s="2512" t="str">
        <v>Field ID</v>
      </c>
      <c r="B316" s="2512" t="str">
        <v>Component</v>
      </c>
      <c r="C316" s="2512" t="str">
        <v>Assumption</v>
      </c>
      <c r="D316" s="2512" t="str">
        <v>Unit / Period</v>
      </c>
      <c r="E316" s="2539" t="str">
        <v>Base</v>
      </c>
      <c r="F316" s="2539" t="str">
        <v>Downside</v>
      </c>
      <c r="G316" s="2539" t="str">
        <v>Upside</v>
      </c>
      <c r="H316" s="2539" t="str">
        <v>Selected Value</v>
      </c>
      <c r="I316" s="2540" t="str">
        <v>Status / Source</v>
      </c>
      <c r="J316" s="2512" t="str">
        <v>Owner / Input Type</v>
      </c>
      <c r="K316" s="2512" t="str">
        <v>Notes</v>
      </c>
    </row>
    <row r="317" ht="24" customHeight="1">
      <c r="A317" s="2504" t="str">
        <f>$AJ$164</f>
        <v>FUND-SCALE-001</v>
      </c>
      <c r="B317" s="2574" t="str">
        <f>$AL$164</f>
        <v>Project</v>
      </c>
      <c r="C317" s="2504" t="str">
        <f>$AM$164</f>
        <v>Data-book scope alignment factor</v>
      </c>
      <c r="D317" s="2504" t="str">
        <f>$AN$164&amp;IF($AO$164="",""," | "&amp;IF($AN$164="Date",TEXT($AO$164,"dd mmm yyyy"),$AO$164))</f>
        <v>x | Whole project</v>
      </c>
      <c r="E317" s="2557" t="n">
        <f>$AP$164</f>
        <v>1</v>
      </c>
      <c r="F317" s="2557"/>
      <c r="G317" s="2557"/>
      <c r="H317" s="2557" t="n">
        <f>IF($A317="","",$E317)</f>
        <v>1</v>
      </c>
      <c r="I317" s="2543" t="str">
        <f>$AU$164&amp;IF($AS$164="",""," | "&amp;$AS$164)</f>
        <v>Mapped | Current data book selected</v>
      </c>
      <c r="J317" s="2504" t="str">
        <f>$AV$164&amp;" | "&amp;$AX$164</f>
        <v>Model owner | System control</v>
      </c>
      <c r="K317" s="2504" t="str">
        <f>$AW$164</f>
        <v>No pro-rata scaling is applied to the detailed data-book budget.</v>
      </c>
    </row>
    <row r="318" ht="24" customHeight="1">
      <c r="A318" s="2504" t="str">
        <f>$AJ$170</f>
        <v>INV-NAMED-SCALE</v>
      </c>
      <c r="B318" s="2504" t="str">
        <f>$AL$170</f>
        <v>Investors and ownership</v>
      </c>
      <c r="C318" s="2504" t="str">
        <f>$AM$170</f>
        <v>Funded investor allocation factor</v>
      </c>
      <c r="D318" s="2504" t="str">
        <f>$AN$170&amp;IF($AO$170="",""," | "&amp;IF($AN$170="Date",TEXT($AO$170,"dd mmm yyyy"),$AO$170))</f>
        <v>x | Whole project</v>
      </c>
      <c r="E318" s="2557" t="n">
        <f>$AP$170</f>
        <v>1</v>
      </c>
      <c r="F318" s="2557"/>
      <c r="G318" s="2557"/>
      <c r="H318" s="2557" t="n">
        <f>IF($A318="","",$E318)</f>
        <v>1</v>
      </c>
      <c r="I318" s="2543" t="str">
        <f>$AU$170&amp;IF($AS$170="",""," | "&amp;$AS$170)</f>
        <v>Formula Preserved | Calculated</v>
      </c>
      <c r="J318" s="2504" t="str">
        <f>$AV$170&amp;" | "&amp;$AX$170</f>
        <v>Model owner | System control</v>
      </c>
      <c r="K318" s="2504" t="str">
        <f>$AW$170</f>
        <v>Must equal 1.000x; funded contributions are not pro-rata rescaled.</v>
      </c>
    </row>
    <row r="319" ht="24" customHeight="1">
      <c r="A319" s="2508" t="str">
        <f>$AJ$178</f>
        <v>FUND-SCOPE-CHECK</v>
      </c>
      <c r="B319" s="2508" t="str">
        <f>$AL$178</f>
        <v>Project</v>
      </c>
      <c r="C319" s="2508" t="str">
        <f>$AM$178</f>
        <v>Live model funding less data-book requirement</v>
      </c>
      <c r="D319" s="2508" t="str">
        <f>$AN$178&amp;IF($AO$178="",""," | "&amp;IF($AN$178="Date",TEXT($AO$178,"dd mmm yyyy"),$AO$178))</f>
        <v>A$m | Whole project</v>
      </c>
      <c r="E319" s="2510" t="n">
        <f>$AP$178</f>
        <v>5.684341886080802e-14</v>
      </c>
      <c r="F319" s="2510"/>
      <c r="G319" s="2510"/>
      <c r="H319" s="2510" t="n">
        <f>IF($A319="","",$E319)</f>
        <v>5.684341886080802e-14</v>
      </c>
      <c r="I319" s="2543" t="str">
        <f>$AU$178&amp;IF($AS$178="",""," | "&amp;$AS$178)</f>
        <v>Formula Preserved | Live model control</v>
      </c>
      <c r="J319" s="2504" t="str">
        <f>$AV$178&amp;" | "&amp;$AX$178</f>
        <v>Model owner | System control</v>
      </c>
      <c r="K319" s="2504" t="str">
        <f>$AW$178</f>
        <v>Must equal zero.</v>
      </c>
    </row>
    <row r="320" ht="24" customHeight="1">
      <c r="A320" s="2508" t="str">
        <f>$AJ$183</f>
        <v>AREA-CONTROL-CHECK</v>
      </c>
      <c r="B320" s="2508" t="str">
        <f>$AL$183</f>
        <v>Project</v>
      </c>
      <c r="C320" s="2508" t="str">
        <f>$AM$183</f>
        <v>Detailed component area less live model area</v>
      </c>
      <c r="D320" s="2508" t="str">
        <f>$AN$183&amp;IF($AO$183="",""," | "&amp;IF($AN$183="Date",TEXT($AO$183,"dd mmm yyyy"),$AO$183))</f>
        <v>sqm | Current</v>
      </c>
      <c r="E320" s="2505" t="n">
        <f>$AP$183</f>
        <v>0</v>
      </c>
      <c r="F320" s="2505"/>
      <c r="G320" s="2505"/>
      <c r="H320" s="2505" t="n">
        <f>IF($A320="","",$E320)</f>
        <v>0</v>
      </c>
      <c r="I320" s="2543" t="str">
        <f>$AU$183&amp;IF($AS$183="",""," | "&amp;$AS$183)</f>
        <v>Formula Preserved | Live model control</v>
      </c>
      <c r="J320" s="2504" t="str">
        <f>$AV$183&amp;" | "&amp;$AX$183</f>
        <v>Model owner | System control</v>
      </c>
      <c r="K320" s="2504" t="str">
        <f>$AW$183</f>
        <v>Must equal zero.</v>
      </c>
    </row>
    <row r="321" ht="24" customHeight="1">
      <c r="A321" s="2504" t="str">
        <f>$AJ$185</f>
        <v>SCOPE-VARIANCE</v>
      </c>
      <c r="B321" s="2544" t="str">
        <f>$AL$185</f>
        <v>Project</v>
      </c>
      <c r="C321" s="2504" t="str">
        <f>$AM$185</f>
        <v>Live total development cost less selected scope</v>
      </c>
      <c r="D321" s="2504" t="str">
        <f>$AN$185&amp;IF($AO$185="",""," | "&amp;IF($AN$185="Date",TEXT($AO$185,"dd mmm yyyy"),$AO$185))</f>
        <v>A$m | Base case</v>
      </c>
      <c r="E321" s="2506" t="n">
        <f>$AP$185</f>
        <v>5.684341886080802e-14</v>
      </c>
      <c r="F321" s="2506"/>
      <c r="G321" s="2506"/>
      <c r="H321" s="2506" t="n">
        <f>IF($A321="","",$E321)</f>
        <v>5.684341886080802e-14</v>
      </c>
      <c r="I321" s="2543" t="str">
        <f>$AU$185&amp;IF($AS$185="",""," | "&amp;$AS$185)</f>
        <v>Formula Preserved | Live model control</v>
      </c>
      <c r="J321" s="2504" t="str">
        <f>$AV$185&amp;" | "&amp;$AX$185</f>
        <v>Model owner | System control</v>
      </c>
      <c r="K321" s="2504" t="str">
        <f>$AW$185</f>
        <v>A positive amount is an overrun; a negative amount is unused scope headroom.</v>
      </c>
    </row>
    <row r="322" ht="24" customHeight="1">
      <c r="A322" s="2504" t="str">
        <f>$AJ$193</f>
        <v>FUND-SOURCES-USES-CHECK</v>
      </c>
      <c r="B322" s="2544" t="str">
        <f>$AL$193</f>
        <v>Project</v>
      </c>
      <c r="C322" s="2504" t="str">
        <f>$AM$193</f>
        <v>Debt plus equity less live total uses</v>
      </c>
      <c r="D322" s="2504" t="str">
        <f>$AN$193&amp;IF($AO$193="",""," | "&amp;IF($AN$193="Date",TEXT($AO$193,"dd mmm yyyy"),$AO$193))</f>
        <v>A$m | Base case</v>
      </c>
      <c r="E322" s="2506" t="n">
        <f>$AP$193</f>
        <v>-86.53749485039066</v>
      </c>
      <c r="F322" s="2506" t="n">
        <f>$AQ$193</f>
        <v>0</v>
      </c>
      <c r="G322" s="2506" t="n">
        <f>$AR$193</f>
        <v>0</v>
      </c>
      <c r="H322" s="2506" t="n">
        <f>IF($A322="","",CHOOSE(MATCH('VALUATION &amp; RETURNS'!$CR$7,{"Downside","Base","Upside"},0),$F322,$E322,$G322))</f>
        <v>-86.53749485039066</v>
      </c>
      <c r="I322" s="2543" t="str">
        <f>$AU$193&amp;IF($AS$193="",""," | "&amp;$AS$193)</f>
        <v>Formula Preserved | Live model control</v>
      </c>
      <c r="J322" s="2504" t="str">
        <f>$AV$193&amp;" | "&amp;$AX$193</f>
        <v>Model owner | System control</v>
      </c>
      <c r="K322" s="2504" t="str">
        <f>$AW$193</f>
        <v>Net debt source plus actual equity less live total development cost; must equal zero.</v>
      </c>
    </row>
    <row r="323" ht="24" customHeight="1">
      <c r="A323" s="2504" t="str">
        <f>$AJ$213</f>
        <v>SCOPE-ROOF-DUP</v>
      </c>
      <c r="B323" s="2544" t="str">
        <f>$AL$213</f>
        <v>Precinct roof / solar</v>
      </c>
      <c r="C323" s="2504" t="str">
        <f>$AM$213</f>
        <v>Duplicate component roof allowance</v>
      </c>
      <c r="D323" s="2504" t="str">
        <f>$AN$213&amp;IF($AO$213="",""," | "&amp;IF($AN$213="Date",TEXT($AO$213,"dd mmm yyyy"),$AO$213))</f>
        <v>A$m | Construction</v>
      </c>
      <c r="E323" s="2506" t="n">
        <f>$AP$213</f>
        <v>0</v>
      </c>
      <c r="F323" s="2506"/>
      <c r="G323" s="2506"/>
      <c r="H323" s="2506" t="n">
        <f>IF($A323="","",$E323)</f>
        <v>0</v>
      </c>
      <c r="I323" s="2543" t="str">
        <f>$AU$213&amp;IF($AS$213="",""," | "&amp;$AS$213)</f>
        <v>Mapped | CEO direction + GENESIS CAPEX roof policy</v>
      </c>
      <c r="J323" s="2504" t="str">
        <f>$AV$213&amp;" | "&amp;$AX$213</f>
        <v>Model owner | System control</v>
      </c>
      <c r="K323" s="2504" t="str">
        <f>$AW$213</f>
        <v>The current detailed data-book component budgets are treated as post-correction; no unsupported arbitrary deduction is made.</v>
      </c>
    </row>
    <row r="324" ht="24" customHeight="1">
      <c r="A324" s="2504" t="str">
        <f>$AJ$215</f>
        <v>SCOPE-LANDSCAPE-CHECK</v>
      </c>
      <c r="B324" s="2544" t="str">
        <f>$AL$215</f>
        <v>Landscape / public realm</v>
      </c>
      <c r="C324" s="2504" t="str">
        <f>$AM$215</f>
        <v>Landscape split reconciliation</v>
      </c>
      <c r="D324" s="2504" t="str">
        <f>$AN$215&amp;IF($AO$215="",""," | "&amp;IF($AN$215="Date",TEXT($AO$215,"dd mmm yyyy"),$AO$215))</f>
        <v>A$m | Construction</v>
      </c>
      <c r="E324" s="2506" t="n">
        <f>$AP$215</f>
        <v>0</v>
      </c>
      <c r="F324" s="2506"/>
      <c r="G324" s="2506"/>
      <c r="H324" s="2506" t="n">
        <f>IF($A324="","",$E324)</f>
        <v>0</v>
      </c>
      <c r="I324" s="2543" t="str">
        <f>$AU$215&amp;IF($AS$215="",""," | "&amp;$AS$215)</f>
        <v>Formula Preserved | PROJECTS CAPEX sections</v>
      </c>
      <c r="J324" s="2504" t="str">
        <f>$AV$215&amp;" | "&amp;$AX$215</f>
        <v>Model owner | System control</v>
      </c>
      <c r="K324" s="2504" t="str">
        <f>$AW$215</f>
        <v>Must equal zero.</v>
      </c>
    </row>
    <row r="325" ht="24" customHeight="1">
      <c r="A325" s="2575" t="str">
        <f>$AJ$149</f>
        <v>INV-NAMED-04-FUT</v>
      </c>
      <c r="B325" s="2570" t="str">
        <f>$AL$149</f>
        <v>Belgravia</v>
      </c>
      <c r="C325" s="2504" t="str">
        <f>$AM$149</f>
        <v>Future development contribution</v>
      </c>
      <c r="D325" s="2575" t="str">
        <f>$AN$149&amp;IF($AO$149="",""," | "&amp;IF($AN$149="Date",TEXT($AO$149,"dd mmm yyyy"),$AO$149))</f>
        <v>A$m | Future funding date</v>
      </c>
      <c r="E325" s="2575" t="n">
        <v>0</v>
      </c>
      <c r="F325" s="2575"/>
      <c r="G325" s="2575"/>
      <c r="H325" s="2504" t="n">
        <f>IF($A325="","",$E325)</f>
        <v>0</v>
      </c>
      <c r="I325" s="2504" t="str">
        <f>$AU$149&amp;IF($AS$149="",""," | "&amp;$AS$149)</f>
        <v>Mapped — provisional | PROJECT CASH FLOW!E106/F106</v>
      </c>
      <c r="J325" s="2504" t="str">
        <f>$AV$149&amp;" | "&amp;$AX$149</f>
        <v>Management | Hard-coded model input</v>
      </c>
      <c r="K325" s="2504" t="str">
        <f>$AW$149</f>
        <v>Funded contribution adopted from the current data book. Legal holder, rights and funding dates require confirmation. | The field is live and formula-linked; its commercial or specialist basis remains provisional where stated.</v>
      </c>
    </row>
    <row r="326" ht="14.5" customHeight="1">
      <c r="A326" s="2002"/>
      <c r="B326" s="2008"/>
      <c r="C326" s="2003"/>
      <c r="D326" s="2002"/>
      <c r="E326" s="2002"/>
      <c r="F326" s="2002"/>
      <c r="G326" s="2002"/>
      <c r="H326" s="2003"/>
      <c r="I326" s="2003"/>
      <c r="J326" s="2003"/>
      <c r="K326" s="2003"/>
    </row>
    <row r="327" ht="14.5" customHeight="1">
      <c r="A327" s="2002"/>
      <c r="B327" s="2008"/>
      <c r="C327" s="2003"/>
      <c r="D327" s="2002"/>
      <c r="E327" s="2002"/>
      <c r="F327" s="2002"/>
      <c r="G327" s="2002"/>
      <c r="H327" s="2003"/>
      <c r="I327" s="2003"/>
      <c r="J327" s="2003"/>
      <c r="K327" s="2003"/>
    </row>
    <row r="328" ht="18" customHeight="1">
      <c r="A328" s="2152" t="str">
        <v>OWNER DECISIONS REQUIRED BEFORE EXTERNAL RELIANCE</v>
      </c>
      <c r="B328" s="2153"/>
      <c r="C328" s="2134"/>
      <c r="D328" s="2152"/>
      <c r="E328" s="2152"/>
      <c r="F328" s="2152"/>
      <c r="G328" s="2152"/>
      <c r="H328" s="2134"/>
      <c r="I328" s="2134"/>
      <c r="J328" s="2134"/>
      <c r="K328" s="2134"/>
    </row>
    <row r="329" ht="24" customHeight="1">
      <c r="A329" s="2182" t="str">
        <v>Decision</v>
      </c>
      <c r="B329" s="2187" t="str">
        <v>Status</v>
      </c>
      <c r="C329" s="2182" t="str">
        <v>Exact Reference</v>
      </c>
      <c r="D329" s="2182" t="str">
        <v>Required Action</v>
      </c>
      <c r="E329" s="2182" t="str">
        <v>Owner</v>
      </c>
      <c r="F329" s="2182" t="str">
        <v>Impact</v>
      </c>
      <c r="G329" s="2182" t="str">
        <v>Technical Treatment</v>
      </c>
      <c r="H329" s="2182" t="str">
        <v>Evidence</v>
      </c>
      <c r="I329" s="2182" t="str">
        <v>Priority</v>
      </c>
      <c r="J329" s="2182" t="str">
        <v>Review Date</v>
      </c>
      <c r="K329" s="2182" t="str">
        <v>Notes</v>
      </c>
    </row>
    <row r="330" ht="34" customHeight="1">
      <c r="A330" s="2003" t="str">
        <v>Executed investor / shareholder documents</v>
      </c>
      <c r="B330" s="2357" t="str">
        <v>WARNING</v>
      </c>
      <c r="C330" s="2003" t="str">
        <v>FUNDING &amp; CAP TABLE!A8:I15</v>
      </c>
      <c r="D330" s="2003" t="str">
        <v>Confirm legal holders, funded amounts, dilution, shareholder loans and priority rights.</v>
      </c>
      <c r="E330" s="2003" t="str">
        <v>Sponsor / Legal</v>
      </c>
      <c r="F330" s="2003" t="str">
        <v>Ownership and investor returns</v>
      </c>
      <c r="G330" s="2003" t="str">
        <v>Technical register reconciles to 100%.</v>
      </c>
      <c r="H330" s="2003" t="str">
        <v>VALUATION &amp; RETURNS controls</v>
      </c>
      <c r="I330" s="2003" t="str">
        <v>High</v>
      </c>
      <c r="J330" s="2003" t="n">
        <v>46231</v>
      </c>
      <c r="K330" s="2003" t="str">
        <v>Not represented as legally final.</v>
      </c>
    </row>
    <row r="331" ht="34" customHeight="1">
      <c r="A331" s="2003" t="str">
        <v>Executed lender term sheet</v>
      </c>
      <c r="B331" s="2357" t="str">
        <v>WARNING</v>
      </c>
      <c r="C331" s="2003" t="str">
        <v>DEBT!B7:B51</v>
      </c>
      <c r="D331" s="2003" t="str">
        <v>Replace provisional rates, fees, covenants, maturity and repayment terms.</v>
      </c>
      <c r="E331" s="2003" t="str">
        <v>Sponsor / Finance lead</v>
      </c>
      <c r="F331" s="2003" t="str">
        <v>Debt sizing, service and distributions</v>
      </c>
      <c r="G331" s="2003" t="str">
        <v>Live management case remains formula-linked.</v>
      </c>
      <c r="H331" s="2003" t="str">
        <v>DEBT controls</v>
      </c>
      <c r="I331" s="2003" t="str">
        <v>High</v>
      </c>
      <c r="J331" s="2003" t="n">
        <v>46231</v>
      </c>
      <c r="K331" s="2003" t="str">
        <v>No term is represented as executed.</v>
      </c>
    </row>
    <row r="332" ht="34" customHeight="1">
      <c r="A332" s="2003" t="str">
        <v>Tax and GST advice</v>
      </c>
      <c r="B332" s="2357" t="str">
        <v>WARNING</v>
      </c>
      <c r="C332" s="2003" t="str">
        <v>PROJECTS!AP194:AP199</v>
      </c>
      <c r="D332" s="2003" t="str">
        <v>Replace provisional tax, GST, depreciation and working-capital assumptions.</v>
      </c>
      <c r="E332" s="2003" t="str">
        <v>Tax adviser</v>
      </c>
      <c r="F332" s="2003" t="str">
        <v>CFADS, liquidity and DSCR</v>
      </c>
      <c r="G332" s="2003" t="str">
        <v>Monthly schedules remain formula-linked.</v>
      </c>
      <c r="H332" s="2003" t="str">
        <v>DEBT!F186:DV194</v>
      </c>
      <c r="I332" s="2003" t="str">
        <v>High</v>
      </c>
      <c r="J332" s="2003" t="n">
        <v>46231</v>
      </c>
      <c r="K332" s="2003" t="str">
        <v>The model is not tax advice.</v>
      </c>
    </row>
    <row r="333" ht="34" customHeight="1">
      <c r="A333" s="2003" t="str">
        <v>Independent valuation evidence</v>
      </c>
      <c r="B333" s="2357" t="str">
        <v>WARNING</v>
      </c>
      <c r="C333" s="2003" t="str">
        <v>PROJECTS!AP109:AP119</v>
      </c>
      <c r="D333" s="2003" t="str">
        <v>Approve cap rates, discount rate, selling costs and operating-business assumptions.</v>
      </c>
      <c r="E333" s="2003" t="str">
        <v>Management / Valuer</v>
      </c>
      <c r="F333" s="2003" t="str">
        <v>Property and equity value</v>
      </c>
      <c r="G333" s="2003" t="str">
        <v>Valuation methods and bridges reconcile.</v>
      </c>
      <c r="H333" s="2003" t="str">
        <v>VALUATION &amp; RETURNS</v>
      </c>
      <c r="I333" s="2003" t="str">
        <v>High</v>
      </c>
      <c r="J333" s="2003" t="n">
        <v>46231</v>
      </c>
      <c r="K333" s="2003" t="str">
        <v>Market evidence remains external.</v>
      </c>
    </row>
    <row r="334" ht="34" customHeight="1">
      <c r="A334" s="2003" t="str">
        <v>Final QS scope and cost sign-off</v>
      </c>
      <c r="B334" s="2358" t="str">
        <v>WARNING</v>
      </c>
      <c r="C334" s="2003" t="str">
        <v>PROJECTS!AP34:AP60</v>
      </c>
      <c r="D334" s="2003" t="str">
        <v>Confirm detailed component scope and post-roof-correction budget.</v>
      </c>
      <c r="E334" s="2003" t="str">
        <v>CEO / QS</v>
      </c>
      <c r="F334" s="2003" t="str">
        <v>CAPEX and funding</v>
      </c>
      <c r="G334" s="2003" t="str">
        <v>Detailed CAPEX reconciles without double counting.</v>
      </c>
      <c r="H334" s="2003" t="str">
        <v>Component matrix</v>
      </c>
      <c r="I334" s="2003" t="str">
        <v>High</v>
      </c>
      <c r="J334" s="2003" t="n">
        <v>46231</v>
      </c>
      <c r="K334" s="2003" t="str">
        <v>Current detailed schedule controls.</v>
      </c>
    </row>
    <row r="335" ht="34" customHeight="1">
      <c r="A335" s="2003" t="str">
        <v>Final lease assumptions</v>
      </c>
      <c r="B335" s="2358" t="str">
        <v>WARNING</v>
      </c>
      <c r="C335" s="2003" t="str">
        <v>PROJECTS!AP68:AP80</v>
      </c>
      <c r="D335" s="2003" t="str">
        <v>Confirm executed lease terms, escalation, abatement and classification.</v>
      </c>
      <c r="E335" s="2003" t="str">
        <v>Management / Legal</v>
      </c>
      <c r="F335" s="2003" t="str">
        <v>Revenue and valuation</v>
      </c>
      <c r="G335" s="2003" t="str">
        <v>Current model preserves detailed lease logic.</v>
      </c>
      <c r="H335" s="2003" t="str">
        <v>Tenant Report</v>
      </c>
      <c r="I335" s="2003" t="str">
        <v>Medium</v>
      </c>
      <c r="J335" s="2003" t="n">
        <v>46231</v>
      </c>
      <c r="K335" s="2003" t="str">
        <v>Source conflicts remain traceable.</v>
      </c>
    </row>
    <row r="336" ht="34" customHeight="1">
      <c r="A336" s="2003" t="str">
        <v>Approved programme and longstop</v>
      </c>
      <c r="B336" s="2358" t="str">
        <v>WARNING</v>
      </c>
      <c r="C336" s="2003" t="str">
        <v>PROJECTS!AP179:AP181</v>
      </c>
      <c r="D336" s="2003" t="str">
        <v>Confirm completion, opening, stabilisation and lender longstop dates.</v>
      </c>
      <c r="E336" s="2003" t="str">
        <v>Management / Legal</v>
      </c>
      <c r="F336" s="2003" t="str">
        <v>Timing, interest and valuation</v>
      </c>
      <c r="G336" s="2003" t="str">
        <v>Selected programme remains linked.</v>
      </c>
      <c r="H336" s="2003" t="str">
        <v>DEBT / Underwriting</v>
      </c>
      <c r="I336" s="2003" t="str">
        <v>High</v>
      </c>
      <c r="J336" s="2003" t="n">
        <v>46231</v>
      </c>
      <c r="K336" s="2003" t="str">
        <v>No silent date substitution.</v>
      </c>
    </row>
    <row r="337" ht="34" customHeight="1">
      <c r="A337" s="2011" t="str">
        <v>PBSA operating classification</v>
      </c>
      <c r="B337" s="2358" t="str">
        <v>WARNING</v>
      </c>
      <c r="C337" s="2011" t="str">
        <v>PROJECTS / Tenant Report</v>
      </c>
      <c r="D337" s="2011" t="str">
        <v>Confirm property-rent versus operating-business treatment.</v>
      </c>
      <c r="E337" s="2011" t="str">
        <v>Management / Tax / Legal</v>
      </c>
      <c r="F337" s="2011" t="str">
        <v>Revenue, tax and valuation</v>
      </c>
      <c r="G337" s="2011" t="str">
        <v>Current split remains explicit.</v>
      </c>
      <c r="H337" s="2011" t="str">
        <v>DATA MAP conflict record</v>
      </c>
      <c r="I337" s="2003" t="str">
        <v>Medium</v>
      </c>
      <c r="J337" s="2003" t="n">
        <v>46231</v>
      </c>
      <c r="K337" s="2003" t="str">
        <v>Confirm before external reliance.</v>
      </c>
    </row>
    <row r="338" ht="14.5" customHeight="1">
      <c r="A338" s="2022"/>
      <c r="B338" s="2058"/>
      <c r="C338" s="2058"/>
      <c r="D338" s="2002"/>
      <c r="E338" s="2002"/>
      <c r="F338" s="2002"/>
      <c r="G338" s="2002"/>
      <c r="H338" s="2003"/>
      <c r="I338" s="2003"/>
      <c r="J338" s="2003"/>
      <c r="K338" s="2003"/>
    </row>
    <row r="339" ht="18" customHeight="1">
      <c r="A339" s="2152" t="str">
        <v>MODEL CONTROLS | PASS / WARNING / FAIL</v>
      </c>
      <c r="B339" s="2134" cm="1">
        <f t="array" ref="B339"/>
      </c>
      <c r="C339" s="2134"/>
      <c r="D339" s="2152"/>
      <c r="E339" s="2152"/>
      <c r="F339" s="2152"/>
      <c r="G339" s="2152"/>
      <c r="H339" s="2134"/>
      <c r="I339" s="2134"/>
      <c r="J339" s="2134"/>
      <c r="K339" s="2134"/>
    </row>
    <row r="340" ht="24" customHeight="1">
      <c r="A340" s="2182" t="str">
        <v>Control</v>
      </c>
      <c r="B340" s="2182" t="str" cm="1">
        <f t="array" ref="B340"/>
        <v>Result</v>
      </c>
      <c r="C340" s="2182" t="str">
        <v>Explanation</v>
      </c>
      <c r="D340" s="2182" t="str">
        <v>Reference</v>
      </c>
      <c r="E340" s="2182" t="str">
        <v>Owner</v>
      </c>
      <c r="F340" s="2182" t="str">
        <v>Severity</v>
      </c>
      <c r="G340" s="2182" t="str">
        <v>Required Action</v>
      </c>
      <c r="H340" s="2182" t="str">
        <v>Last Reviewed</v>
      </c>
      <c r="I340" s="2182" t="str">
        <v>Tolerance</v>
      </c>
      <c r="J340" s="2182" t="str">
        <v>Type</v>
      </c>
      <c r="K340" s="2182" t="str">
        <v>Notes</v>
      </c>
    </row>
    <row r="341" ht="14.5" customHeight="1">
      <c r="A341" s="2003" t="str">
        <v>Field IDs unique</v>
      </c>
      <c r="B341" s="2366" t="str" cm="1">
        <f t="array" ref="B341">IF(SUMPRODUCT(--($AJ$8:$AJ$257&lt;&gt;""),--(COUNTIF($AJ$8:$AJ$257,$AJ$8:$AJ$257)&gt;1))=0,"PASS","FAIL")</f>
        <v>PASS</v>
      </c>
      <c r="C341" s="2003" t="str">
        <v>Every populated Field ID must occur once.</v>
      </c>
      <c r="D341" s="2003" t="str">
        <v>AJ8:AJ257</v>
      </c>
      <c r="E341" s="2003" t="str">
        <v>Model owner</v>
      </c>
      <c r="F341" s="2003" t="str">
        <v>High</v>
      </c>
      <c r="G341" s="2003" t="str">
        <v>Remove duplicate key.</v>
      </c>
      <c r="H341" s="2368" t="n">
        <v>46231</v>
      </c>
      <c r="I341" s="2003" t="str">
        <v>Exact</v>
      </c>
      <c r="J341" s="2003" t="str">
        <v>System</v>
      </c>
      <c r="K341" s="2003" t="str"/>
    </row>
    <row r="342" ht="14.5" customHeight="1">
      <c r="A342" s="2003" t="str">
        <v>Active assumptions unique</v>
      </c>
      <c r="B342" s="2366" t="str" cm="1">
        <f t="array" ref="B342">IF(SUMPRODUCT(--($AZ$8:$AZ$257="Yes"),--(COUNTIF($AJ$8:$AJ$257,$AJ$8:$AJ$257)&gt;1))=0,"PASS","FAIL")</f>
        <v>PASS</v>
      </c>
      <c r="C342" s="2003" t="str">
        <v>Active records use permanent unique Field IDs.</v>
      </c>
      <c r="D342" s="2003" t="str">
        <v>AJ / AZ</v>
      </c>
      <c r="E342" s="2003" t="str">
        <v>Model owner</v>
      </c>
      <c r="F342" s="2003" t="str">
        <v>High</v>
      </c>
      <c r="G342" s="2003" t="str">
        <v>Review inactive status.</v>
      </c>
      <c r="H342" s="2368" t="n">
        <v>46231</v>
      </c>
      <c r="I342" s="2003" t="str">
        <v>Exact</v>
      </c>
      <c r="J342" s="2003" t="str">
        <v>System</v>
      </c>
      <c r="K342" s="2003" t="str"/>
    </row>
    <row r="343" ht="14.5" customHeight="1">
      <c r="A343" s="2003" t="str">
        <v>Missing active Base inputs</v>
      </c>
      <c r="B343" s="2366" t="str">
        <f>IF(COUNTIFS($AZ$8:$AZ$257,"Yes",$AP$8:$AP$257,"")=0,"PASS","FAIL")</f>
        <v>PASS</v>
      </c>
      <c r="C343" s="2003" t="str">
        <v>Every active record requires a Base value.</v>
      </c>
      <c r="D343" s="2003" t="str">
        <v>AP / AZ</v>
      </c>
      <c r="E343" s="2003" t="str">
        <v>Assumption owners</v>
      </c>
      <c r="F343" s="2003" t="str">
        <v>High</v>
      </c>
      <c r="G343" s="2003" t="str">
        <v>Populate missing Base input.</v>
      </c>
      <c r="H343" s="2368" t="n">
        <v>46231</v>
      </c>
      <c r="I343" s="2003" t="str">
        <v>Zero missing</v>
      </c>
      <c r="J343" s="2003" t="str">
        <v>Input completeness</v>
      </c>
      <c r="K343" s="2003" t="str"/>
    </row>
    <row r="344" ht="14.5" customHeight="1">
      <c r="A344" s="2003" t="str">
        <v>Invalid placeholder values</v>
      </c>
      <c r="B344" s="2366" t="str">
        <f>IF(COUNTIF($AO$8:$AW$257,760)=0,"PASS","FAIL")</f>
        <v>PASS</v>
      </c>
      <c r="C344" s="2003" t="str">
        <v>Invalid placeholder values must not remain in register metadata or scenarios.</v>
      </c>
      <c r="D344" s="2003" t="str">
        <v>AO:AW</v>
      </c>
      <c r="E344" s="2003" t="str">
        <v>Model owner</v>
      </c>
      <c r="F344" s="2003" t="str">
        <v>High</v>
      </c>
      <c r="G344" s="2003" t="str">
        <v>Clear invalid placeholders.</v>
      </c>
      <c r="H344" s="2368" t="n">
        <v>46231</v>
      </c>
      <c r="I344" s="2003" t="str">
        <v>Zero</v>
      </c>
      <c r="J344" s="2003" t="str">
        <v>Data quality</v>
      </c>
      <c r="K344" s="2003" t="str"/>
    </row>
    <row r="345" ht="14.5" customHeight="1">
      <c r="A345" s="2003" t="str">
        <v>Numeric fields containing text</v>
      </c>
      <c r="B345" s="2366" t="str">
        <f>IF(SUMPRODUCT(--ISNUMBER(MATCH($AN$8:$AN$257,{"A$m","A$","%","% p.a.","sqm","Months","Model month","Years","Units","Beds","Spaces","x"},0)),--ISTEXT($AP$8:$AP$257))=0,"PASS","FAIL")</f>
        <v>PASS</v>
      </c>
      <c r="C345" s="2003" t="str">
        <v>Numeric-unit records must contain numeric Base values.</v>
      </c>
      <c r="D345" s="2003" t="str">
        <v>AN / AP</v>
      </c>
      <c r="E345" s="2003" t="str">
        <v>Assumption owners</v>
      </c>
      <c r="F345" s="2003" t="str">
        <v>High</v>
      </c>
      <c r="G345" s="2003" t="str">
        <v>Correct data type.</v>
      </c>
      <c r="H345" s="2368" t="n">
        <v>46231</v>
      </c>
      <c r="I345" s="2003" t="str">
        <v>Zero</v>
      </c>
      <c r="J345" s="2003" t="str">
        <v>Data quality</v>
      </c>
      <c r="K345" s="2003" t="str"/>
    </row>
    <row r="346" ht="14.5" customHeight="1">
      <c r="A346" s="2003" t="str">
        <v>Dates stored as text</v>
      </c>
      <c r="B346" s="2366" t="str">
        <f>IF(SUMPRODUCT(--($AN$8:$AN$257="Date"),--ISTEXT($AP$8:$AP$257))=0,"PASS","FAIL")</f>
        <v>PASS</v>
      </c>
      <c r="C346" s="2003" t="str">
        <v>Date records must contain Excel dates.</v>
      </c>
      <c r="D346" s="2003" t="str">
        <v>AN / AP</v>
      </c>
      <c r="E346" s="2003" t="str">
        <v>Model owner</v>
      </c>
      <c r="F346" s="2003" t="str">
        <v>Medium</v>
      </c>
      <c r="G346" s="2003" t="str">
        <v>Convert text to date.</v>
      </c>
      <c r="H346" s="2368" t="n">
        <v>46231</v>
      </c>
      <c r="I346" s="2003" t="str">
        <v>Zero</v>
      </c>
      <c r="J346" s="2003" t="str">
        <v>Data quality</v>
      </c>
      <c r="K346" s="2003" t="str"/>
    </row>
    <row r="347" ht="14.5" customHeight="1">
      <c r="A347" s="2003" t="str">
        <v>Missing units</v>
      </c>
      <c r="B347" s="2366" t="str">
        <f>IF(COUNTIFS($AZ$8:$AZ$257,"Yes",$AN$8:$AN$257,"")=0,"PASS","FAIL")</f>
        <v>PASS</v>
      </c>
      <c r="C347" s="2003" t="str">
        <v>Every active record requires a unit.</v>
      </c>
      <c r="D347" s="2003" t="str">
        <v>AN / AZ</v>
      </c>
      <c r="E347" s="2003" t="str">
        <v>Model owner</v>
      </c>
      <c r="F347" s="2003" t="str">
        <v>Medium</v>
      </c>
      <c r="G347" s="2003" t="str">
        <v>Add unit.</v>
      </c>
      <c r="H347" s="2368" t="n">
        <v>46231</v>
      </c>
      <c r="I347" s="2003" t="str">
        <v>Zero</v>
      </c>
      <c r="J347" s="2003" t="str">
        <v>Governance</v>
      </c>
      <c r="K347" s="2003" t="str"/>
    </row>
    <row r="348" ht="14.5" customHeight="1">
      <c r="A348" s="2003" t="str">
        <v>Missing source</v>
      </c>
      <c r="B348" s="2366" t="str" cm="1">
        <f t="array" ref="B348">IF(COUNTIFS($AZ$8:$AZ$257,"Yes",$AS$8:$AS$257,"")=0,"PASS","FAIL")</f>
        <v>PASS</v>
      </c>
      <c r="C348" s="2003" t="str">
        <v>Every active record requires a source.</v>
      </c>
      <c r="D348" s="2003" t="str">
        <v>AS / AZ</v>
      </c>
      <c r="E348" s="2003" t="str">
        <v>Assumption owners</v>
      </c>
      <c r="F348" s="2003" t="str">
        <v>High</v>
      </c>
      <c r="G348" s="2003" t="str">
        <v>Add source reference.</v>
      </c>
      <c r="H348" s="2368" t="n">
        <v>46231</v>
      </c>
      <c r="I348" s="2003" t="str">
        <v>Zero</v>
      </c>
      <c r="J348" s="2003" t="str">
        <v>Governance</v>
      </c>
      <c r="K348" s="2003" t="str"/>
    </row>
    <row r="349" ht="14.5" customHeight="1">
      <c r="A349" s="2003" t="str">
        <v>Missing owner</v>
      </c>
      <c r="B349" s="2366" t="str">
        <f>IF(COUNTIFS($AZ$8:$AZ$257,"Yes",$AV$8:$AV$257,"")=0,"PASS","FAIL")</f>
        <v>PASS</v>
      </c>
      <c r="C349" s="2003" t="str">
        <v>Every active record requires an owner.</v>
      </c>
      <c r="D349" s="2003" t="str">
        <v>AV / AZ</v>
      </c>
      <c r="E349" s="2003" t="str">
        <v>Model owner</v>
      </c>
      <c r="F349" s="2003" t="str">
        <v>Medium</v>
      </c>
      <c r="G349" s="2003" t="str">
        <v>Assign owner.</v>
      </c>
      <c r="H349" s="2368" t="n">
        <v>46231</v>
      </c>
      <c r="I349" s="2003" t="str">
        <v>Zero</v>
      </c>
      <c r="J349" s="2003" t="str">
        <v>Governance</v>
      </c>
      <c r="K349" s="2003" t="str"/>
    </row>
    <row r="350" ht="14.5" customHeight="1">
      <c r="A350" s="2003" t="str">
        <v>Stale review date</v>
      </c>
      <c r="B350" s="2366" t="str">
        <f>IF(COUNTIFS($AZ$8:$AZ$257,"Yes",$BF$8:$BF$257,"&lt;"&amp;TODAY()-180)=0,"PASS","WARNING")</f>
        <v>PASS</v>
      </c>
      <c r="C350" s="2003" t="str">
        <v>Active assumptions older than 180 days require review.</v>
      </c>
      <c r="D350" s="2003" t="str">
        <v>BF / AZ</v>
      </c>
      <c r="E350" s="2003" t="str">
        <v>Assumption owners</v>
      </c>
      <c r="F350" s="2003" t="str">
        <v>Medium</v>
      </c>
      <c r="G350" s="2003" t="str">
        <v>Refresh review date.</v>
      </c>
      <c r="H350" s="2368" t="n">
        <v>46231</v>
      </c>
      <c r="I350" s="2003" t="str">
        <v>180 days</v>
      </c>
      <c r="J350" s="2003" t="str">
        <v>Governance</v>
      </c>
      <c r="K350" s="2003" t="str"/>
    </row>
    <row r="351" ht="14.5" customHeight="1">
      <c r="A351" s="2003" t="str">
        <v>Unresolved source conflicts</v>
      </c>
      <c r="B351" s="2366" t="str">
        <f>IF(COUNTIF($BD$8:$BD$257,"Yes")=0,"PASS","WARNING")</f>
        <v>PASS</v>
      </c>
      <c r="C351" s="2003" t="str">
        <v>Source conflicts must remain explicit.</v>
      </c>
      <c r="D351" s="2003" t="str">
        <v>BD</v>
      </c>
      <c r="E351" s="2003" t="str">
        <v>Model owner</v>
      </c>
      <c r="F351" s="2003" t="str">
        <v>High</v>
      </c>
      <c r="G351" s="2003" t="str">
        <v>Resolve or retain as owner decision.</v>
      </c>
      <c r="H351" s="2368" t="n">
        <v>46231</v>
      </c>
      <c r="I351" s="2003" t="str">
        <v>Zero silent conflicts</v>
      </c>
      <c r="J351" s="2003" t="str">
        <v>Governance</v>
      </c>
      <c r="K351" s="2003" t="str"/>
    </row>
    <row r="352" ht="14.5" customHeight="1">
      <c r="A352" s="2003" t="str">
        <v>Owner decisions outstanding</v>
      </c>
      <c r="B352" s="2366" t="str">
        <f>IF(COUNTIF($BG$8:$BG$257,"WARNING")=0,"PASS","WARNING")</f>
        <v>WARNING</v>
      </c>
      <c r="C352" s="2003" t="str">
        <v>External legal, lender, valuation and specialist matters remain visible.</v>
      </c>
      <c r="D352" s="2003" t="str">
        <v>BG</v>
      </c>
      <c r="E352" s="2003" t="str">
        <v>Sponsor / Management</v>
      </c>
      <c r="F352" s="2003" t="str">
        <v>High</v>
      </c>
      <c r="G352" s="2003" t="str">
        <v>Complete owner decisions.</v>
      </c>
      <c r="H352" s="2368" t="n">
        <v>46231</v>
      </c>
      <c r="I352" s="2003" t="str">
        <v>Zero for final reliance</v>
      </c>
      <c r="J352" s="2003" t="str">
        <v>Governance</v>
      </c>
      <c r="K352" s="2003" t="str"/>
    </row>
    <row r="353" ht="14.5" customHeight="1">
      <c r="A353" s="2003" t="str">
        <v>Scenario selector valid</v>
      </c>
      <c r="B353" s="2366" t="str">
        <f>IF(OR('VALUATION &amp; RETURNS'!$CR$7="Base",'VALUATION &amp; RETURNS'!$CR$7="Downside",'VALUATION &amp; RETURNS'!$CR$7="Upside"),"PASS","FAIL")</f>
        <v>PASS</v>
      </c>
      <c r="C353" s="2003" t="str">
        <v>One authoritative valuation scenario selector is used.</v>
      </c>
      <c r="D353" s="2003" t="str">
        <v>VALUATION &amp; RETURNS!CR7</v>
      </c>
      <c r="E353" s="2003" t="str">
        <v>Model owner</v>
      </c>
      <c r="F353" s="2003" t="str">
        <v>High</v>
      </c>
      <c r="G353" s="2003" t="str">
        <v>Use Base, Downside or Upside.</v>
      </c>
      <c r="H353" s="2368" t="n">
        <v>46231</v>
      </c>
      <c r="I353" s="2003" t="str">
        <v>Exact</v>
      </c>
      <c r="J353" s="2003" t="str">
        <v>Scenario</v>
      </c>
      <c r="K353" s="2003" t="str"/>
    </row>
    <row r="354" ht="14.5" customHeight="1">
      <c r="A354" s="2003" t="str">
        <v>Selected values complete</v>
      </c>
      <c r="B354" s="2366" t="str">
        <f>IF(COUNTIFS($AZ$8:$AZ$257,"Yes",$AY$8:$AY$257,"")=0,"PASS","FAIL")</f>
        <v>PASS</v>
      </c>
      <c r="C354" s="2003" t="str">
        <v>Every active record requires a selected value.</v>
      </c>
      <c r="D354" s="2003" t="str">
        <v>AY / AZ</v>
      </c>
      <c r="E354" s="2003" t="str">
        <v>Model owner</v>
      </c>
      <c r="F354" s="2003" t="str">
        <v>High</v>
      </c>
      <c r="G354" s="2003" t="str">
        <v>Repair selected-value formula.</v>
      </c>
      <c r="H354" s="2368" t="n">
        <v>46231</v>
      </c>
      <c r="I354" s="2003" t="str">
        <v>Zero missing</v>
      </c>
      <c r="J354" s="2003" t="str">
        <v>Scenario</v>
      </c>
      <c r="K354" s="2003" t="str"/>
    </row>
    <row r="355" ht="14.5" customHeight="1">
      <c r="A355" s="2003" t="str">
        <v>Component area reconciliation</v>
      </c>
      <c r="B355" s="2366" t="str">
        <f>IF(ABS($B$29-INDEX($AY$8:$AY$257,MATCH("AREA-CONTROL-TOTAL",$AJ$8:$AJ$257,0)))&lt;0.01,"PASS","FAIL")</f>
        <v>PASS</v>
      </c>
      <c r="C355" s="2003" t="str">
        <v>Component matrix must equal the controlling detailed area.</v>
      </c>
      <c r="D355" s="2003" t="str">
        <v>B29 / AREA-CONTROL-TOTAL</v>
      </c>
      <c r="E355" s="2003" t="str">
        <v>Model owner</v>
      </c>
      <c r="F355" s="2003" t="str">
        <v>High</v>
      </c>
      <c r="G355" s="2003" t="str">
        <v>Resolve area mapping.</v>
      </c>
      <c r="H355" s="2368" t="n">
        <v>46231</v>
      </c>
      <c r="I355" s="2003" t="str">
        <v>0.01 sqm</v>
      </c>
      <c r="J355" s="2003" t="str">
        <v>Scope</v>
      </c>
      <c r="K355" s="2003" t="str"/>
    </row>
    <row r="356" ht="14.5" customHeight="1">
      <c r="A356" s="2003" t="str">
        <v>Component CAPEX reconciliation</v>
      </c>
      <c r="B356" s="2366" t="str">
        <f>IF(ABS($F$29-INDEX($AY$8:$AY$257,MATCH("CAPEX-TOTAL-001",$AJ$8:$AJ$257,0)))&lt;0.000001,"PASS","FAIL")</f>
        <v>PASS</v>
      </c>
      <c r="C356" s="2003" t="str">
        <v>Component matrix must equal detailed component CAPEX.</v>
      </c>
      <c r="D356" s="2003" t="str">
        <v>F29 / CAPEX-TOTAL-001</v>
      </c>
      <c r="E356" s="2003" t="str">
        <v>Model owner</v>
      </c>
      <c r="F356" s="2003" t="str">
        <v>High</v>
      </c>
      <c r="G356" s="2003" t="str">
        <v>Resolve CAPEX mapping.</v>
      </c>
      <c r="H356" s="2368" t="n">
        <v>46231</v>
      </c>
      <c r="I356" s="2003" t="str">
        <v>A$1</v>
      </c>
      <c r="J356" s="2003" t="str">
        <v>Scope</v>
      </c>
      <c r="K356" s="2003" t="str"/>
    </row>
    <row r="357" ht="14.5" customHeight="1">
      <c r="A357" s="2003" t="str">
        <v>Roof / solar double count</v>
      </c>
      <c r="B357" s="2366" t="str">
        <f>IF(INDEX($AY$8:$AY$257,MATCH("SCOPE-ROOF-DUP",$AJ$8:$AJ$257,0))=0,"PASS","FAIL")</f>
        <v>PASS</v>
      </c>
      <c r="C357" s="2003" t="str">
        <v>Central roof and solar allowance may be included once only.</v>
      </c>
      <c r="D357" s="2003" t="str">
        <v>SCOPE-ROOF-DUP</v>
      </c>
      <c r="E357" s="2003" t="str">
        <v>CEO / QS</v>
      </c>
      <c r="F357" s="2003" t="str">
        <v>High</v>
      </c>
      <c r="G357" s="2003" t="str">
        <v>Remove duplicate allowance.</v>
      </c>
      <c r="H357" s="2368" t="n">
        <v>46231</v>
      </c>
      <c r="I357" s="2003" t="str">
        <v>Zero duplicate</v>
      </c>
      <c r="J357" s="2003" t="str">
        <v>Scope</v>
      </c>
      <c r="K357" s="2003" t="str"/>
    </row>
    <row r="358" ht="14.5" customHeight="1">
      <c r="A358" s="2003" t="str">
        <v>Gross development investment</v>
      </c>
      <c r="B358" s="2366" t="str">
        <f>IF(ABS(INDEX($AY$8:$AY$257,MATCH("CAPEX-DEV-INV",$AJ$8:$AJ$257,0))-448.85663516148145)&lt;0.000001,"PASS","WARNING")</f>
        <v>PASS</v>
      </c>
      <c r="C358" s="2003" t="str">
        <v>Change from the baseline requires documented scope approval.</v>
      </c>
      <c r="D358" s="2003" t="str">
        <v>CAPEX-DEV-INV</v>
      </c>
      <c r="E358" s="2003" t="str">
        <v>CEO / QS</v>
      </c>
      <c r="F358" s="2003" t="str">
        <v>High</v>
      </c>
      <c r="G358" s="2003" t="str">
        <v>Document approved change.</v>
      </c>
      <c r="H358" s="2368" t="n">
        <v>46231</v>
      </c>
      <c r="I358" s="2003" t="str">
        <v>Baseline comparison</v>
      </c>
      <c r="J358" s="2003" t="str">
        <v>Scope</v>
      </c>
      <c r="K358" s="2003" t="str"/>
    </row>
    <row r="359" ht="14.5" customHeight="1">
      <c r="A359" s="2003" t="str">
        <v>Sources and uses</v>
      </c>
      <c r="B359" s="2366" t="str">
        <f>IF(Summary!$O$13="PASS","PASS","FAIL")</f>
        <v>PASS</v>
      </c>
      <c r="C359" s="2003" t="str">
        <v>Debt plus equity must equal project funding.</v>
      </c>
      <c r="D359" s="2003" t="str">
        <v>Summary!O13</v>
      </c>
      <c r="E359" s="2003" t="str">
        <v>Model owner</v>
      </c>
      <c r="F359" s="2003" t="str">
        <v>Critical</v>
      </c>
      <c r="G359" s="2003" t="str">
        <v>Repair funding bridge.</v>
      </c>
      <c r="H359" s="2368" t="n">
        <v>46231</v>
      </c>
      <c r="I359" s="2003" t="str">
        <v>Zero</v>
      </c>
      <c r="J359" s="2003" t="str">
        <v>Funding</v>
      </c>
      <c r="K359" s="2003" t="str"/>
    </row>
    <row r="360" ht="14.5" customHeight="1">
      <c r="A360" s="2003" t="str">
        <v>Debt plus equity funding</v>
      </c>
      <c r="B360" s="2366" t="str">
        <f>IF(ABS('FUNDING &amp; CAP TABLE'!$D$34+'FUNDING &amp; CAP TABLE'!$D$35-INDEX($AY$8:$AY$257,MATCH("FUND-SCOPE-001",$AJ$8:$AJ$257,0)))&lt;0.000001,"PASS","FAIL")</f>
        <v>PASS</v>
      </c>
      <c r="C360" s="2003" t="str">
        <v>Actual debt plus equity must equal total funding.</v>
      </c>
      <c r="D360" s="2003" t="str">
        <v>FUNDING &amp; CAP TABLE!D34:D35</v>
      </c>
      <c r="E360" s="2003" t="str">
        <v>Model owner</v>
      </c>
      <c r="F360" s="2003" t="str">
        <v>Critical</v>
      </c>
      <c r="G360" s="2003" t="str">
        <v>Repair funding sources.</v>
      </c>
      <c r="H360" s="2368" t="n">
        <v>46231</v>
      </c>
      <c r="I360" s="2003" t="str">
        <v>A$1</v>
      </c>
      <c r="J360" s="2003" t="str">
        <v>Funding</v>
      </c>
      <c r="K360" s="2003" t="str"/>
    </row>
    <row r="361" ht="14.5" customHeight="1">
      <c r="A361" s="2003" t="str">
        <v>Construction timing</v>
      </c>
      <c r="B361" s="2366" t="str">
        <f>IF(INDEX($AY$8:$AY$257,MATCH("PRG-PC-DATE",$AJ$8:$AJ$257,0))&gt;INDEX($AY$8:$AY$257,MATCH("PRJ-006",$AJ$8:$AJ$257,0)),"PASS","FAIL")</f>
        <v>PASS</v>
      </c>
      <c r="C361" s="2003" t="str">
        <v>Completion must follow model start.</v>
      </c>
      <c r="D361" s="2003" t="str">
        <v>Programme fields</v>
      </c>
      <c r="E361" s="2003" t="str">
        <v>Management</v>
      </c>
      <c r="F361" s="2003" t="str">
        <v>High</v>
      </c>
      <c r="G361" s="2003" t="str">
        <v>Correct programme.</v>
      </c>
      <c r="H361" s="2368" t="n">
        <v>46231</v>
      </c>
      <c r="I361" s="2003" t="str">
        <v>Logical</v>
      </c>
      <c r="J361" s="2003" t="str">
        <v>Timing</v>
      </c>
      <c r="K361" s="2003" t="str"/>
    </row>
    <row r="362" ht="14.5" customHeight="1">
      <c r="A362" s="2003" t="str">
        <v>Operations timing</v>
      </c>
      <c r="B362" s="2366" t="str">
        <f>IF(INDEX($AY$8:$AY$257,MATCH("PRG-OPEN-DATE",$AJ$8:$AJ$257,0))&gt;=INDEX($AY$8:$AY$257,MATCH("PRG-PC-DATE",$AJ$8:$AJ$257,0)),"PASS","FAIL")</f>
        <v>PASS</v>
      </c>
      <c r="C362" s="2003" t="str">
        <v>Opening must not precede completion.</v>
      </c>
      <c r="D362" s="2003" t="str">
        <v>Programme fields</v>
      </c>
      <c r="E362" s="2003" t="str">
        <v>Management</v>
      </c>
      <c r="F362" s="2003" t="str">
        <v>High</v>
      </c>
      <c r="G362" s="2003" t="str">
        <v>Correct programme.</v>
      </c>
      <c r="H362" s="2368" t="n">
        <v>46231</v>
      </c>
      <c r="I362" s="2003" t="str">
        <v>Logical</v>
      </c>
      <c r="J362" s="2003" t="str">
        <v>Timing</v>
      </c>
      <c r="K362" s="2003" t="str"/>
    </row>
    <row r="363" ht="14.5" customHeight="1">
      <c r="A363" s="2003" t="str">
        <v>Stabilisation timing</v>
      </c>
      <c r="B363" s="2366" t="str">
        <f>IF(INDEX($AY$8:$AY$257,MATCH("PRG-STAB-DATE",$AJ$8:$AJ$257,0))&gt;=INDEX($AY$8:$AY$257,MATCH("PRG-OPEN-DATE",$AJ$8:$AJ$257,0)),"PASS","FAIL")</f>
        <v>PASS</v>
      </c>
      <c r="C363" s="2003" t="str">
        <v>Stabilisation must not precede opening.</v>
      </c>
      <c r="D363" s="2003" t="str">
        <v>Programme fields</v>
      </c>
      <c r="E363" s="2003" t="str">
        <v>Management</v>
      </c>
      <c r="F363" s="2003" t="str">
        <v>High</v>
      </c>
      <c r="G363" s="2003" t="str">
        <v>Correct programme.</v>
      </c>
      <c r="H363" s="2368" t="n">
        <v>46231</v>
      </c>
      <c r="I363" s="2003" t="str">
        <v>Logical</v>
      </c>
      <c r="J363" s="2003" t="str">
        <v>Timing</v>
      </c>
      <c r="K363" s="2003" t="str"/>
    </row>
    <row r="364" ht="14.5" customHeight="1">
      <c r="A364" s="2003" t="str">
        <v>Annual revenue reconciliation</v>
      </c>
      <c r="B364" s="2366" t="str">
        <f>IF('OPERATING FORECAST'!$B$36="OK","PASS","FAIL")</f>
        <v>PASS</v>
      </c>
      <c r="C364" s="2003" t="str">
        <v>Annual revenue totals must equal source rows.</v>
      </c>
      <c r="D364" s="2003" t="str">
        <v>OPERATING FORECAST!B36</v>
      </c>
      <c r="E364" s="2003" t="str">
        <v>Model owner</v>
      </c>
      <c r="F364" s="2003" t="str">
        <v>High</v>
      </c>
      <c r="G364" s="2003" t="str">
        <v>Repair forecast formula.</v>
      </c>
      <c r="H364" s="2368" t="n">
        <v>46231</v>
      </c>
      <c r="I364" s="2003" t="str">
        <v>Exact</v>
      </c>
      <c r="J364" s="2003" t="str">
        <v>Operating</v>
      </c>
      <c r="K364" s="2003" t="str"/>
    </row>
    <row r="365" ht="14.5" customHeight="1">
      <c r="A365" s="2003" t="str">
        <v>Annual operating costs</v>
      </c>
      <c r="B365" s="2366" t="str">
        <f>IF('OPERATING FORECAST'!$B$37="OK","PASS","FAIL")</f>
        <v>PASS</v>
      </c>
      <c r="C365" s="2003" t="str">
        <v>Property and asset-management costs must reconcile.</v>
      </c>
      <c r="D365" s="2003" t="str">
        <v>OPERATING FORECAST!B37</v>
      </c>
      <c r="E365" s="2003" t="str">
        <v>Model owner</v>
      </c>
      <c r="F365" s="2003" t="str">
        <v>High</v>
      </c>
      <c r="G365" s="2003" t="str">
        <v>Repair forecast formula.</v>
      </c>
      <c r="H365" s="2368" t="n">
        <v>46231</v>
      </c>
      <c r="I365" s="2003" t="str">
        <v>Exact</v>
      </c>
      <c r="J365" s="2003" t="str">
        <v>Operating</v>
      </c>
      <c r="K365" s="2003" t="str"/>
    </row>
    <row r="366" ht="14.5" customHeight="1">
      <c r="A366" s="2003" t="str">
        <v>EBITDA / NOI</v>
      </c>
      <c r="B366" s="2366" t="str">
        <f>IF('OPERATING FORECAST'!$B$38="OK","PASS","FAIL")</f>
        <v>PASS</v>
      </c>
      <c r="C366" s="2003" t="str">
        <v>Revenue less costs must equal EBITDA or NOI.</v>
      </c>
      <c r="D366" s="2003" t="str">
        <v>OPERATING FORECAST!B38</v>
      </c>
      <c r="E366" s="2003" t="str">
        <v>Model owner</v>
      </c>
      <c r="F366" s="2003" t="str">
        <v>High</v>
      </c>
      <c r="G366" s="2003" t="str">
        <v>Repair forecast formula.</v>
      </c>
      <c r="H366" s="2368" t="n">
        <v>46231</v>
      </c>
      <c r="I366" s="2003" t="str">
        <v>Exact</v>
      </c>
      <c r="J366" s="2003" t="str">
        <v>Operating</v>
      </c>
      <c r="K366" s="2003" t="str"/>
    </row>
    <row r="367" ht="14.5" customHeight="1">
      <c r="A367" s="2003" t="str">
        <v>Valuation inputs</v>
      </c>
      <c r="B367" s="2366" t="str">
        <f>IF(AND('VALUATION &amp; RETURNS'!$C$8&gt;0,'VALUATION &amp; RETURNS'!$C$9&gt;=0),"PASS","FAIL")</f>
        <v>PASS</v>
      </c>
      <c r="C367" s="2003" t="str">
        <v>Cap rate and selling-cost inputs must be valid.</v>
      </c>
      <c r="D367" s="2003" t="str">
        <v>VALUATION &amp; RETURNS!C8:C9</v>
      </c>
      <c r="E367" s="2003" t="str">
        <v>Management / Valuer</v>
      </c>
      <c r="F367" s="2003" t="str">
        <v>High</v>
      </c>
      <c r="G367" s="2003" t="str">
        <v>Review valuation inputs.</v>
      </c>
      <c r="H367" s="2368" t="n">
        <v>46231</v>
      </c>
      <c r="I367" s="2003" t="str">
        <v>Positive</v>
      </c>
      <c r="J367" s="2003" t="str">
        <v>Valuation</v>
      </c>
      <c r="K367" s="2003" t="str"/>
    </row>
    <row r="368" ht="14.5" customHeight="1">
      <c r="A368" s="2003" t="str">
        <v>Debt roll-forward</v>
      </c>
      <c r="B368" s="2366" t="str">
        <f>IF(Summary!$O$14="PASS","PASS","FAIL")</f>
        <v>PASS</v>
      </c>
      <c r="C368" s="2003" t="str">
        <v>Debt opening, draws, interest, repayments and closing balances must reconcile.</v>
      </c>
      <c r="D368" s="2003" t="str">
        <v>Summary!O14</v>
      </c>
      <c r="E368" s="2003" t="str">
        <v>Model owner</v>
      </c>
      <c r="F368" s="2003" t="str">
        <v>Critical</v>
      </c>
      <c r="G368" s="2003" t="str">
        <v>Repair debt schedule.</v>
      </c>
      <c r="H368" s="2368" t="n">
        <v>46231</v>
      </c>
      <c r="I368" s="2003" t="str">
        <v>Zero</v>
      </c>
      <c r="J368" s="2003" t="str">
        <v>Debt</v>
      </c>
      <c r="K368" s="2003" t="str"/>
    </row>
    <row r="369" ht="14.5" customHeight="1">
      <c r="A369" s="2003" t="str">
        <v>Investor contributions</v>
      </c>
      <c r="B369" s="2366" t="str">
        <f>IF('FUNDING &amp; CAP TABLE'!$B$27="OK","PASS","FAIL")</f>
        <v>PASS</v>
      </c>
      <c r="C369" s="2003" t="str">
        <v>Funded investor register must equal equity requirement.</v>
      </c>
      <c r="D369" s="2003" t="str">
        <v>FUNDING &amp; CAP TABLE!B27</v>
      </c>
      <c r="E369" s="2003" t="str">
        <v>Sponsor / Legal</v>
      </c>
      <c r="F369" s="2003" t="str">
        <v>High</v>
      </c>
      <c r="G369" s="2003" t="str">
        <v>Resolve investor funding.</v>
      </c>
      <c r="H369" s="2368" t="n">
        <v>46231</v>
      </c>
      <c r="I369" s="2003" t="str">
        <v>Exact</v>
      </c>
      <c r="J369" s="2003" t="str">
        <v>Investors</v>
      </c>
      <c r="K369" s="2003" t="str"/>
    </row>
    <row r="370" ht="14.5" customHeight="1">
      <c r="A370" s="2003" t="str">
        <v>Balance sheet control</v>
      </c>
      <c r="B370" s="2366" t="str">
        <f>IF(Summary!$O$12="PASS","PASS","FAIL")</f>
        <v>FAIL</v>
      </c>
      <c r="C370" s="2003" t="str">
        <v>Known model issue is surfaced and must not be hidden.</v>
      </c>
      <c r="D370" s="2003" t="str">
        <v>Summary!O12</v>
      </c>
      <c r="E370" s="2003" t="str">
        <v>Model owner</v>
      </c>
      <c r="F370" s="2003" t="str">
        <v>Critical</v>
      </c>
      <c r="G370" s="2003" t="str">
        <v>Correct the underlying statement roll-forward.</v>
      </c>
      <c r="H370" s="2368" t="n">
        <v>46231</v>
      </c>
      <c r="I370" s="2003" t="str">
        <v>Zero</v>
      </c>
      <c r="J370" s="2003" t="str">
        <v>Accounting</v>
      </c>
      <c r="K370" s="2003" t="str">
        <v>Current failure retained.</v>
      </c>
    </row>
    <row r="371" ht="14.5" customHeight="1">
      <c r="A371" s="2003" t="str">
        <v>Full-workbook formula-error scan</v>
      </c>
      <c r="B371" s="2366" t="str">
        <f>IF('DATA MAP'!$C$170="OK","PASS","FAIL")</f>
        <v>PASS</v>
      </c>
      <c r="C371" s="2003" t="str">
        <v>No spreadsheet formula-error values are permitted.</v>
      </c>
      <c r="D371" s="2003" t="str">
        <v>DATA MAP!C170</v>
      </c>
      <c r="E371" s="2003" t="str">
        <v>Model owner</v>
      </c>
      <c r="F371" s="2003" t="str">
        <v>Critical</v>
      </c>
      <c r="G371" s="2003" t="str">
        <v>Repair formula errors.</v>
      </c>
      <c r="H371" s="2368" t="n">
        <v>46231</v>
      </c>
      <c r="I371" s="2003" t="str">
        <v>Zero</v>
      </c>
      <c r="J371" s="2003" t="str">
        <v>System</v>
      </c>
      <c r="K371" s="2003" t="str"/>
    </row>
    <row r="372" ht="14.5" customHeight="1">
      <c r="A372" s="2002"/>
      <c r="B372" s="2003"/>
      <c r="C372" s="2003"/>
      <c r="D372" s="2002"/>
      <c r="E372" s="2002"/>
      <c r="F372" s="2002"/>
      <c r="G372" s="2002"/>
      <c r="H372" s="2002"/>
      <c r="I372" s="2003"/>
      <c r="J372" s="2003"/>
      <c r="K372" s="2003"/>
    </row>
    <row r="373">
      <c r="A373"/>
      <c r="B373"/>
      <c r="C373"/>
      <c r="D373"/>
      <c r="E373"/>
      <c r="F373"/>
      <c r="G373"/>
      <c r="H373"/>
      <c r="I373"/>
      <c r="J373"/>
      <c r="K373"/>
    </row>
    <row r="374">
      <c r="A374"/>
      <c r="B374"/>
      <c r="C374"/>
      <c r="D374"/>
      <c r="E374"/>
      <c r="F374"/>
      <c r="G374"/>
      <c r="H374"/>
      <c r="I374"/>
      <c r="J374"/>
      <c r="K374"/>
    </row>
    <row r="375">
      <c r="A375"/>
      <c r="B375"/>
      <c r="C375"/>
      <c r="D375"/>
      <c r="E375"/>
      <c r="F375"/>
      <c r="G375"/>
      <c r="H375"/>
      <c r="I375"/>
      <c r="J375"/>
      <c r="K375"/>
    </row>
    <row r="376">
      <c r="A376"/>
      <c r="B376"/>
      <c r="C376"/>
      <c r="D376"/>
      <c r="E376"/>
      <c r="F376"/>
      <c r="G376"/>
      <c r="H376"/>
      <c r="I376"/>
      <c r="J376"/>
      <c r="K376"/>
    </row>
    <row r="377">
      <c r="A377"/>
      <c r="B377"/>
      <c r="C377"/>
      <c r="D377"/>
      <c r="E377"/>
      <c r="F377"/>
      <c r="G377"/>
      <c r="H377"/>
      <c r="I377"/>
      <c r="J377"/>
      <c r="K377"/>
    </row>
    <row r="378">
      <c r="A378"/>
      <c r="B378"/>
      <c r="C378"/>
      <c r="D378"/>
      <c r="E378"/>
      <c r="F378"/>
      <c r="G378"/>
      <c r="H378"/>
      <c r="I378"/>
      <c r="J378"/>
      <c r="K378"/>
    </row>
    <row r="379">
      <c r="A379"/>
      <c r="B379"/>
      <c r="C379"/>
      <c r="D379"/>
      <c r="E379"/>
      <c r="F379"/>
      <c r="G379"/>
      <c r="H379"/>
      <c r="I379"/>
      <c r="J379"/>
      <c r="K379"/>
    </row>
    <row r="380">
      <c r="A380"/>
      <c r="B380"/>
      <c r="C380"/>
      <c r="D380"/>
      <c r="E380"/>
      <c r="F380"/>
      <c r="G380"/>
      <c r="H380"/>
      <c r="I380"/>
      <c r="J380"/>
      <c r="K380"/>
    </row>
  </sheetData>
  <sheetProtection sheet="1" objects="1" scenarios="1"/>
  <mergeCells>
    <mergeCell ref="AJ2:AW2"/>
    <mergeCell ref="AJ4:AW4"/>
    <mergeCell ref="AJ5:AW5"/>
    <mergeCell ref="L2:AI2"/>
    <mergeCell ref="L4:AI4"/>
    <mergeCell ref="L6:AI6"/>
    <mergeCell ref="L25:Q25"/>
    <mergeCell ref="L34:Q34"/>
    <mergeCell ref="A2:K2"/>
    <mergeCell ref="A3:K3"/>
    <mergeCell ref="A4:K4"/>
    <mergeCell ref="A10:K10"/>
    <mergeCell ref="A15:K15"/>
    <mergeCell ref="A31:K31"/>
    <mergeCell ref="A328:K328"/>
    <mergeCell ref="A339:K339"/>
    <mergeCell ref="A34:K34"/>
    <mergeCell ref="A44:K44"/>
    <mergeCell ref="A55:K55"/>
    <mergeCell ref="A88:K88"/>
    <mergeCell ref="A142:K142"/>
    <mergeCell ref="A160:K160"/>
    <mergeCell ref="A176:K176"/>
    <mergeCell ref="A180:K180"/>
    <mergeCell ref="A226:K226"/>
    <mergeCell ref="A281:K281"/>
    <mergeCell ref="A300:K300"/>
    <mergeCell ref="A309:K309"/>
    <mergeCell ref="A315:K315"/>
  </mergeCells>
  <conditionalFormatting sqref="A34:K324">
    <cfRule type="expression" dxfId="46" priority="1">
      <formula>ISNUMBER(SEARCH("Hard-coded model input",$J34))</formula>
    </cfRule>
    <cfRule type="expression" dxfId="47" priority="2">
      <formula>ISNUMBER(SEARCH("Formula-linked source input",$J34))</formula>
    </cfRule>
    <cfRule type="expression" dxfId="48" priority="3">
      <formula>OR(ISNUMBER(SEARCH("Derived calculation",$J34)),ISNUMBER(SEARCH("System control",$J34)),ISNUMBER(SEARCH("Output only",$J34)))</formula>
    </cfRule>
    <cfRule type="expression" dxfId="49" priority="4">
      <formula>ISNUMBER(SEARCH("Superseded / inactive",$J34))</formula>
    </cfRule>
    <cfRule type="expression" dxfId="50" priority="5">
      <formula>ISNUMBER(SEARCH("Owner decision outstanding",$J34))</formula>
    </cfRule>
  </conditionalFormatting>
  <conditionalFormatting sqref="E34:G324">
    <cfRule type="expression" dxfId="51" priority="6">
      <formula>OR(ISNUMBER(SEARCH("Hard-coded model input",$J34)),ISNUMBER(SEARCH("Owner decision outstanding",$J34)))</formula>
    </cfRule>
    <cfRule type="expression" dxfId="52" priority="7">
      <formula>ISNUMBER(SEARCH("Formula-linked source input",$J34))</formula>
    </cfRule>
  </conditionalFormatting>
  <conditionalFormatting sqref="B11:J13">
    <cfRule type="expression" dxfId="53" priority="8">
      <formula>B11="PASS"</formula>
    </cfRule>
    <cfRule type="expression" dxfId="54" priority="9">
      <formula>B11="WARNING"</formula>
    </cfRule>
    <cfRule type="expression" dxfId="55" priority="10">
      <formula>B11="FAIL"</formula>
    </cfRule>
  </conditionalFormatting>
  <conditionalFormatting sqref="J17:J29">
    <cfRule type="expression" dxfId="56" priority="11">
      <formula>J17="PASS"</formula>
    </cfRule>
    <cfRule type="expression" dxfId="57" priority="12">
      <formula>J17="WARNING"</formula>
    </cfRule>
    <cfRule type="expression" dxfId="58" priority="13">
      <formula>J17="FAIL"</formula>
    </cfRule>
  </conditionalFormatting>
  <conditionalFormatting sqref="B341:B371">
    <cfRule type="expression" dxfId="59" priority="14">
      <formula>B341="PASS"</formula>
    </cfRule>
    <cfRule type="expression" dxfId="60" priority="15">
      <formula>B341="WARNING"</formula>
    </cfRule>
    <cfRule type="expression" dxfId="61" priority="16">
      <formula>B341="FAIL"</formula>
    </cfRule>
  </conditionalFormatting>
  <conditionalFormatting sqref="BG8:BG257">
    <cfRule type="expression" dxfId="62" priority="17">
      <formula>BG8="PASS"</formula>
    </cfRule>
    <cfRule type="expression" dxfId="63" priority="18">
      <formula>BG8="WARNING"</formula>
    </cfRule>
    <cfRule type="expression" dxfId="64" priority="19">
      <formula>BG8="FAIL"</formula>
    </cfRule>
  </conditionalFormatting>
  <conditionalFormatting sqref="A34:K325">
    <cfRule type="expression" dxfId="69" priority="20">
      <formula>ISNUMBER(SEARCH("Hard-coded model input",$J34))</formula>
    </cfRule>
    <cfRule type="expression" dxfId="70" priority="21">
      <formula>ISNUMBER(SEARCH("Formula-linked source input",$J34))</formula>
    </cfRule>
    <cfRule type="expression" dxfId="71" priority="22">
      <formula>OR(ISNUMBER(SEARCH("Derived calculation",$J34)),ISNUMBER(SEARCH("System control",$J34)),ISNUMBER(SEARCH("Output only",$J34)))</formula>
    </cfRule>
    <cfRule type="expression" dxfId="72" priority="23">
      <formula>ISNUMBER(SEARCH("Superseded / inactive",$J34))</formula>
    </cfRule>
    <cfRule type="expression" dxfId="73" priority="24">
      <formula>ISNUMBER(SEARCH("Owner decision outstanding",$J34))</formula>
    </cfRule>
  </conditionalFormatting>
  <conditionalFormatting sqref="E34:G325">
    <cfRule type="expression" dxfId="74" priority="25">
      <formula>OR(ISNUMBER(SEARCH("Hard-coded model input",$J34)),ISNUMBER(SEARCH("Owner decision outstanding",$J34)))</formula>
    </cfRule>
    <cfRule type="expression" dxfId="75" priority="26">
      <formula>ISNUMBER(SEARCH("Formula-linked source input",$J34))</formula>
    </cfRule>
  </conditionalFormatting>
  <pageMargins left="0.7" right="0.7" top="0.75" bottom="0.75" header="0.3" footer="0.3"/>
</worksheet>
</file>

<file path=xl/worksheets/sheet13.xml><?xml version="1.0" encoding="utf-8"?>
<worksheet xmlns="http://schemas.openxmlformats.org/spreadsheetml/2006/main">
  <sheetFormatPr defaultRowHeight="15"/>
  <sheetData>
    <row r="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row>
    <row r="2">
      <c r="A2" t="str">
        <v>THE BEND PRECINCT | URWLD</v>
      </c>
      <c r="B2" t="str">
        <v>THE BEND PRECINCT | URWLD</v>
      </c>
      <c r="C2" t="str">
        <v>THE BEND PRECINCT | URWLD</v>
      </c>
      <c r="D2" t="str">
        <v>THE BEND PRECINCT | URWLD</v>
      </c>
      <c r="E2" t="str">
        <v>THE BEND PRECINCT | URWLD</v>
      </c>
      <c r="F2" t="str">
        <v>THE BEND PRECINCT | URWLD</v>
      </c>
      <c r="G2" t="str">
        <v>THE BEND PRECINCT | URWLD</v>
      </c>
      <c r="H2" t="str">
        <v>THE BEND PRECINCT | URWLD</v>
      </c>
      <c r="I2"/>
      <c r="J2"/>
      <c r="K2"/>
      <c r="L2" t="str">
        <v>THE BEND PRECINCT | OPERATING MODEL</v>
      </c>
      <c r="M2" t="str">
        <v>THE BEND PRECINCT | OPERATING MODEL</v>
      </c>
      <c r="N2" t="str">
        <v>THE BEND PRECINCT | OPERATING MODEL</v>
      </c>
      <c r="O2" t="str">
        <v>THE BEND PRECINCT | OPERATING MODEL</v>
      </c>
      <c r="P2" t="str">
        <v>THE BEND PRECINCT | OPERATING MODEL</v>
      </c>
      <c r="Q2" t="str">
        <v>THE BEND PRECINCT | OPERATING MODEL</v>
      </c>
      <c r="R2" t="str">
        <v>THE BEND PRECINCT | OPERATING MODEL</v>
      </c>
      <c r="S2" t="str">
        <v>THE BEND PRECINCT | OPERATING MODEL</v>
      </c>
      <c r="T2" t="str">
        <v>THE BEND PRECINCT | OPERATING MODEL</v>
      </c>
      <c r="U2" t="str">
        <v>THE BEND PRECINCT | OPERATING MODEL</v>
      </c>
      <c r="V2" t="str">
        <v>THE BEND PRECINCT | OPERATING MODEL</v>
      </c>
      <c r="W2" t="str">
        <v>THE BEND PRECINCT | OPERATING MODEL</v>
      </c>
      <c r="X2" t="str">
        <v>THE BEND PRECINCT | OPERATING MODEL</v>
      </c>
      <c r="Y2" t="str">
        <v>THE BEND PRECINCT | OPERATING MODEL</v>
      </c>
      <c r="Z2" t="str">
        <v>THE BEND PRECINCT | OPERATING MODEL</v>
      </c>
      <c r="AA2" t="str">
        <v>THE BEND PRECINCT | OPERATING MODEL</v>
      </c>
      <c r="AB2" t="str">
        <v>THE BEND PRECINCT | OPERATING MODEL</v>
      </c>
      <c r="AC2" t="str">
        <v>THE BEND PRECINCT | OPERATING MODEL</v>
      </c>
      <c r="AD2" t="str">
        <v>THE BEND PRECINCT | OPERATING MODEL</v>
      </c>
      <c r="AE2" t="str">
        <v>THE BEND PRECINCT | OPERATING MODEL</v>
      </c>
      <c r="AF2" t="str">
        <v>THE BEND PRECINCT | OPERATING MODEL</v>
      </c>
      <c r="AG2" t="str">
        <v>THE BEND PRECINCT | OPERATING MODEL</v>
      </c>
      <c r="AH2" t="str">
        <v>THE BEND PRECINCT | OPERATING MODEL</v>
      </c>
      <c r="AI2" t="str">
        <v>THE BEND PRECINCT | OPERATING MODEL</v>
      </c>
      <c r="AJ2" t="str">
        <v>THE BEND PRECINCT</v>
      </c>
      <c r="AK2"/>
      <c r="AL2"/>
      <c r="AM2"/>
      <c r="AN2"/>
      <c r="AO2"/>
      <c r="AP2"/>
      <c r="AQ2"/>
      <c r="AR2"/>
      <c r="AS2"/>
      <c r="AT2"/>
      <c r="AU2"/>
      <c r="AV2"/>
      <c r="AW2"/>
    </row>
    <row r="3">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row>
    <row r="4">
      <c r="A4" t="str">
        <v>Concise component input and control schedule. Detailed source data are consolidated into live model drivers with cell-level traceability.</v>
      </c>
      <c r="B4" t="str">
        <v>Concise component input and control schedule. Detailed source data are consolidated into live model drivers with cell-level traceability.</v>
      </c>
      <c r="C4" t="str">
        <v>Concise component input and control schedule. Detailed source data are consolidated into live model drivers with cell-level traceability.</v>
      </c>
      <c r="D4" t="str">
        <v>Concise component input and control schedule. Detailed source data are consolidated into live model drivers with cell-level traceability.</v>
      </c>
      <c r="E4" t="str">
        <v>Concise component input and control schedule. Detailed source data are consolidated into live model drivers with cell-level traceability.</v>
      </c>
      <c r="F4" t="str">
        <v>Concise component input and control schedule. Detailed source data are consolidated into live model drivers with cell-level traceability.</v>
      </c>
      <c r="G4" t="str">
        <v>Concise component input and control schedule. Detailed source data are consolidated into live model drivers with cell-level traceability.</v>
      </c>
      <c r="H4" t="str">
        <v>Concise component input and control schedule. Detailed source data are consolidated into live model drivers with cell-level traceability.</v>
      </c>
      <c r="I4"/>
      <c r="J4"/>
      <c r="K4"/>
      <c r="L4" t="str">
        <v>Management operating forecast transcribed from the current data book. Imported source rows are blue; calculation rows are formula-driven and feed Underwriting, financial statements, debt capacity and valuation.</v>
      </c>
      <c r="M4" t="str">
        <v>Management operating forecast transcribed from the current data book. Imported source rows are blue; calculation rows are formula-driven and feed Underwriting, financial statements, debt capacity and valuation.</v>
      </c>
      <c r="N4" t="str">
        <v>Management operating forecast transcribed from the current data book. Imported source rows are blue; calculation rows are formula-driven and feed Underwriting, financial statements, debt capacity and valuation.</v>
      </c>
      <c r="O4" t="str">
        <v>Management operating forecast transcribed from the current data book. Imported source rows are blue; calculation rows are formula-driven and feed Underwriting, financial statements, debt capacity and valuation.</v>
      </c>
      <c r="P4" t="str">
        <v>Management operating forecast transcribed from the current data book. Imported source rows are blue; calculation rows are formula-driven and feed Underwriting, financial statements, debt capacity and valuation.</v>
      </c>
      <c r="Q4" t="str">
        <v>Management operating forecast transcribed from the current data book. Imported source rows are blue; calculation rows are formula-driven and feed Underwriting, financial statements, debt capacity and valuation.</v>
      </c>
      <c r="R4" t="str">
        <v>Management operating forecast transcribed from the current data book. Imported source rows are blue; calculation rows are formula-driven and feed Underwriting, financial statements, debt capacity and valuation.</v>
      </c>
      <c r="S4" t="str">
        <v>Management operating forecast transcribed from the current data book. Imported source rows are blue; calculation rows are formula-driven and feed Underwriting, financial statements, debt capacity and valuation.</v>
      </c>
      <c r="T4" t="str">
        <v>Management operating forecast transcribed from the current data book. Imported source rows are blue; calculation rows are formula-driven and feed Underwriting, financial statements, debt capacity and valuation.</v>
      </c>
      <c r="U4" t="str">
        <v>Management operating forecast transcribed from the current data book. Imported source rows are blue; calculation rows are formula-driven and feed Underwriting, financial statements, debt capacity and valuation.</v>
      </c>
      <c r="V4" t="str">
        <v>Management operating forecast transcribed from the current data book. Imported source rows are blue; calculation rows are formula-driven and feed Underwriting, financial statements, debt capacity and valuation.</v>
      </c>
      <c r="W4" t="str">
        <v>Management operating forecast transcribed from the current data book. Imported source rows are blue; calculation rows are formula-driven and feed Underwriting, financial statements, debt capacity and valuation.</v>
      </c>
      <c r="X4" t="str">
        <v>Management operating forecast transcribed from the current data book. Imported source rows are blue; calculation rows are formula-driven and feed Underwriting, financial statements, debt capacity and valuation.</v>
      </c>
      <c r="Y4" t="str">
        <v>Management operating forecast transcribed from the current data book. Imported source rows are blue; calculation rows are formula-driven and feed Underwriting, financial statements, debt capacity and valuation.</v>
      </c>
      <c r="Z4" t="str">
        <v>Management operating forecast transcribed from the current data book. Imported source rows are blue; calculation rows are formula-driven and feed Underwriting, financial statements, debt capacity and valuation.</v>
      </c>
      <c r="AA4" t="str">
        <v>Management operating forecast transcribed from the current data book. Imported source rows are blue; calculation rows are formula-driven and feed Underwriting, financial statements, debt capacity and valuation.</v>
      </c>
      <c r="AB4" t="str">
        <v>Management operating forecast transcribed from the current data book. Imported source rows are blue; calculation rows are formula-driven and feed Underwriting, financial statements, debt capacity and valuation.</v>
      </c>
      <c r="AC4" t="str">
        <v>Management operating forecast transcribed from the current data book. Imported source rows are blue; calculation rows are formula-driven and feed Underwriting, financial statements, debt capacity and valuation.</v>
      </c>
      <c r="AD4" t="str">
        <v>Management operating forecast transcribed from the current data book. Imported source rows are blue; calculation rows are formula-driven and feed Underwriting, financial statements, debt capacity and valuation.</v>
      </c>
      <c r="AE4" t="str">
        <v>Management operating forecast transcribed from the current data book. Imported source rows are blue; calculation rows are formula-driven and feed Underwriting, financial statements, debt capacity and valuation.</v>
      </c>
      <c r="AF4" t="str">
        <v>Management operating forecast transcribed from the current data book. Imported source rows are blue; calculation rows are formula-driven and feed Underwriting, financial statements, debt capacity and valuation.</v>
      </c>
      <c r="AG4" t="str">
        <v>Management operating forecast transcribed from the current data book. Imported source rows are blue; calculation rows are formula-driven and feed Underwriting, financial statements, debt capacity and valuation.</v>
      </c>
      <c r="AH4" t="str">
        <v>Management operating forecast transcribed from the current data book. Imported source rows are blue; calculation rows are formula-driven and feed Underwriting, financial statements, debt capacity and valuation.</v>
      </c>
      <c r="AI4" t="str">
        <v>Management operating forecast transcribed from the current data book. Imported source rows are blue; calculation rows are formula-driven and feed Underwriting, financial statements, debt capacity and valuation.</v>
      </c>
      <c r="AJ4" t="str">
        <v>PROJECT DATA | CENTRAL INPUT &amp; ASSUMPTION SCHEDULE</v>
      </c>
      <c r="AK4"/>
      <c r="AL4"/>
      <c r="AM4"/>
      <c r="AN4"/>
      <c r="AO4"/>
      <c r="AP4"/>
      <c r="AQ4"/>
      <c r="AR4"/>
      <c r="AS4"/>
      <c r="AT4"/>
      <c r="AU4"/>
      <c r="AV4"/>
      <c r="AW4"/>
    </row>
    <row r="5">
      <c r="A5"/>
      <c r="B5"/>
      <c r="C5"/>
      <c r="D5"/>
      <c r="E5"/>
      <c r="F5"/>
      <c r="G5"/>
      <c r="H5"/>
      <c r="I5"/>
      <c r="J5"/>
      <c r="K5"/>
      <c r="L5"/>
      <c r="M5"/>
      <c r="N5"/>
      <c r="O5"/>
      <c r="P5"/>
      <c r="Q5"/>
      <c r="R5"/>
      <c r="S5"/>
      <c r="T5"/>
      <c r="U5"/>
      <c r="V5"/>
      <c r="W5"/>
      <c r="X5"/>
      <c r="Y5"/>
      <c r="Z5"/>
      <c r="AA5"/>
      <c r="AB5"/>
      <c r="AC5"/>
      <c r="AD5"/>
      <c r="AE5"/>
      <c r="AF5"/>
      <c r="AG5"/>
      <c r="AH5"/>
      <c r="AI5"/>
      <c r="AJ5" t="str">
        <v>Base assumptions drive the target model where mapped. Blue/yellow inputs are editable; conflicts and management gaps are disclosed in DATA MAP. Amounts are in the stated units.</v>
      </c>
      <c r="AK5"/>
      <c r="AL5"/>
      <c r="AM5"/>
      <c r="AN5"/>
      <c r="AO5"/>
      <c r="AP5"/>
      <c r="AQ5"/>
      <c r="AR5"/>
      <c r="AS5"/>
      <c r="AT5"/>
      <c r="AU5"/>
      <c r="AV5"/>
      <c r="AW5"/>
    </row>
    <row r="6">
      <c r="A6" t="str">
        <v>COMPONENT INPUTS</v>
      </c>
      <c r="B6"/>
      <c r="C6"/>
      <c r="D6"/>
      <c r="E6"/>
      <c r="F6"/>
      <c r="G6"/>
      <c r="H6"/>
      <c r="I6"/>
      <c r="J6"/>
      <c r="K6"/>
      <c r="L6" t="str">
        <v>ANNUAL MANAGEMENT FORECAST | A$ MILLION</v>
      </c>
      <c r="M6"/>
      <c r="N6"/>
      <c r="O6"/>
      <c r="P6"/>
      <c r="Q6"/>
      <c r="R6"/>
      <c r="S6"/>
      <c r="T6"/>
      <c r="U6"/>
      <c r="V6"/>
      <c r="W6"/>
      <c r="X6"/>
      <c r="Y6"/>
      <c r="Z6"/>
      <c r="AA6"/>
      <c r="AB6"/>
      <c r="AC6"/>
      <c r="AD6"/>
      <c r="AE6"/>
      <c r="AF6"/>
      <c r="AG6"/>
      <c r="AH6"/>
      <c r="AI6"/>
      <c r="AJ6"/>
      <c r="AK6"/>
      <c r="AL6"/>
      <c r="AM6"/>
      <c r="AN6"/>
      <c r="AO6"/>
      <c r="AP6"/>
      <c r="AQ6"/>
      <c r="AR6"/>
      <c r="AS6"/>
      <c r="AT6"/>
      <c r="AU6"/>
      <c r="AV6"/>
      <c r="AW6"/>
    </row>
    <row r="7">
      <c r="A7" t="str">
        <v>Field ID</v>
      </c>
      <c r="B7" t="str">
        <v>Assumption</v>
      </c>
      <c r="C7" t="str">
        <v>Unit</v>
      </c>
      <c r="D7" t="str">
        <v>Value</v>
      </c>
      <c r="E7" t="str">
        <v>Source Sheet</v>
      </c>
      <c r="F7" t="str">
        <v>Source Cell</v>
      </c>
      <c r="G7" t="str">
        <v>Status</v>
      </c>
      <c r="H7" t="str">
        <v>Notes</v>
      </c>
      <c r="I7"/>
      <c r="J7"/>
      <c r="K7"/>
      <c r="L7" t="str">
        <v>Line Item</v>
      </c>
      <c r="M7" t="str">
        <v>Unit</v>
      </c>
      <c r="N7" t="n">
        <v>2027</v>
      </c>
      <c r="O7" t="n">
        <v>2028</v>
      </c>
      <c r="P7" t="n">
        <v>2029</v>
      </c>
      <c r="Q7" t="n">
        <v>2030</v>
      </c>
      <c r="R7" t="n">
        <v>2031</v>
      </c>
      <c r="S7" t="n">
        <v>2032</v>
      </c>
      <c r="T7" t="n">
        <v>2033</v>
      </c>
      <c r="U7" t="n">
        <v>2034</v>
      </c>
      <c r="V7" t="n">
        <v>2035</v>
      </c>
      <c r="W7" t="n">
        <v>2036</v>
      </c>
      <c r="X7" t="n">
        <v>2037</v>
      </c>
      <c r="Y7" t="n">
        <v>2038</v>
      </c>
      <c r="Z7" t="n">
        <v>2039</v>
      </c>
      <c r="AA7" t="n">
        <v>2040</v>
      </c>
      <c r="AB7" t="n">
        <v>2041</v>
      </c>
      <c r="AC7" t="n">
        <v>2042</v>
      </c>
      <c r="AD7" t="n">
        <v>2043</v>
      </c>
      <c r="AE7" t="n">
        <v>2044</v>
      </c>
      <c r="AF7" t="n">
        <v>2045</v>
      </c>
      <c r="AG7" t="n">
        <v>2046</v>
      </c>
      <c r="AH7" t="n">
        <v>2047</v>
      </c>
      <c r="AI7" t="n">
        <v>2048</v>
      </c>
      <c r="AJ7" t="str">
        <v>Field ID</v>
      </c>
      <c r="AK7" t="str">
        <v>Category</v>
      </c>
      <c r="AL7" t="str">
        <v>Component</v>
      </c>
      <c r="AM7" t="str">
        <v>Assumption</v>
      </c>
      <c r="AN7" t="str">
        <v>Unit</v>
      </c>
      <c r="AO7" t="str">
        <v>Period/Date</v>
      </c>
      <c r="AP7" t="str">
        <v>Base</v>
      </c>
      <c r="AQ7" t="str">
        <v>Downside</v>
      </c>
      <c r="AR7" t="str">
        <v>Upside</v>
      </c>
      <c r="AS7" t="str">
        <v>Source</v>
      </c>
      <c r="AT7" t="str">
        <v>Source Date</v>
      </c>
      <c r="AU7" t="str">
        <v>Status</v>
      </c>
      <c r="AV7" t="str">
        <v>Owner</v>
      </c>
      <c r="AW7" t="str">
        <v>Notes</v>
      </c>
    </row>
    <row r="8">
      <c r="A8" t="str">
        <v>URWLD-FOOTPRINT</v>
      </c>
      <c r="B8" t="str">
        <v>Footprint</v>
      </c>
      <c r="C8" t="str">
        <v>sqm</v>
      </c>
      <c r="D8" t="n">
        <f>PROJECTS!$AP$219</f>
        <v>9500</v>
      </c>
      <c r="E8" t="str">
        <v>PROJECT DATA</v>
      </c>
      <c r="F8" t="str">
        <v>G219</v>
      </c>
      <c r="G8" t="str">
        <v>Formula Preserved</v>
      </c>
      <c r="H8" t="str">
        <v>Data-book component footprint.</v>
      </c>
      <c r="I8"/>
      <c r="J8"/>
      <c r="K8"/>
      <c r="L8" t="str">
        <v>Operating and lease revenue (ex LiveHouse interest)</v>
      </c>
      <c r="M8" t="str">
        <v>A$m</v>
      </c>
      <c r="N8" t="n">
        <v>4.87675130373905</v>
      </c>
      <c r="O8" t="n">
        <v>39.48284974968023</v>
      </c>
      <c r="P8" t="n">
        <v>43.23918136828583</v>
      </c>
      <c r="Q8" t="n">
        <v>45.14218980104262</v>
      </c>
      <c r="R8" t="n">
        <v>46.85594575267091</v>
      </c>
      <c r="S8" t="n">
        <v>48.59173996304293</v>
      </c>
      <c r="T8" t="n">
        <v>49.0387087582487</v>
      </c>
      <c r="U8" t="n">
        <v>50.8415079252753</v>
      </c>
      <c r="V8" t="n">
        <v>52.70877464443518</v>
      </c>
      <c r="W8" t="n">
        <v>54.64340695087914</v>
      </c>
      <c r="X8" t="n">
        <v>56.64706584778236</v>
      </c>
      <c r="Y8" t="n">
        <v>58.24008548168716</v>
      </c>
      <c r="Z8" t="n">
        <v>59.88886080277864</v>
      </c>
      <c r="AA8" t="n">
        <v>61.59534326010831</v>
      </c>
      <c r="AB8" t="n">
        <v>63.36155260344451</v>
      </c>
      <c r="AC8" t="n">
        <v>65.18957927379749</v>
      </c>
      <c r="AD8" t="n">
        <v>67.08158687761282</v>
      </c>
      <c r="AE8" t="n">
        <v>69.03981474756168</v>
      </c>
      <c r="AF8" t="n">
        <v>71.06658059295876</v>
      </c>
      <c r="AG8" t="n">
        <v>73.16428324294473</v>
      </c>
      <c r="AH8" t="n">
        <v>79.09526063987704</v>
      </c>
      <c r="AI8" t="n">
        <v>81.79446228783215</v>
      </c>
      <c r="AJ8" t="str">
        <v>PRJ-001</v>
      </c>
      <c r="AK8" t="str">
        <v>Project and programme</v>
      </c>
      <c r="AL8" t="str">
        <v>Project</v>
      </c>
      <c r="AM8" t="str">
        <v>Project name</v>
      </c>
      <c r="AN8" t="str">
        <v>Text</v>
      </c>
      <c r="AO8" t="str">
        <v>760</v>
      </c>
      <c r="AP8" t="str">
        <v>The Bend Precinct</v>
      </c>
      <c r="AQ8" t="str">
        <v>760</v>
      </c>
      <c r="AR8" t="str">
        <v>760</v>
      </c>
      <c r="AS8" t="str">
        <f>IFERROR(INDEX('DATA MAP'!$C$8:$C$137,MATCH($AJ8,'DATA MAP'!$A$8:$A$137,0))&amp;IF(INDEX('DATA MAP'!$D$8:$D$137,MATCH($AJ8,'DATA MAP'!$A$8:$A$137,0))="",""," | "&amp;INDEX('DATA MAP'!$D$8:$D$137,MATCH($AJ8,'DATA MAP'!$A$8:$A$137,0))),"Not provided")</f>
        <v>MODEL DESIGN | C8</v>
      </c>
      <c r="AT8" t="str">
        <v>Not provided</v>
      </c>
      <c r="AU8" t="str">
        <f>IFERROR(INDEX('DATA MAP'!$I$8:$I$137,MATCH($AJ8,'DATA MAP'!$A$8:$A$137,0)),"Review Required")</f>
        <v>Mapped</v>
      </c>
      <c r="AV8" t="str">
        <f>IF(OR($AU8="Conflict",$AU8="Review Required",$AU8="New Input Required",$AU8="Unsupported"),"Management","Model owner")</f>
        <v>Model owner</v>
      </c>
      <c r="AW8" t="str">
        <f>IFERROR(INDEX('DATA MAP'!$K$8:$K$137,MATCH($AJ8,'DATA MAP'!$A$8:$A$137,0)),"Management confirmation required.")</f>
        <v>Target wording retained; source wording is consistent.</v>
      </c>
    </row>
    <row r="9">
      <c r="A9" t="str">
        <v>URWLD-LAND</v>
      </c>
      <c r="B9" t="str">
        <v>Land area</v>
      </c>
      <c r="C9" t="str">
        <v>sqm</v>
      </c>
      <c r="D9" t="n">
        <f>PROJECTS!$AP$220</f>
        <v>10500</v>
      </c>
      <c r="E9" t="str">
        <v>PROJECT DATA</v>
      </c>
      <c r="F9" t="str">
        <v>G220</v>
      </c>
      <c r="G9" t="str">
        <v>Formula Preserved</v>
      </c>
      <c r="H9" t="str">
        <v>May overlap vertically or with shared precinct uses.</v>
      </c>
      <c r="I9"/>
      <c r="J9"/>
      <c r="K9"/>
      <c r="L9" t="str">
        <v>LiveHouse interest income</v>
      </c>
      <c r="M9" t="str">
        <v>A$m</v>
      </c>
      <c r="N9" t="n">
        <v>1.725</v>
      </c>
      <c r="O9" t="n">
        <v>1.725</v>
      </c>
      <c r="P9" t="n">
        <v>1.725</v>
      </c>
      <c r="Q9" t="n">
        <v>1.725</v>
      </c>
      <c r="R9" t="n">
        <v>1.725</v>
      </c>
      <c r="S9" t="n">
        <v>1.725</v>
      </c>
      <c r="T9" t="n">
        <v>0</v>
      </c>
      <c r="U9" t="n">
        <v>0</v>
      </c>
      <c r="V9" t="n">
        <v>0</v>
      </c>
      <c r="W9" t="n">
        <v>0</v>
      </c>
      <c r="X9" t="n">
        <v>0</v>
      </c>
      <c r="Y9" t="n">
        <v>0</v>
      </c>
      <c r="Z9" t="n">
        <v>0</v>
      </c>
      <c r="AA9" t="n">
        <v>0</v>
      </c>
      <c r="AB9" t="n">
        <v>0</v>
      </c>
      <c r="AC9" t="n">
        <v>0</v>
      </c>
      <c r="AD9" t="n">
        <v>0</v>
      </c>
      <c r="AE9" t="n">
        <v>0</v>
      </c>
      <c r="AF9" t="n">
        <v>0</v>
      </c>
      <c r="AG9" t="n">
        <v>0</v>
      </c>
      <c r="AH9" t="n">
        <v>0</v>
      </c>
      <c r="AI9" t="n">
        <v>0</v>
      </c>
      <c r="AJ9" t="str">
        <v>PRJ-002</v>
      </c>
      <c r="AK9" t="str">
        <v>Project and programme</v>
      </c>
      <c r="AL9" t="str">
        <v>Project</v>
      </c>
      <c r="AM9" t="str">
        <v>Street address</v>
      </c>
      <c r="AN9" t="str">
        <v>Text</v>
      </c>
      <c r="AO9" t="str">
        <v>760</v>
      </c>
      <c r="AP9" t="str">
        <v>349 Bridge Street</v>
      </c>
      <c r="AQ9" t="str">
        <v>760</v>
      </c>
      <c r="AR9" t="str">
        <v>760</v>
      </c>
      <c r="AS9" t="str">
        <f>IFERROR(INDEX('DATA MAP'!$C$8:$C$137,MATCH($AJ9,'DATA MAP'!$A$8:$A$137,0))&amp;IF(INDEX('DATA MAP'!$D$8:$D$137,MATCH($AJ9,'DATA MAP'!$A$8:$A$137,0))="",""," | "&amp;INDEX('DATA MAP'!$D$8:$D$137,MATCH($AJ9,'DATA MAP'!$A$8:$A$137,0))),"Not provided")</f>
        <v>Target: Underwriting | E10</v>
      </c>
      <c r="AT9" t="str">
        <v>Not provided</v>
      </c>
      <c r="AU9" t="str">
        <f>IFERROR(INDEX('DATA MAP'!$I$8:$I$137,MATCH($AJ9,'DATA MAP'!$A$8:$A$137,0)),"Review Required")</f>
        <v>Mapped</v>
      </c>
      <c r="AV9" t="str">
        <f>IF(OR($AU9="Conflict",$AU9="Review Required",$AU9="New Input Required",$AU9="Unsupported"),"Management","Model owner")</f>
        <v>Model owner</v>
      </c>
      <c r="AW9" t="str">
        <f>IFERROR(INDEX('DATA MAP'!$K$8:$K$137,MATCH($AJ9,'DATA MAP'!$A$8:$A$137,0)),"Management confirmation required.")</f>
        <v>No equivalent street address identified in the data book.</v>
      </c>
    </row>
    <row r="10">
      <c r="A10" t="str">
        <v>URWLD-GFA</v>
      </c>
      <c r="B10" t="str">
        <v>Estimated GFA / operating area</v>
      </c>
      <c r="C10" t="str">
        <v>sqm</v>
      </c>
      <c r="D10" t="n">
        <f>C20</f>
        <v>21500</v>
      </c>
      <c r="E10" t="str">
        <v>PROJECT DATA</v>
      </c>
      <c r="F10" t="str">
        <v>G20</v>
      </c>
      <c r="G10" t="str">
        <v>Formula Preserved</v>
      </c>
      <c r="H10" t="str">
        <v>Controlling model area.</v>
      </c>
      <c r="I10"/>
      <c r="J10"/>
      <c r="K10"/>
      <c r="L10" t="str">
        <v>Outgoings recoveries</v>
      </c>
      <c r="M10" t="str">
        <v>A$m</v>
      </c>
      <c r="N10" t="n">
        <v>1.8</v>
      </c>
      <c r="O10" t="n">
        <v>3.866019</v>
      </c>
      <c r="P10" t="n">
        <v>3.866019</v>
      </c>
      <c r="Q10" t="n">
        <v>3.866019</v>
      </c>
      <c r="R10" t="n">
        <v>3.866019</v>
      </c>
      <c r="S10" t="n">
        <v>3.866019</v>
      </c>
      <c r="T10" t="n">
        <v>3.866019</v>
      </c>
      <c r="U10" t="n">
        <v>3.866019</v>
      </c>
      <c r="V10" t="n">
        <v>3.866019</v>
      </c>
      <c r="W10" t="n">
        <v>3.866019</v>
      </c>
      <c r="X10" t="n">
        <v>3.866019</v>
      </c>
      <c r="Y10" t="n">
        <v>3.9626694749999998</v>
      </c>
      <c r="Z10" t="n">
        <v>4.061736211874999</v>
      </c>
      <c r="AA10" t="n">
        <v>4.163279617171874</v>
      </c>
      <c r="AB10" t="n">
        <v>4.2673616076011704</v>
      </c>
      <c r="AC10" t="n">
        <v>4.374045647791199</v>
      </c>
      <c r="AD10" t="n">
        <v>4.483396788985979</v>
      </c>
      <c r="AE10" t="n">
        <v>4.5954817087106274</v>
      </c>
      <c r="AF10" t="n">
        <v>4.710368751428392</v>
      </c>
      <c r="AG10" t="n">
        <v>4.828127970214101</v>
      </c>
      <c r="AH10" t="n">
        <v>4.948831169469454</v>
      </c>
      <c r="AI10" t="n">
        <v>5.07255194870619</v>
      </c>
      <c r="AJ10" t="str">
        <v>PRJ-003</v>
      </c>
      <c r="AK10" t="str">
        <v>Project and programme</v>
      </c>
      <c r="AL10" t="str">
        <v>Project</v>
      </c>
      <c r="AM10" t="str">
        <v>Suburb / municipality</v>
      </c>
      <c r="AN10" t="str">
        <v>Text</v>
      </c>
      <c r="AO10" t="str">
        <v>760</v>
      </c>
      <c r="AP10" t="str">
        <v>Port Melbourne</v>
      </c>
      <c r="AQ10" t="str">
        <v>760</v>
      </c>
      <c r="AR10" t="str">
        <v>760</v>
      </c>
      <c r="AS10" t="str">
        <f>IFERROR(INDEX('DATA MAP'!$C$8:$C$137,MATCH($AJ10,'DATA MAP'!$A$8:$A$137,0))&amp;IF(INDEX('DATA MAP'!$D$8:$D$137,MATCH($AJ10,'DATA MAP'!$A$8:$A$137,0))="",""," | "&amp;INDEX('DATA MAP'!$D$8:$D$137,MATCH($AJ10,'DATA MAP'!$A$8:$A$137,0))),"Not provided")</f>
        <v>MODEL DESIGN | C9</v>
      </c>
      <c r="AT10" t="str">
        <v>Not provided</v>
      </c>
      <c r="AU10" t="str">
        <f>IFERROR(INDEX('DATA MAP'!$I$8:$I$137,MATCH($AJ10,'DATA MAP'!$A$8:$A$137,0)),"Review Required")</f>
        <v>Mapped</v>
      </c>
      <c r="AV10" t="str">
        <f>IF(OR($AU10="Conflict",$AU10="Review Required",$AU10="New Input Required",$AU10="Unsupported"),"Management","Model owner")</f>
        <v>Model owner</v>
      </c>
      <c r="AW10" t="str">
        <f>IFERROR(INDEX('DATA MAP'!$K$8:$K$137,MATCH($AJ10,'DATA MAP'!$A$8:$A$137,0)),"Management confirmation required.")</f>
        <v>Port Melbourne is consistent across both workbooks.</v>
      </c>
    </row>
    <row r="11">
      <c r="A11" t="str">
        <v>URWLD-CORE</v>
      </c>
      <c r="B11" t="str">
        <v>Core / shell CAPEX</v>
      </c>
      <c r="C11" t="str">
        <v>A$m</v>
      </c>
      <c r="D11" t="n">
        <f>D20</f>
        <v>90.781</v>
      </c>
      <c r="E11" t="str">
        <v>PROJECT DATA</v>
      </c>
      <c r="F11" t="str">
        <v>PROJECTS!D20</v>
      </c>
      <c r="G11" t="str">
        <v>Formula Preserved</v>
      </c>
      <c r="H11" t="str">
        <v>Current detailed data-book amount.</v>
      </c>
      <c r="I11"/>
      <c r="J11"/>
      <c r="K11"/>
      <c r="L11" t="str">
        <v>Total operating revenue</v>
      </c>
      <c r="M11" t="str">
        <v>A$m</v>
      </c>
      <c r="N11" t="n">
        <f>SUM(N8:N10)</f>
        <v>8.40175130373905</v>
      </c>
      <c r="O11" t="n">
        <f>SUM(O8:O10)</f>
        <v>45.07386874968023</v>
      </c>
      <c r="P11" t="n">
        <f>SUM(P8:P10)</f>
        <v>48.83020036828583</v>
      </c>
      <c r="Q11" t="n">
        <f>SUM(Q8:Q10)</f>
        <v>50.73320880104262</v>
      </c>
      <c r="R11" t="n">
        <f>SUM(R8:R10)</f>
        <v>52.446964752670915</v>
      </c>
      <c r="S11" t="n">
        <f>SUM(S8:S10)</f>
        <v>54.182758963042936</v>
      </c>
      <c r="T11" t="n">
        <f>SUM(T8:T10)</f>
        <v>52.904727758248704</v>
      </c>
      <c r="U11" t="n">
        <f>SUM(U8:U10)</f>
        <v>54.7075269252753</v>
      </c>
      <c r="V11" t="n">
        <f>SUM(V8:V10)</f>
        <v>56.57479364443518</v>
      </c>
      <c r="W11" t="n">
        <f>SUM(W8:W10)</f>
        <v>58.50942595087914</v>
      </c>
      <c r="X11" t="n">
        <f>SUM(X8:X10)</f>
        <v>60.51308484778236</v>
      </c>
      <c r="Y11" t="n">
        <f>SUM(Y8:Y10)</f>
        <v>62.20275495668716</v>
      </c>
      <c r="Z11" t="n">
        <f>SUM(Z8:Z10)</f>
        <v>63.95059701465364</v>
      </c>
      <c r="AA11" t="n">
        <f>SUM(AA8:AA10)</f>
        <v>65.75862287728017</v>
      </c>
      <c r="AB11" t="n">
        <f>SUM(AB8:AB10)</f>
        <v>67.62891421104568</v>
      </c>
      <c r="AC11" t="n">
        <f>SUM(AC8:AC10)</f>
        <v>69.56362492158868</v>
      </c>
      <c r="AD11" t="n">
        <f>SUM(AD8:AD10)</f>
        <v>71.5649836665988</v>
      </c>
      <c r="AE11" t="n">
        <f>SUM(AE8:AE10)</f>
        <v>73.6352964562723</v>
      </c>
      <c r="AF11" t="n">
        <f>SUM(AF8:AF10)</f>
        <v>75.77694934438715</v>
      </c>
      <c r="AG11" t="n">
        <f>SUM(AG8:AG10)</f>
        <v>77.99241121315883</v>
      </c>
      <c r="AH11" t="n">
        <f>SUM(AH8:AH10)</f>
        <v>84.0440918093465</v>
      </c>
      <c r="AI11" t="n">
        <f>SUM(AI8:AI10)</f>
        <v>86.86701423653834</v>
      </c>
      <c r="AJ11" t="str">
        <v>PRJ-004</v>
      </c>
      <c r="AK11" t="str">
        <v>Project and programme</v>
      </c>
      <c r="AL11" t="str">
        <v>Project</v>
      </c>
      <c r="AM11" t="str">
        <v>State</v>
      </c>
      <c r="AN11" t="str">
        <v>Text</v>
      </c>
      <c r="AO11" t="str">
        <v>760</v>
      </c>
      <c r="AP11" t="str">
        <v>Victoria</v>
      </c>
      <c r="AQ11" t="str">
        <v>760</v>
      </c>
      <c r="AR11" t="str">
        <v>760</v>
      </c>
      <c r="AS11" t="str">
        <f>IFERROR(INDEX('DATA MAP'!$C$8:$C$137,MATCH($AJ11,'DATA MAP'!$A$8:$A$137,0))&amp;IF(INDEX('DATA MAP'!$D$8:$D$137,MATCH($AJ11,'DATA MAP'!$A$8:$A$137,0))="",""," | "&amp;INDEX('DATA MAP'!$D$8:$D$137,MATCH($AJ11,'DATA MAP'!$A$8:$A$137,0))),"Not provided")</f>
        <v>MODEL DESIGN | C9</v>
      </c>
      <c r="AT11" t="str">
        <v>Not provided</v>
      </c>
      <c r="AU11" t="str">
        <f>IFERROR(INDEX('DATA MAP'!$I$8:$I$137,MATCH($AJ11,'DATA MAP'!$A$8:$A$137,0)),"Review Required")</f>
        <v>Mapped</v>
      </c>
      <c r="AV11" t="str">
        <f>IF(OR($AU11="Conflict",$AU11="Review Required",$AU11="New Input Required",$AU11="Unsupported"),"Management","Model owner")</f>
        <v>Model owner</v>
      </c>
      <c r="AW11" t="str">
        <f>IFERROR(INDEX('DATA MAP'!$K$8:$K$137,MATCH($AJ11,'DATA MAP'!$A$8:$A$137,0)),"Management confirmation required.")</f>
        <v>State is Victoria; source and target are consistent.</v>
      </c>
    </row>
    <row r="12">
      <c r="A12" t="str">
        <v>URWLD-FITOUT</v>
      </c>
      <c r="B12" t="str">
        <v>Fitout CAPEX</v>
      </c>
      <c r="C12" t="str">
        <v>A$m</v>
      </c>
      <c r="D12" t="n">
        <f>E20</f>
        <v>0</v>
      </c>
      <c r="E12" t="str">
        <v>PROJECT CASH FLOW</v>
      </c>
      <c r="F12" t="str">
        <v>PROJECTS!E20</v>
      </c>
      <c r="G12" t="str">
        <v>Mapped</v>
      </c>
      <c r="H12" t="str">
        <v>Current detailed data-book amount.</v>
      </c>
      <c r="I12"/>
      <c r="J12"/>
      <c r="K12"/>
      <c r="L12"/>
      <c r="M12"/>
      <c r="N12"/>
      <c r="O12"/>
      <c r="P12"/>
      <c r="Q12"/>
      <c r="R12"/>
      <c r="S12"/>
      <c r="T12"/>
      <c r="U12"/>
      <c r="V12"/>
      <c r="W12"/>
      <c r="X12"/>
      <c r="Y12"/>
      <c r="Z12"/>
      <c r="AA12"/>
      <c r="AB12"/>
      <c r="AC12"/>
      <c r="AD12"/>
      <c r="AE12"/>
      <c r="AF12"/>
      <c r="AG12"/>
      <c r="AH12"/>
      <c r="AI12"/>
      <c r="AJ12" t="str">
        <v>PRJ-005</v>
      </c>
      <c r="AK12" t="str">
        <v>Project and programme</v>
      </c>
      <c r="AL12" t="str">
        <v>Project</v>
      </c>
      <c r="AM12" t="str">
        <v>Country</v>
      </c>
      <c r="AN12" t="str">
        <v>Text</v>
      </c>
      <c r="AO12" t="str">
        <v>760</v>
      </c>
      <c r="AP12" t="str">
        <v>Australia</v>
      </c>
      <c r="AQ12" t="str">
        <v>760</v>
      </c>
      <c r="AR12" t="str">
        <v>760</v>
      </c>
      <c r="AS12" t="str">
        <f>IFERROR(INDEX('DATA MAP'!$C$8:$C$137,MATCH($AJ12,'DATA MAP'!$A$8:$A$137,0))&amp;IF(INDEX('DATA MAP'!$D$8:$D$137,MATCH($AJ12,'DATA MAP'!$A$8:$A$137,0))="",""," | "&amp;INDEX('DATA MAP'!$D$8:$D$137,MATCH($AJ12,'DATA MAP'!$A$8:$A$137,0))),"Not provided")</f>
        <v>Target: Underwriting | I13</v>
      </c>
      <c r="AT12" t="str">
        <v>Not provided</v>
      </c>
      <c r="AU12" t="str">
        <f>IFERROR(INDEX('DATA MAP'!$I$8:$I$137,MATCH($AJ12,'DATA MAP'!$A$8:$A$137,0)),"Review Required")</f>
        <v>Mapped</v>
      </c>
      <c r="AV12" t="str">
        <f>IF(OR($AU12="Conflict",$AU12="Review Required",$AU12="New Input Required",$AU12="Unsupported"),"Management","Model owner")</f>
        <v>Model owner</v>
      </c>
      <c r="AW12" t="str">
        <f>IFERROR(INDEX('DATA MAP'!$K$8:$K$137,MATCH($AJ12,'DATA MAP'!$A$8:$A$137,0)),"Management confirmation required.")</f>
        <v>Country is Australia; retained target input because no conflicting source exists.</v>
      </c>
    </row>
    <row r="13">
      <c r="A13" t="str">
        <v>URWLD-TOTAL</v>
      </c>
      <c r="B13" t="str">
        <v>Total component CAPEX</v>
      </c>
      <c r="C13" t="str">
        <v>A$m</v>
      </c>
      <c r="D13" t="n">
        <f>F20</f>
        <v>90.7814814814815</v>
      </c>
      <c r="E13" t="str">
        <v>PROJECT DATA</v>
      </c>
      <c r="F13" t="str">
        <v>G34</v>
      </c>
      <c r="G13" t="str">
        <v>Formula Preserved</v>
      </c>
      <c r="H13" t="str">
        <v>Feeds PROJECTS CAPEX sections and project funding.</v>
      </c>
      <c r="I13"/>
      <c r="J13"/>
      <c r="K13"/>
      <c r="L13" t="str">
        <v>Outgoings / property expenses</v>
      </c>
      <c r="M13" t="str">
        <v>A$m</v>
      </c>
      <c r="N13" t="n">
        <v>0.89800538</v>
      </c>
      <c r="O13" t="n">
        <v>1.3882596079999998</v>
      </c>
      <c r="P13" t="n">
        <v>1.3882596079999998</v>
      </c>
      <c r="Q13" t="n">
        <v>1.3882596079999998</v>
      </c>
      <c r="R13" t="n">
        <v>1.3882596079999998</v>
      </c>
      <c r="S13" t="n">
        <v>1.3882596079999998</v>
      </c>
      <c r="T13" t="n">
        <v>1.3882596079999998</v>
      </c>
      <c r="U13" t="n">
        <v>1.3882596079999998</v>
      </c>
      <c r="V13" t="n">
        <v>1.3882596079999998</v>
      </c>
      <c r="W13" t="n">
        <v>1.3882596079999998</v>
      </c>
      <c r="X13" t="n">
        <v>1.3882596079999998</v>
      </c>
      <c r="Y13" t="n">
        <v>1.4229660981999996</v>
      </c>
      <c r="Z13" t="n">
        <v>1.4585402506549996</v>
      </c>
      <c r="AA13" t="n">
        <v>1.4950037569213745</v>
      </c>
      <c r="AB13" t="n">
        <v>1.5323788508444087</v>
      </c>
      <c r="AC13" t="n">
        <v>1.5706883221155188</v>
      </c>
      <c r="AD13" t="n">
        <v>1.6099555301684065</v>
      </c>
      <c r="AE13" t="n">
        <v>1.6502044184226166</v>
      </c>
      <c r="AF13" t="n">
        <v>1.6914595288831817</v>
      </c>
      <c r="AG13" t="n">
        <v>1.7337460171052612</v>
      </c>
      <c r="AH13" t="n">
        <v>1.7770896675328927</v>
      </c>
      <c r="AI13" t="n">
        <v>1.821516909221215</v>
      </c>
      <c r="AJ13" t="str">
        <v>PRJ-006</v>
      </c>
      <c r="AK13" t="str">
        <v>Project and programme</v>
      </c>
      <c r="AL13" t="str">
        <v>Programme</v>
      </c>
      <c r="AM13" t="str">
        <v>Model start date</v>
      </c>
      <c r="AN13" t="str">
        <v>Date</v>
      </c>
      <c r="AO13" t="str">
        <v>Monthly model</v>
      </c>
      <c r="AP13" t="n">
        <v>46204</v>
      </c>
      <c r="AQ13" t="str">
        <v>760</v>
      </c>
      <c r="AR13" t="str">
        <v>760</v>
      </c>
      <c r="AS13" t="str">
        <f>IFERROR(INDEX('DATA MAP'!$C$8:$C$137,MATCH($AJ13,'DATA MAP'!$A$8:$A$137,0))&amp;IF(INDEX('DATA MAP'!$D$8:$D$137,MATCH($AJ13,'DATA MAP'!$A$8:$A$137,0))="",""," | "&amp;INDEX('DATA MAP'!$D$8:$D$137,MATCH($AJ13,'DATA MAP'!$A$8:$A$137,0))),"Not provided")</f>
        <v>MODEL DESIGN | C12</v>
      </c>
      <c r="AT13" t="str">
        <v>Not provided</v>
      </c>
      <c r="AU13" t="str">
        <f>IFERROR(INDEX('DATA MAP'!$I$8:$I$137,MATCH($AJ13,'DATA MAP'!$A$8:$A$137,0)),"Review Required")</f>
        <v>Mapped</v>
      </c>
      <c r="AV13" t="str">
        <f>IF(OR($AU13="Conflict",$AU13="Review Required",$AU13="New Input Required",$AU13="Unsupported"),"Management","Model owner")</f>
        <v>Model owner</v>
      </c>
      <c r="AW13" t="str">
        <f>IFERROR(INDEX('DATA MAP'!$K$8:$K$137,MATCH($AJ13,'DATA MAP'!$A$8:$A$137,0)),"Management confirmation required.")</f>
        <v>Target monthly date provides the precise start within the source quarter.</v>
      </c>
    </row>
    <row r="14">
      <c r="A14" t="str">
        <v>URWLD-CAPEX-SQM</v>
      </c>
      <c r="B14" t="str">
        <v>CAPEX per sqm</v>
      </c>
      <c r="C14" t="str">
        <v>A$/sqm</v>
      </c>
      <c r="D14" t="n">
        <f>IF(C20=0,0,F20*1000000/C20)</f>
        <v>4222.394487510768</v>
      </c>
      <c r="E14" t="str">
        <v>Calculated</v>
      </c>
      <c r="F14" t="str">
        <v>F20/C20</v>
      </c>
      <c r="G14" t="str">
        <v>Formula Preserved</v>
      </c>
      <c r="H14" t="str">
        <v>Reasonableness metric; not an input.</v>
      </c>
      <c r="I14"/>
      <c r="J14"/>
      <c r="K14"/>
      <c r="L14" t="str">
        <v>Security &amp; maintenance services</v>
      </c>
      <c r="M14" t="str">
        <v>A$m</v>
      </c>
      <c r="N14" t="n">
        <v>0.2520525391121715</v>
      </c>
      <c r="O14" t="n">
        <v>1.352216062490407</v>
      </c>
      <c r="P14" t="n">
        <v>1.4649060110485748</v>
      </c>
      <c r="Q14" t="n">
        <v>1.5219962640312785</v>
      </c>
      <c r="R14" t="n">
        <v>1.5734089425801274</v>
      </c>
      <c r="S14" t="n">
        <v>1.625482768891288</v>
      </c>
      <c r="T14" t="n">
        <v>1.5871418327474611</v>
      </c>
      <c r="U14" t="n">
        <v>1.641225807758259</v>
      </c>
      <c r="V14" t="n">
        <v>1.6972438093330553</v>
      </c>
      <c r="W14" t="n">
        <v>1.7552827785263743</v>
      </c>
      <c r="X14" t="n">
        <v>1.8153925454334707</v>
      </c>
      <c r="Y14" t="n">
        <v>1.8660826487006146</v>
      </c>
      <c r="Z14" t="n">
        <v>1.918517910439609</v>
      </c>
      <c r="AA14" t="n">
        <v>1.9727586863184052</v>
      </c>
      <c r="AB14" t="n">
        <v>2.02886742633137</v>
      </c>
      <c r="AC14" t="n">
        <v>2.0869087476476604</v>
      </c>
      <c r="AD14" t="n">
        <v>2.146949509997964</v>
      </c>
      <c r="AE14" t="n">
        <v>2.209058893688169</v>
      </c>
      <c r="AF14" t="n">
        <v>2.273308480331614</v>
      </c>
      <c r="AG14" t="n">
        <v>2.339772336394765</v>
      </c>
      <c r="AH14" t="n">
        <v>2.5213227542803947</v>
      </c>
      <c r="AI14" t="n">
        <v>2.60601042709615</v>
      </c>
      <c r="AJ14" t="str">
        <v>PRJ-007</v>
      </c>
      <c r="AK14" t="str">
        <v>Project and programme</v>
      </c>
      <c r="AL14" t="str">
        <v>Programme</v>
      </c>
      <c r="AM14" t="str">
        <v>Construction duration</v>
      </c>
      <c r="AN14" t="str">
        <v>Months</v>
      </c>
      <c r="AO14" t="str">
        <v>Monthly model</v>
      </c>
      <c r="AP14" t="n">
        <v>36</v>
      </c>
      <c r="AQ14" t="str">
        <v>760</v>
      </c>
      <c r="AR14" t="str">
        <v>760</v>
      </c>
      <c r="AS14" t="str">
        <f>IFERROR(INDEX('DATA MAP'!$C$8:$C$137,MATCH($AJ14,'DATA MAP'!$A$8:$A$137,0))&amp;IF(INDEX('DATA MAP'!$D$8:$D$137,MATCH($AJ14,'DATA MAP'!$A$8:$A$137,0))="",""," | "&amp;INDEX('DATA MAP'!$D$8:$D$137,MATCH($AJ14,'DATA MAP'!$A$8:$A$137,0))),"Not provided")</f>
        <v>MODEL DESIGN | C13</v>
      </c>
      <c r="AT14" t="str">
        <v>Not provided</v>
      </c>
      <c r="AU14" t="str">
        <f>IFERROR(INDEX('DATA MAP'!$I$8:$I$137,MATCH($AJ14,'DATA MAP'!$A$8:$A$137,0)),"Review Required")</f>
        <v>Mapped</v>
      </c>
      <c r="AV14" t="str">
        <f>IF(OR($AU14="Conflict",$AU14="Review Required",$AU14="New Input Required",$AU14="Unsupported"),"Management","Model owner")</f>
        <v>Model owner</v>
      </c>
      <c r="AW14" t="str">
        <f>IFERROR(INDEX('DATA MAP'!$K$8:$K$137,MATCH($AJ14,'DATA MAP'!$A$8:$A$137,0)),"Management confirmation required.")</f>
        <v>Q2 2029 completion selected and linked to the 36-month construction programme. | The documented source hierarchy has been applied; the controlling target schedule is identified and no amount is double counted.</v>
      </c>
    </row>
    <row r="15">
      <c r="A15" t="str">
        <v>URWLD-OPS</v>
      </c>
      <c r="B15" t="str">
        <v>Operating forecast</v>
      </c>
      <c r="C15" t="str">
        <v>Reference</v>
      </c>
      <c r="D15" t="str">
        <v>OPERATING MODEL</v>
      </c>
      <c r="E15" t="str">
        <v>DEV CAPEX URWLD</v>
      </c>
      <c r="F15" t="str">
        <v>See source schedules</v>
      </c>
      <c r="G15" t="str">
        <v>Mapped</v>
      </c>
      <c r="H15" t="str">
        <v>Component detail is consolidated into the management operating forecast; no parallel revenue schedule is created.</v>
      </c>
      <c r="I15"/>
      <c r="J15"/>
      <c r="K15"/>
      <c r="L15" t="str">
        <v>Total property operating costs</v>
      </c>
      <c r="M15" t="str">
        <v>A$m</v>
      </c>
      <c r="N15" t="n">
        <f>SUM(N13:N14)</f>
        <v>1.1500579191121716</v>
      </c>
      <c r="O15" t="n">
        <f>SUM(O13:O14)</f>
        <v>2.7404756704904067</v>
      </c>
      <c r="P15" t="n">
        <f>SUM(P13:P14)</f>
        <v>2.853165619048575</v>
      </c>
      <c r="Q15" t="n">
        <f>SUM(Q13:Q14)</f>
        <v>2.9102558720312786</v>
      </c>
      <c r="R15" t="n">
        <f>SUM(R13:R14)</f>
        <v>2.9616685505801272</v>
      </c>
      <c r="S15" t="n">
        <f>SUM(S13:S14)</f>
        <v>3.0137423768912877</v>
      </c>
      <c r="T15" t="n">
        <f>SUM(T13:T14)</f>
        <v>2.975401440747461</v>
      </c>
      <c r="U15" t="n">
        <f>SUM(U13:U14)</f>
        <v>3.029485415758259</v>
      </c>
      <c r="V15" t="n">
        <f>SUM(V13:V14)</f>
        <v>3.0855034173330553</v>
      </c>
      <c r="W15" t="n">
        <f>SUM(W13:W14)</f>
        <v>3.143542386526374</v>
      </c>
      <c r="X15" t="n">
        <f>SUM(X13:X14)</f>
        <v>3.2036521534334703</v>
      </c>
      <c r="Y15" t="n">
        <f>SUM(Y13:Y14)</f>
        <v>3.2890487469006144</v>
      </c>
      <c r="Z15" t="n">
        <f>SUM(Z13:Z14)</f>
        <v>3.3770581610946087</v>
      </c>
      <c r="AA15" t="n">
        <f>SUM(AA13:AA14)</f>
        <v>3.4677624432397796</v>
      </c>
      <c r="AB15" t="n">
        <f>SUM(AB13:AB14)</f>
        <v>3.561246277175779</v>
      </c>
      <c r="AC15" t="n">
        <f>SUM(AC13:AC14)</f>
        <v>3.657597069763179</v>
      </c>
      <c r="AD15" t="n">
        <f>SUM(AD13:AD14)</f>
        <v>3.7569050401663704</v>
      </c>
      <c r="AE15" t="n">
        <f>SUM(AE13:AE14)</f>
        <v>3.8592633121107855</v>
      </c>
      <c r="AF15" t="n">
        <f>SUM(AF13:AF14)</f>
        <v>3.964768009214796</v>
      </c>
      <c r="AG15" t="n">
        <f>SUM(AG13:AG14)</f>
        <v>4.073518353500026</v>
      </c>
      <c r="AH15" t="n">
        <f>SUM(AH13:AH14)</f>
        <v>4.298412421813287</v>
      </c>
      <c r="AI15" t="n">
        <f>SUM(AI13:AI14)</f>
        <v>4.427527336317365</v>
      </c>
      <c r="AJ15" t="str">
        <v>PRJ-008</v>
      </c>
      <c r="AK15" t="str">
        <v>Project and programme</v>
      </c>
      <c r="AL15" t="str">
        <v>Programme</v>
      </c>
      <c r="AM15" t="str">
        <v>Operations commence</v>
      </c>
      <c r="AN15" t="str">
        <v>Model month</v>
      </c>
      <c r="AO15" t="str">
        <v>Monthly model</v>
      </c>
      <c r="AP15" t="n">
        <v>19</v>
      </c>
      <c r="AQ15" t="str">
        <v>760</v>
      </c>
      <c r="AR15" t="str">
        <v>760</v>
      </c>
      <c r="AS15" t="str">
        <f>IFERROR(INDEX('DATA MAP'!$C$8:$C$137,MATCH($AJ15,'DATA MAP'!$A$8:$A$137,0))&amp;IF(INDEX('DATA MAP'!$D$8:$D$137,MATCH($AJ15,'DATA MAP'!$A$8:$A$137,0))="",""," | "&amp;INDEX('DATA MAP'!$D$8:$D$137,MATCH($AJ15,'DATA MAP'!$A$8:$A$137,0))),"Not provided")</f>
        <v>MODEL DESIGN | C14</v>
      </c>
      <c r="AT15" t="str">
        <v>Not provided</v>
      </c>
      <c r="AU15" t="str">
        <f>IFERROR(INDEX('DATA MAP'!$I$8:$I$137,MATCH($AJ15,'DATA MAP'!$A$8:$A$137,0)),"Review Required")</f>
        <v>Formula Preserved</v>
      </c>
      <c r="AV15" t="str">
        <f>IF(OR($AU15="Conflict",$AU15="Review Required",$AU15="New Input Required",$AU15="Unsupported"),"Management","Model owner")</f>
        <v>Model owner</v>
      </c>
      <c r="AW15" t="str">
        <f>IFERROR(INDEX('DATA MAP'!$K$8:$K$137,MATCH($AJ15,'DATA MAP'!$A$8:$A$137,0)),"Management confirmation required.")</f>
        <v>Formula preserved; source states Q3 2029. | The documented source hierarchy has been applied; the controlling target schedule is identified and no amount is double counted.</v>
      </c>
    </row>
    <row r="16">
      <c r="A16"/>
      <c r="B16"/>
      <c r="C16"/>
      <c r="D16"/>
      <c r="E16"/>
      <c r="F16"/>
      <c r="G16"/>
      <c r="H16"/>
      <c r="I16"/>
      <c r="J16"/>
      <c r="K16"/>
      <c r="L16"/>
      <c r="M16"/>
      <c r="N16"/>
      <c r="O16"/>
      <c r="P16"/>
      <c r="Q16"/>
      <c r="R16"/>
      <c r="S16"/>
      <c r="T16"/>
      <c r="U16"/>
      <c r="V16"/>
      <c r="W16"/>
      <c r="X16"/>
      <c r="Y16"/>
      <c r="Z16"/>
      <c r="AA16"/>
      <c r="AB16"/>
      <c r="AC16"/>
      <c r="AD16"/>
      <c r="AE16"/>
      <c r="AF16"/>
      <c r="AG16"/>
      <c r="AH16"/>
      <c r="AI16"/>
      <c r="AJ16" t="str">
        <v>PRJ-009</v>
      </c>
      <c r="AK16" t="str">
        <v>Project and programme</v>
      </c>
      <c r="AL16" t="str">
        <v>Programme</v>
      </c>
      <c r="AM16" t="str">
        <v>First stabilised month</v>
      </c>
      <c r="AN16" t="str">
        <v>Model month</v>
      </c>
      <c r="AO16" t="str">
        <v>Monthly model</v>
      </c>
      <c r="AP16" t="n">
        <f>AP14+13</f>
        <v>49</v>
      </c>
      <c r="AQ16" t="str">
        <v>760</v>
      </c>
      <c r="AR16" t="str">
        <v>760</v>
      </c>
      <c r="AS16" t="str">
        <f>IFERROR(INDEX('DATA MAP'!$C$8:$C$137,MATCH($AJ16,'DATA MAP'!$A$8:$A$137,0))&amp;IF(INDEX('DATA MAP'!$D$8:$D$137,MATCH($AJ16,'DATA MAP'!$A$8:$A$137,0))="",""," | "&amp;INDEX('DATA MAP'!$D$8:$D$137,MATCH($AJ16,'DATA MAP'!$A$8:$A$137,0))),"Not provided")</f>
        <v>Target: Underwriting | D89</v>
      </c>
      <c r="AT16" t="str">
        <v>Not provided</v>
      </c>
      <c r="AU16" t="str">
        <f>IFERROR(INDEX('DATA MAP'!$I$8:$I$137,MATCH($AJ16,'DATA MAP'!$A$8:$A$137,0)),"Review Required")</f>
        <v>Formula Preserved</v>
      </c>
      <c r="AV16" t="str">
        <f>IF(OR($AU16="Conflict",$AU16="Review Required",$AU16="New Input Required",$AU16="Unsupported"),"Management","Model owner")</f>
        <v>Model owner</v>
      </c>
      <c r="AW16" t="str">
        <f>IFERROR(INDEX('DATA MAP'!$K$8:$K$137,MATCH($AJ16,'DATA MAP'!$A$8:$A$137,0)),"Management confirmation required.")</f>
        <v>Existing lease-up formula preserved.</v>
      </c>
    </row>
    <row r="17">
      <c r="A17"/>
      <c r="B17"/>
      <c r="C17"/>
      <c r="D17"/>
      <c r="E17"/>
      <c r="F17"/>
      <c r="G17"/>
      <c r="H17"/>
      <c r="I17"/>
      <c r="J17"/>
      <c r="K17"/>
      <c r="L17" t="str">
        <v>Management payroll</v>
      </c>
      <c r="M17" t="str">
        <v>A$m</v>
      </c>
      <c r="N17" t="n">
        <v>0.18</v>
      </c>
      <c r="O17" t="n">
        <v>0.1854</v>
      </c>
      <c r="P17" t="n">
        <v>0.19096200000000002</v>
      </c>
      <c r="Q17" t="n">
        <v>0.19669086000000002</v>
      </c>
      <c r="R17" t="n">
        <v>0.20259158580000003</v>
      </c>
      <c r="S17" t="n">
        <v>0.20866933337400004</v>
      </c>
      <c r="T17" t="n">
        <v>0.21492941337522004</v>
      </c>
      <c r="U17" t="n">
        <v>0.22137729577647663</v>
      </c>
      <c r="V17" t="n">
        <v>0.22801861464977094</v>
      </c>
      <c r="W17" t="n">
        <v>0.23485917308926407</v>
      </c>
      <c r="X17" t="n">
        <v>0.241904948281942</v>
      </c>
      <c r="Y17" t="n">
        <v>0.24916209673040027</v>
      </c>
      <c r="Z17" t="n">
        <v>0.25663695963231226</v>
      </c>
      <c r="AA17" t="n">
        <v>0.26433606842128166</v>
      </c>
      <c r="AB17" t="n">
        <v>0.2722661504739201</v>
      </c>
      <c r="AC17" t="n">
        <v>0.28043413498813774</v>
      </c>
      <c r="AD17" t="n">
        <v>0.28884715903778185</v>
      </c>
      <c r="AE17" t="n">
        <v>0.2975125738089153</v>
      </c>
      <c r="AF17" t="n">
        <v>0.3064379510231828</v>
      </c>
      <c r="AG17" t="n">
        <v>0.31563108955387825</v>
      </c>
      <c r="AH17" t="n">
        <v>0.3251000222404946</v>
      </c>
      <c r="AI17" t="n">
        <v>0.33485302290770946</v>
      </c>
      <c r="AJ17" t="str">
        <v>PRJ-010</v>
      </c>
      <c r="AK17" t="str">
        <v>Project and programme</v>
      </c>
      <c r="AL17" t="str">
        <v>Model</v>
      </c>
      <c r="AM17" t="str">
        <v>Periodicity</v>
      </c>
      <c r="AN17" t="str">
        <v>Text</v>
      </c>
      <c r="AO17" t="str">
        <v>760</v>
      </c>
      <c r="AP17" t="str">
        <v>Monthly</v>
      </c>
      <c r="AQ17" t="str">
        <v>760</v>
      </c>
      <c r="AR17" t="str">
        <v>760</v>
      </c>
      <c r="AS17" t="str">
        <f>IFERROR(INDEX('DATA MAP'!$C$8:$C$137,MATCH($AJ17,'DATA MAP'!$A$8:$A$137,0))&amp;IF(INDEX('DATA MAP'!$D$8:$D$137,MATCH($AJ17,'DATA MAP'!$A$8:$A$137,0))="",""," | "&amp;INDEX('DATA MAP'!$D$8:$D$137,MATCH($AJ17,'DATA MAP'!$A$8:$A$137,0))),"Not provided")</f>
        <v>Target: Underwriting | L24:EB24</v>
      </c>
      <c r="AT17" t="str">
        <v>Not provided</v>
      </c>
      <c r="AU17" t="str">
        <f>IFERROR(INDEX('DATA MAP'!$I$8:$I$137,MATCH($AJ17,'DATA MAP'!$A$8:$A$137,0)),"Review Required")</f>
        <v>Formula Preserved</v>
      </c>
      <c r="AV17" t="str">
        <f>IF(OR($AU17="Conflict",$AU17="Review Required",$AU17="New Input Required",$AU17="Unsupported"),"Management","Model owner")</f>
        <v>Model owner</v>
      </c>
      <c r="AW17" t="str">
        <f>IFERROR(INDEX('DATA MAP'!$K$8:$K$137,MATCH($AJ17,'DATA MAP'!$A$8:$A$137,0)),"Management confirmation required.")</f>
        <v>Target model uses 121 monthly periods; source schedules are mainly quarterly and annual.</v>
      </c>
    </row>
    <row r="18">
      <c r="A18" t="str">
        <v>CAPEX DETAIL | A$ MILLION</v>
      </c>
      <c r="B18"/>
      <c r="C18"/>
      <c r="D18"/>
      <c r="E18"/>
      <c r="F18"/>
      <c r="G18"/>
      <c r="H18"/>
      <c r="I18"/>
      <c r="J18"/>
      <c r="K18"/>
      <c r="L18" t="str">
        <v>Administration</v>
      </c>
      <c r="M18" t="str">
        <v>A$m</v>
      </c>
      <c r="N18" t="n">
        <v>0.042008756518695255</v>
      </c>
      <c r="O18" t="n">
        <v>0.22536934374840115</v>
      </c>
      <c r="P18" t="n">
        <v>0.24415100184142915</v>
      </c>
      <c r="Q18" t="n">
        <v>0.2536660440052131</v>
      </c>
      <c r="R18" t="n">
        <v>0.2622348237633546</v>
      </c>
      <c r="S18" t="n">
        <v>0.27091379481521466</v>
      </c>
      <c r="T18" t="n">
        <v>0.2645236387912435</v>
      </c>
      <c r="U18" t="n">
        <v>0.27353763462637654</v>
      </c>
      <c r="V18" t="n">
        <v>0.2828739682221759</v>
      </c>
      <c r="W18" t="n">
        <v>0.29254712975439573</v>
      </c>
      <c r="X18" t="n">
        <v>0.3025654242389118</v>
      </c>
      <c r="Y18" t="n">
        <v>0.3110137747834358</v>
      </c>
      <c r="Z18" t="n">
        <v>0.3197529850732682</v>
      </c>
      <c r="AA18" t="n">
        <v>0.32879311438640085</v>
      </c>
      <c r="AB18" t="n">
        <v>0.33814457105522844</v>
      </c>
      <c r="AC18" t="n">
        <v>0.3478181246079434</v>
      </c>
      <c r="AD18" t="n">
        <v>0.357824918332994</v>
      </c>
      <c r="AE18" t="n">
        <v>0.3681764822813615</v>
      </c>
      <c r="AF18" t="n">
        <v>0.37888474672193573</v>
      </c>
      <c r="AG18" t="n">
        <v>0.38996205606579415</v>
      </c>
      <c r="AH18" t="n">
        <v>0.4202204590467325</v>
      </c>
      <c r="AI18" t="n">
        <v>0.4343350711826917</v>
      </c>
      <c r="AJ18" t="str">
        <v>PRJ-011</v>
      </c>
      <c r="AK18" t="str">
        <v>Project and programme</v>
      </c>
      <c r="AL18" t="str">
        <v>Model</v>
      </c>
      <c r="AM18" t="str">
        <v>Currency and scale</v>
      </c>
      <c r="AN18" t="str">
        <v>Text</v>
      </c>
      <c r="AO18" t="str">
        <v>760</v>
      </c>
      <c r="AP18" t="str">
        <v>AUD; target in dollars, reporting tabs may show A$m</v>
      </c>
      <c r="AQ18" t="str">
        <v>760</v>
      </c>
      <c r="AR18" t="str">
        <v>760</v>
      </c>
      <c r="AS18" t="str">
        <f>IFERROR(INDEX('DATA MAP'!$C$8:$C$137,MATCH($AJ18,'DATA MAP'!$A$8:$A$137,0))&amp;IF(INDEX('DATA MAP'!$D$8:$D$137,MATCH($AJ18,'DATA MAP'!$A$8:$A$137,0))="",""," | "&amp;INDEX('DATA MAP'!$D$8:$D$137,MATCH($AJ18,'DATA MAP'!$A$8:$A$137,0))),"Not provided")</f>
        <v>MODEL DESIGN | C18</v>
      </c>
      <c r="AT18" t="str">
        <v>Not provided</v>
      </c>
      <c r="AU18" t="str">
        <f>IFERROR(INDEX('DATA MAP'!$I$8:$I$137,MATCH($AJ18,'DATA MAP'!$A$8:$A$137,0)),"Review Required")</f>
        <v>Mapped</v>
      </c>
      <c r="AV18" t="str">
        <f>IF(OR($AU18="Conflict",$AU18="Review Required",$AU18="New Input Required",$AU18="Unsupported"),"Management","Model owner")</f>
        <v>Model owner</v>
      </c>
      <c r="AW18" t="str">
        <f>IFERROR(INDEX('DATA MAP'!$K$8:$K$137,MATCH($AJ18,'DATA MAP'!$A$8:$A$137,0)),"Management confirmation required.")</f>
        <v>Source is largely A$m. Target input links use native target units.</v>
      </c>
    </row>
    <row r="19">
      <c r="A19" t="str">
        <v>Field ID</v>
      </c>
      <c r="B19" t="str">
        <v>Component</v>
      </c>
      <c r="C19" t="str">
        <v>GFA / Area (sqm)</v>
      </c>
      <c r="D19" t="str">
        <v>Core / Shell</v>
      </c>
      <c r="E19" t="str">
        <v>Fitout</v>
      </c>
      <c r="F19" t="str">
        <v>Model Net CAPEX</v>
      </c>
      <c r="G19" t="str">
        <v>Source</v>
      </c>
      <c r="H19" t="str">
        <v>Status / Note</v>
      </c>
      <c r="I19"/>
      <c r="J19"/>
      <c r="K19"/>
      <c r="L19" t="str">
        <v>Total asset management costs</v>
      </c>
      <c r="M19" t="str">
        <v>A$m</v>
      </c>
      <c r="N19" t="n">
        <f>SUM(N17:N18)</f>
        <v>0.22200875651869525</v>
      </c>
      <c r="O19" t="n">
        <f>SUM(O17:O18)</f>
        <v>0.41076934374840113</v>
      </c>
      <c r="P19" t="n">
        <f>SUM(P17:P18)</f>
        <v>0.4351130018414292</v>
      </c>
      <c r="Q19" t="n">
        <f>SUM(Q17:Q18)</f>
        <v>0.4503569040052131</v>
      </c>
      <c r="R19" t="n">
        <f>SUM(R17:R18)</f>
        <v>0.46482640956335464</v>
      </c>
      <c r="S19" t="n">
        <f>SUM(S17:S18)</f>
        <v>0.47958312818921467</v>
      </c>
      <c r="T19" t="n">
        <f>SUM(T17:T18)</f>
        <v>0.47945305216646356</v>
      </c>
      <c r="U19" t="n">
        <f>SUM(U17:U18)</f>
        <v>0.49491493040285317</v>
      </c>
      <c r="V19" t="n">
        <f>SUM(V17:V18)</f>
        <v>0.5108925828719468</v>
      </c>
      <c r="W19" t="n">
        <f>SUM(W17:W18)</f>
        <v>0.5274063028436597</v>
      </c>
      <c r="X19" t="n">
        <f>SUM(X17:X18)</f>
        <v>0.5444703725208538</v>
      </c>
      <c r="Y19" t="n">
        <f>SUM(Y17:Y18)</f>
        <v>0.5601758715138361</v>
      </c>
      <c r="Z19" t="n">
        <f>SUM(Z17:Z18)</f>
        <v>0.5763899447055805</v>
      </c>
      <c r="AA19" t="n">
        <f>SUM(AA17:AA18)</f>
        <v>0.5931291828076826</v>
      </c>
      <c r="AB19" t="n">
        <f>SUM(AB17:AB18)</f>
        <v>0.6104107215291485</v>
      </c>
      <c r="AC19" t="n">
        <f>SUM(AC17:AC18)</f>
        <v>0.6282522595960811</v>
      </c>
      <c r="AD19" t="n">
        <f>SUM(AD17:AD18)</f>
        <v>0.6466720773707759</v>
      </c>
      <c r="AE19" t="n">
        <f>SUM(AE17:AE18)</f>
        <v>0.6656890560902768</v>
      </c>
      <c r="AF19" t="n">
        <f>SUM(AF17:AF18)</f>
        <v>0.6853226977451186</v>
      </c>
      <c r="AG19" t="n">
        <f>SUM(AG17:AG18)</f>
        <v>0.7055931456196725</v>
      </c>
      <c r="AH19" t="n">
        <f>SUM(AH17:AH18)</f>
        <v>0.7453204812872272</v>
      </c>
      <c r="AI19" t="n">
        <f>SUM(AI17:AI18)</f>
        <v>0.7691880940904012</v>
      </c>
      <c r="AJ19" t="str">
        <v>AREA-001</v>
      </c>
      <c r="AK19" t="str">
        <v>Areas and capacities</v>
      </c>
      <c r="AL19" t="str">
        <v>Site</v>
      </c>
      <c r="AM19" t="str">
        <v>Site area</v>
      </c>
      <c r="AN19" t="str">
        <v>sqm</v>
      </c>
      <c r="AO19" t="str">
        <v>Current</v>
      </c>
      <c r="AP19" t="n">
        <v>34400</v>
      </c>
      <c r="AQ19" t="str">
        <v>760</v>
      </c>
      <c r="AR19" t="str">
        <v>760</v>
      </c>
      <c r="AS19" t="str">
        <f>IFERROR(INDEX('DATA MAP'!$C$8:$C$137,MATCH($AJ19,'DATA MAP'!$A$8:$A$137,0))&amp;IF(INDEX('DATA MAP'!$D$8:$D$137,MATCH($AJ19,'DATA MAP'!$A$8:$A$137,0))="",""," | "&amp;INDEX('DATA MAP'!$D$8:$D$137,MATCH($AJ19,'DATA MAP'!$A$8:$A$137,0))),"Not provided")</f>
        <v>ASSUMPTIONS | B35</v>
      </c>
      <c r="AT19" t="str">
        <v>Not provided</v>
      </c>
      <c r="AU19" t="str">
        <f>IFERROR(INDEX('DATA MAP'!$I$8:$I$137,MATCH($AJ19,'DATA MAP'!$A$8:$A$137,0)),"Review Required")</f>
        <v>Mapped</v>
      </c>
      <c r="AV19" t="str">
        <f>IF(OR($AU19="Conflict",$AU19="Review Required",$AU19="New Input Required",$AU19="Unsupported"),"Management","Model owner")</f>
        <v>Model owner</v>
      </c>
      <c r="AW19" t="str">
        <f>IFERROR(INDEX('DATA MAP'!$K$8:$K$137,MATCH($AJ19,'DATA MAP'!$A$8:$A$137,0)),"Management confirmation required.")</f>
        <v>34,400 sqm equals target 8.5004 acres.</v>
      </c>
    </row>
    <row r="20">
      <c r="A20" t="str">
        <v>CAPEX-URWLD</v>
      </c>
      <c r="B20" t="str">
        <v>URWLD</v>
      </c>
      <c r="C20" t="n">
        <f>PROJECTS!$AP$20</f>
        <v>21500</v>
      </c>
      <c r="D20" t="n">
        <v>90.781</v>
      </c>
      <c r="E20" t="n">
        <v>0</v>
      </c>
      <c r="F20" t="n">
        <f>PROJECTS!$AP$34</f>
        <v>90.7814814814815</v>
      </c>
      <c r="G20" t="str">
        <v>PROJECT CASH FLOW!H8:J8</v>
      </c>
      <c r="H20" t="str">
        <v>Current detailed data-book budget treated as post-CEO roof correction.</v>
      </c>
      <c r="I20"/>
      <c r="J20"/>
      <c r="K20"/>
      <c r="L20"/>
      <c r="M20"/>
      <c r="N20"/>
      <c r="O20"/>
      <c r="P20"/>
      <c r="Q20"/>
      <c r="R20"/>
      <c r="S20"/>
      <c r="T20"/>
      <c r="U20"/>
      <c r="V20"/>
      <c r="W20"/>
      <c r="X20"/>
      <c r="Y20"/>
      <c r="Z20"/>
      <c r="AA20"/>
      <c r="AB20"/>
      <c r="AC20"/>
      <c r="AD20"/>
      <c r="AE20"/>
      <c r="AF20"/>
      <c r="AG20"/>
      <c r="AH20"/>
      <c r="AI20"/>
      <c r="AJ20" t="str">
        <v>AREA-URWLD</v>
      </c>
      <c r="AK20" t="str">
        <v>Areas and capacities</v>
      </c>
      <c r="AL20" t="str">
        <v>URWLD</v>
      </c>
      <c r="AM20" t="str">
        <v>URWLD area</v>
      </c>
      <c r="AN20" t="str">
        <v>sqm</v>
      </c>
      <c r="AO20" t="str">
        <v>Current</v>
      </c>
      <c r="AP20" t="n">
        <v>21500</v>
      </c>
      <c r="AQ20" t="str">
        <v>760</v>
      </c>
      <c r="AR20" t="str">
        <v>760</v>
      </c>
      <c r="AS20" t="str">
        <f>IFERROR(INDEX('DATA MAP'!$C$8:$C$137,MATCH($AJ20,'DATA MAP'!$A$8:$A$137,0))&amp;IF(INDEX('DATA MAP'!$D$8:$D$137,MATCH($AJ20,'DATA MAP'!$A$8:$A$137,0))="",""," | "&amp;INDEX('DATA MAP'!$D$8:$D$137,MATCH($AJ20,'DATA MAP'!$A$8:$A$137,0))),"Not provided")</f>
        <v>PROJECT CASH FLOW | G8</v>
      </c>
      <c r="AT20" t="str">
        <v>Not provided</v>
      </c>
      <c r="AU20" t="str">
        <f>IFERROR(INDEX('DATA MAP'!$I$8:$I$137,MATCH($AJ20,'DATA MAP'!$A$8:$A$137,0)),"Review Required")</f>
        <v>Mapped</v>
      </c>
      <c r="AV20" t="str">
        <f>IF(OR($AU20="Conflict",$AU20="Review Required",$AU20="New Input Required",$AU20="Unsupported"),"Management","Model owner")</f>
        <v>Model owner</v>
      </c>
      <c r="AW20" t="str">
        <f>IFERROR(INDEX('DATA MAP'!$K$8:$K$137,MATCH($AJ20,'DATA MAP'!$A$8:$A$137,0)),"Management confirmation required.")</f>
        <v>Detailed source and target values agree.</v>
      </c>
    </row>
    <row r="21">
      <c r="A21" t="str">
        <v>Roof / solar duplicate adjustment: A$0.000. Model net CAPEX equals the current data-book total.</v>
      </c>
      <c r="B21"/>
      <c r="C21"/>
      <c r="D21"/>
      <c r="E21"/>
      <c r="F21"/>
      <c r="G21"/>
      <c r="H21"/>
      <c r="I21"/>
      <c r="J21"/>
      <c r="K21"/>
      <c r="L21" t="str">
        <v>Net operating income / EBITDA</v>
      </c>
      <c r="M21" t="str">
        <v>A$m</v>
      </c>
      <c r="N21" t="n">
        <f>N11-N15-N19</f>
        <v>7.029684628108184</v>
      </c>
      <c r="O21" t="n">
        <f>O11-O15-O19</f>
        <v>41.92262373544143</v>
      </c>
      <c r="P21" t="n">
        <f>P11-P15-P19</f>
        <v>45.541921747395826</v>
      </c>
      <c r="Q21" t="n">
        <f>Q11-Q15-Q19</f>
        <v>47.37259602500613</v>
      </c>
      <c r="R21" t="n">
        <f>R11-R15-R19</f>
        <v>49.02046979252743</v>
      </c>
      <c r="S21" t="n">
        <f>S11-S15-S19</f>
        <v>50.68943345796244</v>
      </c>
      <c r="T21" t="n">
        <f>T11-T15-T19</f>
        <v>49.44987326533478</v>
      </c>
      <c r="U21" t="n">
        <f>U11-U15-U19</f>
        <v>51.18312657911419</v>
      </c>
      <c r="V21" t="n">
        <f>V11-V15-V19</f>
        <v>52.97839764423018</v>
      </c>
      <c r="W21" t="n">
        <f>W11-W15-W19</f>
        <v>54.838477261509105</v>
      </c>
      <c r="X21" t="n">
        <f>X11-X15-X19</f>
        <v>56.76496232182803</v>
      </c>
      <c r="Y21" t="n">
        <f>Y11-Y15-Y19</f>
        <v>58.35353033827271</v>
      </c>
      <c r="Z21" t="n">
        <f>Z11-Z15-Z19</f>
        <v>59.99714890885345</v>
      </c>
      <c r="AA21" t="n">
        <f>AA11-AA15-AA19</f>
        <v>61.69773125123272</v>
      </c>
      <c r="AB21" t="n">
        <f>AB11-AB15-AB19</f>
        <v>63.45725721234075</v>
      </c>
      <c r="AC21" t="n">
        <f>AC11-AC15-AC19</f>
        <v>65.27777559222942</v>
      </c>
      <c r="AD21" t="n">
        <f>AD11-AD15-AD19</f>
        <v>67.16140654906165</v>
      </c>
      <c r="AE21" t="n">
        <f>AE11-AE15-AE19</f>
        <v>69.11034408807124</v>
      </c>
      <c r="AF21" t="n">
        <f>AF11-AF15-AF19</f>
        <v>71.12685863742723</v>
      </c>
      <c r="AG21" t="n">
        <f>AG11-AG15-AG19</f>
        <v>73.21329971403914</v>
      </c>
      <c r="AH21" t="n">
        <f>AH11-AH15-AH19</f>
        <v>79.00035890624599</v>
      </c>
      <c r="AI21" t="n">
        <f>AI11-AI15-AI19</f>
        <v>81.67029880613057</v>
      </c>
      <c r="AJ21" t="str">
        <v>AREA-PBSA</v>
      </c>
      <c r="AK21" t="str">
        <v>Areas and capacities</v>
      </c>
      <c r="AL21" t="str">
        <v>PBSA/student accommodation</v>
      </c>
      <c r="AM21" t="str">
        <v>PBSA area</v>
      </c>
      <c r="AN21" t="str">
        <v>sqm</v>
      </c>
      <c r="AO21" t="str">
        <v>Current</v>
      </c>
      <c r="AP21" t="n">
        <v>20000</v>
      </c>
      <c r="AQ21" t="str">
        <v>760</v>
      </c>
      <c r="AR21" t="str">
        <v>760</v>
      </c>
      <c r="AS21" t="str">
        <f>IFERROR(INDEX('DATA MAP'!$C$8:$C$137,MATCH($AJ21,'DATA MAP'!$A$8:$A$137,0))&amp;IF(INDEX('DATA MAP'!$D$8:$D$137,MATCH($AJ21,'DATA MAP'!$A$8:$A$137,0))="",""," | "&amp;INDEX('DATA MAP'!$D$8:$D$137,MATCH($AJ21,'DATA MAP'!$A$8:$A$137,0))),"Not provided")</f>
        <v>PROJECT CASH FLOW | G9</v>
      </c>
      <c r="AT21" t="str">
        <v>Not provided</v>
      </c>
      <c r="AU21" t="str">
        <f>IFERROR(INDEX('DATA MAP'!$I$8:$I$137,MATCH($AJ21,'DATA MAP'!$A$8:$A$137,0)),"Review Required")</f>
        <v>Mapped</v>
      </c>
      <c r="AV21" t="str">
        <f>IF(OR($AU21="Conflict",$AU21="Review Required",$AU21="New Input Required",$AU21="Unsupported"),"Management","Model owner")</f>
        <v>Model owner</v>
      </c>
      <c r="AW21" t="str">
        <f>IFERROR(INDEX('DATA MAP'!$K$8:$K$137,MATCH($AJ21,'DATA MAP'!$A$8:$A$137,0)),"Management confirmation required.")</f>
        <v>Detailed source and target values agree.</v>
      </c>
    </row>
    <row r="22">
      <c r="A22" t="str">
        <v>SCOPE &amp; INTEGRATION CONTROLS</v>
      </c>
      <c r="B22"/>
      <c r="C22"/>
      <c r="D22"/>
      <c r="E22"/>
      <c r="F22"/>
      <c r="G22"/>
      <c r="H22"/>
      <c r="I22"/>
      <c r="J22"/>
      <c r="K22"/>
      <c r="L22" t="str">
        <v>EBITDA margin</v>
      </c>
      <c r="M22" t="str">
        <v>%</v>
      </c>
      <c r="N22" t="n">
        <f>N21/N11</f>
        <v>0.8366927767761642</v>
      </c>
      <c r="O22" t="n">
        <f>O21/O11</f>
        <v>0.9300870969887367</v>
      </c>
      <c r="P22" t="n">
        <f>P21/P11</f>
        <v>0.9326589160787947</v>
      </c>
      <c r="Q22" t="n">
        <f>Q21/Q11</f>
        <v>0.9337591125131548</v>
      </c>
      <c r="R22" t="n">
        <f>R21/R11</f>
        <v>0.934667430683508</v>
      </c>
      <c r="S22" t="n">
        <f>S21/S11</f>
        <v>0.9355269910219368</v>
      </c>
      <c r="T22" t="n">
        <f>T21/T11</f>
        <v>0.9346966776069412</v>
      </c>
      <c r="U22" t="n">
        <f>U21/U11</f>
        <v>0.935577414219892</v>
      </c>
      <c r="V22" t="n">
        <f>V21/V11</f>
        <v>0.9364311247371425</v>
      </c>
      <c r="W22" t="n">
        <f>W21/W11</f>
        <v>0.9372588496689075</v>
      </c>
      <c r="X22" t="n">
        <f>X21/X11</f>
        <v>0.9380609576361453</v>
      </c>
      <c r="Y22" t="n">
        <f>Y21/Y11</f>
        <v>0.9381181006999654</v>
      </c>
      <c r="Z22" t="n">
        <f>Z21/Z11</f>
        <v>0.9381796528827667</v>
      </c>
      <c r="AA22" t="n">
        <f>AA21/AA11</f>
        <v>0.9382454886011533</v>
      </c>
      <c r="AB22" t="n">
        <f>AB21/AB11</f>
        <v>0.9383154816638534</v>
      </c>
      <c r="AC22" t="n">
        <f>AC21/AC11</f>
        <v>0.9383895055182903</v>
      </c>
      <c r="AD22" t="n">
        <f>AD21/AD11</f>
        <v>0.9384674334860162</v>
      </c>
      <c r="AE22" t="n">
        <f>AE21/AE11</f>
        <v>0.9385491389867879</v>
      </c>
      <c r="AF22" t="n">
        <f>AF21/AF11</f>
        <v>0.9386344957511231</v>
      </c>
      <c r="AG22" t="n">
        <f>AG21/AG11</f>
        <v>0.9387233780212534</v>
      </c>
      <c r="AH22" t="n">
        <f>AH21/AH11</f>
        <v>0.9399870616182969</v>
      </c>
      <c r="AI22" t="n">
        <f>AI21/AI11</f>
        <v>0.940176193736127</v>
      </c>
      <c r="AJ22" t="str">
        <v>AREA-LIVE</v>
      </c>
      <c r="AK22" t="str">
        <v>Areas and capacities</v>
      </c>
      <c r="AL22" t="str">
        <v>LiveHouse</v>
      </c>
      <c r="AM22" t="str">
        <v>LiveHouse area</v>
      </c>
      <c r="AN22" t="str">
        <v>sqm</v>
      </c>
      <c r="AO22" t="str">
        <v>Current</v>
      </c>
      <c r="AP22" t="n">
        <v>6500</v>
      </c>
      <c r="AQ22" t="str">
        <v>760</v>
      </c>
      <c r="AR22" t="str">
        <v>760</v>
      </c>
      <c r="AS22" t="str">
        <f>IFERROR(INDEX('DATA MAP'!$C$8:$C$137,MATCH($AJ22,'DATA MAP'!$A$8:$A$137,0))&amp;IF(INDEX('DATA MAP'!$D$8:$D$137,MATCH($AJ22,'DATA MAP'!$A$8:$A$137,0))="",""," | "&amp;INDEX('DATA MAP'!$D$8:$D$137,MATCH($AJ22,'DATA MAP'!$A$8:$A$137,0))),"Not provided")</f>
        <v>PROJECT CASH FLOW | G10</v>
      </c>
      <c r="AT22" t="str">
        <v>Not provided</v>
      </c>
      <c r="AU22" t="str">
        <f>IFERROR(INDEX('DATA MAP'!$I$8:$I$137,MATCH($AJ22,'DATA MAP'!$A$8:$A$137,0)),"Review Required")</f>
        <v>Mapped</v>
      </c>
      <c r="AV22" t="str">
        <f>IF(OR($AU22="Conflict",$AU22="Review Required",$AU22="New Input Required",$AU22="Unsupported"),"Management","Model owner")</f>
        <v>Model owner</v>
      </c>
      <c r="AW22" t="str">
        <f>IFERROR(INDEX('DATA MAP'!$K$8:$K$137,MATCH($AJ22,'DATA MAP'!$A$8:$A$137,0)),"Management confirmation required.")</f>
        <v>Detailed source and target values agree.</v>
      </c>
    </row>
    <row r="23">
      <c r="A23" t="str">
        <v>Control</v>
      </c>
      <c r="B23" t="str">
        <v>Result</v>
      </c>
      <c r="C23" t="str">
        <v>Basis</v>
      </c>
      <c r="D23"/>
      <c r="E23"/>
      <c r="F23"/>
      <c r="G23"/>
      <c r="H23"/>
      <c r="I23"/>
      <c r="J23"/>
      <c r="K23"/>
      <c r="L23"/>
      <c r="M23"/>
      <c r="N23"/>
      <c r="O23"/>
      <c r="P23"/>
      <c r="Q23"/>
      <c r="R23"/>
      <c r="S23"/>
      <c r="T23"/>
      <c r="U23"/>
      <c r="V23"/>
      <c r="W23"/>
      <c r="X23"/>
      <c r="Y23"/>
      <c r="Z23"/>
      <c r="AA23"/>
      <c r="AB23"/>
      <c r="AC23"/>
      <c r="AD23"/>
      <c r="AE23"/>
      <c r="AF23"/>
      <c r="AG23"/>
      <c r="AH23"/>
      <c r="AI23"/>
      <c r="AJ23" t="str">
        <v>AREA-RETAIL</v>
      </c>
      <c r="AK23" t="str">
        <v>Areas and capacities</v>
      </c>
      <c r="AL23" t="str">
        <v>Retail and ancillary uses</v>
      </c>
      <c r="AM23" t="str">
        <v>Flexible retail/F&amp;B area</v>
      </c>
      <c r="AN23" t="str">
        <v>sqm</v>
      </c>
      <c r="AO23" t="str">
        <v>Current</v>
      </c>
      <c r="AP23" t="n">
        <v>150</v>
      </c>
      <c r="AQ23" t="str">
        <v>760</v>
      </c>
      <c r="AR23" t="str">
        <v>760</v>
      </c>
      <c r="AS23" t="str">
        <f>IFERROR(INDEX('DATA MAP'!$C$8:$C$137,MATCH($AJ23,'DATA MAP'!$A$8:$A$137,0))&amp;IF(INDEX('DATA MAP'!$D$8:$D$137,MATCH($AJ23,'DATA MAP'!$A$8:$A$137,0))="",""," | "&amp;INDEX('DATA MAP'!$D$8:$D$137,MATCH($AJ23,'DATA MAP'!$A$8:$A$137,0))),"Not provided")</f>
        <v>PROJECT CASH FLOW | G11</v>
      </c>
      <c r="AT23" t="str">
        <v>Not provided</v>
      </c>
      <c r="AU23" t="str">
        <f>IFERROR(INDEX('DATA MAP'!$I$8:$I$137,MATCH($AJ23,'DATA MAP'!$A$8:$A$137,0)),"Review Required")</f>
        <v>Mapped</v>
      </c>
      <c r="AV23" t="str">
        <f>IF(OR($AU23="Conflict",$AU23="Review Required",$AU23="New Input Required",$AU23="Unsupported"),"Management","Model owner")</f>
        <v>Model owner</v>
      </c>
      <c r="AW23" t="str">
        <f>IFERROR(INDEX('DATA MAP'!$K$8:$K$137,MATCH($AJ23,'DATA MAP'!$A$8:$A$137,0)),"Management confirmation required.")</f>
        <v>Detailed source and target values agree.</v>
      </c>
    </row>
    <row r="24">
      <c r="A24" t="str">
        <v>Component CAPEX reconciles</v>
      </c>
      <c r="B24" t="str">
        <f>IF(ABS(SUM(D20:E20)-F20)&lt;0.001,"OK","EXCEPTION: component CAPEX")</f>
        <v>OK</v>
      </c>
      <c r="C24" t="str">
        <v>Core / shell plus fitout versus controlling total</v>
      </c>
      <c r="D24"/>
      <c r="E24"/>
      <c r="F24"/>
      <c r="G24"/>
      <c r="H24"/>
      <c r="I24"/>
      <c r="J24"/>
      <c r="K24"/>
      <c r="L24"/>
      <c r="M24"/>
      <c r="N24"/>
      <c r="O24"/>
      <c r="P24"/>
      <c r="Q24"/>
      <c r="R24"/>
      <c r="S24"/>
      <c r="T24"/>
      <c r="U24"/>
      <c r="V24"/>
      <c r="W24"/>
      <c r="X24"/>
      <c r="Y24"/>
      <c r="Z24"/>
      <c r="AA24"/>
      <c r="AB24"/>
      <c r="AC24"/>
      <c r="AD24"/>
      <c r="AE24"/>
      <c r="AF24"/>
      <c r="AG24"/>
      <c r="AH24"/>
      <c r="AI24"/>
      <c r="AJ24" t="str">
        <v>AREA-GEN</v>
      </c>
      <c r="AK24" t="str">
        <v>Areas and capacities</v>
      </c>
      <c r="AL24" t="str">
        <v>Genesis</v>
      </c>
      <c r="AM24" t="str">
        <v>Genesis area</v>
      </c>
      <c r="AN24" t="str">
        <v>sqm</v>
      </c>
      <c r="AO24" t="str">
        <v>Current</v>
      </c>
      <c r="AP24" t="n">
        <v>4000</v>
      </c>
      <c r="AQ24" t="str">
        <v>760</v>
      </c>
      <c r="AR24" t="str">
        <v>760</v>
      </c>
      <c r="AS24" t="str">
        <f>IFERROR(INDEX('DATA MAP'!$C$8:$C$137,MATCH($AJ24,'DATA MAP'!$A$8:$A$137,0))&amp;IF(INDEX('DATA MAP'!$D$8:$D$137,MATCH($AJ24,'DATA MAP'!$A$8:$A$137,0))="",""," | "&amp;INDEX('DATA MAP'!$D$8:$D$137,MATCH($AJ24,'DATA MAP'!$A$8:$A$137,0))),"Not provided")</f>
        <v>PROJECT CASH FLOW | G12</v>
      </c>
      <c r="AT24" t="str">
        <v>Not provided</v>
      </c>
      <c r="AU24" t="str">
        <f>IFERROR(INDEX('DATA MAP'!$I$8:$I$137,MATCH($AJ24,'DATA MAP'!$A$8:$A$137,0)),"Review Required")</f>
        <v>Mapped</v>
      </c>
      <c r="AV24" t="str">
        <f>IF(OR($AU24="Conflict",$AU24="Review Required",$AU24="New Input Required",$AU24="Unsupported"),"Management","Model owner")</f>
        <v>Model owner</v>
      </c>
      <c r="AW24" t="str">
        <f>IFERROR(INDEX('DATA MAP'!$K$8:$K$137,MATCH($AJ24,'DATA MAP'!$A$8:$A$137,0)),"Management confirmation required.")</f>
        <v>Detailed source and target values agree.</v>
      </c>
    </row>
    <row r="25">
      <c r="A25" t="str">
        <v>Area linked to PROJECT DATA</v>
      </c>
      <c r="B25" t="str">
        <f>IF(ABS(C20-PROJECTS!$AP$20)&lt;0.000001,"OK","EXCEPTION: component area")</f>
        <v>OK</v>
      </c>
      <c r="C25" t="str">
        <v>No duplicate area input</v>
      </c>
      <c r="D25"/>
      <c r="E25"/>
      <c r="F25"/>
      <c r="G25"/>
      <c r="H25"/>
      <c r="I25"/>
      <c r="J25"/>
      <c r="K25"/>
      <c r="L25" t="str">
        <v>SELECTED STABILISED OPERATING CASE</v>
      </c>
      <c r="M25"/>
      <c r="N25"/>
      <c r="O25"/>
      <c r="P25"/>
      <c r="Q25"/>
      <c r="R25"/>
      <c r="S25"/>
      <c r="T25"/>
      <c r="U25"/>
      <c r="V25"/>
      <c r="W25"/>
      <c r="X25"/>
      <c r="Y25"/>
      <c r="Z25"/>
      <c r="AA25"/>
      <c r="AB25"/>
      <c r="AC25"/>
      <c r="AD25"/>
      <c r="AE25"/>
      <c r="AF25"/>
      <c r="AG25"/>
      <c r="AH25"/>
      <c r="AI25"/>
      <c r="AJ25" t="str">
        <v>AREA-PARK</v>
      </c>
      <c r="AK25" t="str">
        <v>Areas and capacities</v>
      </c>
      <c r="AL25" t="str">
        <v>Parking</v>
      </c>
      <c r="AM25" t="str">
        <v>Car park area</v>
      </c>
      <c r="AN25" t="str">
        <v>sqm</v>
      </c>
      <c r="AO25" t="str">
        <v>Current</v>
      </c>
      <c r="AP25" t="n">
        <v>19500.38</v>
      </c>
      <c r="AQ25" t="str">
        <v>760</v>
      </c>
      <c r="AR25" t="str">
        <v>760</v>
      </c>
      <c r="AS25" t="str">
        <f>IFERROR(INDEX('DATA MAP'!$C$8:$C$137,MATCH($AJ25,'DATA MAP'!$A$8:$A$137,0))&amp;IF(INDEX('DATA MAP'!$D$8:$D$137,MATCH($AJ25,'DATA MAP'!$A$8:$A$137,0))="",""," | "&amp;INDEX('DATA MAP'!$D$8:$D$137,MATCH($AJ25,'DATA MAP'!$A$8:$A$137,0))),"Not provided")</f>
        <v>PROJECT CASH FLOW | G13</v>
      </c>
      <c r="AT25" t="str">
        <v>Not provided</v>
      </c>
      <c r="AU25" t="str">
        <f>IFERROR(INDEX('DATA MAP'!$I$8:$I$137,MATCH($AJ25,'DATA MAP'!$A$8:$A$137,0)),"Review Required")</f>
        <v>Mapped</v>
      </c>
      <c r="AV25" t="str">
        <f>IF(OR($AU25="Conflict",$AU25="Review Required",$AU25="New Input Required",$AU25="Unsupported"),"Management","Model owner")</f>
        <v>Model owner</v>
      </c>
      <c r="AW25" t="str">
        <f>IFERROR(INDEX('DATA MAP'!$K$8:$K$137,MATCH($AJ25,'DATA MAP'!$A$8:$A$137,0)),"Management confirmation required.")</f>
        <v>Detailed source and target values agree.</v>
      </c>
    </row>
    <row r="26">
      <c r="A26" t="str">
        <v>Roof / solar treatment</v>
      </c>
      <c r="B26" t="str">
        <f>IF(ABS(F20-PROJECTS!$AP$34)&lt;0.000001,"OK","EXCEPTION: component total")</f>
        <v>OK</v>
      </c>
      <c r="C26" t="str">
        <v>Precinct roof/solar is central infrastructure</v>
      </c>
      <c r="D26"/>
      <c r="E26"/>
      <c r="F26"/>
      <c r="G26"/>
      <c r="H26"/>
      <c r="I26"/>
      <c r="J26"/>
      <c r="K26"/>
      <c r="L26" t="str">
        <v>Assumption / Output</v>
      </c>
      <c r="M26" t="str">
        <v>Unit</v>
      </c>
      <c r="N26" t="str">
        <v>Value</v>
      </c>
      <c r="O26"/>
      <c r="P26"/>
      <c r="Q26"/>
      <c r="R26"/>
      <c r="S26"/>
      <c r="T26"/>
      <c r="U26"/>
      <c r="V26"/>
      <c r="W26"/>
      <c r="X26"/>
      <c r="Y26"/>
      <c r="Z26"/>
      <c r="AA26"/>
      <c r="AB26"/>
      <c r="AC26"/>
      <c r="AD26"/>
      <c r="AE26"/>
      <c r="AF26"/>
      <c r="AG26"/>
      <c r="AH26"/>
      <c r="AI26"/>
      <c r="AJ26" t="str">
        <v>AREA-SNOW</v>
      </c>
      <c r="AK26" t="str">
        <v>Areas and capacities</v>
      </c>
      <c r="AL26" t="str">
        <v>Snowtunnel</v>
      </c>
      <c r="AM26" t="str">
        <v>Snowtunnel area</v>
      </c>
      <c r="AN26" t="str">
        <v>sqm</v>
      </c>
      <c r="AO26" t="str">
        <v>Current</v>
      </c>
      <c r="AP26" t="n">
        <v>3800</v>
      </c>
      <c r="AQ26" t="str">
        <v>760</v>
      </c>
      <c r="AR26" t="str">
        <v>760</v>
      </c>
      <c r="AS26" t="str">
        <f>IFERROR(INDEX('DATA MAP'!$C$8:$C$137,MATCH($AJ26,'DATA MAP'!$A$8:$A$137,0))&amp;IF(INDEX('DATA MAP'!$D$8:$D$137,MATCH($AJ26,'DATA MAP'!$A$8:$A$137,0))="",""," | "&amp;INDEX('DATA MAP'!$D$8:$D$137,MATCH($AJ26,'DATA MAP'!$A$8:$A$137,0))),"Not provided")</f>
        <v>PROJECT CASH FLOW | G14</v>
      </c>
      <c r="AT26" t="str">
        <v>Not provided</v>
      </c>
      <c r="AU26" t="str">
        <f>IFERROR(INDEX('DATA MAP'!$I$8:$I$137,MATCH($AJ26,'DATA MAP'!$A$8:$A$137,0)),"Review Required")</f>
        <v>Mapped</v>
      </c>
      <c r="AV26" t="str">
        <f>IF(OR($AU26="Conflict",$AU26="Review Required",$AU26="New Input Required",$AU26="Unsupported"),"Management","Model owner")</f>
        <v>Model owner</v>
      </c>
      <c r="AW26" t="str">
        <f>IFERROR(INDEX('DATA MAP'!$K$8:$K$137,MATCH($AJ26,'DATA MAP'!$A$8:$A$137,0)),"Management confirmation required.")</f>
        <v>Detailed source and target values agree.</v>
      </c>
    </row>
    <row r="27">
      <c r="A27"/>
      <c r="B27"/>
      <c r="C27"/>
      <c r="D27"/>
      <c r="E27"/>
      <c r="F27"/>
      <c r="G27"/>
      <c r="H27"/>
      <c r="I27"/>
      <c r="J27"/>
      <c r="K27"/>
      <c r="L27" t="str">
        <v>Stabilised operating revenue</v>
      </c>
      <c r="M27" t="str">
        <v>A$m</v>
      </c>
      <c r="N27" t="n">
        <f>INDEX($N$11:$AI$11,1,MATCH($N$31,$N$7:$AI$7,0))</f>
        <v>48.83020036828583</v>
      </c>
      <c r="O27"/>
      <c r="P27"/>
      <c r="Q27"/>
      <c r="R27"/>
      <c r="S27"/>
      <c r="T27"/>
      <c r="U27"/>
      <c r="V27"/>
      <c r="W27"/>
      <c r="X27"/>
      <c r="Y27"/>
      <c r="Z27"/>
      <c r="AA27"/>
      <c r="AB27"/>
      <c r="AC27"/>
      <c r="AD27"/>
      <c r="AE27"/>
      <c r="AF27"/>
      <c r="AG27"/>
      <c r="AH27"/>
      <c r="AI27"/>
      <c r="AJ27" t="str">
        <v>AREA-GOKART</v>
      </c>
      <c r="AK27" t="str">
        <v>Areas and capacities</v>
      </c>
      <c r="AL27" t="str">
        <v>Retail and ancillary uses</v>
      </c>
      <c r="AM27" t="str">
        <v>Go-kart area</v>
      </c>
      <c r="AN27" t="str">
        <v>sqm</v>
      </c>
      <c r="AO27" t="str">
        <v>Current</v>
      </c>
      <c r="AP27" t="n">
        <v>2000</v>
      </c>
      <c r="AQ27" t="str">
        <v>760</v>
      </c>
      <c r="AR27" t="str">
        <v>760</v>
      </c>
      <c r="AS27" t="str">
        <f>IFERROR(INDEX('DATA MAP'!$C$8:$C$137,MATCH($AJ27,'DATA MAP'!$A$8:$A$137,0))&amp;IF(INDEX('DATA MAP'!$D$8:$D$137,MATCH($AJ27,'DATA MAP'!$A$8:$A$137,0))="",""," | "&amp;INDEX('DATA MAP'!$D$8:$D$137,MATCH($AJ27,'DATA MAP'!$A$8:$A$137,0))),"Not provided")</f>
        <v>Target: Underwriting | E100</v>
      </c>
      <c r="AT27" t="str">
        <v>Not provided</v>
      </c>
      <c r="AU27" t="str">
        <f>IFERROR(INDEX('DATA MAP'!$I$8:$I$137,MATCH($AJ27,'DATA MAP'!$A$8:$A$137,0)),"Review Required")</f>
        <v>Mapped</v>
      </c>
      <c r="AV27" t="str">
        <f>IF(OR($AU27="Conflict",$AU27="Review Required",$AU27="New Input Required",$AU27="Unsupported"),"Management","Model owner")</f>
        <v>Model owner</v>
      </c>
      <c r="AW27" t="str">
        <f>IFERROR(INDEX('DATA MAP'!$K$8:$K$137,MATCH($AJ27,'DATA MAP'!$A$8:$A$137,0)),"Management confirmation required.")</f>
        <v>No discrete go-kart GFA was identified in the data book.</v>
      </c>
    </row>
    <row r="28">
      <c r="A28"/>
      <c r="B28"/>
      <c r="C28"/>
      <c r="D28"/>
      <c r="E28"/>
      <c r="F28"/>
      <c r="G28"/>
      <c r="H28"/>
      <c r="I28"/>
      <c r="J28"/>
      <c r="K28"/>
      <c r="L28" t="str">
        <v>Stabilised EBITDA / NOI</v>
      </c>
      <c r="M28" t="str">
        <v>A$m</v>
      </c>
      <c r="N28" t="n">
        <f>INDEX($N$21:$AI$21,1,MATCH($N$31,$N$7:$AI$7,0))</f>
        <v>45.541921747395826</v>
      </c>
      <c r="O28"/>
      <c r="P28"/>
      <c r="Q28"/>
      <c r="R28"/>
      <c r="S28"/>
      <c r="T28"/>
      <c r="U28"/>
      <c r="V28"/>
      <c r="W28"/>
      <c r="X28"/>
      <c r="Y28"/>
      <c r="Z28"/>
      <c r="AA28"/>
      <c r="AB28"/>
      <c r="AC28"/>
      <c r="AD28"/>
      <c r="AE28"/>
      <c r="AF28"/>
      <c r="AG28"/>
      <c r="AH28"/>
      <c r="AI28"/>
      <c r="AJ28" t="str">
        <v>AREA-LANDSCAPE</v>
      </c>
      <c r="AK28" t="str">
        <v>Areas and capacities</v>
      </c>
      <c r="AL28" t="str">
        <v>Retail and ancillary uses</v>
      </c>
      <c r="AM28" t="str">
        <v>Landscape attraction area</v>
      </c>
      <c r="AN28" t="str">
        <v>sqm</v>
      </c>
      <c r="AO28" t="str">
        <v>Current</v>
      </c>
      <c r="AP28" t="n">
        <v>150</v>
      </c>
      <c r="AQ28" t="str">
        <v>760</v>
      </c>
      <c r="AR28" t="str">
        <v>760</v>
      </c>
      <c r="AS28" t="str">
        <f>IFERROR(INDEX('DATA MAP'!$C$8:$C$137,MATCH($AJ28,'DATA MAP'!$A$8:$A$137,0))&amp;IF(INDEX('DATA MAP'!$D$8:$D$137,MATCH($AJ28,'DATA MAP'!$A$8:$A$137,0))="",""," | "&amp;INDEX('DATA MAP'!$D$8:$D$137,MATCH($AJ28,'DATA MAP'!$A$8:$A$137,0))),"Not provided")</f>
        <v>PROJECT CASH FLOW | G15</v>
      </c>
      <c r="AT28" t="str">
        <v>Not provided</v>
      </c>
      <c r="AU28" t="str">
        <f>IFERROR(INDEX('DATA MAP'!$I$8:$I$137,MATCH($AJ28,'DATA MAP'!$A$8:$A$137,0)),"Review Required")</f>
        <v>Mapped</v>
      </c>
      <c r="AV28" t="str">
        <f>IF(OR($AU28="Conflict",$AU28="Review Required",$AU28="New Input Required",$AU28="Unsupported"),"Management","Model owner")</f>
        <v>Model owner</v>
      </c>
      <c r="AW28" t="str">
        <f>IFERROR(INDEX('DATA MAP'!$K$8:$K$137,MATCH($AJ28,'DATA MAP'!$A$8:$A$137,0)),"Management confirmation required.")</f>
        <v>Detailed source and target values agree.</v>
      </c>
    </row>
    <row r="29">
      <c r="A29" t="str">
        <v>THE BEND PRECINCT | LIVEHOUSE</v>
      </c>
      <c r="B29" t="str">
        <v>THE BEND PRECINCT | LIVEHOUSE</v>
      </c>
      <c r="C29" t="str">
        <v>THE BEND PRECINCT | LIVEHOUSE</v>
      </c>
      <c r="D29" t="str">
        <v>THE BEND PRECINCT | LIVEHOUSE</v>
      </c>
      <c r="E29" t="str">
        <v>THE BEND PRECINCT | LIVEHOUSE</v>
      </c>
      <c r="F29" t="str">
        <v>THE BEND PRECINCT | LIVEHOUSE</v>
      </c>
      <c r="G29" t="str">
        <v>THE BEND PRECINCT | LIVEHOUSE</v>
      </c>
      <c r="H29" t="str">
        <v>THE BEND PRECINCT | LIVEHOUSE</v>
      </c>
      <c r="I29"/>
      <c r="J29"/>
      <c r="K29"/>
      <c r="L29" t="str">
        <v>Stabilised operating costs</v>
      </c>
      <c r="M29" t="str">
        <v>A$m</v>
      </c>
      <c r="N29" t="n">
        <f>N27-N28</f>
        <v>3.2882786208900043</v>
      </c>
      <c r="O29"/>
      <c r="P29"/>
      <c r="Q29"/>
      <c r="R29"/>
      <c r="S29"/>
      <c r="T29"/>
      <c r="U29"/>
      <c r="V29"/>
      <c r="W29"/>
      <c r="X29"/>
      <c r="Y29"/>
      <c r="Z29"/>
      <c r="AA29"/>
      <c r="AB29"/>
      <c r="AC29"/>
      <c r="AD29"/>
      <c r="AE29"/>
      <c r="AF29"/>
      <c r="AG29"/>
      <c r="AH29"/>
      <c r="AI29"/>
      <c r="AJ29" t="str">
        <v>AREA-STORAGE</v>
      </c>
      <c r="AK29" t="str">
        <v>Areas and capacities</v>
      </c>
      <c r="AL29" t="str">
        <v>Storage</v>
      </c>
      <c r="AM29" t="str">
        <v>Self-storage area</v>
      </c>
      <c r="AN29" t="str">
        <v>sqm</v>
      </c>
      <c r="AO29" t="str">
        <v>Current</v>
      </c>
      <c r="AP29" t="n">
        <v>600</v>
      </c>
      <c r="AQ29" t="str">
        <v>760</v>
      </c>
      <c r="AR29" t="str">
        <v>760</v>
      </c>
      <c r="AS29" t="str">
        <f>IFERROR(INDEX('DATA MAP'!$C$8:$C$137,MATCH($AJ29,'DATA MAP'!$A$8:$A$137,0))&amp;IF(INDEX('DATA MAP'!$D$8:$D$137,MATCH($AJ29,'DATA MAP'!$A$8:$A$137,0))="",""," | "&amp;INDEX('DATA MAP'!$D$8:$D$137,MATCH($AJ29,'DATA MAP'!$A$8:$A$137,0))),"Not provided")</f>
        <v>PROJECT CASH FLOW | G17</v>
      </c>
      <c r="AT29" t="str">
        <v>Not provided</v>
      </c>
      <c r="AU29" t="str">
        <f>IFERROR(INDEX('DATA MAP'!$I$8:$I$137,MATCH($AJ29,'DATA MAP'!$A$8:$A$137,0)),"Review Required")</f>
        <v>Mapped</v>
      </c>
      <c r="AV29" t="str">
        <f>IF(OR($AU29="Conflict",$AU29="Review Required",$AU29="New Input Required",$AU29="Unsupported"),"Management","Model owner")</f>
        <v>Model owner</v>
      </c>
      <c r="AW29" t="str">
        <f>IFERROR(INDEX('DATA MAP'!$K$8:$K$137,MATCH($AJ29,'DATA MAP'!$A$8:$A$137,0)),"Management confirmation required.")</f>
        <v>Detailed source and target values agree.</v>
      </c>
    </row>
    <row r="30">
      <c r="A30"/>
      <c r="B30"/>
      <c r="C30"/>
      <c r="D30"/>
      <c r="E30"/>
      <c r="F30"/>
      <c r="G30"/>
      <c r="H30"/>
      <c r="I30"/>
      <c r="J30"/>
      <c r="K30"/>
      <c r="L30" t="str">
        <v>Stabilised EBITDA margin</v>
      </c>
      <c r="M30" t="str">
        <v>%</v>
      </c>
      <c r="N30" t="n">
        <f>N28/N27</f>
        <v>0.9326589160787947</v>
      </c>
      <c r="O30"/>
      <c r="P30"/>
      <c r="Q30"/>
      <c r="R30"/>
      <c r="S30"/>
      <c r="T30"/>
      <c r="U30"/>
      <c r="V30"/>
      <c r="W30"/>
      <c r="X30"/>
      <c r="Y30"/>
      <c r="Z30"/>
      <c r="AA30"/>
      <c r="AB30"/>
      <c r="AC30"/>
      <c r="AD30"/>
      <c r="AE30"/>
      <c r="AF30"/>
      <c r="AG30"/>
      <c r="AH30"/>
      <c r="AI30"/>
      <c r="AJ30" t="str">
        <v>AREA-CONV</v>
      </c>
      <c r="AK30" t="str">
        <v>Areas and capacities</v>
      </c>
      <c r="AL30" t="str">
        <v>Retail and ancillary uses</v>
      </c>
      <c r="AM30" t="str">
        <v>Convenience/laundromat area</v>
      </c>
      <c r="AN30" t="str">
        <v>sqm</v>
      </c>
      <c r="AO30" t="str">
        <v>Current</v>
      </c>
      <c r="AP30" t="n">
        <v>64</v>
      </c>
      <c r="AQ30" t="str">
        <v>760</v>
      </c>
      <c r="AR30" t="str">
        <v>760</v>
      </c>
      <c r="AS30" t="str">
        <f>IFERROR(INDEX('DATA MAP'!$C$8:$C$137,MATCH($AJ30,'DATA MAP'!$A$8:$A$137,0))&amp;IF(INDEX('DATA MAP'!$D$8:$D$137,MATCH($AJ30,'DATA MAP'!$A$8:$A$137,0))="",""," | "&amp;INDEX('DATA MAP'!$D$8:$D$137,MATCH($AJ30,'DATA MAP'!$A$8:$A$137,0))),"Not provided")</f>
        <v>PROJECT CASH FLOW | G18:G19</v>
      </c>
      <c r="AT30" t="str">
        <v>Not provided</v>
      </c>
      <c r="AU30" t="str">
        <f>IFERROR(INDEX('DATA MAP'!$I$8:$I$137,MATCH($AJ30,'DATA MAP'!$A$8:$A$137,0)),"Review Required")</f>
        <v>Mapped — reconciled</v>
      </c>
      <c r="AV30" t="str">
        <f>IF(OR($AU30="Conflict",$AU30="Review Required",$AU30="New Input Required",$AU30="Unsupported"),"Management","Model owner")</f>
        <v>Model owner</v>
      </c>
      <c r="AW30" t="str">
        <f>IFERROR(INDEX('DATA MAP'!$K$8:$K$137,MATCH($AJ30,'DATA MAP'!$A$8:$A$137,0)),"Management confirmation required.")</f>
        <v>Detailed target ancillary area retained; wider source figure treated as shared precinct space to prevent double counting. | The detailed component area schedule controls; wider summary areas are treated as shared precinct space to prevent double counting.</v>
      </c>
    </row>
    <row r="31">
      <c r="A31" t="str">
        <v>Concise component input and control schedule. Detailed source data are consolidated into live model drivers with cell-level traceability.</v>
      </c>
      <c r="B31" t="str">
        <v>Concise component input and control schedule. Detailed source data are consolidated into live model drivers with cell-level traceability.</v>
      </c>
      <c r="C31" t="str">
        <v>Concise component input and control schedule. Detailed source data are consolidated into live model drivers with cell-level traceability.</v>
      </c>
      <c r="D31" t="str">
        <v>Concise component input and control schedule. Detailed source data are consolidated into live model drivers with cell-level traceability.</v>
      </c>
      <c r="E31" t="str">
        <v>Concise component input and control schedule. Detailed source data are consolidated into live model drivers with cell-level traceability.</v>
      </c>
      <c r="F31" t="str">
        <v>Concise component input and control schedule. Detailed source data are consolidated into live model drivers with cell-level traceability.</v>
      </c>
      <c r="G31" t="str">
        <v>Concise component input and control schedule. Detailed source data are consolidated into live model drivers with cell-level traceability.</v>
      </c>
      <c r="H31" t="str">
        <v>Concise component input and control schedule. Detailed source data are consolidated into live model drivers with cell-level traceability.</v>
      </c>
      <c r="I31"/>
      <c r="J31"/>
      <c r="K31"/>
      <c r="L31" t="str">
        <v>Selected forecast year</v>
      </c>
      <c r="M31" t="str">
        <v>Year</v>
      </c>
      <c r="N31" t="n">
        <f>PROJECTS!$AP$216</f>
        <v>2029</v>
      </c>
      <c r="O31"/>
      <c r="P31"/>
      <c r="Q31"/>
      <c r="R31"/>
      <c r="S31"/>
      <c r="T31"/>
      <c r="U31"/>
      <c r="V31"/>
      <c r="W31"/>
      <c r="X31"/>
      <c r="Y31"/>
      <c r="Z31"/>
      <c r="AA31"/>
      <c r="AB31"/>
      <c r="AC31"/>
      <c r="AD31"/>
      <c r="AE31"/>
      <c r="AF31"/>
      <c r="AG31"/>
      <c r="AH31"/>
      <c r="AI31"/>
      <c r="AJ31" t="str">
        <v>AREA-EBIKE</v>
      </c>
      <c r="AK31" t="str">
        <v>Areas and capacities</v>
      </c>
      <c r="AL31" t="str">
        <v>Retail and ancillary uses</v>
      </c>
      <c r="AM31" t="str">
        <v>eBike/eScooter storage area</v>
      </c>
      <c r="AN31" t="str">
        <v>sqm</v>
      </c>
      <c r="AO31" t="str">
        <v>Current</v>
      </c>
      <c r="AP31" t="n">
        <v>48</v>
      </c>
      <c r="AQ31" t="str">
        <v>760</v>
      </c>
      <c r="AR31" t="str">
        <v>760</v>
      </c>
      <c r="AS31" t="str">
        <f>IFERROR(INDEX('DATA MAP'!$C$8:$C$137,MATCH($AJ31,'DATA MAP'!$A$8:$A$137,0))&amp;IF(INDEX('DATA MAP'!$D$8:$D$137,MATCH($AJ31,'DATA MAP'!$A$8:$A$137,0))="",""," | "&amp;INDEX('DATA MAP'!$D$8:$D$137,MATCH($AJ31,'DATA MAP'!$A$8:$A$137,0))),"Not provided")</f>
        <v>PROJECT CASH FLOW | G16</v>
      </c>
      <c r="AT31" t="str">
        <v>Not provided</v>
      </c>
      <c r="AU31" t="str">
        <f>IFERROR(INDEX('DATA MAP'!$I$8:$I$137,MATCH($AJ31,'DATA MAP'!$A$8:$A$137,0)),"Review Required")</f>
        <v>Mapped — reconciled</v>
      </c>
      <c r="AV31" t="str">
        <f>IF(OR($AU31="Conflict",$AU31="Review Required",$AU31="New Input Required",$AU31="Unsupported"),"Management","Model owner")</f>
        <v>Model owner</v>
      </c>
      <c r="AW31" t="str">
        <f>IFERROR(INDEX('DATA MAP'!$K$8:$K$137,MATCH($AJ31,'DATA MAP'!$A$8:$A$137,0)),"Management confirmation required.")</f>
        <v>Detailed target eBike area retained; source alternative disclosed but not added. | The detailed component area schedule controls; wider summary areas are treated as shared precinct space to prevent double counting.</v>
      </c>
    </row>
    <row r="32">
      <c r="A32"/>
      <c r="B32"/>
      <c r="C32"/>
      <c r="D32"/>
      <c r="E32"/>
      <c r="F32"/>
      <c r="G32"/>
      <c r="H32"/>
      <c r="I32"/>
      <c r="J32"/>
      <c r="K32"/>
      <c r="L32"/>
      <c r="M32"/>
      <c r="N32"/>
      <c r="O32"/>
      <c r="P32"/>
      <c r="Q32"/>
      <c r="R32"/>
      <c r="S32"/>
      <c r="T32"/>
      <c r="U32"/>
      <c r="V32"/>
      <c r="W32"/>
      <c r="X32"/>
      <c r="Y32"/>
      <c r="Z32"/>
      <c r="AA32"/>
      <c r="AB32"/>
      <c r="AC32"/>
      <c r="AD32"/>
      <c r="AE32"/>
      <c r="AF32"/>
      <c r="AG32"/>
      <c r="AH32"/>
      <c r="AI32"/>
      <c r="AJ32" t="str">
        <v>CAP-PBSA-001</v>
      </c>
      <c r="AK32" t="str">
        <v>Areas and capacities</v>
      </c>
      <c r="AL32" t="str">
        <v>PBSA/student accommodation</v>
      </c>
      <c r="AM32" t="str">
        <v>PBSA capacity</v>
      </c>
      <c r="AN32" t="str">
        <v>Beds</v>
      </c>
      <c r="AO32" t="str">
        <v>At completion</v>
      </c>
      <c r="AP32" t="n">
        <v>580</v>
      </c>
      <c r="AQ32" t="str">
        <v>760</v>
      </c>
      <c r="AR32" t="str">
        <v>760</v>
      </c>
      <c r="AS32" t="str">
        <f>IFERROR(INDEX('DATA MAP'!$C$8:$C$137,MATCH($AJ32,'DATA MAP'!$A$8:$A$137,0))&amp;IF(INDEX('DATA MAP'!$D$8:$D$137,MATCH($AJ32,'DATA MAP'!$A$8:$A$137,0))="",""," | "&amp;INDEX('DATA MAP'!$D$8:$D$137,MATCH($AJ32,'DATA MAP'!$A$8:$A$137,0))),"Not provided")</f>
        <v>MODEL DESIGN | C82</v>
      </c>
      <c r="AT32" t="str">
        <v>Not provided</v>
      </c>
      <c r="AU32" t="str">
        <v>Mapped</v>
      </c>
      <c r="AV32" t="str">
        <f>IF(OR($AU32="Conflict",$AU32="Review Required",$AU32="New Input Required",$AU32="Unsupported"),"Management","Model owner")</f>
        <v>Model owner</v>
      </c>
      <c r="AW32" t="str">
        <v>Data-book capacity input adopted. Property-rent versus operating-business classification remains disclosed in valuation notes.</v>
      </c>
    </row>
    <row r="33">
      <c r="A33" t="str">
        <v>COMPONENT INPUTS</v>
      </c>
      <c r="B33"/>
      <c r="C33"/>
      <c r="D33"/>
      <c r="E33"/>
      <c r="F33"/>
      <c r="G33"/>
      <c r="H33"/>
      <c r="I33"/>
      <c r="J33"/>
      <c r="K33"/>
      <c r="L33"/>
      <c r="M33"/>
      <c r="N33"/>
      <c r="O33"/>
      <c r="P33"/>
      <c r="Q33"/>
      <c r="R33"/>
      <c r="S33"/>
      <c r="T33"/>
      <c r="U33"/>
      <c r="V33"/>
      <c r="W33"/>
      <c r="X33"/>
      <c r="Y33"/>
      <c r="Z33"/>
      <c r="AA33"/>
      <c r="AB33"/>
      <c r="AC33"/>
      <c r="AD33"/>
      <c r="AE33"/>
      <c r="AF33"/>
      <c r="AG33"/>
      <c r="AH33"/>
      <c r="AI33"/>
      <c r="AJ33" t="str">
        <v>CAP-PARK-001</v>
      </c>
      <c r="AK33" t="str">
        <v>Areas and capacities</v>
      </c>
      <c r="AL33" t="str">
        <v>Parking</v>
      </c>
      <c r="AM33" t="str">
        <v>Car park capacity</v>
      </c>
      <c r="AN33" t="str">
        <v>Spaces</v>
      </c>
      <c r="AO33" t="str">
        <v>At completion</v>
      </c>
      <c r="AP33" t="n">
        <v>800</v>
      </c>
      <c r="AQ33" t="str">
        <v>760</v>
      </c>
      <c r="AR33" t="str">
        <v>760</v>
      </c>
      <c r="AS33" t="str">
        <f>IFERROR(INDEX('DATA MAP'!$C$8:$C$137,MATCH($AJ33,'DATA MAP'!$A$8:$A$137,0))&amp;IF(INDEX('DATA MAP'!$D$8:$D$137,MATCH($AJ33,'DATA MAP'!$A$8:$A$137,0))="",""," | "&amp;INDEX('DATA MAP'!$D$8:$D$137,MATCH($AJ33,'DATA MAP'!$A$8:$A$137,0))),"Not provided")</f>
        <v>MODEL DESIGN | C89</v>
      </c>
      <c r="AT33" t="str">
        <v>Not provided</v>
      </c>
      <c r="AU33" t="str">
        <v>Mapped</v>
      </c>
      <c r="AV33" t="str">
        <f>IF(OR($AU33="Conflict",$AU33="Review Required",$AU33="New Input Required",$AU33="Unsupported"),"Management","Model owner")</f>
        <v>Model owner</v>
      </c>
      <c r="AW33" t="str">
        <v>Data-book capacity input adopted; revenue remains linked through the detailed management forecast.</v>
      </c>
    </row>
    <row r="34">
      <c r="A34" t="str">
        <v>Field ID</v>
      </c>
      <c r="B34" t="str">
        <v>Assumption</v>
      </c>
      <c r="C34" t="str">
        <v>Unit</v>
      </c>
      <c r="D34" t="str">
        <v>Value</v>
      </c>
      <c r="E34" t="str">
        <v>Source Sheet</v>
      </c>
      <c r="F34" t="str">
        <v>Source Cell</v>
      </c>
      <c r="G34" t="str">
        <v>Status</v>
      </c>
      <c r="H34" t="str">
        <v>Notes</v>
      </c>
      <c r="I34"/>
      <c r="J34"/>
      <c r="K34"/>
      <c r="L34" t="str">
        <v>CONTROLS</v>
      </c>
      <c r="M34"/>
      <c r="N34"/>
      <c r="O34"/>
      <c r="P34"/>
      <c r="Q34"/>
      <c r="R34"/>
      <c r="S34"/>
      <c r="T34"/>
      <c r="U34"/>
      <c r="V34"/>
      <c r="W34"/>
      <c r="X34"/>
      <c r="Y34"/>
      <c r="Z34"/>
      <c r="AA34"/>
      <c r="AB34"/>
      <c r="AC34"/>
      <c r="AD34"/>
      <c r="AE34"/>
      <c r="AF34"/>
      <c r="AG34"/>
      <c r="AH34"/>
      <c r="AI34"/>
      <c r="AJ34" t="str">
        <v>CAPEX-URWLD</v>
      </c>
      <c r="AK34" t="str">
        <v>Development capex</v>
      </c>
      <c r="AL34" t="str">
        <v>URWLD</v>
      </c>
      <c r="AM34" t="str">
        <v>URWLD capex</v>
      </c>
      <c r="AN34" t="str">
        <v>A$m</v>
      </c>
      <c r="AO34" t="str">
        <v>Outturn source estimate</v>
      </c>
      <c r="AP34" t="n">
        <v>90.7814814814815</v>
      </c>
      <c r="AQ34" t="n">
        <f>$AP34*1.1</f>
        <v>99.85962962962967</v>
      </c>
      <c r="AR34" t="n">
        <f>$AP34*0.95</f>
        <v>86.24240740740743</v>
      </c>
      <c r="AS34" t="str">
        <f>IFERROR(INDEX('DATA MAP'!$C$8:$C$137,MATCH($AJ34,'DATA MAP'!$A$8:$A$137,0))&amp;IF(INDEX('DATA MAP'!$D$8:$D$137,MATCH($AJ34,'DATA MAP'!$A$8:$A$137,0))="",""," | "&amp;INDEX('DATA MAP'!$D$8:$D$137,MATCH($AJ34,'DATA MAP'!$A$8:$A$137,0))),"Not provided")</f>
        <v>PROJECT CASH FLOW | J8</v>
      </c>
      <c r="AT34" t="n">
        <v>46228</v>
      </c>
      <c r="AU34" t="str">
        <v>Mapped</v>
      </c>
      <c r="AV34" t="str">
        <f>IF(OR($AU34="Conflict",$AU34="Review Required",$AU34="New Input Required",$AU34="Unsupported"),"Management","Model owner")</f>
        <v>Model owner</v>
      </c>
      <c r="AW34" t="str">
        <v>Current detailed data-book budget adopted; the older higher scope is superseded. Scenario columns show the source cost-factor cross-check.</v>
      </c>
    </row>
    <row r="35">
      <c r="A35" t="str">
        <v>LIVEHOUSE-FOOTPRINT</v>
      </c>
      <c r="B35" t="str">
        <v>Footprint</v>
      </c>
      <c r="C35" t="str">
        <v>sqm</v>
      </c>
      <c r="D35" t="n">
        <f>PROJECTS!$AP$227</f>
        <v>9000</v>
      </c>
      <c r="E35" t="str">
        <v>PROJECT DATA</v>
      </c>
      <c r="F35" t="str">
        <v>G227</v>
      </c>
      <c r="G35" t="str">
        <v>Formula Preserved</v>
      </c>
      <c r="H35" t="str">
        <v>Data-book component footprint.</v>
      </c>
      <c r="I35"/>
      <c r="J35"/>
      <c r="K35"/>
      <c r="L35" t="str">
        <v>Control</v>
      </c>
      <c r="M35" t="str">
        <v>Result</v>
      </c>
      <c r="N35" t="str">
        <v>Basis</v>
      </c>
      <c r="O35"/>
      <c r="P35"/>
      <c r="Q35"/>
      <c r="R35"/>
      <c r="S35"/>
      <c r="T35"/>
      <c r="U35"/>
      <c r="V35"/>
      <c r="W35"/>
      <c r="X35"/>
      <c r="Y35"/>
      <c r="Z35"/>
      <c r="AA35"/>
      <c r="AB35"/>
      <c r="AC35"/>
      <c r="AD35"/>
      <c r="AE35"/>
      <c r="AF35"/>
      <c r="AG35"/>
      <c r="AH35"/>
      <c r="AI35"/>
      <c r="AJ35" t="str">
        <v>CAPEX-PBSA</v>
      </c>
      <c r="AK35" t="str">
        <v>Development capex</v>
      </c>
      <c r="AL35" t="str">
        <v>PBSA/student accommodation</v>
      </c>
      <c r="AM35" t="str">
        <v>PBSA capex</v>
      </c>
      <c r="AN35" t="str">
        <v>A$m</v>
      </c>
      <c r="AO35" t="str">
        <v>Outturn source estimate</v>
      </c>
      <c r="AP35" t="n">
        <v>114.2</v>
      </c>
      <c r="AQ35" t="n">
        <f>$AP35*1.1</f>
        <v>125.62000000000002</v>
      </c>
      <c r="AR35" t="n">
        <f>$AP35*0.95</f>
        <v>108.49</v>
      </c>
      <c r="AS35" t="str">
        <f>IFERROR(INDEX('DATA MAP'!$C$8:$C$137,MATCH($AJ35,'DATA MAP'!$A$8:$A$137,0))&amp;IF(INDEX('DATA MAP'!$D$8:$D$137,MATCH($AJ35,'DATA MAP'!$A$8:$A$137,0))="",""," | "&amp;INDEX('DATA MAP'!$D$8:$D$137,MATCH($AJ35,'DATA MAP'!$A$8:$A$137,0))),"Not provided")</f>
        <v>PROJECT CASH FLOW | J9</v>
      </c>
      <c r="AT35" t="n">
        <v>46228</v>
      </c>
      <c r="AU35" t="str">
        <v>Mapped</v>
      </c>
      <c r="AV35" t="str">
        <f>IF(OR($AU35="Conflict",$AU35="Review Required",$AU35="New Input Required",$AU35="Unsupported"),"Management","Model owner")</f>
        <v>Model owner</v>
      </c>
      <c r="AW35" t="str">
        <v>Current detailed data-book budget adopted; the older higher scope is superseded. Scenario columns show the source cost-factor cross-check.</v>
      </c>
    </row>
    <row r="36">
      <c r="A36" t="str">
        <v>LIVEHOUSE-LAND</v>
      </c>
      <c r="B36" t="str">
        <v>Land area</v>
      </c>
      <c r="C36" t="str">
        <v>sqm</v>
      </c>
      <c r="D36" t="n">
        <f>PROJECTS!$AP$228</f>
        <v>9000</v>
      </c>
      <c r="E36" t="str">
        <v>PROJECT DATA</v>
      </c>
      <c r="F36" t="str">
        <v>G228</v>
      </c>
      <c r="G36" t="str">
        <v>Formula Preserved</v>
      </c>
      <c r="H36" t="str">
        <v>May overlap vertically or with shared precinct uses.</v>
      </c>
      <c r="I36"/>
      <c r="J36"/>
      <c r="K36"/>
      <c r="L36" t="str">
        <v>Revenue rows reconcile</v>
      </c>
      <c r="M36" t="str">
        <f>IF(AND(ABS(N11-SUM(N8:N10))&lt;0.000001,ABS(O11-SUM(O8:O10))&lt;0.000001,ABS(P11-SUM(P8:P10))&lt;0.000001,ABS(Q11-SUM(Q8:Q10))&lt;0.000001,ABS(R11-SUM(R8:R10))&lt;0.000001,ABS(S11-SUM(S8:S10))&lt;0.000001,ABS(T11-SUM(T8:T10))&lt;0.000001,ABS(U11-SUM(U8:U10))&lt;0.000001,ABS(V11-SUM(V8:V10))&lt;0.000001,ABS(W11-SUM(W8:W10))&lt;0.000001,ABS(X11-SUM(X8:X10))&lt;0.000001,ABS(Y11-SUM(Y8:Y10))&lt;0.000001,ABS(Z11-SUM(Z8:Z10))&lt;0.000001,ABS(AA11-SUM(AA8:AA10))&lt;0.000001,ABS(AB11-SUM(AB8:AB10))&lt;0.000001,ABS(AC11-SUM(AC8:AC10))&lt;0.000001,ABS(AD11-SUM(AD8:AD10))&lt;0.000001,ABS(AE11-SUM(AE8:AE10))&lt;0.000001,ABS(AF11-SUM(AF8:AF10))&lt;0.000001,ABS(AG11-SUM(AG8:AG10))&lt;0.000001,ABS(AH11-SUM(AH8:AH10))&lt;0.000001,ABS(AI11-SUM(AI8:AI10))&lt;0.000001),"OK","EXCEPTION: operating revenue")</f>
        <v>OK</v>
      </c>
      <c r="N36" t="str">
        <v>Annual source rows</v>
      </c>
      <c r="O36"/>
      <c r="P36"/>
      <c r="Q36"/>
      <c r="R36"/>
      <c r="S36"/>
      <c r="T36"/>
      <c r="U36"/>
      <c r="V36"/>
      <c r="W36"/>
      <c r="X36"/>
      <c r="Y36"/>
      <c r="Z36"/>
      <c r="AA36"/>
      <c r="AB36"/>
      <c r="AC36"/>
      <c r="AD36"/>
      <c r="AE36"/>
      <c r="AF36"/>
      <c r="AG36"/>
      <c r="AH36"/>
      <c r="AI36"/>
      <c r="AJ36" t="str">
        <v>CAPEX-LIVE</v>
      </c>
      <c r="AK36" t="str">
        <v>Development capex</v>
      </c>
      <c r="AL36" t="str">
        <v>LiveHouse</v>
      </c>
      <c r="AM36" t="str">
        <v>LiveHouse capex</v>
      </c>
      <c r="AN36" t="str">
        <v>A$m</v>
      </c>
      <c r="AO36" t="str">
        <v>Outturn source estimate</v>
      </c>
      <c r="AP36" t="n">
        <v>19.761525</v>
      </c>
      <c r="AQ36" t="n">
        <f>$AP36*1.1</f>
        <v>21.7376775</v>
      </c>
      <c r="AR36" t="n">
        <f>$AP36*0.95</f>
        <v>18.773448749999996</v>
      </c>
      <c r="AS36" t="str">
        <f>IFERROR(INDEX('DATA MAP'!$C$8:$C$137,MATCH($AJ36,'DATA MAP'!$A$8:$A$137,0))&amp;IF(INDEX('DATA MAP'!$D$8:$D$137,MATCH($AJ36,'DATA MAP'!$A$8:$A$137,0))="",""," | "&amp;INDEX('DATA MAP'!$D$8:$D$137,MATCH($AJ36,'DATA MAP'!$A$8:$A$137,0))),"Not provided")</f>
        <v>PROJECT CASH FLOW | J10</v>
      </c>
      <c r="AT36" t="n">
        <v>46228</v>
      </c>
      <c r="AU36" t="str">
        <v>Mapped</v>
      </c>
      <c r="AV36" t="str">
        <f>IF(OR($AU36="Conflict",$AU36="Review Required",$AU36="New Input Required",$AU36="Unsupported"),"Management","Model owner")</f>
        <v>Model owner</v>
      </c>
      <c r="AW36" t="str">
        <v>Current detailed data-book budget adopted; the older higher scope is superseded. Scenario columns show the source cost-factor cross-check.</v>
      </c>
    </row>
    <row r="37">
      <c r="A37" t="str">
        <v>LIVEHOUSE-GFA</v>
      </c>
      <c r="B37" t="str">
        <v>Estimated GFA / operating area</v>
      </c>
      <c r="C37" t="str">
        <v>sqm</v>
      </c>
      <c r="D37" t="n">
        <f>C47</f>
        <v>6500</v>
      </c>
      <c r="E37" t="str">
        <v>PROJECT DATA</v>
      </c>
      <c r="F37" t="str">
        <v>G22</v>
      </c>
      <c r="G37" t="str">
        <v>Formula Preserved</v>
      </c>
      <c r="H37" t="str">
        <v>Controlling model area.</v>
      </c>
      <c r="I37"/>
      <c r="J37"/>
      <c r="K37"/>
      <c r="L37" t="str">
        <v>Operating costs reconcile</v>
      </c>
      <c r="M37" t="str">
        <f>IF(AND(ABS(N15+N19-SUM(N13:N14,N17:N18))&lt;0.000001,ABS(O15+O19-SUM(O13:O14,O17:O18))&lt;0.000001,ABS(P15+P19-SUM(P13:P14,P17:P18))&lt;0.000001,ABS(Q15+Q19-SUM(Q13:Q14,Q17:Q18))&lt;0.000001,ABS(R15+R19-SUM(R13:R14,R17:R18))&lt;0.000001,ABS(S15+S19-SUM(S13:S14,S17:S18))&lt;0.000001,ABS(T15+T19-SUM(T13:T14,T17:T18))&lt;0.000001,ABS(U15+U19-SUM(U13:U14,U17:U18))&lt;0.000001,ABS(V15+V19-SUM(V13:V14,V17:V18))&lt;0.000001,ABS(W15+W19-SUM(W13:W14,W17:W18))&lt;0.000001,ABS(X15+X19-SUM(X13:X14,X17:X18))&lt;0.000001,ABS(Y15+Y19-SUM(Y13:Y14,Y17:Y18))&lt;0.000001,ABS(Z15+Z19-SUM(Z13:Z14,Z17:Z18))&lt;0.000001,ABS(AA15+AA19-SUM(AA13:AA14,AA17:AA18))&lt;0.000001,ABS(AB15+AB19-SUM(AB13:AB14,AB17:AB18))&lt;0.000001,ABS(AC15+AC19-SUM(AC13:AC14,AC17:AC18))&lt;0.000001,ABS(AD15+AD19-SUM(AD13:AD14,AD17:AD18))&lt;0.000001,ABS(AE15+AE19-SUM(AE13:AE14,AE17:AE18))&lt;0.000001,ABS(AF15+AF19-SUM(AF13:AF14,AF17:AF18))&lt;0.000001,ABS(AG15+AG19-SUM(AG13:AG14,AG17:AG18))&lt;0.000001,ABS(AH15+AH19-SUM(AH13:AH14,AH17:AH18))&lt;0.000001,ABS(AI15+AI19-SUM(AI13:AI14,AI17:AI18))&lt;0.000001),"OK","EXCEPTION: operating costs")</f>
        <v>OK</v>
      </c>
      <c r="N37" t="str">
        <v>Property plus asset-management costs</v>
      </c>
      <c r="O37"/>
      <c r="P37"/>
      <c r="Q37"/>
      <c r="R37"/>
      <c r="S37"/>
      <c r="T37"/>
      <c r="U37"/>
      <c r="V37"/>
      <c r="W37"/>
      <c r="X37"/>
      <c r="Y37"/>
      <c r="Z37"/>
      <c r="AA37"/>
      <c r="AB37"/>
      <c r="AC37"/>
      <c r="AD37"/>
      <c r="AE37"/>
      <c r="AF37"/>
      <c r="AG37"/>
      <c r="AH37"/>
      <c r="AI37"/>
      <c r="AJ37" t="str">
        <v>CAPEX-RETAIL</v>
      </c>
      <c r="AK37" t="str">
        <v>Development capex</v>
      </c>
      <c r="AL37" t="str">
        <v>Retail and ancillary uses</v>
      </c>
      <c r="AM37" t="str">
        <v>Flexible retail/F&amp;B capex</v>
      </c>
      <c r="AN37" t="str">
        <v>A$m</v>
      </c>
      <c r="AO37" t="str">
        <v>Outturn source estimate</v>
      </c>
      <c r="AP37" t="n">
        <v>1.35</v>
      </c>
      <c r="AQ37" t="n">
        <f>$AP37*1.1</f>
        <v>1.4850000000000003</v>
      </c>
      <c r="AR37" t="n">
        <f>$AP37*0.95</f>
        <v>1.2825</v>
      </c>
      <c r="AS37" t="str">
        <f>IFERROR(INDEX('DATA MAP'!$C$8:$C$137,MATCH($AJ37,'DATA MAP'!$A$8:$A$137,0))&amp;IF(INDEX('DATA MAP'!$D$8:$D$137,MATCH($AJ37,'DATA MAP'!$A$8:$A$137,0))="",""," | "&amp;INDEX('DATA MAP'!$D$8:$D$137,MATCH($AJ37,'DATA MAP'!$A$8:$A$137,0))),"Not provided")</f>
        <v>PROJECT CASH FLOW | J11</v>
      </c>
      <c r="AT37" t="n">
        <v>46228</v>
      </c>
      <c r="AU37" t="str">
        <v>Mapped</v>
      </c>
      <c r="AV37" t="str">
        <f>IF(OR($AU37="Conflict",$AU37="Review Required",$AU37="New Input Required",$AU37="Unsupported"),"Management","Model owner")</f>
        <v>Model owner</v>
      </c>
      <c r="AW37" t="str">
        <v>Current detailed data-book budget adopted; the older higher scope is superseded. Scenario columns show the source cost-factor cross-check.</v>
      </c>
    </row>
    <row r="38">
      <c r="A38" t="str">
        <v>LIVEHOUSE-CORE</v>
      </c>
      <c r="B38" t="str">
        <v>Core / shell CAPEX</v>
      </c>
      <c r="C38" t="str">
        <v>A$m</v>
      </c>
      <c r="D38" t="n">
        <f>D47</f>
        <v>12.845</v>
      </c>
      <c r="E38" t="str">
        <v>PROJECT DATA</v>
      </c>
      <c r="F38" t="str">
        <v>PROJECTS!D47</v>
      </c>
      <c r="G38" t="str">
        <v>Formula Preserved</v>
      </c>
      <c r="H38" t="str">
        <v>Current detailed data-book amount.</v>
      </c>
      <c r="I38"/>
      <c r="J38"/>
      <c r="K38"/>
      <c r="L38" t="str">
        <v>EBITDA / NOI reconciles</v>
      </c>
      <c r="M38" t="str">
        <f>IF(AND(ABS(N21-(N11-N15-N19))&lt;0.000001,ABS(O21-(O11-O15-O19))&lt;0.000001,ABS(P21-(P11-P15-P19))&lt;0.000001,ABS(Q21-(Q11-Q15-Q19))&lt;0.000001,ABS(R21-(R11-R15-R19))&lt;0.000001,ABS(S21-(S11-S15-S19))&lt;0.000001,ABS(T21-(T11-T15-T19))&lt;0.000001,ABS(U21-(U11-U15-U19))&lt;0.000001,ABS(V21-(V11-V15-V19))&lt;0.000001,ABS(W21-(W11-W15-W19))&lt;0.000001,ABS(X21-(X11-X15-X19))&lt;0.000001,ABS(Y21-(Y11-Y15-Y19))&lt;0.000001,ABS(Z21-(Z11-Z15-Z19))&lt;0.000001,ABS(AA21-(AA11-AA15-AA19))&lt;0.000001,ABS(AB21-(AB11-AB15-AB19))&lt;0.000001,ABS(AC21-(AC11-AC15-AC19))&lt;0.000001,ABS(AD21-(AD11-AD15-AD19))&lt;0.000001,ABS(AE21-(AE11-AE15-AE19))&lt;0.000001,ABS(AF21-(AF11-AF15-AF19))&lt;0.000001,ABS(AG21-(AG11-AG15-AG19))&lt;0.000001,ABS(AH21-(AH11-AH15-AH19))&lt;0.000001,ABS(AI21-(AI11-AI15-AI19))&lt;0.000001),"OK","EXCEPTION: EBITDA / NOI")</f>
        <v>OK</v>
      </c>
      <c r="N38" t="str">
        <v>Revenue less costs</v>
      </c>
      <c r="O38"/>
      <c r="P38"/>
      <c r="Q38"/>
      <c r="R38"/>
      <c r="S38"/>
      <c r="T38"/>
      <c r="U38"/>
      <c r="V38"/>
      <c r="W38"/>
      <c r="X38"/>
      <c r="Y38"/>
      <c r="Z38"/>
      <c r="AA38"/>
      <c r="AB38"/>
      <c r="AC38"/>
      <c r="AD38"/>
      <c r="AE38"/>
      <c r="AF38"/>
      <c r="AG38"/>
      <c r="AH38"/>
      <c r="AI38"/>
      <c r="AJ38" t="str">
        <v>CAPEX-GEN</v>
      </c>
      <c r="AK38" t="str">
        <v>Development capex</v>
      </c>
      <c r="AL38" t="str">
        <v>Genesis</v>
      </c>
      <c r="AM38" t="str">
        <v>Genesis capex</v>
      </c>
      <c r="AN38" t="str">
        <v>A$m</v>
      </c>
      <c r="AO38" t="str">
        <v>Outturn source estimate</v>
      </c>
      <c r="AP38" t="n">
        <v>14.5</v>
      </c>
      <c r="AQ38" t="n">
        <f>$AP38*1.1</f>
        <v>15.950000000000001</v>
      </c>
      <c r="AR38" t="n">
        <f>$AP38*0.95</f>
        <v>13.774999999999999</v>
      </c>
      <c r="AS38" t="str">
        <f>IFERROR(INDEX('DATA MAP'!$C$8:$C$137,MATCH($AJ38,'DATA MAP'!$A$8:$A$137,0))&amp;IF(INDEX('DATA MAP'!$D$8:$D$137,MATCH($AJ38,'DATA MAP'!$A$8:$A$137,0))="",""," | "&amp;INDEX('DATA MAP'!$D$8:$D$137,MATCH($AJ38,'DATA MAP'!$A$8:$A$137,0))),"Not provided")</f>
        <v>PROJECT CASH FLOW | J12</v>
      </c>
      <c r="AT38" t="n">
        <v>46228</v>
      </c>
      <c r="AU38" t="str">
        <v>Mapped</v>
      </c>
      <c r="AV38" t="str">
        <f>IF(OR($AU38="Conflict",$AU38="Review Required",$AU38="New Input Required",$AU38="Unsupported"),"Management","Model owner")</f>
        <v>Model owner</v>
      </c>
      <c r="AW38" t="str">
        <v>Current detailed data-book budget adopted; the older higher scope is superseded. Scenario columns show the source cost-factor cross-check.</v>
      </c>
    </row>
    <row r="39">
      <c r="A39" t="str">
        <v>LIVEHOUSE-FITOUT</v>
      </c>
      <c r="B39" t="str">
        <v>Fitout CAPEX</v>
      </c>
      <c r="C39" t="str">
        <v>A$m</v>
      </c>
      <c r="D39" t="n">
        <f>E47</f>
        <v>6.917</v>
      </c>
      <c r="E39" t="str">
        <v>PROJECT CASH FLOW</v>
      </c>
      <c r="F39" t="str">
        <v>PROJECTS!E47</v>
      </c>
      <c r="G39" t="str">
        <v>Mapped</v>
      </c>
      <c r="H39" t="str">
        <v>Current detailed data-book amount.</v>
      </c>
      <c r="I39"/>
      <c r="J39"/>
      <c r="K39"/>
      <c r="L39" t="str">
        <v>Selected year available</v>
      </c>
      <c r="M39" t="str">
        <f>IF(COUNTIF($N$7:$AI$7,$N$31)=1,"OK","EXCEPTION: selected operating year")</f>
        <v>OK</v>
      </c>
      <c r="N39" t="str">
        <v>2029 base forecast</v>
      </c>
      <c r="O39"/>
      <c r="P39"/>
      <c r="Q39"/>
      <c r="R39"/>
      <c r="S39"/>
      <c r="T39"/>
      <c r="U39"/>
      <c r="V39"/>
      <c r="W39"/>
      <c r="X39"/>
      <c r="Y39"/>
      <c r="Z39"/>
      <c r="AA39"/>
      <c r="AB39"/>
      <c r="AC39"/>
      <c r="AD39"/>
      <c r="AE39"/>
      <c r="AF39"/>
      <c r="AG39"/>
      <c r="AH39"/>
      <c r="AI39"/>
      <c r="AJ39" t="str">
        <v>CAPEX-PARK</v>
      </c>
      <c r="AK39" t="str">
        <v>Development capex</v>
      </c>
      <c r="AL39" t="str">
        <v>Parking</v>
      </c>
      <c r="AM39" t="str">
        <v>Car park capex</v>
      </c>
      <c r="AN39" t="str">
        <v>A$m</v>
      </c>
      <c r="AO39" t="str">
        <v>Outturn source estimate</v>
      </c>
      <c r="AP39" t="n">
        <v>30.22</v>
      </c>
      <c r="AQ39" t="n">
        <f>$AP39*1.1</f>
        <v>33.242000000000004</v>
      </c>
      <c r="AR39" t="n">
        <f>$AP39*0.95</f>
        <v>28.708999999999996</v>
      </c>
      <c r="AS39" t="str">
        <f>IFERROR(INDEX('DATA MAP'!$C$8:$C$137,MATCH($AJ39,'DATA MAP'!$A$8:$A$137,0))&amp;IF(INDEX('DATA MAP'!$D$8:$D$137,MATCH($AJ39,'DATA MAP'!$A$8:$A$137,0))="",""," | "&amp;INDEX('DATA MAP'!$D$8:$D$137,MATCH($AJ39,'DATA MAP'!$A$8:$A$137,0))),"Not provided")</f>
        <v>PROJECT CASH FLOW | J13</v>
      </c>
      <c r="AT39" t="n">
        <v>46228</v>
      </c>
      <c r="AU39" t="str">
        <v>Mapped</v>
      </c>
      <c r="AV39" t="str">
        <f>IF(OR($AU39="Conflict",$AU39="Review Required",$AU39="New Input Required",$AU39="Unsupported"),"Management","Model owner")</f>
        <v>Model owner</v>
      </c>
      <c r="AW39" t="str">
        <v>Current detailed data-book budget adopted; the older higher scope is superseded. Scenario columns show the source cost-factor cross-check.</v>
      </c>
    </row>
    <row r="40">
      <c r="A40" t="str">
        <v>LIVEHOUSE-TOTAL</v>
      </c>
      <c r="B40" t="str">
        <v>Total component CAPEX</v>
      </c>
      <c r="C40" t="str">
        <v>A$m</v>
      </c>
      <c r="D40" t="n">
        <f>F47</f>
        <v>19.761525</v>
      </c>
      <c r="E40" t="str">
        <v>PROJECT DATA</v>
      </c>
      <c r="F40" t="str">
        <v>G36</v>
      </c>
      <c r="G40" t="str">
        <v>Formula Preserved</v>
      </c>
      <c r="H40" t="str">
        <v>Feeds PROJECTS CAPEX sections and project funding.</v>
      </c>
      <c r="I40"/>
      <c r="J40"/>
      <c r="K40"/>
      <c r="L40"/>
      <c r="M40"/>
      <c r="N40"/>
      <c r="O40"/>
      <c r="P40"/>
      <c r="Q40"/>
      <c r="R40"/>
      <c r="S40"/>
      <c r="T40"/>
      <c r="U40"/>
      <c r="V40"/>
      <c r="W40"/>
      <c r="X40"/>
      <c r="Y40"/>
      <c r="Z40"/>
      <c r="AA40"/>
      <c r="AB40"/>
      <c r="AC40"/>
      <c r="AD40"/>
      <c r="AE40"/>
      <c r="AF40"/>
      <c r="AG40"/>
      <c r="AH40"/>
      <c r="AI40"/>
      <c r="AJ40" t="str">
        <v>CAPEX-SNOW</v>
      </c>
      <c r="AK40" t="str">
        <v>Development capex</v>
      </c>
      <c r="AL40" t="str">
        <v>Snowtunnel</v>
      </c>
      <c r="AM40" t="str">
        <v>Snowtunnel capex</v>
      </c>
      <c r="AN40" t="str">
        <v>A$m</v>
      </c>
      <c r="AO40" t="str">
        <v>Outturn source estimate</v>
      </c>
      <c r="AP40" t="n">
        <v>13</v>
      </c>
      <c r="AQ40" t="n">
        <f>$AP40*1.1</f>
        <v>14.3</v>
      </c>
      <c r="AR40" t="n">
        <f>$AP40*0.95</f>
        <v>12.35</v>
      </c>
      <c r="AS40" t="str">
        <f>IFERROR(INDEX('DATA MAP'!$C$8:$C$137,MATCH($AJ40,'DATA MAP'!$A$8:$A$137,0))&amp;IF(INDEX('DATA MAP'!$D$8:$D$137,MATCH($AJ40,'DATA MAP'!$A$8:$A$137,0))="",""," | "&amp;INDEX('DATA MAP'!$D$8:$D$137,MATCH($AJ40,'DATA MAP'!$A$8:$A$137,0))),"Not provided")</f>
        <v>PROJECT CASH FLOW | J14</v>
      </c>
      <c r="AT40" t="n">
        <v>46228</v>
      </c>
      <c r="AU40" t="str">
        <v>Mapped</v>
      </c>
      <c r="AV40" t="str">
        <f>IF(OR($AU40="Conflict",$AU40="Review Required",$AU40="New Input Required",$AU40="Unsupported"),"Management","Model owner")</f>
        <v>Model owner</v>
      </c>
      <c r="AW40" t="str">
        <v>Current detailed data-book budget adopted; the older higher scope is superseded. Scenario columns show the source cost-factor cross-check.</v>
      </c>
    </row>
    <row r="41">
      <c r="A41" t="str">
        <v>LIVEHOUSE-CAPEX-SQM</v>
      </c>
      <c r="B41" t="str">
        <v>CAPEX per sqm</v>
      </c>
      <c r="C41" t="str">
        <v>A$/sqm</v>
      </c>
      <c r="D41" t="n">
        <f>IF(C47=0,0,F47*1000000/C47)</f>
        <v>3040.2346153846156</v>
      </c>
      <c r="E41" t="str">
        <v>Calculated</v>
      </c>
      <c r="F41" t="str">
        <v>F47/C47</v>
      </c>
      <c r="G41" t="str">
        <v>Formula Preserved</v>
      </c>
      <c r="H41" t="str">
        <v>Reasonableness metric; not an input.</v>
      </c>
      <c r="I41"/>
      <c r="J41"/>
      <c r="K41"/>
      <c r="L41"/>
      <c r="M41"/>
      <c r="N41"/>
      <c r="O41"/>
      <c r="P41"/>
      <c r="Q41"/>
      <c r="R41"/>
      <c r="S41"/>
      <c r="T41"/>
      <c r="U41"/>
      <c r="V41"/>
      <c r="W41"/>
      <c r="X41"/>
      <c r="Y41"/>
      <c r="Z41"/>
      <c r="AA41"/>
      <c r="AB41"/>
      <c r="AC41"/>
      <c r="AD41"/>
      <c r="AE41"/>
      <c r="AF41"/>
      <c r="AG41"/>
      <c r="AH41"/>
      <c r="AI41"/>
      <c r="AJ41" t="str">
        <v>CAPEX-LANDATTR</v>
      </c>
      <c r="AK41" t="str">
        <v>Development capex</v>
      </c>
      <c r="AL41" t="str">
        <v>Retail and ancillary uses</v>
      </c>
      <c r="AM41" t="str">
        <v>Landscape attraction capex</v>
      </c>
      <c r="AN41" t="str">
        <v>A$m</v>
      </c>
      <c r="AO41" t="str">
        <v>Outturn source estimate</v>
      </c>
      <c r="AP41" t="n">
        <v>0.5</v>
      </c>
      <c r="AQ41" t="n">
        <f>$AP41*1.1</f>
        <v>0.55</v>
      </c>
      <c r="AR41" t="n">
        <f>$AP41*0.95</f>
        <v>0.475</v>
      </c>
      <c r="AS41" t="str">
        <f>IFERROR(INDEX('DATA MAP'!$C$8:$C$137,MATCH($AJ41,'DATA MAP'!$A$8:$A$137,0))&amp;IF(INDEX('DATA MAP'!$D$8:$D$137,MATCH($AJ41,'DATA MAP'!$A$8:$A$137,0))="",""," | "&amp;INDEX('DATA MAP'!$D$8:$D$137,MATCH($AJ41,'DATA MAP'!$A$8:$A$137,0))),"Not provided")</f>
        <v>PROJECT CASH FLOW | J15</v>
      </c>
      <c r="AT41" t="n">
        <v>46228</v>
      </c>
      <c r="AU41" t="str">
        <v>Mapped</v>
      </c>
      <c r="AV41" t="str">
        <f>IF(OR($AU41="Conflict",$AU41="Review Required",$AU41="New Input Required",$AU41="Unsupported"),"Management","Model owner")</f>
        <v>Model owner</v>
      </c>
      <c r="AW41" t="str">
        <v>Current detailed data-book budget adopted; the older higher scope is superseded. Scenario columns show the source cost-factor cross-check.</v>
      </c>
    </row>
    <row r="42">
      <c r="A42" t="str">
        <v>LIVEHOUSE-OPS</v>
      </c>
      <c r="B42" t="str">
        <v>Operating forecast</v>
      </c>
      <c r="C42" t="str">
        <v>Reference</v>
      </c>
      <c r="D42" t="str">
        <v>OPERATING MODEL</v>
      </c>
      <c r="E42" t="str">
        <v>LIVEHOUSE Opex and Capex</v>
      </c>
      <c r="F42" t="str">
        <v>See source schedules</v>
      </c>
      <c r="G42" t="str">
        <v>Mapped</v>
      </c>
      <c r="H42" t="str">
        <v>Component detail is consolidated into the management operating forecast; no parallel revenue schedule is created.</v>
      </c>
      <c r="I42"/>
      <c r="J42"/>
      <c r="K42"/>
      <c r="L42"/>
      <c r="M42"/>
      <c r="N42"/>
      <c r="O42"/>
      <c r="P42"/>
      <c r="Q42"/>
      <c r="R42"/>
      <c r="S42"/>
      <c r="T42"/>
      <c r="U42"/>
      <c r="V42"/>
      <c r="W42"/>
      <c r="X42"/>
      <c r="Y42"/>
      <c r="Z42"/>
      <c r="AA42"/>
      <c r="AB42"/>
      <c r="AC42"/>
      <c r="AD42"/>
      <c r="AE42"/>
      <c r="AF42"/>
      <c r="AG42"/>
      <c r="AH42"/>
      <c r="AI42"/>
      <c r="AJ42" t="str">
        <v>CAPEX-EBIKE</v>
      </c>
      <c r="AK42" t="str">
        <v>Development capex</v>
      </c>
      <c r="AL42" t="str">
        <v>Retail and ancillary uses</v>
      </c>
      <c r="AM42" t="str">
        <v>eBike/eScooter capex</v>
      </c>
      <c r="AN42" t="str">
        <v>A$m</v>
      </c>
      <c r="AO42" t="str">
        <v>Outturn source estimate</v>
      </c>
      <c r="AP42" t="n">
        <v>0.223</v>
      </c>
      <c r="AQ42" t="n">
        <f>$AP42*1.1</f>
        <v>0.24530000000000002</v>
      </c>
      <c r="AR42" t="n">
        <f>$AP42*0.95</f>
        <v>0.21184999999999998</v>
      </c>
      <c r="AS42" t="str">
        <f>IFERROR(INDEX('DATA MAP'!$C$8:$C$137,MATCH($AJ42,'DATA MAP'!$A$8:$A$137,0))&amp;IF(INDEX('DATA MAP'!$D$8:$D$137,MATCH($AJ42,'DATA MAP'!$A$8:$A$137,0))="",""," | "&amp;INDEX('DATA MAP'!$D$8:$D$137,MATCH($AJ42,'DATA MAP'!$A$8:$A$137,0))),"Not provided")</f>
        <v>PROJECT CASH FLOW | J16</v>
      </c>
      <c r="AT42" t="n">
        <v>46228</v>
      </c>
      <c r="AU42" t="str">
        <v>Mapped</v>
      </c>
      <c r="AV42" t="str">
        <f>IF(OR($AU42="Conflict",$AU42="Review Required",$AU42="New Input Required",$AU42="Unsupported"),"Management","Model owner")</f>
        <v>Model owner</v>
      </c>
      <c r="AW42" t="str">
        <v>Current detailed data-book budget adopted; the older higher scope is superseded. Scenario columns show the source cost-factor cross-check.</v>
      </c>
    </row>
    <row r="43">
      <c r="A43"/>
      <c r="B43"/>
      <c r="C43"/>
      <c r="D43"/>
      <c r="E43"/>
      <c r="F43"/>
      <c r="G43"/>
      <c r="H43"/>
      <c r="I43"/>
      <c r="J43"/>
      <c r="K43"/>
      <c r="L43"/>
      <c r="M43"/>
      <c r="N43"/>
      <c r="O43"/>
      <c r="P43"/>
      <c r="Q43"/>
      <c r="R43"/>
      <c r="S43"/>
      <c r="T43"/>
      <c r="U43"/>
      <c r="V43"/>
      <c r="W43"/>
      <c r="X43"/>
      <c r="Y43"/>
      <c r="Z43"/>
      <c r="AA43"/>
      <c r="AB43"/>
      <c r="AC43"/>
      <c r="AD43"/>
      <c r="AE43"/>
      <c r="AF43"/>
      <c r="AG43"/>
      <c r="AH43"/>
      <c r="AI43"/>
      <c r="AJ43" t="str">
        <v>CAPEX-STORAGE</v>
      </c>
      <c r="AK43" t="str">
        <v>Development capex</v>
      </c>
      <c r="AL43" t="str">
        <v>Storage</v>
      </c>
      <c r="AM43" t="str">
        <v>Self-storage capex</v>
      </c>
      <c r="AN43" t="str">
        <v>A$m</v>
      </c>
      <c r="AO43" t="str">
        <v>Outturn source estimate</v>
      </c>
      <c r="AP43" t="n">
        <v>1.5</v>
      </c>
      <c r="AQ43" t="n">
        <f>$AP43*1.1</f>
        <v>1.6500000000000001</v>
      </c>
      <c r="AR43" t="n">
        <f>$AP43*0.95</f>
        <v>1.4249999999999998</v>
      </c>
      <c r="AS43" t="str">
        <f>IFERROR(INDEX('DATA MAP'!$C$8:$C$137,MATCH($AJ43,'DATA MAP'!$A$8:$A$137,0))&amp;IF(INDEX('DATA MAP'!$D$8:$D$137,MATCH($AJ43,'DATA MAP'!$A$8:$A$137,0))="",""," | "&amp;INDEX('DATA MAP'!$D$8:$D$137,MATCH($AJ43,'DATA MAP'!$A$8:$A$137,0))),"Not provided")</f>
        <v>PROJECT CASH FLOW | J17</v>
      </c>
      <c r="AT43" t="n">
        <v>46228</v>
      </c>
      <c r="AU43" t="str">
        <v>Mapped</v>
      </c>
      <c r="AV43" t="str">
        <f>IF(OR($AU43="Conflict",$AU43="Review Required",$AU43="New Input Required",$AU43="Unsupported"),"Management","Model owner")</f>
        <v>Model owner</v>
      </c>
      <c r="AW43" t="str">
        <v>Current detailed data-book budget adopted; the older higher scope is superseded. Scenario columns show the source cost-factor cross-check.</v>
      </c>
    </row>
    <row r="44">
      <c r="A44"/>
      <c r="B44"/>
      <c r="C44"/>
      <c r="D44"/>
      <c r="E44"/>
      <c r="F44"/>
      <c r="G44"/>
      <c r="H44"/>
      <c r="I44"/>
      <c r="J44"/>
      <c r="K44"/>
      <c r="L44"/>
      <c r="M44"/>
      <c r="N44"/>
      <c r="O44"/>
      <c r="P44"/>
      <c r="Q44"/>
      <c r="R44"/>
      <c r="S44"/>
      <c r="T44"/>
      <c r="U44"/>
      <c r="V44"/>
      <c r="W44"/>
      <c r="X44"/>
      <c r="Y44"/>
      <c r="Z44"/>
      <c r="AA44"/>
      <c r="AB44"/>
      <c r="AC44"/>
      <c r="AD44"/>
      <c r="AE44"/>
      <c r="AF44"/>
      <c r="AG44"/>
      <c r="AH44"/>
      <c r="AI44"/>
      <c r="AJ44" t="str">
        <v>CAPEX-CONV</v>
      </c>
      <c r="AK44" t="str">
        <v>Development capex</v>
      </c>
      <c r="AL44" t="str">
        <v>Retail and ancillary uses</v>
      </c>
      <c r="AM44" t="str">
        <v>Convenience store capex</v>
      </c>
      <c r="AN44" t="str">
        <v>A$m</v>
      </c>
      <c r="AO44" t="str">
        <v>Outturn source estimate</v>
      </c>
      <c r="AP44" t="n">
        <v>0.417</v>
      </c>
      <c r="AQ44" t="n">
        <f>$AP44*1.1</f>
        <v>0.4587</v>
      </c>
      <c r="AR44" t="n">
        <f>$AP44*0.95</f>
        <v>0.39614999999999995</v>
      </c>
      <c r="AS44" t="str">
        <f>IFERROR(INDEX('DATA MAP'!$C$8:$C$137,MATCH($AJ44,'DATA MAP'!$A$8:$A$137,0))&amp;IF(INDEX('DATA MAP'!$D$8:$D$137,MATCH($AJ44,'DATA MAP'!$A$8:$A$137,0))="",""," | "&amp;INDEX('DATA MAP'!$D$8:$D$137,MATCH($AJ44,'DATA MAP'!$A$8:$A$137,0))),"Not provided")</f>
        <v>PROJECT CASH FLOW | J18</v>
      </c>
      <c r="AT44" t="n">
        <v>46228</v>
      </c>
      <c r="AU44" t="str">
        <v>Mapped</v>
      </c>
      <c r="AV44" t="str">
        <f>IF(OR($AU44="Conflict",$AU44="Review Required",$AU44="New Input Required",$AU44="Unsupported"),"Management","Model owner")</f>
        <v>Model owner</v>
      </c>
      <c r="AW44" t="str">
        <v>Current detailed data-book budget adopted; the older higher scope is superseded. Scenario columns show the source cost-factor cross-check.</v>
      </c>
    </row>
    <row r="45">
      <c r="A45" t="str">
        <v>CAPEX DETAIL | A$ MILLION</v>
      </c>
      <c r="B45"/>
      <c r="C45"/>
      <c r="D45"/>
      <c r="E45"/>
      <c r="F45"/>
      <c r="G45"/>
      <c r="H45"/>
      <c r="I45"/>
      <c r="J45"/>
      <c r="K45"/>
      <c r="L45"/>
      <c r="M45"/>
      <c r="N45"/>
      <c r="O45"/>
      <c r="P45"/>
      <c r="Q45"/>
      <c r="R45"/>
      <c r="S45"/>
      <c r="T45"/>
      <c r="U45"/>
      <c r="V45"/>
      <c r="W45"/>
      <c r="X45"/>
      <c r="Y45"/>
      <c r="Z45"/>
      <c r="AA45"/>
      <c r="AB45"/>
      <c r="AC45"/>
      <c r="AD45"/>
      <c r="AE45"/>
      <c r="AF45"/>
      <c r="AG45"/>
      <c r="AH45"/>
      <c r="AI45"/>
      <c r="AJ45" t="str">
        <v>CAPEX-LAUND</v>
      </c>
      <c r="AK45" t="str">
        <v>Development capex</v>
      </c>
      <c r="AL45" t="str">
        <v>Retail and ancillary uses</v>
      </c>
      <c r="AM45" t="str">
        <v>Laundromat capex</v>
      </c>
      <c r="AN45" t="str">
        <v>A$m</v>
      </c>
      <c r="AO45" t="str">
        <v>Outturn source estimate</v>
      </c>
      <c r="AP45" t="n">
        <v>0.8</v>
      </c>
      <c r="AQ45" t="n">
        <f>$AP45*1.1</f>
        <v>0.8800000000000001</v>
      </c>
      <c r="AR45" t="n">
        <f>$AP45*0.95</f>
        <v>0.76</v>
      </c>
      <c r="AS45" t="str">
        <f>IFERROR(INDEX('DATA MAP'!$C$8:$C$137,MATCH($AJ45,'DATA MAP'!$A$8:$A$137,0))&amp;IF(INDEX('DATA MAP'!$D$8:$D$137,MATCH($AJ45,'DATA MAP'!$A$8:$A$137,0))="",""," | "&amp;INDEX('DATA MAP'!$D$8:$D$137,MATCH($AJ45,'DATA MAP'!$A$8:$A$137,0))),"Not provided")</f>
        <v>PROJECT CASH FLOW | J19</v>
      </c>
      <c r="AT45" t="n">
        <v>46228</v>
      </c>
      <c r="AU45" t="str">
        <v>Mapped</v>
      </c>
      <c r="AV45" t="str">
        <f>IF(OR($AU45="Conflict",$AU45="Review Required",$AU45="New Input Required",$AU45="Unsupported"),"Management","Model owner")</f>
        <v>Model owner</v>
      </c>
      <c r="AW45" t="str">
        <v>Current detailed data-book budget adopted; the older higher scope is superseded. Scenario columns show the source cost-factor cross-check.</v>
      </c>
    </row>
    <row r="46">
      <c r="A46" t="str">
        <v>Field ID</v>
      </c>
      <c r="B46" t="str">
        <v>Component</v>
      </c>
      <c r="C46" t="str">
        <v>GFA / Area (sqm)</v>
      </c>
      <c r="D46" t="str">
        <v>Core / Shell</v>
      </c>
      <c r="E46" t="str">
        <v>Fitout</v>
      </c>
      <c r="F46" t="str">
        <v>Model Net CAPEX</v>
      </c>
      <c r="G46" t="str">
        <v>Source</v>
      </c>
      <c r="H46" t="str">
        <v>Status / Note</v>
      </c>
      <c r="I46"/>
      <c r="J46"/>
      <c r="K46"/>
      <c r="L46"/>
      <c r="M46"/>
      <c r="N46"/>
      <c r="O46"/>
      <c r="P46"/>
      <c r="Q46"/>
      <c r="R46"/>
      <c r="S46"/>
      <c r="T46"/>
      <c r="U46"/>
      <c r="V46"/>
      <c r="W46"/>
      <c r="X46"/>
      <c r="Y46"/>
      <c r="Z46"/>
      <c r="AA46"/>
      <c r="AB46"/>
      <c r="AC46"/>
      <c r="AD46"/>
      <c r="AE46"/>
      <c r="AF46"/>
      <c r="AG46"/>
      <c r="AH46"/>
      <c r="AI46"/>
      <c r="AJ46" t="str">
        <v>CAPEX-ROADS</v>
      </c>
      <c r="AK46" t="str">
        <v>Development capex</v>
      </c>
      <c r="AL46" t="str">
        <v>Development capex</v>
      </c>
      <c r="AM46" t="str">
        <v>Roads and paths capex</v>
      </c>
      <c r="AN46" t="str">
        <v>A$m</v>
      </c>
      <c r="AO46" t="str">
        <v>Outturn source estimate</v>
      </c>
      <c r="AP46" t="n">
        <v>6</v>
      </c>
      <c r="AQ46" t="n">
        <f>$AP46*1.1</f>
        <v>6.6000000000000005</v>
      </c>
      <c r="AR46" t="n">
        <f>$AP46*0.95</f>
        <v>5.699999999999999</v>
      </c>
      <c r="AS46" t="str">
        <f>IFERROR(INDEX('DATA MAP'!$C$8:$C$137,MATCH($AJ46,'DATA MAP'!$A$8:$A$137,0))&amp;IF(INDEX('DATA MAP'!$D$8:$D$137,MATCH($AJ46,'DATA MAP'!$A$8:$A$137,0))="",""," | "&amp;INDEX('DATA MAP'!$D$8:$D$137,MATCH($AJ46,'DATA MAP'!$A$8:$A$137,0))),"Not provided")</f>
        <v>PROJECT CASH FLOW | J20</v>
      </c>
      <c r="AT46" t="n">
        <v>46228</v>
      </c>
      <c r="AU46" t="str">
        <v>Mapped</v>
      </c>
      <c r="AV46" t="str">
        <f>IF(OR($AU46="Conflict",$AU46="Review Required",$AU46="New Input Required",$AU46="Unsupported"),"Management","Model owner")</f>
        <v>Model owner</v>
      </c>
      <c r="AW46" t="str">
        <v>Current detailed data-book budget adopted; the older higher scope is superseded. Scenario columns show the source cost-factor cross-check.</v>
      </c>
    </row>
    <row r="47">
      <c r="A47" t="str">
        <v>CAPEX-LIVE</v>
      </c>
      <c r="B47" t="str">
        <v>LiveHouse</v>
      </c>
      <c r="C47" t="n">
        <f>PROJECTS!$AP$22</f>
        <v>6500</v>
      </c>
      <c r="D47" t="n">
        <v>12.845</v>
      </c>
      <c r="E47" t="n">
        <v>6.917</v>
      </c>
      <c r="F47" t="n">
        <f>PROJECTS!$AP$36</f>
        <v>19.761525</v>
      </c>
      <c r="G47" t="str">
        <v>PROJECT CASH FLOW!H10:J10</v>
      </c>
      <c r="H47" t="str">
        <v>Current detailed data-book budget treated as post-CEO roof correction.</v>
      </c>
      <c r="I47"/>
      <c r="J47"/>
      <c r="K47"/>
      <c r="L47"/>
      <c r="M47"/>
      <c r="N47"/>
      <c r="O47"/>
      <c r="P47"/>
      <c r="Q47"/>
      <c r="R47"/>
      <c r="S47"/>
      <c r="T47"/>
      <c r="U47"/>
      <c r="V47"/>
      <c r="W47"/>
      <c r="X47"/>
      <c r="Y47"/>
      <c r="Z47"/>
      <c r="AA47"/>
      <c r="AB47"/>
      <c r="AC47"/>
      <c r="AD47"/>
      <c r="AE47"/>
      <c r="AF47"/>
      <c r="AG47"/>
      <c r="AH47"/>
      <c r="AI47"/>
      <c r="AJ47" t="str">
        <v>CAPEX-WATER</v>
      </c>
      <c r="AK47" t="str">
        <v>Development capex</v>
      </c>
      <c r="AL47" t="str">
        <v>Development capex</v>
      </c>
      <c r="AM47" t="str">
        <v>Water treatment plant capex</v>
      </c>
      <c r="AN47" t="str">
        <v>A$m</v>
      </c>
      <c r="AO47" t="str">
        <v>Outturn source estimate</v>
      </c>
      <c r="AP47" t="n">
        <v>2</v>
      </c>
      <c r="AQ47" t="n">
        <f>$AP47*1.1</f>
        <v>2.2</v>
      </c>
      <c r="AR47" t="n">
        <f>$AP47*0.95</f>
        <v>1.9</v>
      </c>
      <c r="AS47" t="str">
        <f>IFERROR(INDEX('DATA MAP'!$C$8:$C$137,MATCH($AJ47,'DATA MAP'!$A$8:$A$137,0))&amp;IF(INDEX('DATA MAP'!$D$8:$D$137,MATCH($AJ47,'DATA MAP'!$A$8:$A$137,0))="",""," | "&amp;INDEX('DATA MAP'!$D$8:$D$137,MATCH($AJ47,'DATA MAP'!$A$8:$A$137,0))),"Not provided")</f>
        <v>PROJECT CASH FLOW | J21</v>
      </c>
      <c r="AT47" t="n">
        <v>46228</v>
      </c>
      <c r="AU47" t="str">
        <v>Mapped</v>
      </c>
      <c r="AV47" t="str">
        <f>IF(OR($AU47="Conflict",$AU47="Review Required",$AU47="New Input Required",$AU47="Unsupported"),"Management","Model owner")</f>
        <v>Model owner</v>
      </c>
      <c r="AW47" t="str">
        <v>Current detailed data-book budget adopted; the older higher scope is superseded. Scenario columns show the source cost-factor cross-check.</v>
      </c>
    </row>
    <row r="48">
      <c r="A48" t="str">
        <v>Roof / solar duplicate adjustment: A$0.000. Model net CAPEX equals the current data-book total.</v>
      </c>
      <c r="B48"/>
      <c r="C48"/>
      <c r="D48"/>
      <c r="E48"/>
      <c r="F48"/>
      <c r="G48"/>
      <c r="H48"/>
      <c r="I48"/>
      <c r="J48"/>
      <c r="K48"/>
      <c r="L48"/>
      <c r="M48"/>
      <c r="N48"/>
      <c r="O48"/>
      <c r="P48"/>
      <c r="Q48"/>
      <c r="R48"/>
      <c r="S48"/>
      <c r="T48"/>
      <c r="U48"/>
      <c r="V48"/>
      <c r="W48"/>
      <c r="X48"/>
      <c r="Y48"/>
      <c r="Z48"/>
      <c r="AA48"/>
      <c r="AB48"/>
      <c r="AC48"/>
      <c r="AD48"/>
      <c r="AE48"/>
      <c r="AF48"/>
      <c r="AG48"/>
      <c r="AH48"/>
      <c r="AI48"/>
      <c r="AJ48" t="str">
        <v>CAPEX-WATERSYS</v>
      </c>
      <c r="AK48" t="str">
        <v>Development capex</v>
      </c>
      <c r="AL48" t="str">
        <v>Development capex</v>
      </c>
      <c r="AM48" t="str">
        <v>Water systems capex</v>
      </c>
      <c r="AN48" t="str">
        <v>A$m</v>
      </c>
      <c r="AO48" t="str">
        <v>Outturn source estimate</v>
      </c>
      <c r="AP48" t="n">
        <v>2.1</v>
      </c>
      <c r="AQ48" t="n">
        <f>$AP48*1.1</f>
        <v>2.3100000000000005</v>
      </c>
      <c r="AR48" t="n">
        <f>$AP48*0.95</f>
        <v>1.9949999999999999</v>
      </c>
      <c r="AS48" t="str">
        <f>IFERROR(INDEX('DATA MAP'!$C$8:$C$137,MATCH($AJ48,'DATA MAP'!$A$8:$A$137,0))&amp;IF(INDEX('DATA MAP'!$D$8:$D$137,MATCH($AJ48,'DATA MAP'!$A$8:$A$137,0))="",""," | "&amp;INDEX('DATA MAP'!$D$8:$D$137,MATCH($AJ48,'DATA MAP'!$A$8:$A$137,0))),"Not provided")</f>
        <v>PROJECT CASH FLOW | J22</v>
      </c>
      <c r="AT48" t="n">
        <v>46228</v>
      </c>
      <c r="AU48" t="str">
        <v>Mapped</v>
      </c>
      <c r="AV48" t="str">
        <f>IF(OR($AU48="Conflict",$AU48="Review Required",$AU48="New Input Required",$AU48="Unsupported"),"Management","Model owner")</f>
        <v>Model owner</v>
      </c>
      <c r="AW48" t="str">
        <v>Current detailed data-book budget adopted; the older higher scope is superseded. Scenario columns show the source cost-factor cross-check.</v>
      </c>
    </row>
    <row r="49">
      <c r="A49" t="str">
        <v>SCOPE &amp; INTEGRATION CONTROLS</v>
      </c>
      <c r="B49"/>
      <c r="C49"/>
      <c r="D49"/>
      <c r="E49"/>
      <c r="F49"/>
      <c r="G49"/>
      <c r="H49"/>
      <c r="I49"/>
      <c r="J49"/>
      <c r="K49"/>
      <c r="L49"/>
      <c r="M49"/>
      <c r="N49"/>
      <c r="O49"/>
      <c r="P49"/>
      <c r="Q49"/>
      <c r="R49"/>
      <c r="S49"/>
      <c r="T49"/>
      <c r="U49"/>
      <c r="V49"/>
      <c r="W49"/>
      <c r="X49"/>
      <c r="Y49"/>
      <c r="Z49"/>
      <c r="AA49"/>
      <c r="AB49"/>
      <c r="AC49"/>
      <c r="AD49"/>
      <c r="AE49"/>
      <c r="AF49"/>
      <c r="AG49"/>
      <c r="AH49"/>
      <c r="AI49"/>
      <c r="AJ49" t="str">
        <v>CAPEX-SOLAR</v>
      </c>
      <c r="AK49" t="str">
        <v>Development capex</v>
      </c>
      <c r="AL49" t="str">
        <v>Development capex</v>
      </c>
      <c r="AM49" t="str">
        <v>Solar/battery capex</v>
      </c>
      <c r="AN49" t="str">
        <v>A$m</v>
      </c>
      <c r="AO49" t="str">
        <v>Outturn source estimate</v>
      </c>
      <c r="AP49" t="n">
        <v>12</v>
      </c>
      <c r="AQ49" t="n">
        <f>$AP49*1.1</f>
        <v>13.200000000000001</v>
      </c>
      <c r="AR49" t="n">
        <f>$AP49*0.95</f>
        <v>11.399999999999999</v>
      </c>
      <c r="AS49" t="str">
        <f>IFERROR(INDEX('DATA MAP'!$C$8:$C$137,MATCH($AJ49,'DATA MAP'!$A$8:$A$137,0))&amp;IF(INDEX('DATA MAP'!$D$8:$D$137,MATCH($AJ49,'DATA MAP'!$A$8:$A$137,0))="",""," | "&amp;INDEX('DATA MAP'!$D$8:$D$137,MATCH($AJ49,'DATA MAP'!$A$8:$A$137,0))),"Not provided")</f>
        <v>PROJECT CASH FLOW | J23</v>
      </c>
      <c r="AT49" t="n">
        <v>46228</v>
      </c>
      <c r="AU49" t="str">
        <v>Mapped</v>
      </c>
      <c r="AV49" t="str">
        <f>IF(OR($AU49="Conflict",$AU49="Review Required",$AU49="New Input Required",$AU49="Unsupported"),"Management","Model owner")</f>
        <v>Model owner</v>
      </c>
      <c r="AW49" t="str">
        <v>Current detailed data-book budget adopted; the older higher scope is superseded. Scenario columns show the source cost-factor cross-check.</v>
      </c>
    </row>
    <row r="50">
      <c r="A50" t="str">
        <v>Control</v>
      </c>
      <c r="B50" t="str">
        <v>Result</v>
      </c>
      <c r="C50" t="str">
        <v>Basis</v>
      </c>
      <c r="D50"/>
      <c r="E50"/>
      <c r="F50"/>
      <c r="G50"/>
      <c r="H50"/>
      <c r="I50"/>
      <c r="J50"/>
      <c r="K50"/>
      <c r="L50"/>
      <c r="M50"/>
      <c r="N50"/>
      <c r="O50"/>
      <c r="P50"/>
      <c r="Q50"/>
      <c r="R50"/>
      <c r="S50"/>
      <c r="T50"/>
      <c r="U50"/>
      <c r="V50"/>
      <c r="W50"/>
      <c r="X50"/>
      <c r="Y50"/>
      <c r="Z50"/>
      <c r="AA50"/>
      <c r="AB50"/>
      <c r="AC50"/>
      <c r="AD50"/>
      <c r="AE50"/>
      <c r="AF50"/>
      <c r="AG50"/>
      <c r="AH50"/>
      <c r="AI50"/>
      <c r="AJ50" t="str">
        <v>CAPEX-COMMON</v>
      </c>
      <c r="AK50" t="str">
        <v>Development capex</v>
      </c>
      <c r="AL50" t="str">
        <v>Development capex</v>
      </c>
      <c r="AM50" t="str">
        <v>Landscape/common capex</v>
      </c>
      <c r="AN50" t="str">
        <v>A$m</v>
      </c>
      <c r="AO50" t="str">
        <v>Outturn source estimate</v>
      </c>
      <c r="AP50" t="n">
        <v>15.07</v>
      </c>
      <c r="AQ50" t="n">
        <f>$AP50*1.1</f>
        <v>16.577</v>
      </c>
      <c r="AR50" t="n">
        <f>$AP50*0.95</f>
        <v>14.3165</v>
      </c>
      <c r="AS50" t="str">
        <f>IFERROR(INDEX('DATA MAP'!$C$8:$C$137,MATCH($AJ50,'DATA MAP'!$A$8:$A$137,0))&amp;IF(INDEX('DATA MAP'!$D$8:$D$137,MATCH($AJ50,'DATA MAP'!$A$8:$A$137,0))="",""," | "&amp;INDEX('DATA MAP'!$D$8:$D$137,MATCH($AJ50,'DATA MAP'!$A$8:$A$137,0))),"Not provided")</f>
        <v>PROJECT CASH FLOW | J24</v>
      </c>
      <c r="AT50" t="n">
        <v>46228</v>
      </c>
      <c r="AU50" t="str">
        <v>Mapped</v>
      </c>
      <c r="AV50" t="str">
        <f>IF(OR($AU50="Conflict",$AU50="Review Required",$AU50="New Input Required",$AU50="Unsupported"),"Management","Model owner")</f>
        <v>Model owner</v>
      </c>
      <c r="AW50" t="str">
        <v>Current detailed data-book budget adopted; the older higher scope is superseded. Scenario columns show the source cost-factor cross-check.</v>
      </c>
    </row>
    <row r="51">
      <c r="A51" t="str">
        <v>Component CAPEX reconciles</v>
      </c>
      <c r="B51" t="str">
        <f>IF(ABS(SUM(D47:E47)-F47)&lt;0.001,"OK","EXCEPTION: component CAPEX")</f>
        <v>OK</v>
      </c>
      <c r="C51" t="str">
        <v>Core / shell plus fitout versus controlling total</v>
      </c>
      <c r="D51"/>
      <c r="E51"/>
      <c r="F51"/>
      <c r="G51"/>
      <c r="H51"/>
      <c r="I51"/>
      <c r="J51"/>
      <c r="K51"/>
      <c r="L51"/>
      <c r="M51"/>
      <c r="N51"/>
      <c r="O51"/>
      <c r="P51"/>
      <c r="Q51"/>
      <c r="R51"/>
      <c r="S51"/>
      <c r="T51"/>
      <c r="U51"/>
      <c r="V51"/>
      <c r="W51"/>
      <c r="X51"/>
      <c r="Y51"/>
      <c r="Z51"/>
      <c r="AA51"/>
      <c r="AB51"/>
      <c r="AC51"/>
      <c r="AD51"/>
      <c r="AE51"/>
      <c r="AF51"/>
      <c r="AG51"/>
      <c r="AH51"/>
      <c r="AI51"/>
      <c r="AJ51" t="str">
        <v>CAPEX-PM</v>
      </c>
      <c r="AK51" t="str">
        <v>Development capex</v>
      </c>
      <c r="AL51" t="str">
        <v>Development capex</v>
      </c>
      <c r="AM51" t="str">
        <v>Project management/consultants</v>
      </c>
      <c r="AN51" t="str">
        <v>A$m</v>
      </c>
      <c r="AO51" t="str">
        <v>Outturn source estimate</v>
      </c>
      <c r="AP51" t="n">
        <v>18</v>
      </c>
      <c r="AQ51" t="n">
        <f>$AP51*1.1</f>
        <v>19.8</v>
      </c>
      <c r="AR51" t="n">
        <f>$AP51*0.95</f>
        <v>17.099999999999998</v>
      </c>
      <c r="AS51" t="str">
        <f>IFERROR(INDEX('DATA MAP'!$C$8:$C$137,MATCH($AJ51,'DATA MAP'!$A$8:$A$137,0))&amp;IF(INDEX('DATA MAP'!$D$8:$D$137,MATCH($AJ51,'DATA MAP'!$A$8:$A$137,0))="",""," | "&amp;INDEX('DATA MAP'!$D$8:$D$137,MATCH($AJ51,'DATA MAP'!$A$8:$A$137,0))),"Not provided")</f>
        <v>PROJECT CASH FLOW | J25</v>
      </c>
      <c r="AT51" t="n">
        <v>46228</v>
      </c>
      <c r="AU51" t="str">
        <v>Mapped</v>
      </c>
      <c r="AV51" t="str">
        <f>IF(OR($AU51="Conflict",$AU51="Review Required",$AU51="New Input Required",$AU51="Unsupported"),"Management","Model owner")</f>
        <v>Model owner</v>
      </c>
      <c r="AW51" t="str">
        <v>Current detailed data-book budget adopted; the older higher scope is superseded. Scenario columns show the source cost-factor cross-check.</v>
      </c>
    </row>
    <row r="52">
      <c r="A52" t="str">
        <v>Area linked to PROJECT DATA</v>
      </c>
      <c r="B52" t="str">
        <f>IF(ABS(C47-PROJECTS!$AP$22)&lt;0.000001,"OK","EXCEPTION: component area")</f>
        <v>OK</v>
      </c>
      <c r="C52" t="str">
        <v>No duplicate area input</v>
      </c>
      <c r="D52"/>
      <c r="E52"/>
      <c r="F52"/>
      <c r="G52"/>
      <c r="H52"/>
      <c r="I52"/>
      <c r="J52"/>
      <c r="K52"/>
      <c r="L52"/>
      <c r="M52"/>
      <c r="N52"/>
      <c r="O52"/>
      <c r="P52"/>
      <c r="Q52"/>
      <c r="R52"/>
      <c r="S52"/>
      <c r="T52"/>
      <c r="U52"/>
      <c r="V52"/>
      <c r="W52"/>
      <c r="X52"/>
      <c r="Y52"/>
      <c r="Z52"/>
      <c r="AA52"/>
      <c r="AB52"/>
      <c r="AC52"/>
      <c r="AD52"/>
      <c r="AE52"/>
      <c r="AF52"/>
      <c r="AG52"/>
      <c r="AH52"/>
      <c r="AI52"/>
      <c r="AJ52" t="str">
        <v>CAPEX-TOTAL-001</v>
      </c>
      <c r="AK52" t="str">
        <v>Development capex</v>
      </c>
      <c r="AL52" t="str">
        <v>Project</v>
      </c>
      <c r="AM52" t="str">
        <v>Source component capex total</v>
      </c>
      <c r="AN52" t="str">
        <v>A$m</v>
      </c>
      <c r="AO52" t="str">
        <v>Outturn source estimate</v>
      </c>
      <c r="AP52" t="n">
        <v>342.423006481481</v>
      </c>
      <c r="AQ52" t="n">
        <f>$AP52*1.1</f>
        <v>376.6653071296292</v>
      </c>
      <c r="AR52" t="n">
        <f>$AP52*0.95</f>
        <v>325.301856157407</v>
      </c>
      <c r="AS52" t="str">
        <f>IFERROR(INDEX('DATA MAP'!$C$8:$C$137,MATCH($AJ52,'DATA MAP'!$A$8:$A$137,0))&amp;IF(INDEX('DATA MAP'!$D$8:$D$137,MATCH($AJ52,'DATA MAP'!$A$8:$A$137,0))="",""," | "&amp;INDEX('DATA MAP'!$D$8:$D$137,MATCH($AJ52,'DATA MAP'!$A$8:$A$137,0))),"Not provided")</f>
        <v>PROJECT CASH FLOW | J26</v>
      </c>
      <c r="AT52" t="n">
        <v>46228</v>
      </c>
      <c r="AU52" t="str">
        <v>Mapped</v>
      </c>
      <c r="AV52" t="str">
        <f>IF(OR($AU52="Conflict",$AU52="Review Required",$AU52="New Input Required",$AU52="Unsupported"),"Management","Model owner")</f>
        <v>Model owner</v>
      </c>
      <c r="AW52" t="str">
        <v>Controlling component CAPEX from the current detailed data book, including landscape and one central precinct roof/solar allowance.</v>
      </c>
    </row>
    <row r="53">
      <c r="A53" t="str">
        <v>Roof / solar treatment</v>
      </c>
      <c r="B53" t="str">
        <f>IF(ABS(F47-PROJECTS!$AP$36)&lt;0.000001,"OK","EXCEPTION: component total")</f>
        <v>OK</v>
      </c>
      <c r="C53" t="str">
        <v>Precinct roof/solar is central infrastructure</v>
      </c>
      <c r="D53"/>
      <c r="E53"/>
      <c r="F53"/>
      <c r="G53"/>
      <c r="H53"/>
      <c r="I53"/>
      <c r="J53"/>
      <c r="K53"/>
      <c r="L53"/>
      <c r="M53"/>
      <c r="N53"/>
      <c r="O53"/>
      <c r="P53"/>
      <c r="Q53"/>
      <c r="R53"/>
      <c r="S53"/>
      <c r="T53"/>
      <c r="U53"/>
      <c r="V53"/>
      <c r="W53"/>
      <c r="X53"/>
      <c r="Y53"/>
      <c r="Z53"/>
      <c r="AA53"/>
      <c r="AB53"/>
      <c r="AC53"/>
      <c r="AD53"/>
      <c r="AE53"/>
      <c r="AF53"/>
      <c r="AG53"/>
      <c r="AH53"/>
      <c r="AI53"/>
      <c r="AJ53" t="str">
        <v>CAPEX-LAND-001</v>
      </c>
      <c r="AK53" t="str">
        <v>Development capex</v>
      </c>
      <c r="AL53" t="str">
        <v>Land</v>
      </c>
      <c r="AM53" t="str">
        <v>Source site acquisition incl. stamp duty</v>
      </c>
      <c r="AN53" t="str">
        <v>A$m</v>
      </c>
      <c r="AO53" t="str">
        <v>Source development period</v>
      </c>
      <c r="AP53" t="n">
        <v>91.57</v>
      </c>
      <c r="AQ53" t="n">
        <f>$AP53</f>
        <v>91.57</v>
      </c>
      <c r="AR53" t="n">
        <f>$AP53</f>
        <v>91.57</v>
      </c>
      <c r="AS53" t="str">
        <f>IFERROR(INDEX('DATA MAP'!$C$8:$C$137,MATCH($AJ53,'DATA MAP'!$A$8:$A$137,0))&amp;IF(INDEX('DATA MAP'!$D$8:$D$137,MATCH($AJ53,'DATA MAP'!$A$8:$A$137,0))="",""," | "&amp;INDEX('DATA MAP'!$D$8:$D$137,MATCH($AJ53,'DATA MAP'!$A$8:$A$137,0))),"Not provided")</f>
        <v>PROJECT CASH FLOW | H30</v>
      </c>
      <c r="AT53" t="n">
        <v>46228</v>
      </c>
      <c r="AU53" t="str">
        <v>Mapped</v>
      </c>
      <c r="AV53" t="str">
        <f>IF(OR($AU53="Conflict",$AU53="Review Required",$AU53="New Input Required",$AU53="Unsupported"),"Management","Model owner")</f>
        <v>Model owner</v>
      </c>
      <c r="AW53" t="str">
        <f>IFERROR(INDEX('DATA MAP'!$K$8:$K$137,MATCH($AJ53,'DATA MAP'!$A$8:$A$137,0)),"Management confirmation required.")</f>
        <v>Target land purchase is A$3.0m; target value retained. | The detailed component build and PROJECTS CAPEX sections are authoritative; conflicting summaries are evidence only and are not double counted.</v>
      </c>
    </row>
    <row r="54">
      <c r="A54"/>
      <c r="B54"/>
      <c r="C54"/>
      <c r="D54"/>
      <c r="E54"/>
      <c r="F54"/>
      <c r="G54"/>
      <c r="H54"/>
      <c r="I54"/>
      <c r="J54"/>
      <c r="K54"/>
      <c r="L54"/>
      <c r="M54"/>
      <c r="N54"/>
      <c r="O54"/>
      <c r="P54"/>
      <c r="Q54"/>
      <c r="R54"/>
      <c r="S54"/>
      <c r="T54"/>
      <c r="U54"/>
      <c r="V54"/>
      <c r="W54"/>
      <c r="X54"/>
      <c r="Y54"/>
      <c r="Z54"/>
      <c r="AA54"/>
      <c r="AB54"/>
      <c r="AC54"/>
      <c r="AD54"/>
      <c r="AE54"/>
      <c r="AF54"/>
      <c r="AG54"/>
      <c r="AH54"/>
      <c r="AI54"/>
      <c r="AJ54" t="str">
        <v>CAPEX-INFRA-001</v>
      </c>
      <c r="AK54" t="str">
        <v>Development capex</v>
      </c>
      <c r="AL54" t="str">
        <v>Infrastructure</v>
      </c>
      <c r="AM54" t="str">
        <v>Infrastructure fund</v>
      </c>
      <c r="AN54" t="str">
        <v>A$m</v>
      </c>
      <c r="AO54" t="str">
        <v>Source development period</v>
      </c>
      <c r="AP54" t="n">
        <v>22.11362868</v>
      </c>
      <c r="AQ54" t="n">
        <f>$AP54</f>
        <v>22.11362868</v>
      </c>
      <c r="AR54" t="n">
        <f>$AP54</f>
        <v>22.11362868</v>
      </c>
      <c r="AS54" t="str">
        <f>IFERROR(INDEX('DATA MAP'!$C$8:$C$137,MATCH($AJ54,'DATA MAP'!$A$8:$A$137,0))&amp;IF(INDEX('DATA MAP'!$D$8:$D$137,MATCH($AJ54,'DATA MAP'!$A$8:$A$137,0))="",""," | "&amp;INDEX('DATA MAP'!$D$8:$D$137,MATCH($AJ54,'DATA MAP'!$A$8:$A$137,0))),"Not provided")</f>
        <v>PROJECT CASH FLOW | H36</v>
      </c>
      <c r="AT54" t="n">
        <v>46228</v>
      </c>
      <c r="AU54" t="str">
        <v>Mapped</v>
      </c>
      <c r="AV54" t="str">
        <f>IF(OR($AU54="Conflict",$AU54="Review Required",$AU54="New Input Required",$AU54="Unsupported"),"Management","Model owner")</f>
        <v>Model owner</v>
      </c>
      <c r="AW54" t="str">
        <f>IFERROR(INDEX('DATA MAP'!$K$8:$K$137,MATCH($AJ54,'DATA MAP'!$A$8:$A$137,0)),"Management confirmation required.")</f>
        <v>760 | The detailed component build and PROJECTS CAPEX sections are authoritative; conflicting summaries are evidence only and are not double counted.</v>
      </c>
    </row>
    <row r="55">
      <c r="A55"/>
      <c r="B55"/>
      <c r="C55"/>
      <c r="D55"/>
      <c r="E55"/>
      <c r="F55"/>
      <c r="G55"/>
      <c r="H55"/>
      <c r="I55"/>
      <c r="J55"/>
      <c r="K55"/>
      <c r="L55"/>
      <c r="M55"/>
      <c r="N55"/>
      <c r="O55"/>
      <c r="P55"/>
      <c r="Q55"/>
      <c r="R55"/>
      <c r="S55"/>
      <c r="T55"/>
      <c r="U55"/>
      <c r="V55"/>
      <c r="W55"/>
      <c r="X55"/>
      <c r="Y55"/>
      <c r="Z55"/>
      <c r="AA55"/>
      <c r="AB55"/>
      <c r="AC55"/>
      <c r="AD55"/>
      <c r="AE55"/>
      <c r="AF55"/>
      <c r="AG55"/>
      <c r="AH55"/>
      <c r="AI55"/>
      <c r="AJ55" t="str">
        <v>CAPEX-INFRA-002</v>
      </c>
      <c r="AK55" t="str">
        <v>Development capex</v>
      </c>
      <c r="AL55" t="str">
        <v>Infrastructure</v>
      </c>
      <c r="AM55" t="str">
        <v>Infrastructure fund reduction</v>
      </c>
      <c r="AN55" t="str">
        <v>A$m</v>
      </c>
      <c r="AO55" t="str">
        <v>Source development period</v>
      </c>
      <c r="AP55" t="n">
        <v>-8</v>
      </c>
      <c r="AQ55" t="n">
        <f>$AP55</f>
        <v>-8</v>
      </c>
      <c r="AR55" t="n">
        <f>$AP55</f>
        <v>-8</v>
      </c>
      <c r="AS55" t="str">
        <f>IFERROR(INDEX('DATA MAP'!$C$8:$C$137,MATCH($AJ55,'DATA MAP'!$A$8:$A$137,0))&amp;IF(INDEX('DATA MAP'!$D$8:$D$137,MATCH($AJ55,'DATA MAP'!$A$8:$A$137,0))="",""," | "&amp;INDEX('DATA MAP'!$D$8:$D$137,MATCH($AJ55,'DATA MAP'!$A$8:$A$137,0))),"Not provided")</f>
        <v>PROJECT CASH FLOW | H37</v>
      </c>
      <c r="AT55" t="n">
        <v>46228</v>
      </c>
      <c r="AU55" t="str">
        <v>Mapped</v>
      </c>
      <c r="AV55" t="str">
        <f>IF(OR($AU55="Conflict",$AU55="Review Required",$AU55="New Input Required",$AU55="Unsupported"),"Management","Model owner")</f>
        <v>Model owner</v>
      </c>
      <c r="AW55" t="str">
        <f>IFERROR(INDEX('DATA MAP'!$K$8:$K$137,MATCH($AJ55,'DATA MAP'!$A$8:$A$137,0)),"Management confirmation required.")</f>
        <v>760 | The detailed component build and PROJECTS CAPEX sections are authoritative; conflicting summaries are evidence only and are not double counted.</v>
      </c>
    </row>
    <row r="56">
      <c r="A56" t="str">
        <v>THE BEND PRECINCT | SNOWTUNNEL</v>
      </c>
      <c r="B56" t="str">
        <v>THE BEND PRECINCT | SNOWTUNNEL</v>
      </c>
      <c r="C56" t="str">
        <v>THE BEND PRECINCT | SNOWTUNNEL</v>
      </c>
      <c r="D56" t="str">
        <v>THE BEND PRECINCT | SNOWTUNNEL</v>
      </c>
      <c r="E56" t="str">
        <v>THE BEND PRECINCT | SNOWTUNNEL</v>
      </c>
      <c r="F56" t="str">
        <v>THE BEND PRECINCT | SNOWTUNNEL</v>
      </c>
      <c r="G56" t="str">
        <v>THE BEND PRECINCT | SNOWTUNNEL</v>
      </c>
      <c r="H56" t="str">
        <v>THE BEND PRECINCT | SNOWTUNNEL</v>
      </c>
      <c r="I56"/>
      <c r="J56"/>
      <c r="K56"/>
      <c r="L56"/>
      <c r="M56"/>
      <c r="N56"/>
      <c r="O56"/>
      <c r="P56"/>
      <c r="Q56"/>
      <c r="R56"/>
      <c r="S56"/>
      <c r="T56"/>
      <c r="U56"/>
      <c r="V56"/>
      <c r="W56"/>
      <c r="X56"/>
      <c r="Y56"/>
      <c r="Z56"/>
      <c r="AA56"/>
      <c r="AB56"/>
      <c r="AC56"/>
      <c r="AD56"/>
      <c r="AE56"/>
      <c r="AF56"/>
      <c r="AG56"/>
      <c r="AH56"/>
      <c r="AI56"/>
      <c r="AJ56" t="str">
        <v>CAPEX-GRANT-001</v>
      </c>
      <c r="AK56" t="str">
        <v>Development capex</v>
      </c>
      <c r="AL56" t="str">
        <v>Grant</v>
      </c>
      <c r="AM56" t="str">
        <v>ARENA grant</v>
      </c>
      <c r="AN56" t="str">
        <v>A$m</v>
      </c>
      <c r="AO56" t="str">
        <v>Source development period</v>
      </c>
      <c r="AP56" t="n">
        <v>-5</v>
      </c>
      <c r="AQ56" t="n">
        <f>$AP56</f>
        <v>-5</v>
      </c>
      <c r="AR56" t="n">
        <f>$AP56</f>
        <v>-5</v>
      </c>
      <c r="AS56" t="str">
        <f>IFERROR(INDEX('DATA MAP'!$C$8:$C$137,MATCH($AJ56,'DATA MAP'!$A$8:$A$137,0))&amp;IF(INDEX('DATA MAP'!$D$8:$D$137,MATCH($AJ56,'DATA MAP'!$A$8:$A$137,0))="",""," | "&amp;INDEX('DATA MAP'!$D$8:$D$137,MATCH($AJ56,'DATA MAP'!$A$8:$A$137,0))),"Not provided")</f>
        <v>PROJECT CASH FLOW | H39</v>
      </c>
      <c r="AT56" t="n">
        <v>46228</v>
      </c>
      <c r="AU56" t="str">
        <v>Mapped</v>
      </c>
      <c r="AV56" t="str">
        <f>IF(OR($AU56="Conflict",$AU56="Review Required",$AU56="New Input Required",$AU56="Unsupported"),"Management","Model owner")</f>
        <v>Model owner</v>
      </c>
      <c r="AW56" t="str">
        <f>IFERROR(INDEX('DATA MAP'!$K$8:$K$137,MATCH($AJ56,'DATA MAP'!$A$8:$A$137,0)),"Management confirmation required.")</f>
        <v>760 | The detailed component build and PROJECTS CAPEX sections are authoritative; conflicting summaries are evidence only and are not double counted.</v>
      </c>
    </row>
    <row r="57">
      <c r="A57"/>
      <c r="B57"/>
      <c r="C57"/>
      <c r="D57"/>
      <c r="E57"/>
      <c r="F57"/>
      <c r="G57"/>
      <c r="H57"/>
      <c r="I57"/>
      <c r="J57"/>
      <c r="K57"/>
      <c r="L57"/>
      <c r="M57"/>
      <c r="N57"/>
      <c r="O57"/>
      <c r="P57"/>
      <c r="Q57"/>
      <c r="R57"/>
      <c r="S57"/>
      <c r="T57"/>
      <c r="U57"/>
      <c r="V57"/>
      <c r="W57"/>
      <c r="X57"/>
      <c r="Y57"/>
      <c r="Z57"/>
      <c r="AA57"/>
      <c r="AB57"/>
      <c r="AC57"/>
      <c r="AD57"/>
      <c r="AE57"/>
      <c r="AF57"/>
      <c r="AG57"/>
      <c r="AH57"/>
      <c r="AI57"/>
      <c r="AJ57" t="str">
        <v>CAPEX-FUND-001</v>
      </c>
      <c r="AK57" t="str">
        <v>Development capex</v>
      </c>
      <c r="AL57" t="str">
        <v>Project</v>
      </c>
      <c r="AM57" t="str">
        <v>Source funding requirement after development revenue/expenses</v>
      </c>
      <c r="AN57" t="str">
        <v>A$m</v>
      </c>
      <c r="AO57" t="str">
        <v>Source development period</v>
      </c>
      <c r="AP57" t="n">
        <v>439.180309272078</v>
      </c>
      <c r="AQ57" t="n">
        <f>$AP57*1.1</f>
        <v>483.0983401992858</v>
      </c>
      <c r="AR57" t="n">
        <f>$AP57*0.95</f>
        <v>417.22129380847406</v>
      </c>
      <c r="AS57" t="str">
        <f>IFERROR(INDEX('DATA MAP'!$C$8:$C$137,MATCH($AJ57,'DATA MAP'!$A$8:$A$137,0))&amp;IF(INDEX('DATA MAP'!$D$8:$D$137,MATCH($AJ57,'DATA MAP'!$A$8:$A$137,0))="",""," | "&amp;INDEX('DATA MAP'!$D$8:$D$137,MATCH($AJ57,'DATA MAP'!$A$8:$A$137,0))),"Not provided")</f>
        <v>PROJECT CASH FLOW | H49</v>
      </c>
      <c r="AT57" t="n">
        <v>46228</v>
      </c>
      <c r="AU57" t="str">
        <v>Mapped</v>
      </c>
      <c r="AV57" t="str">
        <f>IF(OR($AU57="Conflict",$AU57="Review Required",$AU57="New Input Required",$AU57="Unsupported"),"Management","Model owner")</f>
        <v>Model owner</v>
      </c>
      <c r="AW57" t="str">
        <f>IFERROR(INDEX('DATA MAP'!$K$8:$K$137,MATCH($AJ57,'DATA MAP'!$A$8:$A$137,0)),"Management confirmation required.")</f>
        <v>Conflicts with both the target total and the source MODEL DESIGN total. | The detailed component build and PROJECTS CAPEX sections are authoritative; conflicting summaries are evidence only and are not double counted.</v>
      </c>
    </row>
    <row r="58">
      <c r="A58" t="str">
        <v>Concise component input and control schedule. Detailed source data are consolidated into live model drivers with cell-level traceability.</v>
      </c>
      <c r="B58" t="str">
        <v>Concise component input and control schedule. Detailed source data are consolidated into live model drivers with cell-level traceability.</v>
      </c>
      <c r="C58" t="str">
        <v>Concise component input and control schedule. Detailed source data are consolidated into live model drivers with cell-level traceability.</v>
      </c>
      <c r="D58" t="str">
        <v>Concise component input and control schedule. Detailed source data are consolidated into live model drivers with cell-level traceability.</v>
      </c>
      <c r="E58" t="str">
        <v>Concise component input and control schedule. Detailed source data are consolidated into live model drivers with cell-level traceability.</v>
      </c>
      <c r="F58" t="str">
        <v>Concise component input and control schedule. Detailed source data are consolidated into live model drivers with cell-level traceability.</v>
      </c>
      <c r="G58" t="str">
        <v>Concise component input and control schedule. Detailed source data are consolidated into live model drivers with cell-level traceability.</v>
      </c>
      <c r="H58" t="str">
        <v>Concise component input and control schedule. Detailed source data are consolidated into live model drivers with cell-level traceability.</v>
      </c>
      <c r="I58"/>
      <c r="J58"/>
      <c r="K58"/>
      <c r="L58"/>
      <c r="M58"/>
      <c r="N58"/>
      <c r="O58"/>
      <c r="P58"/>
      <c r="Q58"/>
      <c r="R58"/>
      <c r="S58"/>
      <c r="T58"/>
      <c r="U58"/>
      <c r="V58"/>
      <c r="W58"/>
      <c r="X58"/>
      <c r="Y58"/>
      <c r="Z58"/>
      <c r="AA58"/>
      <c r="AB58"/>
      <c r="AC58"/>
      <c r="AD58"/>
      <c r="AE58"/>
      <c r="AF58"/>
      <c r="AG58"/>
      <c r="AH58"/>
      <c r="AI58"/>
      <c r="AJ58" t="str">
        <v>CAPEX-FUND-002</v>
      </c>
      <c r="AK58" t="str">
        <v>Development capex</v>
      </c>
      <c r="AL58" t="str">
        <v>Project</v>
      </c>
      <c r="AM58" t="str">
        <v>Source model-design total development cost</v>
      </c>
      <c r="AN58" t="str">
        <v>A$m</v>
      </c>
      <c r="AO58" t="str">
        <v>Source development period</v>
      </c>
      <c r="AP58" t="n">
        <v>462.75</v>
      </c>
      <c r="AQ58" t="n">
        <f>$AP58*1.1</f>
        <v>509.02500000000003</v>
      </c>
      <c r="AR58" t="n">
        <f>$AP58*0.95</f>
        <v>439.61249999999995</v>
      </c>
      <c r="AS58" t="str">
        <f>IFERROR(INDEX('DATA MAP'!$C$8:$C$137,MATCH($AJ58,'DATA MAP'!$A$8:$A$137,0))&amp;IF(INDEX('DATA MAP'!$D$8:$D$137,MATCH($AJ58,'DATA MAP'!$A$8:$A$137,0))="",""," | "&amp;INDEX('DATA MAP'!$D$8:$D$137,MATCH($AJ58,'DATA MAP'!$A$8:$A$137,0))),"Not provided")</f>
        <v>MODEL DESIGN | C35</v>
      </c>
      <c r="AT58" t="n">
        <v>46228</v>
      </c>
      <c r="AU58" t="str">
        <v>Waived — superseded duplicate</v>
      </c>
      <c r="AV58" t="str">
        <f>IF(OR($AU58="Conflict",$AU58="Review Required",$AU58="New Input Required",$AU58="Unsupported"),"Management","Model owner")</f>
        <v>Model owner</v>
      </c>
      <c r="AW58" t="str">
        <f>IFERROR(INDEX('DATA MAP'!$K$8:$K$137,MATCH($AJ58,'DATA MAP'!$A$8:$A$137,0)),"Management confirmation required.")</f>
        <v>Duplicate project-cost total retained for traceability; not selected because it conflicts with the detailed source schedule and target model. | The detailed component build and PROJECTS CAPEX sections are authoritative; conflicting summaries are evidence only and are not double counted.</v>
      </c>
    </row>
    <row r="59">
      <c r="A59"/>
      <c r="B59"/>
      <c r="C59"/>
      <c r="D59"/>
      <c r="E59"/>
      <c r="F59"/>
      <c r="G59"/>
      <c r="H59"/>
      <c r="I59"/>
      <c r="J59"/>
      <c r="K59"/>
      <c r="L59"/>
      <c r="M59"/>
      <c r="N59"/>
      <c r="O59"/>
      <c r="P59"/>
      <c r="Q59"/>
      <c r="R59"/>
      <c r="S59"/>
      <c r="T59"/>
      <c r="U59"/>
      <c r="V59"/>
      <c r="W59"/>
      <c r="X59"/>
      <c r="Y59"/>
      <c r="Z59"/>
      <c r="AA59"/>
      <c r="AB59"/>
      <c r="AC59"/>
      <c r="AD59"/>
      <c r="AE59"/>
      <c r="AF59"/>
      <c r="AG59"/>
      <c r="AH59"/>
      <c r="AI59"/>
      <c r="AJ59" t="str">
        <v>CAPEX-TARGET-001</v>
      </c>
      <c r="AK59" t="str">
        <v>Development capex</v>
      </c>
      <c r="AL59" t="str">
        <v>Project</v>
      </c>
      <c r="AM59" t="str">
        <v>Target total development cost</v>
      </c>
      <c r="AN59" t="str">
        <v>A$m</v>
      </c>
      <c r="AO59" t="str">
        <v>Target monthly model</v>
      </c>
      <c r="AP59" t="n">
        <f>Underwriting!$I$57/1000000</f>
        <v>418.7585512846001</v>
      </c>
      <c r="AQ59" t="n">
        <f>$AP59*(1+DEBT!$K$31)</f>
        <v>460.63440641306016</v>
      </c>
      <c r="AR59" t="n">
        <f>$AP59*(1+DEBT!$K$33)</f>
        <v>397.82062372037007</v>
      </c>
      <c r="AS59" t="str">
        <f>IFERROR(INDEX('DATA MAP'!$C$8:$C$137,MATCH($AJ59,'DATA MAP'!$A$8:$A$137,0))&amp;IF(INDEX('DATA MAP'!$D$8:$D$137,MATCH($AJ59,'DATA MAP'!$A$8:$A$137,0))="",""," | "&amp;INDEX('DATA MAP'!$D$8:$D$137,MATCH($AJ59,'DATA MAP'!$A$8:$A$137,0))),"Not provided")</f>
        <v>Target: Underwriting | I57</v>
      </c>
      <c r="AT59" t="str">
        <v>Not provided</v>
      </c>
      <c r="AU59" t="str">
        <f>IFERROR(INDEX('DATA MAP'!$I$8:$I$137,MATCH($AJ59,'DATA MAP'!$A$8:$A$137,0)),"Review Required")</f>
        <v>Mapped — reconciled</v>
      </c>
      <c r="AV59" t="str">
        <f>IF(OR($AU59="Conflict",$AU59="Review Required",$AU59="New Input Required",$AU59="Unsupported"),"Management","Model owner")</f>
        <v>Model owner</v>
      </c>
      <c r="AW59" t="str">
        <v>Live base total development cost. Downside and upside columns apply the controlled DEBT cost factors for scenario reference.</v>
      </c>
    </row>
    <row r="60">
      <c r="A60" t="str">
        <v>COMPONENT INPUTS</v>
      </c>
      <c r="B60"/>
      <c r="C60"/>
      <c r="D60"/>
      <c r="E60"/>
      <c r="F60"/>
      <c r="G60"/>
      <c r="H60"/>
      <c r="I60"/>
      <c r="J60"/>
      <c r="K60"/>
      <c r="L60"/>
      <c r="M60"/>
      <c r="N60"/>
      <c r="O60"/>
      <c r="P60"/>
      <c r="Q60"/>
      <c r="R60"/>
      <c r="S60"/>
      <c r="T60"/>
      <c r="U60"/>
      <c r="V60"/>
      <c r="W60"/>
      <c r="X60"/>
      <c r="Y60"/>
      <c r="Z60"/>
      <c r="AA60"/>
      <c r="AB60"/>
      <c r="AC60"/>
      <c r="AD60"/>
      <c r="AE60"/>
      <c r="AF60"/>
      <c r="AG60"/>
      <c r="AH60"/>
      <c r="AI60"/>
      <c r="AJ60" t="str">
        <v>CAPEX-LAND-TGT</v>
      </c>
      <c r="AK60" t="str">
        <v>Development capex</v>
      </c>
      <c r="AL60" t="str">
        <v>Land</v>
      </c>
      <c r="AM60" t="str">
        <v>Target land purchase price</v>
      </c>
      <c r="AN60" t="str">
        <v>A$</v>
      </c>
      <c r="AO60" t="str">
        <v>Model month 0</v>
      </c>
      <c r="AP60" t="n">
        <f>Underwriting!$I$27/1000000</f>
        <v>91.57</v>
      </c>
      <c r="AQ60" t="n">
        <f>$AP60</f>
        <v>91.57</v>
      </c>
      <c r="AR60" t="n">
        <f>$AP60</f>
        <v>91.57</v>
      </c>
      <c r="AS60" t="str">
        <f>IFERROR(INDEX('DATA MAP'!$C$8:$C$137,MATCH($AJ60,'DATA MAP'!$A$8:$A$137,0))&amp;IF(INDEX('DATA MAP'!$D$8:$D$137,MATCH($AJ60,'DATA MAP'!$A$8:$A$137,0))="",""," | "&amp;INDEX('DATA MAP'!$D$8:$D$137,MATCH($AJ60,'DATA MAP'!$A$8:$A$137,0))),"Not provided")</f>
        <v>Target: Underwriting | I27</v>
      </c>
      <c r="AT60" t="str">
        <v>Not provided</v>
      </c>
      <c r="AU60" t="str">
        <f>IFERROR(INDEX('DATA MAP'!$I$8:$I$137,MATCH($AJ60,'DATA MAP'!$A$8:$A$137,0)),"Review Required")</f>
        <v>Mapped — reconciled</v>
      </c>
      <c r="AV60" t="str">
        <f>IF(OR($AU60="Conflict",$AU60="Review Required",$AU60="New Input Required",$AU60="Unsupported"),"Management","Model owner")</f>
        <v>Model owner</v>
      </c>
      <c r="AW60" t="str">
        <f>IFERROR(INDEX('DATA MAP'!$K$8:$K$137,MATCH($AJ60,'DATA MAP'!$A$8:$A$137,0)),"Management confirmation required.")</f>
        <v>Retained because target detailed calculations rank above source summary values. | The detailed component build and PROJECTS CAPEX sections are authoritative; conflicting summaries are evidence only and are not double counted.</v>
      </c>
    </row>
    <row r="61">
      <c r="A61" t="str">
        <v>Field ID</v>
      </c>
      <c r="B61" t="str">
        <v>Assumption</v>
      </c>
      <c r="C61" t="str">
        <v>Unit</v>
      </c>
      <c r="D61" t="str">
        <v>Value</v>
      </c>
      <c r="E61" t="str">
        <v>Source Sheet</v>
      </c>
      <c r="F61" t="str">
        <v>Source Cell</v>
      </c>
      <c r="G61" t="str">
        <v>Status</v>
      </c>
      <c r="H61" t="str">
        <v>Notes</v>
      </c>
      <c r="I61"/>
      <c r="J61"/>
      <c r="K61"/>
      <c r="L61"/>
      <c r="M61"/>
      <c r="N61"/>
      <c r="O61"/>
      <c r="P61"/>
      <c r="Q61"/>
      <c r="R61"/>
      <c r="S61"/>
      <c r="T61"/>
      <c r="U61"/>
      <c r="V61"/>
      <c r="W61"/>
      <c r="X61"/>
      <c r="Y61"/>
      <c r="Z61"/>
      <c r="AA61"/>
      <c r="AB61"/>
      <c r="AC61"/>
      <c r="AD61"/>
      <c r="AE61"/>
      <c r="AF61"/>
      <c r="AG61"/>
      <c r="AH61"/>
      <c r="AI61"/>
      <c r="AJ61" t="str">
        <v>OPS-001</v>
      </c>
      <c r="AK61" t="str">
        <v>Operating assumptions</v>
      </c>
      <c r="AL61" t="str">
        <v>Project</v>
      </c>
      <c r="AM61" t="str">
        <v>CPI</v>
      </c>
      <c r="AN61" t="str">
        <v>% p.a.</v>
      </c>
      <c r="AO61" t="str">
        <v>Annual</v>
      </c>
      <c r="AP61" t="n">
        <v>0.03</v>
      </c>
      <c r="AQ61" t="n">
        <v>0.03</v>
      </c>
      <c r="AR61" t="n">
        <v>0.03</v>
      </c>
      <c r="AS61" t="str">
        <f>IFERROR(INDEX('DATA MAP'!$C$8:$C$137,MATCH($AJ61,'DATA MAP'!$A$8:$A$137,0))&amp;IF(INDEX('DATA MAP'!$D$8:$D$137,MATCH($AJ61,'DATA MAP'!$A$8:$A$137,0))="",""," | "&amp;INDEX('DATA MAP'!$D$8:$D$137,MATCH($AJ61,'DATA MAP'!$A$8:$A$137,0))),"Not provided")</f>
        <v>MODEL DESIGN | C50</v>
      </c>
      <c r="AT61" t="str">
        <v>Not provided</v>
      </c>
      <c r="AU61" t="str">
        <f>IFERROR(INDEX('DATA MAP'!$I$8:$I$137,MATCH($AJ61,'DATA MAP'!$A$8:$A$137,0)),"Review Required")</f>
        <v>Mapped — reconciled</v>
      </c>
      <c r="AV61" t="str">
        <f>IF(OR($AU61="Conflict",$AU61="Review Required",$AU61="New Input Required",$AU61="Unsupported"),"Management","Model owner")</f>
        <v>Model owner</v>
      </c>
      <c r="AW61" t="str">
        <f>IFERROR(INDEX('DATA MAP'!$K$8:$K$137,MATCH($AJ61,'DATA MAP'!$A$8:$A$137,0)),"Management confirmation required.")</f>
        <v>760 | The target monthly operating, tax and working-capital schedules control; specialist confirmation remains an OWNER DECISION where stated.</v>
      </c>
    </row>
    <row r="62">
      <c r="A62" t="str">
        <v>SNOWTUNNEL-FOOTPRINT</v>
      </c>
      <c r="B62" t="str">
        <v>Footprint</v>
      </c>
      <c r="C62" t="str">
        <v>sqm</v>
      </c>
      <c r="D62" t="n">
        <f>PROJECTS!$AP$231</f>
        <v>3800</v>
      </c>
      <c r="E62" t="str">
        <v>PROJECT DATA</v>
      </c>
      <c r="F62" t="str">
        <v>G231</v>
      </c>
      <c r="G62" t="str">
        <v>Formula Preserved</v>
      </c>
      <c r="H62" t="str">
        <v>Data-book component footprint.</v>
      </c>
      <c r="I62"/>
      <c r="J62"/>
      <c r="K62"/>
      <c r="L62"/>
      <c r="M62"/>
      <c r="N62"/>
      <c r="O62"/>
      <c r="P62"/>
      <c r="Q62"/>
      <c r="R62"/>
      <c r="S62"/>
      <c r="T62"/>
      <c r="U62"/>
      <c r="V62"/>
      <c r="W62"/>
      <c r="X62"/>
      <c r="Y62"/>
      <c r="Z62"/>
      <c r="AA62"/>
      <c r="AB62"/>
      <c r="AC62"/>
      <c r="AD62"/>
      <c r="AE62"/>
      <c r="AF62"/>
      <c r="AG62"/>
      <c r="AH62"/>
      <c r="AI62"/>
      <c r="AJ62" t="str">
        <v>OPS-002</v>
      </c>
      <c r="AK62" t="str">
        <v>Operating assumptions</v>
      </c>
      <c r="AL62" t="str">
        <v>Project</v>
      </c>
      <c r="AM62" t="str">
        <v>Operating expense growth</v>
      </c>
      <c r="AN62" t="str">
        <v>% p.a.</v>
      </c>
      <c r="AO62" t="str">
        <v>Annual</v>
      </c>
      <c r="AP62" t="n">
        <v>0.025</v>
      </c>
      <c r="AQ62" t="n">
        <v>0.03</v>
      </c>
      <c r="AR62" t="n">
        <v>0.02</v>
      </c>
      <c r="AS62" t="str">
        <f>IFERROR(INDEX('DATA MAP'!$C$8:$C$137,MATCH($AJ62,'DATA MAP'!$A$8:$A$137,0))&amp;IF(INDEX('DATA MAP'!$D$8:$D$137,MATCH($AJ62,'DATA MAP'!$A$8:$A$137,0))="",""," | "&amp;INDEX('DATA MAP'!$D$8:$D$137,MATCH($AJ62,'DATA MAP'!$A$8:$A$137,0))),"Not provided")</f>
        <v>ASSUMPTIONS | B8,E8,H8</v>
      </c>
      <c r="AT62" t="str">
        <v>Not provided</v>
      </c>
      <c r="AU62" t="str">
        <f>IFERROR(INDEX('DATA MAP'!$I$8:$I$137,MATCH($AJ62,'DATA MAP'!$A$8:$A$137,0)),"Review Required")</f>
        <v>Mapped — reconciled</v>
      </c>
      <c r="AV62" t="str">
        <f>IF(OR($AU62="Conflict",$AU62="Review Required",$AU62="New Input Required",$AU62="Unsupported"),"Management","Model owner")</f>
        <v>Model owner</v>
      </c>
      <c r="AW62" t="str">
        <f>IFERROR(INDEX('DATA MAP'!$K$8:$K$137,MATCH($AJ62,'DATA MAP'!$A$8:$A$137,0)),"Management confirmation required.")</f>
        <v>760 | The target monthly operating, tax and working-capital schedules control; specialist confirmation remains an OWNER DECISION where stated.</v>
      </c>
    </row>
    <row r="63">
      <c r="A63" t="str">
        <v>SNOWTUNNEL-LAND</v>
      </c>
      <c r="B63" t="str">
        <v>Land area</v>
      </c>
      <c r="C63" t="str">
        <v>sqm</v>
      </c>
      <c r="D63" t="n">
        <f>PROJECTS!$AP$232</f>
        <v>300</v>
      </c>
      <c r="E63" t="str">
        <v>PROJECT DATA</v>
      </c>
      <c r="F63" t="str">
        <v>G232</v>
      </c>
      <c r="G63" t="str">
        <v>Formula Preserved</v>
      </c>
      <c r="H63" t="str">
        <v>May overlap vertically or with shared precinct uses.</v>
      </c>
      <c r="I63"/>
      <c r="J63"/>
      <c r="K63"/>
      <c r="L63"/>
      <c r="M63"/>
      <c r="N63"/>
      <c r="O63"/>
      <c r="P63"/>
      <c r="Q63"/>
      <c r="R63"/>
      <c r="S63"/>
      <c r="T63"/>
      <c r="U63"/>
      <c r="V63"/>
      <c r="W63"/>
      <c r="X63"/>
      <c r="Y63"/>
      <c r="Z63"/>
      <c r="AA63"/>
      <c r="AB63"/>
      <c r="AC63"/>
      <c r="AD63"/>
      <c r="AE63"/>
      <c r="AF63"/>
      <c r="AG63"/>
      <c r="AH63"/>
      <c r="AI63"/>
      <c r="AJ63" t="str">
        <v>OPS-003</v>
      </c>
      <c r="AK63" t="str">
        <v>Operating assumptions</v>
      </c>
      <c r="AL63" t="str">
        <v>PBSA/student accommodation</v>
      </c>
      <c r="AM63" t="str">
        <v>Occupancy</v>
      </c>
      <c r="AN63" t="str">
        <v>%</v>
      </c>
      <c r="AO63" t="str">
        <v>Stabilised</v>
      </c>
      <c r="AP63" t="n">
        <v>0.95</v>
      </c>
      <c r="AQ63" t="n">
        <v>0.85</v>
      </c>
      <c r="AR63" t="n">
        <v>0.98</v>
      </c>
      <c r="AS63" t="str">
        <f>IFERROR(INDEX('DATA MAP'!$C$8:$C$137,MATCH($AJ63,'DATA MAP'!$A$8:$A$137,0))&amp;IF(INDEX('DATA MAP'!$D$8:$D$137,MATCH($AJ63,'DATA MAP'!$A$8:$A$137,0))="",""," | "&amp;INDEX('DATA MAP'!$D$8:$D$137,MATCH($AJ63,'DATA MAP'!$A$8:$A$137,0))),"Not provided")</f>
        <v>MODEL DESIGN | C112:C114</v>
      </c>
      <c r="AT63" t="str">
        <v>Not provided</v>
      </c>
      <c r="AU63" t="str">
        <f>IFERROR(INDEX('DATA MAP'!$I$8:$I$137,MATCH($AJ63,'DATA MAP'!$A$8:$A$137,0)),"Review Required")</f>
        <v>Mapped — reconciled</v>
      </c>
      <c r="AV63" t="str">
        <f>IF(OR($AU63="Conflict",$AU63="Review Required",$AU63="New Input Required",$AU63="Unsupported"),"Management","Model owner")</f>
        <v>Model owner</v>
      </c>
      <c r="AW63" t="str">
        <f>IFERROR(INDEX('DATA MAP'!$K$8:$K$137,MATCH($AJ63,'DATA MAP'!$A$8:$A$137,0)),"Management confirmation required.")</f>
        <v>760 | The target monthly operating, tax and working-capital schedules control; specialist confirmation remains an OWNER DECISION where stated.</v>
      </c>
    </row>
    <row r="64">
      <c r="A64" t="str">
        <v>SNOWTUNNEL-GFA</v>
      </c>
      <c r="B64" t="str">
        <v>Estimated GFA / operating area</v>
      </c>
      <c r="C64" t="str">
        <v>sqm</v>
      </c>
      <c r="D64" t="n">
        <f>C74</f>
        <v>3800</v>
      </c>
      <c r="E64" t="str">
        <v>PROJECT DATA</v>
      </c>
      <c r="F64" t="str">
        <v>G26</v>
      </c>
      <c r="G64" t="str">
        <v>Formula Preserved</v>
      </c>
      <c r="H64" t="str">
        <v>Controlling model area.</v>
      </c>
      <c r="I64"/>
      <c r="J64"/>
      <c r="K64"/>
      <c r="L64"/>
      <c r="M64"/>
      <c r="N64"/>
      <c r="O64"/>
      <c r="P64"/>
      <c r="Q64"/>
      <c r="R64"/>
      <c r="S64"/>
      <c r="T64"/>
      <c r="U64"/>
      <c r="V64"/>
      <c r="W64"/>
      <c r="X64"/>
      <c r="Y64"/>
      <c r="Z64"/>
      <c r="AA64"/>
      <c r="AB64"/>
      <c r="AC64"/>
      <c r="AD64"/>
      <c r="AE64"/>
      <c r="AF64"/>
      <c r="AG64"/>
      <c r="AH64"/>
      <c r="AI64"/>
      <c r="AJ64" t="str">
        <v>OPS-004</v>
      </c>
      <c r="AK64" t="str">
        <v>Operating assumptions</v>
      </c>
      <c r="AL64" t="str">
        <v>Project</v>
      </c>
      <c r="AM64" t="str">
        <v>Corporate tax rate</v>
      </c>
      <c r="AN64" t="str">
        <v>%</v>
      </c>
      <c r="AO64" t="str">
        <v>Annual</v>
      </c>
      <c r="AP64" t="n">
        <v>0.3</v>
      </c>
      <c r="AQ64" t="n">
        <v>0.3</v>
      </c>
      <c r="AR64" t="n">
        <v>0.3</v>
      </c>
      <c r="AS64" t="str">
        <v>MODEL DESIGN | D44; ASSUMPTIONS | B12:D12</v>
      </c>
      <c r="AT64" t="str">
        <v>Not provided</v>
      </c>
      <c r="AU64" t="str">
        <v>Mapped</v>
      </c>
      <c r="AV64" t="str">
        <f>IF(OR($AU64="Conflict",$AU64="Review Required",$AU64="New Input Required",$AU64="Unsupported"),"Management","Model owner")</f>
        <v>Model owner</v>
      </c>
      <c r="AW64" t="str">
        <v>Source-backed 30% corporate tax rate; timing, tax depreciation and transaction-specific advice remain provisional.</v>
      </c>
    </row>
    <row r="65">
      <c r="A65" t="str">
        <v>SNOWTUNNEL-CORE</v>
      </c>
      <c r="B65" t="str">
        <v>Core / shell CAPEX</v>
      </c>
      <c r="C65" t="str">
        <v>A$m</v>
      </c>
      <c r="D65" t="n">
        <f>D74</f>
        <v>13</v>
      </c>
      <c r="E65" t="str">
        <v>PROJECT DATA</v>
      </c>
      <c r="F65" t="str">
        <v>PROJECTS!D74</v>
      </c>
      <c r="G65" t="str">
        <v>Formula Preserved</v>
      </c>
      <c r="H65" t="str">
        <v>Current detailed data-book amount.</v>
      </c>
      <c r="I65"/>
      <c r="J65"/>
      <c r="K65"/>
      <c r="L65"/>
      <c r="M65"/>
      <c r="N65"/>
      <c r="O65"/>
      <c r="P65"/>
      <c r="Q65"/>
      <c r="R65"/>
      <c r="S65"/>
      <c r="T65"/>
      <c r="U65"/>
      <c r="V65"/>
      <c r="W65"/>
      <c r="X65"/>
      <c r="Y65"/>
      <c r="Z65"/>
      <c r="AA65"/>
      <c r="AB65"/>
      <c r="AC65"/>
      <c r="AD65"/>
      <c r="AE65"/>
      <c r="AF65"/>
      <c r="AG65"/>
      <c r="AH65"/>
      <c r="AI65"/>
      <c r="AJ65" t="str">
        <v>OPS-005</v>
      </c>
      <c r="AK65" t="str">
        <v>Operating assumptions</v>
      </c>
      <c r="AL65" t="str">
        <v>Project</v>
      </c>
      <c r="AM65" t="str">
        <v>Source operating revenue</v>
      </c>
      <c r="AN65" t="str">
        <v>A$m</v>
      </c>
      <c r="AO65" t="str">
        <v>2029</v>
      </c>
      <c r="AP65" t="n">
        <v>48.8302003682858</v>
      </c>
      <c r="AQ65" t="str">
        <v>760</v>
      </c>
      <c r="AR65" t="str">
        <v>760</v>
      </c>
      <c r="AS65" t="str">
        <f>IFERROR(INDEX('DATA MAP'!$C$8:$C$137,MATCH($AJ65,'DATA MAP'!$A$8:$A$137,0))&amp;IF(INDEX('DATA MAP'!$D$8:$D$137,MATCH($AJ65,'DATA MAP'!$A$8:$A$137,0))="",""," | "&amp;INDEX('DATA MAP'!$D$8:$D$137,MATCH($AJ65,'DATA MAP'!$A$8:$A$137,0))),"Not provided")</f>
        <v>PROJECT CASH FLOW | G93</v>
      </c>
      <c r="AT65" t="str">
        <v>Not provided</v>
      </c>
      <c r="AU65" t="str">
        <f>IFERROR(INDEX('DATA MAP'!$I$8:$I$137,MATCH($AJ65,'DATA MAP'!$A$8:$A$137,0)),"Review Required")</f>
        <v>Mapped — reconciled</v>
      </c>
      <c r="AV65" t="str">
        <f>IF(OR($AU65="Conflict",$AU65="Review Required",$AU65="New Input Required",$AU65="Unsupported"),"Management","Model owner")</f>
        <v>Model owner</v>
      </c>
      <c r="AW65" t="str">
        <f>IFERROR(INDEX('DATA MAP'!$K$8:$K$137,MATCH($AJ65,'DATA MAP'!$A$8:$A$137,0)),"Management confirmation required.")</f>
        <v>Source annual revenue is not imported into the target monthly schedule because the scopes differ. | The target monthly operating, tax and working-capital schedules control; specialist confirmation remains an OWNER DECISION where stated.</v>
      </c>
    </row>
    <row r="66">
      <c r="A66" t="str">
        <v>SNOWTUNNEL-FITOUT</v>
      </c>
      <c r="B66" t="str">
        <v>Fitout CAPEX</v>
      </c>
      <c r="C66" t="str">
        <v>A$m</v>
      </c>
      <c r="D66" t="n">
        <f>E74</f>
        <v>0</v>
      </c>
      <c r="E66" t="str">
        <v>PROJECT CASH FLOW</v>
      </c>
      <c r="F66" t="str">
        <v>PROJECTS!E74</v>
      </c>
      <c r="G66" t="str">
        <v>Mapped</v>
      </c>
      <c r="H66" t="str">
        <v>Current detailed data-book amount.</v>
      </c>
      <c r="I66"/>
      <c r="J66"/>
      <c r="K66"/>
      <c r="L66"/>
      <c r="M66"/>
      <c r="N66"/>
      <c r="O66"/>
      <c r="P66"/>
      <c r="Q66"/>
      <c r="R66"/>
      <c r="S66"/>
      <c r="T66"/>
      <c r="U66"/>
      <c r="V66"/>
      <c r="W66"/>
      <c r="X66"/>
      <c r="Y66"/>
      <c r="Z66"/>
      <c r="AA66"/>
      <c r="AB66"/>
      <c r="AC66"/>
      <c r="AD66"/>
      <c r="AE66"/>
      <c r="AF66"/>
      <c r="AG66"/>
      <c r="AH66"/>
      <c r="AI66"/>
      <c r="AJ66" t="str">
        <v>OPS-006</v>
      </c>
      <c r="AK66" t="str">
        <v>Operating assumptions</v>
      </c>
      <c r="AL66" t="str">
        <v>Project</v>
      </c>
      <c r="AM66" t="str">
        <v>Target stabilised potential gross income</v>
      </c>
      <c r="AN66" t="str">
        <v>A$m</v>
      </c>
      <c r="AO66" t="str">
        <v>Stabilised</v>
      </c>
      <c r="AP66" t="n">
        <v>17.3265437456202</v>
      </c>
      <c r="AQ66" t="str">
        <v>760</v>
      </c>
      <c r="AR66" t="str">
        <v>760</v>
      </c>
      <c r="AS66" t="str">
        <f>IFERROR(INDEX('DATA MAP'!$C$8:$C$137,MATCH($AJ66,'DATA MAP'!$A$8:$A$137,0))&amp;IF(INDEX('DATA MAP'!$D$8:$D$137,MATCH($AJ66,'DATA MAP'!$A$8:$A$137,0))="",""," | "&amp;INDEX('DATA MAP'!$D$8:$D$137,MATCH($AJ66,'DATA MAP'!$A$8:$A$137,0))),"Not provided")</f>
        <v>Target: Underwriting | I130</v>
      </c>
      <c r="AT66" t="str">
        <v>Not provided</v>
      </c>
      <c r="AU66" t="str">
        <f>IFERROR(INDEX('DATA MAP'!$I$8:$I$137,MATCH($AJ66,'DATA MAP'!$A$8:$A$137,0)),"Review Required")</f>
        <v>Mapped — reconciled</v>
      </c>
      <c r="AV66" t="str">
        <f>IF(OR($AU66="Conflict",$AU66="Review Required",$AU66="New Input Required",$AU66="Unsupported"),"Management","Model owner")</f>
        <v>Model owner</v>
      </c>
      <c r="AW66" t="str">
        <f>IFERROR(INDEX('DATA MAP'!$K$8:$K$137,MATCH($AJ66,'DATA MAP'!$A$8:$A$137,0)),"Management confirmation required.")</f>
        <v>760 | The target monthly operating, tax and working-capital schedules control; specialist confirmation remains an OWNER DECISION where stated.</v>
      </c>
    </row>
    <row r="67">
      <c r="A67" t="str">
        <v>SNOWTUNNEL-TOTAL</v>
      </c>
      <c r="B67" t="str">
        <v>Total component CAPEX</v>
      </c>
      <c r="C67" t="str">
        <v>A$m</v>
      </c>
      <c r="D67" t="n">
        <f>F74</f>
        <v>13</v>
      </c>
      <c r="E67" t="str">
        <v>PROJECT DATA</v>
      </c>
      <c r="F67" t="str">
        <v>G40</v>
      </c>
      <c r="G67" t="str">
        <v>Formula Preserved</v>
      </c>
      <c r="H67" t="str">
        <v>Feeds PROJECTS CAPEX sections and project funding.</v>
      </c>
      <c r="I67"/>
      <c r="J67"/>
      <c r="K67"/>
      <c r="L67"/>
      <c r="M67"/>
      <c r="N67"/>
      <c r="O67"/>
      <c r="P67"/>
      <c r="Q67"/>
      <c r="R67"/>
      <c r="S67"/>
      <c r="T67"/>
      <c r="U67"/>
      <c r="V67"/>
      <c r="W67"/>
      <c r="X67"/>
      <c r="Y67"/>
      <c r="Z67"/>
      <c r="AA67"/>
      <c r="AB67"/>
      <c r="AC67"/>
      <c r="AD67"/>
      <c r="AE67"/>
      <c r="AF67"/>
      <c r="AG67"/>
      <c r="AH67"/>
      <c r="AI67"/>
      <c r="AJ67" t="str">
        <v>OPS-007</v>
      </c>
      <c r="AK67" t="str">
        <v>Operating assumptions</v>
      </c>
      <c r="AL67" t="str">
        <v>Project</v>
      </c>
      <c r="AM67" t="str">
        <v>Target stabilised NOI</v>
      </c>
      <c r="AN67" t="str">
        <v>A$m</v>
      </c>
      <c r="AO67" t="str">
        <v>Stabilised</v>
      </c>
      <c r="AP67" t="n">
        <v>16.37</v>
      </c>
      <c r="AQ67" t="str">
        <v>760</v>
      </c>
      <c r="AR67" t="str">
        <v>760</v>
      </c>
      <c r="AS67" t="str">
        <f>IFERROR(INDEX('DATA MAP'!$C$8:$C$137,MATCH($AJ67,'DATA MAP'!$A$8:$A$137,0))&amp;IF(INDEX('DATA MAP'!$D$8:$D$137,MATCH($AJ67,'DATA MAP'!$A$8:$A$137,0))="",""," | "&amp;INDEX('DATA MAP'!$D$8:$D$137,MATCH($AJ67,'DATA MAP'!$A$8:$A$137,0))),"Not provided")</f>
        <v>Target: Underwriting | I140</v>
      </c>
      <c r="AT67" t="str">
        <v>Not provided</v>
      </c>
      <c r="AU67" t="str">
        <f>IFERROR(INDEX('DATA MAP'!$I$8:$I$137,MATCH($AJ67,'DATA MAP'!$A$8:$A$137,0)),"Review Required")</f>
        <v>Mapped — reconciled</v>
      </c>
      <c r="AV67" t="str">
        <f>IF(OR($AU67="Conflict",$AU67="Review Required",$AU67="New Input Required",$AU67="Unsupported"),"Management","Model owner")</f>
        <v>Model owner</v>
      </c>
      <c r="AW67" t="str">
        <f>IFERROR(INDEX('DATA MAP'!$K$8:$K$137,MATCH($AJ67,'DATA MAP'!$A$8:$A$137,0)),"Management confirmation required.")</f>
        <v>760 | The target monthly operating, tax and working-capital schedules control; specialist confirmation remains an OWNER DECISION where stated.</v>
      </c>
    </row>
    <row r="68">
      <c r="A68" t="str">
        <v>SNOWTUNNEL-CAPEX-SQM</v>
      </c>
      <c r="B68" t="str">
        <v>CAPEX per sqm</v>
      </c>
      <c r="C68" t="str">
        <v>A$/sqm</v>
      </c>
      <c r="D68" t="n">
        <f>IF(C74=0,0,F74*1000000/C74)</f>
        <v>3421.0526315789475</v>
      </c>
      <c r="E68" t="str">
        <v>Calculated</v>
      </c>
      <c r="F68" t="str">
        <v>F74/C74</v>
      </c>
      <c r="G68" t="str">
        <v>Formula Preserved</v>
      </c>
      <c r="H68" t="str">
        <v>Reasonableness metric; not an input.</v>
      </c>
      <c r="I68"/>
      <c r="J68"/>
      <c r="K68"/>
      <c r="L68"/>
      <c r="M68"/>
      <c r="N68"/>
      <c r="O68"/>
      <c r="P68"/>
      <c r="Q68"/>
      <c r="R68"/>
      <c r="S68"/>
      <c r="T68"/>
      <c r="U68"/>
      <c r="V68"/>
      <c r="W68"/>
      <c r="X68"/>
      <c r="Y68"/>
      <c r="Z68"/>
      <c r="AA68"/>
      <c r="AB68"/>
      <c r="AC68"/>
      <c r="AD68"/>
      <c r="AE68"/>
      <c r="AF68"/>
      <c r="AG68"/>
      <c r="AH68"/>
      <c r="AI68"/>
      <c r="AJ68" t="str">
        <v>LEASE-001</v>
      </c>
      <c r="AK68" t="str">
        <v>Lease assumptions</v>
      </c>
      <c r="AL68" t="str">
        <v>Project</v>
      </c>
      <c r="AM68" t="str">
        <v>Annual rent escalation</v>
      </c>
      <c r="AN68" t="str">
        <v>% p.a.</v>
      </c>
      <c r="AO68" t="str">
        <v>Annual</v>
      </c>
      <c r="AP68" t="n">
        <v>0.035</v>
      </c>
      <c r="AQ68" t="n">
        <v>0.035</v>
      </c>
      <c r="AR68" t="n">
        <v>0.035</v>
      </c>
      <c r="AS68" t="str">
        <f>IFERROR(INDEX('DATA MAP'!$C$8:$C$137,MATCH($AJ68,'DATA MAP'!$A$8:$A$137,0))&amp;IF(INDEX('DATA MAP'!$D$8:$D$137,MATCH($AJ68,'DATA MAP'!$A$8:$A$137,0))="",""," | "&amp;INDEX('DATA MAP'!$D$8:$D$137,MATCH($AJ68,'DATA MAP'!$A$8:$A$137,0))),"Not provided")</f>
        <v>MODEL DESIGN | C51</v>
      </c>
      <c r="AT68" t="str">
        <v>Not provided</v>
      </c>
      <c r="AU68" t="str">
        <f>IFERROR(INDEX('DATA MAP'!$I$8:$I$137,MATCH($AJ68,'DATA MAP'!$A$8:$A$137,0)),"Review Required")</f>
        <v>Mapped</v>
      </c>
      <c r="AV68" t="str">
        <f>IF(OR($AU68="Conflict",$AU68="Review Required",$AU68="New Input Required",$AU68="Unsupported"),"Management","Model owner")</f>
        <v>Model owner</v>
      </c>
      <c r="AW68" t="str">
        <f>IFERROR(INDEX('DATA MAP'!$K$8:$K$137,MATCH($AJ68,'DATA MAP'!$A$8:$A$137,0)),"Management confirmation required.")</f>
        <v>Linked to all twelve target component rent-growth inputs.</v>
      </c>
    </row>
    <row r="69">
      <c r="A69" t="str">
        <v>SNOWTUNNEL-OPS</v>
      </c>
      <c r="B69" t="str">
        <v>Operating forecast</v>
      </c>
      <c r="C69" t="str">
        <v>Reference</v>
      </c>
      <c r="D69" t="str">
        <v>OPERATING MODEL</v>
      </c>
      <c r="E69" t="str">
        <v>SNOWTUNNEL CAPEX OPEX</v>
      </c>
      <c r="F69" t="str">
        <v>See source schedules</v>
      </c>
      <c r="G69" t="str">
        <v>Mapped</v>
      </c>
      <c r="H69" t="str">
        <v>Component detail is consolidated into the management operating forecast; no parallel revenue schedule is created.</v>
      </c>
      <c r="I69"/>
      <c r="J69"/>
      <c r="K69"/>
      <c r="L69"/>
      <c r="M69"/>
      <c r="N69"/>
      <c r="O69"/>
      <c r="P69"/>
      <c r="Q69"/>
      <c r="R69"/>
      <c r="S69"/>
      <c r="T69"/>
      <c r="U69"/>
      <c r="V69"/>
      <c r="W69"/>
      <c r="X69"/>
      <c r="Y69"/>
      <c r="Z69"/>
      <c r="AA69"/>
      <c r="AB69"/>
      <c r="AC69"/>
      <c r="AD69"/>
      <c r="AE69"/>
      <c r="AF69"/>
      <c r="AG69"/>
      <c r="AH69"/>
      <c r="AI69"/>
      <c r="AJ69" t="str">
        <v>LEASE-URWLD</v>
      </c>
      <c r="AK69" t="str">
        <v>Lease assumptions</v>
      </c>
      <c r="AL69" t="str">
        <v>URWLD</v>
      </c>
      <c r="AM69" t="str">
        <v>URWLD rent</v>
      </c>
      <c r="AN69" t="str">
        <v>A$/sqm/year</v>
      </c>
      <c r="AO69" t="str">
        <v>Year 1</v>
      </c>
      <c r="AP69" t="n">
        <v>400</v>
      </c>
      <c r="AQ69" t="str">
        <v>760</v>
      </c>
      <c r="AR69" t="str">
        <v>760</v>
      </c>
      <c r="AS69" t="str">
        <f>IFERROR(INDEX('DATA MAP'!$C$8:$C$137,MATCH($AJ69,'DATA MAP'!$A$8:$A$137,0))&amp;IF(INDEX('DATA MAP'!$D$8:$D$137,MATCH($AJ69,'DATA MAP'!$A$8:$A$137,0))="",""," | "&amp;INDEX('DATA MAP'!$D$8:$D$137,MATCH($AJ69,'DATA MAP'!$A$8:$A$137,0))),"Not provided")</f>
        <v>Target: Underwriting | H93</v>
      </c>
      <c r="AT69" t="str">
        <v>Not provided</v>
      </c>
      <c r="AU69" t="str">
        <f>IFERROR(INDEX('DATA MAP'!$I$8:$I$137,MATCH($AJ69,'DATA MAP'!$A$8:$A$137,0)),"Review Required")</f>
        <v>Mapped</v>
      </c>
      <c r="AV69" t="str">
        <f>IF(OR($AU69="Conflict",$AU69="Review Required",$AU69="New Input Required",$AU69="Unsupported"),"Management","Model owner")</f>
        <v>Model owner</v>
      </c>
      <c r="AW69" t="str">
        <f>IFERROR(INDEX('DATA MAP'!$K$8:$K$137,MATCH($AJ69,'DATA MAP'!$A$8:$A$137,0)),"Management confirmation required.")</f>
        <v>Data-book lease and operating schedules require scope reconciliation before replacement.</v>
      </c>
    </row>
    <row r="70">
      <c r="A70"/>
      <c r="B70"/>
      <c r="C70"/>
      <c r="D70"/>
      <c r="E70"/>
      <c r="F70"/>
      <c r="G70"/>
      <c r="H70"/>
      <c r="I70"/>
      <c r="J70"/>
      <c r="K70"/>
      <c r="L70"/>
      <c r="M70"/>
      <c r="N70"/>
      <c r="O70"/>
      <c r="P70"/>
      <c r="Q70"/>
      <c r="R70"/>
      <c r="S70"/>
      <c r="T70"/>
      <c r="U70"/>
      <c r="V70"/>
      <c r="W70"/>
      <c r="X70"/>
      <c r="Y70"/>
      <c r="Z70"/>
      <c r="AA70"/>
      <c r="AB70"/>
      <c r="AC70"/>
      <c r="AD70"/>
      <c r="AE70"/>
      <c r="AF70"/>
      <c r="AG70"/>
      <c r="AH70"/>
      <c r="AI70"/>
      <c r="AJ70" t="str">
        <v>LEASE-PBSA</v>
      </c>
      <c r="AK70" t="str">
        <v>Lease assumptions</v>
      </c>
      <c r="AL70" t="str">
        <v>PBSA/student accommodation</v>
      </c>
      <c r="AM70" t="str">
        <v>PBSA property rent</v>
      </c>
      <c r="AN70" t="str">
        <v>A$/sqm/year</v>
      </c>
      <c r="AO70" t="str">
        <v>Year 1</v>
      </c>
      <c r="AP70" t="n">
        <v>0</v>
      </c>
      <c r="AQ70" t="str">
        <v>760</v>
      </c>
      <c r="AR70" t="str">
        <v>760</v>
      </c>
      <c r="AS70" t="str">
        <f>IFERROR(INDEX('DATA MAP'!$C$8:$C$137,MATCH($AJ70,'DATA MAP'!$A$8:$A$137,0))&amp;IF(INDEX('DATA MAP'!$D$8:$D$137,MATCH($AJ70,'DATA MAP'!$A$8:$A$137,0))="",""," | "&amp;INDEX('DATA MAP'!$D$8:$D$137,MATCH($AJ70,'DATA MAP'!$A$8:$A$137,0))),"Not provided")</f>
        <v>Target: Underwriting | H94</v>
      </c>
      <c r="AT70" t="str">
        <v>Not provided</v>
      </c>
      <c r="AU70" t="str">
        <f>IFERROR(INDEX('DATA MAP'!$I$8:$I$137,MATCH($AJ70,'DATA MAP'!$A$8:$A$137,0)),"Review Required")</f>
        <v>Mapped</v>
      </c>
      <c r="AV70" t="str">
        <f>IF(OR($AU70="Conflict",$AU70="Review Required",$AU70="New Input Required",$AU70="Unsupported"),"Management","Model owner")</f>
        <v>Model owner</v>
      </c>
      <c r="AW70" t="str">
        <f>IFERROR(INDEX('DATA MAP'!$K$8:$K$137,MATCH($AJ70,'DATA MAP'!$A$8:$A$137,0)),"Management confirmation required.")</f>
        <v>Data-book lease and operating schedules require scope reconciliation before replacement.</v>
      </c>
    </row>
    <row r="71">
      <c r="A71"/>
      <c r="B71"/>
      <c r="C71"/>
      <c r="D71"/>
      <c r="E71"/>
      <c r="F71"/>
      <c r="G71"/>
      <c r="H71"/>
      <c r="I71"/>
      <c r="J71"/>
      <c r="K71"/>
      <c r="L71"/>
      <c r="M71"/>
      <c r="N71"/>
      <c r="O71"/>
      <c r="P71"/>
      <c r="Q71"/>
      <c r="R71"/>
      <c r="S71"/>
      <c r="T71"/>
      <c r="U71"/>
      <c r="V71"/>
      <c r="W71"/>
      <c r="X71"/>
      <c r="Y71"/>
      <c r="Z71"/>
      <c r="AA71"/>
      <c r="AB71"/>
      <c r="AC71"/>
      <c r="AD71"/>
      <c r="AE71"/>
      <c r="AF71"/>
      <c r="AG71"/>
      <c r="AH71"/>
      <c r="AI71"/>
      <c r="AJ71" t="str">
        <v>LEASE-LIVE</v>
      </c>
      <c r="AK71" t="str">
        <v>Lease assumptions</v>
      </c>
      <c r="AL71" t="str">
        <v>LiveHouse</v>
      </c>
      <c r="AM71" t="str">
        <v>LiveHouse rent</v>
      </c>
      <c r="AN71" t="str">
        <v>A$/sqm/year</v>
      </c>
      <c r="AO71" t="str">
        <v>Year 1</v>
      </c>
      <c r="AP71" t="n">
        <v>400</v>
      </c>
      <c r="AQ71" t="str">
        <v>760</v>
      </c>
      <c r="AR71" t="str">
        <v>760</v>
      </c>
      <c r="AS71" t="str">
        <f>IFERROR(INDEX('DATA MAP'!$C$8:$C$137,MATCH($AJ71,'DATA MAP'!$A$8:$A$137,0))&amp;IF(INDEX('DATA MAP'!$D$8:$D$137,MATCH($AJ71,'DATA MAP'!$A$8:$A$137,0))="",""," | "&amp;INDEX('DATA MAP'!$D$8:$D$137,MATCH($AJ71,'DATA MAP'!$A$8:$A$137,0))),"Not provided")</f>
        <v>Target: Underwriting | H95</v>
      </c>
      <c r="AT71" t="str">
        <v>Not provided</v>
      </c>
      <c r="AU71" t="str">
        <f>IFERROR(INDEX('DATA MAP'!$I$8:$I$137,MATCH($AJ71,'DATA MAP'!$A$8:$A$137,0)),"Review Required")</f>
        <v>Mapped</v>
      </c>
      <c r="AV71" t="str">
        <f>IF(OR($AU71="Conflict",$AU71="Review Required",$AU71="New Input Required",$AU71="Unsupported"),"Management","Model owner")</f>
        <v>Model owner</v>
      </c>
      <c r="AW71" t="str">
        <f>IFERROR(INDEX('DATA MAP'!$K$8:$K$137,MATCH($AJ71,'DATA MAP'!$A$8:$A$137,0)),"Management confirmation required.")</f>
        <v>Data-book lease and operating schedules require scope reconciliation before replacement.</v>
      </c>
    </row>
    <row r="72">
      <c r="A72" t="str">
        <v>CAPEX DETAIL | A$ MILLION</v>
      </c>
      <c r="B72"/>
      <c r="C72"/>
      <c r="D72"/>
      <c r="E72"/>
      <c r="F72"/>
      <c r="G72"/>
      <c r="H72"/>
      <c r="I72"/>
      <c r="J72"/>
      <c r="K72"/>
      <c r="L72"/>
      <c r="M72"/>
      <c r="N72"/>
      <c r="O72"/>
      <c r="P72"/>
      <c r="Q72"/>
      <c r="R72"/>
      <c r="S72"/>
      <c r="T72"/>
      <c r="U72"/>
      <c r="V72"/>
      <c r="W72"/>
      <c r="X72"/>
      <c r="Y72"/>
      <c r="Z72"/>
      <c r="AA72"/>
      <c r="AB72"/>
      <c r="AC72"/>
      <c r="AD72"/>
      <c r="AE72"/>
      <c r="AF72"/>
      <c r="AG72"/>
      <c r="AH72"/>
      <c r="AI72"/>
      <c r="AJ72" t="str">
        <v>LEASE-RETAIL</v>
      </c>
      <c r="AK72" t="str">
        <v>Lease assumptions</v>
      </c>
      <c r="AL72" t="str">
        <v>Retail and ancillary uses</v>
      </c>
      <c r="AM72" t="str">
        <v>Retail/F&amp;B rent</v>
      </c>
      <c r="AN72" t="str">
        <v>A$/sqm/year</v>
      </c>
      <c r="AO72" t="str">
        <v>Year 1</v>
      </c>
      <c r="AP72" t="n">
        <v>600</v>
      </c>
      <c r="AQ72" t="str">
        <v>760</v>
      </c>
      <c r="AR72" t="str">
        <v>760</v>
      </c>
      <c r="AS72" t="str">
        <f>IFERROR(INDEX('DATA MAP'!$C$8:$C$137,MATCH($AJ72,'DATA MAP'!$A$8:$A$137,0))&amp;IF(INDEX('DATA MAP'!$D$8:$D$137,MATCH($AJ72,'DATA MAP'!$A$8:$A$137,0))="",""," | "&amp;INDEX('DATA MAP'!$D$8:$D$137,MATCH($AJ72,'DATA MAP'!$A$8:$A$137,0))),"Not provided")</f>
        <v>Target: Underwriting | H96</v>
      </c>
      <c r="AT72" t="str">
        <v>Not provided</v>
      </c>
      <c r="AU72" t="str">
        <f>IFERROR(INDEX('DATA MAP'!$I$8:$I$137,MATCH($AJ72,'DATA MAP'!$A$8:$A$137,0)),"Review Required")</f>
        <v>Mapped</v>
      </c>
      <c r="AV72" t="str">
        <f>IF(OR($AU72="Conflict",$AU72="Review Required",$AU72="New Input Required",$AU72="Unsupported"),"Management","Model owner")</f>
        <v>Model owner</v>
      </c>
      <c r="AW72" t="str">
        <f>IFERROR(INDEX('DATA MAP'!$K$8:$K$137,MATCH($AJ72,'DATA MAP'!$A$8:$A$137,0)),"Management confirmation required.")</f>
        <v>Data-book lease and operating schedules require scope reconciliation before replacement.</v>
      </c>
    </row>
    <row r="73">
      <c r="A73" t="str">
        <v>Field ID</v>
      </c>
      <c r="B73" t="str">
        <v>Component</v>
      </c>
      <c r="C73" t="str">
        <v>GFA / Area (sqm)</v>
      </c>
      <c r="D73" t="str">
        <v>Core / Shell</v>
      </c>
      <c r="E73" t="str">
        <v>Fitout</v>
      </c>
      <c r="F73" t="str">
        <v>Model Net CAPEX</v>
      </c>
      <c r="G73" t="str">
        <v>Source</v>
      </c>
      <c r="H73" t="str">
        <v>Status / Note</v>
      </c>
      <c r="I73"/>
      <c r="J73"/>
      <c r="K73"/>
      <c r="L73"/>
      <c r="M73"/>
      <c r="N73"/>
      <c r="O73"/>
      <c r="P73"/>
      <c r="Q73"/>
      <c r="R73"/>
      <c r="S73"/>
      <c r="T73"/>
      <c r="U73"/>
      <c r="V73"/>
      <c r="W73"/>
      <c r="X73"/>
      <c r="Y73"/>
      <c r="Z73"/>
      <c r="AA73"/>
      <c r="AB73"/>
      <c r="AC73"/>
      <c r="AD73"/>
      <c r="AE73"/>
      <c r="AF73"/>
      <c r="AG73"/>
      <c r="AH73"/>
      <c r="AI73"/>
      <c r="AJ73" t="str">
        <v>LEASE-GEN</v>
      </c>
      <c r="AK73" t="str">
        <v>Lease assumptions</v>
      </c>
      <c r="AL73" t="str">
        <v>Genesis</v>
      </c>
      <c r="AM73" t="str">
        <v>Genesis rent</v>
      </c>
      <c r="AN73" t="str">
        <v>A$/sqm/year</v>
      </c>
      <c r="AO73" t="str">
        <v>Year 1</v>
      </c>
      <c r="AP73" t="n">
        <v>500</v>
      </c>
      <c r="AQ73" t="str">
        <v>760</v>
      </c>
      <c r="AR73" t="str">
        <v>760</v>
      </c>
      <c r="AS73" t="str">
        <f>IFERROR(INDEX('DATA MAP'!$C$8:$C$137,MATCH($AJ73,'DATA MAP'!$A$8:$A$137,0))&amp;IF(INDEX('DATA MAP'!$D$8:$D$137,MATCH($AJ73,'DATA MAP'!$A$8:$A$137,0))="",""," | "&amp;INDEX('DATA MAP'!$D$8:$D$137,MATCH($AJ73,'DATA MAP'!$A$8:$A$137,0))),"Not provided")</f>
        <v>Target: Underwriting | H97</v>
      </c>
      <c r="AT73" t="str">
        <v>Not provided</v>
      </c>
      <c r="AU73" t="str">
        <f>IFERROR(INDEX('DATA MAP'!$I$8:$I$137,MATCH($AJ73,'DATA MAP'!$A$8:$A$137,0)),"Review Required")</f>
        <v>Mapped</v>
      </c>
      <c r="AV73" t="str">
        <f>IF(OR($AU73="Conflict",$AU73="Review Required",$AU73="New Input Required",$AU73="Unsupported"),"Management","Model owner")</f>
        <v>Model owner</v>
      </c>
      <c r="AW73" t="str">
        <f>IFERROR(INDEX('DATA MAP'!$K$8:$K$137,MATCH($AJ73,'DATA MAP'!$A$8:$A$137,0)),"Management confirmation required.")</f>
        <v>Data-book lease and operating schedules require scope reconciliation before replacement.</v>
      </c>
    </row>
    <row r="74">
      <c r="A74" t="str">
        <v>CAPEX-SNOW</v>
      </c>
      <c r="B74" t="str">
        <v>Snowtunnel</v>
      </c>
      <c r="C74" t="n">
        <f>PROJECTS!$AP$26</f>
        <v>3800</v>
      </c>
      <c r="D74" t="n">
        <v>13</v>
      </c>
      <c r="E74" t="n">
        <v>0</v>
      </c>
      <c r="F74" t="n">
        <f>PROJECTS!$AP$40</f>
        <v>13</v>
      </c>
      <c r="G74" t="str">
        <v>PROJECT CASH FLOW!H14:J14</v>
      </c>
      <c r="H74" t="str">
        <v>Current detailed data-book budget treated as post-CEO roof correction.</v>
      </c>
      <c r="I74"/>
      <c r="J74"/>
      <c r="K74"/>
      <c r="L74"/>
      <c r="M74"/>
      <c r="N74"/>
      <c r="O74"/>
      <c r="P74"/>
      <c r="Q74"/>
      <c r="R74"/>
      <c r="S74"/>
      <c r="T74"/>
      <c r="U74"/>
      <c r="V74"/>
      <c r="W74"/>
      <c r="X74"/>
      <c r="Y74"/>
      <c r="Z74"/>
      <c r="AA74"/>
      <c r="AB74"/>
      <c r="AC74"/>
      <c r="AD74"/>
      <c r="AE74"/>
      <c r="AF74"/>
      <c r="AG74"/>
      <c r="AH74"/>
      <c r="AI74"/>
      <c r="AJ74" t="str">
        <v>LEASE-PARK</v>
      </c>
      <c r="AK74" t="str">
        <v>Lease assumptions</v>
      </c>
      <c r="AL74" t="str">
        <v>Parking</v>
      </c>
      <c r="AM74" t="str">
        <v>Car park property rent</v>
      </c>
      <c r="AN74" t="str">
        <v>A$/sqm/year</v>
      </c>
      <c r="AO74" t="str">
        <v>Year 1</v>
      </c>
      <c r="AP74" t="n">
        <v>0</v>
      </c>
      <c r="AQ74" t="str">
        <v>760</v>
      </c>
      <c r="AR74" t="str">
        <v>760</v>
      </c>
      <c r="AS74" t="str">
        <f>IFERROR(INDEX('DATA MAP'!$C$8:$C$137,MATCH($AJ74,'DATA MAP'!$A$8:$A$137,0))&amp;IF(INDEX('DATA MAP'!$D$8:$D$137,MATCH($AJ74,'DATA MAP'!$A$8:$A$137,0))="",""," | "&amp;INDEX('DATA MAP'!$D$8:$D$137,MATCH($AJ74,'DATA MAP'!$A$8:$A$137,0))),"Not provided")</f>
        <v>Target: Underwriting | H98</v>
      </c>
      <c r="AT74" t="str">
        <v>Not provided</v>
      </c>
      <c r="AU74" t="str">
        <f>IFERROR(INDEX('DATA MAP'!$I$8:$I$137,MATCH($AJ74,'DATA MAP'!$A$8:$A$137,0)),"Review Required")</f>
        <v>Mapped</v>
      </c>
      <c r="AV74" t="str">
        <f>IF(OR($AU74="Conflict",$AU74="Review Required",$AU74="New Input Required",$AU74="Unsupported"),"Management","Model owner")</f>
        <v>Model owner</v>
      </c>
      <c r="AW74" t="str">
        <f>IFERROR(INDEX('DATA MAP'!$K$8:$K$137,MATCH($AJ74,'DATA MAP'!$A$8:$A$137,0)),"Management confirmation required.")</f>
        <v>Data-book lease and operating schedules require scope reconciliation before replacement.</v>
      </c>
    </row>
    <row r="75">
      <c r="A75" t="str">
        <v>Roof / solar duplicate adjustment: A$0.000. Model net CAPEX equals the current data-book total.</v>
      </c>
      <c r="B75"/>
      <c r="C75"/>
      <c r="D75"/>
      <c r="E75"/>
      <c r="F75"/>
      <c r="G75"/>
      <c r="H75"/>
      <c r="I75"/>
      <c r="J75"/>
      <c r="K75"/>
      <c r="L75"/>
      <c r="M75"/>
      <c r="N75"/>
      <c r="O75"/>
      <c r="P75"/>
      <c r="Q75"/>
      <c r="R75"/>
      <c r="S75"/>
      <c r="T75"/>
      <c r="U75"/>
      <c r="V75"/>
      <c r="W75"/>
      <c r="X75"/>
      <c r="Y75"/>
      <c r="Z75"/>
      <c r="AA75"/>
      <c r="AB75"/>
      <c r="AC75"/>
      <c r="AD75"/>
      <c r="AE75"/>
      <c r="AF75"/>
      <c r="AG75"/>
      <c r="AH75"/>
      <c r="AI75"/>
      <c r="AJ75" t="str">
        <v>LEASE-SNOW</v>
      </c>
      <c r="AK75" t="str">
        <v>Lease assumptions</v>
      </c>
      <c r="AL75" t="str">
        <v>Snowtunnel</v>
      </c>
      <c r="AM75" t="str">
        <v>Snowtunnel rent</v>
      </c>
      <c r="AN75" t="str">
        <v>A$/sqm/year</v>
      </c>
      <c r="AO75" t="str">
        <v>Year 1</v>
      </c>
      <c r="AP75" t="n">
        <v>500</v>
      </c>
      <c r="AQ75" t="str">
        <v>760</v>
      </c>
      <c r="AR75" t="str">
        <v>760</v>
      </c>
      <c r="AS75" t="str">
        <f>IFERROR(INDEX('DATA MAP'!$C$8:$C$137,MATCH($AJ75,'DATA MAP'!$A$8:$A$137,0))&amp;IF(INDEX('DATA MAP'!$D$8:$D$137,MATCH($AJ75,'DATA MAP'!$A$8:$A$137,0))="",""," | "&amp;INDEX('DATA MAP'!$D$8:$D$137,MATCH($AJ75,'DATA MAP'!$A$8:$A$137,0))),"Not provided")</f>
        <v>Target: Underwriting | H99</v>
      </c>
      <c r="AT75" t="str">
        <v>Not provided</v>
      </c>
      <c r="AU75" t="str">
        <f>IFERROR(INDEX('DATA MAP'!$I$8:$I$137,MATCH($AJ75,'DATA MAP'!$A$8:$A$137,0)),"Review Required")</f>
        <v>Mapped</v>
      </c>
      <c r="AV75" t="str">
        <f>IF(OR($AU75="Conflict",$AU75="Review Required",$AU75="New Input Required",$AU75="Unsupported"),"Management","Model owner")</f>
        <v>Model owner</v>
      </c>
      <c r="AW75" t="str">
        <f>IFERROR(INDEX('DATA MAP'!$K$8:$K$137,MATCH($AJ75,'DATA MAP'!$A$8:$A$137,0)),"Management confirmation required.")</f>
        <v>Data-book lease and operating schedules require scope reconciliation before replacement.</v>
      </c>
    </row>
    <row r="76">
      <c r="A76" t="str">
        <v>SCOPE &amp; INTEGRATION CONTROLS</v>
      </c>
      <c r="B76"/>
      <c r="C76"/>
      <c r="D76"/>
      <c r="E76"/>
      <c r="F76"/>
      <c r="G76"/>
      <c r="H76"/>
      <c r="I76"/>
      <c r="J76"/>
      <c r="K76"/>
      <c r="L76"/>
      <c r="M76"/>
      <c r="N76"/>
      <c r="O76"/>
      <c r="P76"/>
      <c r="Q76"/>
      <c r="R76"/>
      <c r="S76"/>
      <c r="T76"/>
      <c r="U76"/>
      <c r="V76"/>
      <c r="W76"/>
      <c r="X76"/>
      <c r="Y76"/>
      <c r="Z76"/>
      <c r="AA76"/>
      <c r="AB76"/>
      <c r="AC76"/>
      <c r="AD76"/>
      <c r="AE76"/>
      <c r="AF76"/>
      <c r="AG76"/>
      <c r="AH76"/>
      <c r="AI76"/>
      <c r="AJ76" t="str">
        <v>LEASE-GOKART</v>
      </c>
      <c r="AK76" t="str">
        <v>Lease assumptions</v>
      </c>
      <c r="AL76" t="str">
        <v>Retail and ancillary uses</v>
      </c>
      <c r="AM76" t="str">
        <v>Go-kart rent</v>
      </c>
      <c r="AN76" t="str">
        <v>A$/sqm/year</v>
      </c>
      <c r="AO76" t="str">
        <v>Year 1</v>
      </c>
      <c r="AP76" t="n">
        <v>500</v>
      </c>
      <c r="AQ76" t="str">
        <v>760</v>
      </c>
      <c r="AR76" t="str">
        <v>760</v>
      </c>
      <c r="AS76" t="str">
        <f>IFERROR(INDEX('DATA MAP'!$C$8:$C$137,MATCH($AJ76,'DATA MAP'!$A$8:$A$137,0))&amp;IF(INDEX('DATA MAP'!$D$8:$D$137,MATCH($AJ76,'DATA MAP'!$A$8:$A$137,0))="",""," | "&amp;INDEX('DATA MAP'!$D$8:$D$137,MATCH($AJ76,'DATA MAP'!$A$8:$A$137,0))),"Not provided")</f>
        <v>Target: Underwriting | H100</v>
      </c>
      <c r="AT76" t="str">
        <v>Not provided</v>
      </c>
      <c r="AU76" t="str">
        <f>IFERROR(INDEX('DATA MAP'!$I$8:$I$137,MATCH($AJ76,'DATA MAP'!$A$8:$A$137,0)),"Review Required")</f>
        <v>Mapped</v>
      </c>
      <c r="AV76" t="str">
        <f>IF(OR($AU76="Conflict",$AU76="Review Required",$AU76="New Input Required",$AU76="Unsupported"),"Management","Model owner")</f>
        <v>Model owner</v>
      </c>
      <c r="AW76" t="str">
        <f>IFERROR(INDEX('DATA MAP'!$K$8:$K$137,MATCH($AJ76,'DATA MAP'!$A$8:$A$137,0)),"Management confirmation required.")</f>
        <v>Data-book lease and operating schedules require scope reconciliation before replacement.</v>
      </c>
    </row>
    <row r="77">
      <c r="A77" t="str">
        <v>Control</v>
      </c>
      <c r="B77" t="str">
        <v>Result</v>
      </c>
      <c r="C77" t="str">
        <v>Basis</v>
      </c>
      <c r="D77"/>
      <c r="E77"/>
      <c r="F77"/>
      <c r="G77"/>
      <c r="H77"/>
      <c r="I77"/>
      <c r="J77"/>
      <c r="K77"/>
      <c r="L77"/>
      <c r="M77"/>
      <c r="N77"/>
      <c r="O77"/>
      <c r="P77"/>
      <c r="Q77"/>
      <c r="R77"/>
      <c r="S77"/>
      <c r="T77"/>
      <c r="U77"/>
      <c r="V77"/>
      <c r="W77"/>
      <c r="X77"/>
      <c r="Y77"/>
      <c r="Z77"/>
      <c r="AA77"/>
      <c r="AB77"/>
      <c r="AC77"/>
      <c r="AD77"/>
      <c r="AE77"/>
      <c r="AF77"/>
      <c r="AG77"/>
      <c r="AH77"/>
      <c r="AI77"/>
      <c r="AJ77" t="str">
        <v>LEASE-LAND</v>
      </c>
      <c r="AK77" t="str">
        <v>Lease assumptions</v>
      </c>
      <c r="AL77" t="str">
        <v>Retail and ancillary uses</v>
      </c>
      <c r="AM77" t="str">
        <v>Landscape attraction rent</v>
      </c>
      <c r="AN77" t="str">
        <v>A$/sqm/year</v>
      </c>
      <c r="AO77" t="str">
        <v>Year 1</v>
      </c>
      <c r="AP77" t="n">
        <v>600</v>
      </c>
      <c r="AQ77" t="str">
        <v>760</v>
      </c>
      <c r="AR77" t="str">
        <v>760</v>
      </c>
      <c r="AS77" t="str">
        <f>IFERROR(INDEX('DATA MAP'!$C$8:$C$137,MATCH($AJ77,'DATA MAP'!$A$8:$A$137,0))&amp;IF(INDEX('DATA MAP'!$D$8:$D$137,MATCH($AJ77,'DATA MAP'!$A$8:$A$137,0))="",""," | "&amp;INDEX('DATA MAP'!$D$8:$D$137,MATCH($AJ77,'DATA MAP'!$A$8:$A$137,0))),"Not provided")</f>
        <v>Target: Underwriting | H101</v>
      </c>
      <c r="AT77" t="str">
        <v>Not provided</v>
      </c>
      <c r="AU77" t="str">
        <f>IFERROR(INDEX('DATA MAP'!$I$8:$I$137,MATCH($AJ77,'DATA MAP'!$A$8:$A$137,0)),"Review Required")</f>
        <v>Mapped</v>
      </c>
      <c r="AV77" t="str">
        <f>IF(OR($AU77="Conflict",$AU77="Review Required",$AU77="New Input Required",$AU77="Unsupported"),"Management","Model owner")</f>
        <v>Model owner</v>
      </c>
      <c r="AW77" t="str">
        <f>IFERROR(INDEX('DATA MAP'!$K$8:$K$137,MATCH($AJ77,'DATA MAP'!$A$8:$A$137,0)),"Management confirmation required.")</f>
        <v>Data-book lease and operating schedules require scope reconciliation before replacement.</v>
      </c>
    </row>
    <row r="78">
      <c r="A78" t="str">
        <v>Component CAPEX reconciles</v>
      </c>
      <c r="B78" t="str">
        <f>IF(ABS(SUM(D74:E74)-F74)&lt;0.001,"OK","EXCEPTION: component CAPEX")</f>
        <v>OK</v>
      </c>
      <c r="C78" t="str">
        <v>Core / shell plus fitout versus controlling total</v>
      </c>
      <c r="D78"/>
      <c r="E78"/>
      <c r="F78"/>
      <c r="G78"/>
      <c r="H78"/>
      <c r="I78"/>
      <c r="J78"/>
      <c r="K78"/>
      <c r="L78"/>
      <c r="M78"/>
      <c r="N78"/>
      <c r="O78"/>
      <c r="P78"/>
      <c r="Q78"/>
      <c r="R78"/>
      <c r="S78"/>
      <c r="T78"/>
      <c r="U78"/>
      <c r="V78"/>
      <c r="W78"/>
      <c r="X78"/>
      <c r="Y78"/>
      <c r="Z78"/>
      <c r="AA78"/>
      <c r="AB78"/>
      <c r="AC78"/>
      <c r="AD78"/>
      <c r="AE78"/>
      <c r="AF78"/>
      <c r="AG78"/>
      <c r="AH78"/>
      <c r="AI78"/>
      <c r="AJ78" t="str">
        <v>LEASE-STOR</v>
      </c>
      <c r="AK78" t="str">
        <v>Lease assumptions</v>
      </c>
      <c r="AL78" t="str">
        <v>Storage</v>
      </c>
      <c r="AM78" t="str">
        <v>Self-storage property rent</v>
      </c>
      <c r="AN78" t="str">
        <v>A$/sqm/year</v>
      </c>
      <c r="AO78" t="str">
        <v>Year 1</v>
      </c>
      <c r="AP78" t="n">
        <v>0</v>
      </c>
      <c r="AQ78" t="str">
        <v>760</v>
      </c>
      <c r="AR78" t="str">
        <v>760</v>
      </c>
      <c r="AS78" t="str">
        <f>IFERROR(INDEX('DATA MAP'!$C$8:$C$137,MATCH($AJ78,'DATA MAP'!$A$8:$A$137,0))&amp;IF(INDEX('DATA MAP'!$D$8:$D$137,MATCH($AJ78,'DATA MAP'!$A$8:$A$137,0))="",""," | "&amp;INDEX('DATA MAP'!$D$8:$D$137,MATCH($AJ78,'DATA MAP'!$A$8:$A$137,0))),"Not provided")</f>
        <v>Target: Underwriting | H102</v>
      </c>
      <c r="AT78" t="str">
        <v>Not provided</v>
      </c>
      <c r="AU78" t="str">
        <f>IFERROR(INDEX('DATA MAP'!$I$8:$I$137,MATCH($AJ78,'DATA MAP'!$A$8:$A$137,0)),"Review Required")</f>
        <v>Mapped</v>
      </c>
      <c r="AV78" t="str">
        <f>IF(OR($AU78="Conflict",$AU78="Review Required",$AU78="New Input Required",$AU78="Unsupported"),"Management","Model owner")</f>
        <v>Model owner</v>
      </c>
      <c r="AW78" t="str">
        <f>IFERROR(INDEX('DATA MAP'!$K$8:$K$137,MATCH($AJ78,'DATA MAP'!$A$8:$A$137,0)),"Management confirmation required.")</f>
        <v>Data-book lease and operating schedules require scope reconciliation before replacement.</v>
      </c>
    </row>
    <row r="79">
      <c r="A79" t="str">
        <v>Area linked to PROJECT DATA</v>
      </c>
      <c r="B79" t="str">
        <f>IF(ABS(C74-PROJECTS!$AP$26)&lt;0.000001,"OK","EXCEPTION: component area")</f>
        <v>OK</v>
      </c>
      <c r="C79" t="str">
        <v>No duplicate area input</v>
      </c>
      <c r="D79"/>
      <c r="E79"/>
      <c r="F79"/>
      <c r="G79"/>
      <c r="H79"/>
      <c r="I79"/>
      <c r="J79"/>
      <c r="K79"/>
      <c r="L79"/>
      <c r="M79"/>
      <c r="N79"/>
      <c r="O79"/>
      <c r="P79"/>
      <c r="Q79"/>
      <c r="R79"/>
      <c r="S79"/>
      <c r="T79"/>
      <c r="U79"/>
      <c r="V79"/>
      <c r="W79"/>
      <c r="X79"/>
      <c r="Y79"/>
      <c r="Z79"/>
      <c r="AA79"/>
      <c r="AB79"/>
      <c r="AC79"/>
      <c r="AD79"/>
      <c r="AE79"/>
      <c r="AF79"/>
      <c r="AG79"/>
      <c r="AH79"/>
      <c r="AI79"/>
      <c r="AJ79" t="str">
        <v>LEASE-CONV</v>
      </c>
      <c r="AK79" t="str">
        <v>Lease assumptions</v>
      </c>
      <c r="AL79" t="str">
        <v>Retail and ancillary uses</v>
      </c>
      <c r="AM79" t="str">
        <v>Convenience/laundromat property rent</v>
      </c>
      <c r="AN79" t="str">
        <v>A$/sqm/year</v>
      </c>
      <c r="AO79" t="str">
        <v>Year 1</v>
      </c>
      <c r="AP79" t="n">
        <v>0</v>
      </c>
      <c r="AQ79" t="str">
        <v>760</v>
      </c>
      <c r="AR79" t="str">
        <v>760</v>
      </c>
      <c r="AS79" t="str">
        <f>IFERROR(INDEX('DATA MAP'!$C$8:$C$137,MATCH($AJ79,'DATA MAP'!$A$8:$A$137,0))&amp;IF(INDEX('DATA MAP'!$D$8:$D$137,MATCH($AJ79,'DATA MAP'!$A$8:$A$137,0))="",""," | "&amp;INDEX('DATA MAP'!$D$8:$D$137,MATCH($AJ79,'DATA MAP'!$A$8:$A$137,0))),"Not provided")</f>
        <v>Target: Underwriting | H103</v>
      </c>
      <c r="AT79" t="str">
        <v>Not provided</v>
      </c>
      <c r="AU79" t="str">
        <f>IFERROR(INDEX('DATA MAP'!$I$8:$I$137,MATCH($AJ79,'DATA MAP'!$A$8:$A$137,0)),"Review Required")</f>
        <v>Mapped</v>
      </c>
      <c r="AV79" t="str">
        <f>IF(OR($AU79="Conflict",$AU79="Review Required",$AU79="New Input Required",$AU79="Unsupported"),"Management","Model owner")</f>
        <v>Model owner</v>
      </c>
      <c r="AW79" t="str">
        <f>IFERROR(INDEX('DATA MAP'!$K$8:$K$137,MATCH($AJ79,'DATA MAP'!$A$8:$A$137,0)),"Management confirmation required.")</f>
        <v>Data-book lease and operating schedules require scope reconciliation before replacement.</v>
      </c>
    </row>
    <row r="80">
      <c r="A80" t="str">
        <v>Roof / solar treatment</v>
      </c>
      <c r="B80" t="str">
        <f>IF(ABS(F74-PROJECTS!$AP$40)&lt;0.000001,"OK","EXCEPTION: component total")</f>
        <v>OK</v>
      </c>
      <c r="C80" t="str">
        <v>Precinct roof/solar is central infrastructure</v>
      </c>
      <c r="D80"/>
      <c r="E80"/>
      <c r="F80"/>
      <c r="G80"/>
      <c r="H80"/>
      <c r="I80"/>
      <c r="J80"/>
      <c r="K80"/>
      <c r="L80"/>
      <c r="M80"/>
      <c r="N80"/>
      <c r="O80"/>
      <c r="P80"/>
      <c r="Q80"/>
      <c r="R80"/>
      <c r="S80"/>
      <c r="T80"/>
      <c r="U80"/>
      <c r="V80"/>
      <c r="W80"/>
      <c r="X80"/>
      <c r="Y80"/>
      <c r="Z80"/>
      <c r="AA80"/>
      <c r="AB80"/>
      <c r="AC80"/>
      <c r="AD80"/>
      <c r="AE80"/>
      <c r="AF80"/>
      <c r="AG80"/>
      <c r="AH80"/>
      <c r="AI80"/>
      <c r="AJ80" t="str">
        <v>LEASE-EBIKE</v>
      </c>
      <c r="AK80" t="str">
        <v>Lease assumptions</v>
      </c>
      <c r="AL80" t="str">
        <v>Retail and ancillary uses</v>
      </c>
      <c r="AM80" t="str">
        <v>eBike/eScooter property rent</v>
      </c>
      <c r="AN80" t="str">
        <v>A$/sqm/year</v>
      </c>
      <c r="AO80" t="str">
        <v>Year 1</v>
      </c>
      <c r="AP80" t="n">
        <v>0</v>
      </c>
      <c r="AQ80" t="str">
        <v>760</v>
      </c>
      <c r="AR80" t="str">
        <v>760</v>
      </c>
      <c r="AS80" t="str">
        <f>IFERROR(INDEX('DATA MAP'!$C$8:$C$137,MATCH($AJ80,'DATA MAP'!$A$8:$A$137,0))&amp;IF(INDEX('DATA MAP'!$D$8:$D$137,MATCH($AJ80,'DATA MAP'!$A$8:$A$137,0))="",""," | "&amp;INDEX('DATA MAP'!$D$8:$D$137,MATCH($AJ80,'DATA MAP'!$A$8:$A$137,0))),"Not provided")</f>
        <v>Target: Underwriting | H104</v>
      </c>
      <c r="AT80" t="str">
        <v>Not provided</v>
      </c>
      <c r="AU80" t="str">
        <f>IFERROR(INDEX('DATA MAP'!$I$8:$I$137,MATCH($AJ80,'DATA MAP'!$A$8:$A$137,0)),"Review Required")</f>
        <v>Mapped</v>
      </c>
      <c r="AV80" t="str">
        <f>IF(OR($AU80="Conflict",$AU80="Review Required",$AU80="New Input Required",$AU80="Unsupported"),"Management","Model owner")</f>
        <v>Model owner</v>
      </c>
      <c r="AW80" t="str">
        <f>IFERROR(INDEX('DATA MAP'!$K$8:$K$137,MATCH($AJ80,'DATA MAP'!$A$8:$A$137,0)),"Management confirmation required.")</f>
        <v>Data-book lease and operating schedules require scope reconciliation before replacement.</v>
      </c>
    </row>
    <row r="81">
      <c r="A81"/>
      <c r="B81"/>
      <c r="C81"/>
      <c r="D81"/>
      <c r="E81"/>
      <c r="F81"/>
      <c r="G81"/>
      <c r="H81"/>
      <c r="I81"/>
      <c r="J81"/>
      <c r="K81"/>
      <c r="L81"/>
      <c r="M81"/>
      <c r="N81"/>
      <c r="O81"/>
      <c r="P81"/>
      <c r="Q81"/>
      <c r="R81"/>
      <c r="S81"/>
      <c r="T81"/>
      <c r="U81"/>
      <c r="V81"/>
      <c r="W81"/>
      <c r="X81"/>
      <c r="Y81"/>
      <c r="Z81"/>
      <c r="AA81"/>
      <c r="AB81"/>
      <c r="AC81"/>
      <c r="AD81"/>
      <c r="AE81"/>
      <c r="AF81"/>
      <c r="AG81"/>
      <c r="AH81"/>
      <c r="AI81"/>
      <c r="AJ81" t="str">
        <v>DEBT-001</v>
      </c>
      <c r="AK81" t="str">
        <v>Debt and funding</v>
      </c>
      <c r="AL81" t="str">
        <v>Construction facility</v>
      </c>
      <c r="AM81" t="str">
        <v>Construction LTC limit</v>
      </c>
      <c r="AN81" t="str">
        <v>%</v>
      </c>
      <c r="AO81" t="str">
        <v>Construction</v>
      </c>
      <c r="AP81" t="n">
        <v>0.5</v>
      </c>
      <c r="AQ81" t="n">
        <v>0.45</v>
      </c>
      <c r="AR81" t="n">
        <v>0.55</v>
      </c>
      <c r="AS81" t="str">
        <f>IFERROR(INDEX('DATA MAP'!$C$8:$C$137,MATCH($AJ81,'DATA MAP'!$A$8:$A$137,0))&amp;IF(INDEX('DATA MAP'!$D$8:$D$137,MATCH($AJ81,'DATA MAP'!$A$8:$A$137,0))="",""," | "&amp;INDEX('DATA MAP'!$D$8:$D$137,MATCH($AJ81,'DATA MAP'!$A$8:$A$137,0))),"Not provided")</f>
        <v>Target: Underwriting | C61,C65</v>
      </c>
      <c r="AT81" t="str">
        <v>Not provided</v>
      </c>
      <c r="AU81" t="str">
        <f>IFERROR(INDEX('DATA MAP'!$I$8:$I$137,MATCH($AJ81,'DATA MAP'!$A$8:$A$137,0)),"Review Required")</f>
        <v>Mapped</v>
      </c>
      <c r="AV81" t="str">
        <f>IF(OR($AU81="Conflict",$AU81="Review Required",$AU81="New Input Required",$AU81="Unsupported"),"Management","Model owner")</f>
        <v>Model owner</v>
      </c>
      <c r="AW81" t="str">
        <f>IFERROR(INDEX('DATA MAP'!$K$8:$K$137,MATCH($AJ81,'DATA MAP'!$A$8:$A$137,0)),"Management confirmation required.")</f>
        <v>Source totals imply a different facility scale.</v>
      </c>
    </row>
    <row r="82">
      <c r="A82"/>
      <c r="B82"/>
      <c r="C82"/>
      <c r="D82"/>
      <c r="E82"/>
      <c r="F82"/>
      <c r="G82"/>
      <c r="H82"/>
      <c r="I82"/>
      <c r="J82"/>
      <c r="K82"/>
      <c r="L82"/>
      <c r="M82"/>
      <c r="N82"/>
      <c r="O82"/>
      <c r="P82"/>
      <c r="Q82"/>
      <c r="R82"/>
      <c r="S82"/>
      <c r="T82"/>
      <c r="U82"/>
      <c r="V82"/>
      <c r="W82"/>
      <c r="X82"/>
      <c r="Y82"/>
      <c r="Z82"/>
      <c r="AA82"/>
      <c r="AB82"/>
      <c r="AC82"/>
      <c r="AD82"/>
      <c r="AE82"/>
      <c r="AF82"/>
      <c r="AG82"/>
      <c r="AH82"/>
      <c r="AI82"/>
      <c r="AJ82" t="str">
        <v>DEBT-002</v>
      </c>
      <c r="AK82" t="str">
        <v>Debt and funding</v>
      </c>
      <c r="AL82" t="str">
        <v>Construction facility</v>
      </c>
      <c r="AM82" t="str">
        <v>Construction all-in interest rate</v>
      </c>
      <c r="AN82" t="str">
        <v>% p.a.</v>
      </c>
      <c r="AO82" t="str">
        <v>Construction</v>
      </c>
      <c r="AP82" t="n">
        <v>0.065</v>
      </c>
      <c r="AQ82" t="n">
        <v>0.0725</v>
      </c>
      <c r="AR82" t="n">
        <v>0.06</v>
      </c>
      <c r="AS82" t="str">
        <f>IFERROR(INDEX('DATA MAP'!$C$8:$C$137,MATCH($AJ82,'DATA MAP'!$A$8:$A$137,0))&amp;IF(INDEX('DATA MAP'!$D$8:$D$137,MATCH($AJ82,'DATA MAP'!$A$8:$A$137,0))="",""," | "&amp;INDEX('DATA MAP'!$D$8:$D$137,MATCH($AJ82,'DATA MAP'!$A$8:$A$137,0))),"Not provided")</f>
        <v>ASSUMPTIONS | B22,E22,H22</v>
      </c>
      <c r="AT82" t="str">
        <v>Not provided</v>
      </c>
      <c r="AU82" t="str">
        <f>IFERROR(INDEX('DATA MAP'!$I$8:$I$137,MATCH($AJ82,'DATA MAP'!$A$8:$A$137,0)),"Review Required")</f>
        <v>Mapped</v>
      </c>
      <c r="AV82" t="str">
        <f>IF(OR($AU82="Conflict",$AU82="Review Required",$AU82="New Input Required",$AU82="Unsupported"),"Management","Model owner")</f>
        <v>Model owner</v>
      </c>
      <c r="AW82" t="str">
        <f>IFERROR(INDEX('DATA MAP'!$K$8:$K$137,MATCH($AJ82,'DATA MAP'!$A$8:$A$137,0)),"Management confirmation required.")</f>
        <v>Base 6.5% matches. Detailed source downside is 7.25%; MODEL DESIGN scenario says 7.5%. | The detailed scenario rate schedule controls; the conflicting source summary is retained as evidence only.</v>
      </c>
    </row>
    <row r="83">
      <c r="A83" t="str">
        <v>THE BEND PRECINCT | GENESIS HEALTH &amp; FITNESS</v>
      </c>
      <c r="B83" t="str">
        <v>THE BEND PRECINCT | GENESIS HEALTH &amp; FITNESS</v>
      </c>
      <c r="C83" t="str">
        <v>THE BEND PRECINCT | GENESIS HEALTH &amp; FITNESS</v>
      </c>
      <c r="D83" t="str">
        <v>THE BEND PRECINCT | GENESIS HEALTH &amp; FITNESS</v>
      </c>
      <c r="E83" t="str">
        <v>THE BEND PRECINCT | GENESIS HEALTH &amp; FITNESS</v>
      </c>
      <c r="F83" t="str">
        <v>THE BEND PRECINCT | GENESIS HEALTH &amp; FITNESS</v>
      </c>
      <c r="G83" t="str">
        <v>THE BEND PRECINCT | GENESIS HEALTH &amp; FITNESS</v>
      </c>
      <c r="H83" t="str">
        <v>THE BEND PRECINCT | GENESIS HEALTH &amp; FITNESS</v>
      </c>
      <c r="I83"/>
      <c r="J83"/>
      <c r="K83"/>
      <c r="L83"/>
      <c r="M83"/>
      <c r="N83"/>
      <c r="O83"/>
      <c r="P83"/>
      <c r="Q83"/>
      <c r="R83"/>
      <c r="S83"/>
      <c r="T83"/>
      <c r="U83"/>
      <c r="V83"/>
      <c r="W83"/>
      <c r="X83"/>
      <c r="Y83"/>
      <c r="Z83"/>
      <c r="AA83"/>
      <c r="AB83"/>
      <c r="AC83"/>
      <c r="AD83"/>
      <c r="AE83"/>
      <c r="AF83"/>
      <c r="AG83"/>
      <c r="AH83"/>
      <c r="AI83"/>
      <c r="AJ83" t="str">
        <v>DEBT-003</v>
      </c>
      <c r="AK83" t="str">
        <v>Debt and funding</v>
      </c>
      <c r="AL83" t="str">
        <v>Term debt</v>
      </c>
      <c r="AM83" t="str">
        <v>Term debt all-in interest rate</v>
      </c>
      <c r="AN83" t="str">
        <v>% p.a.</v>
      </c>
      <c r="AO83" t="str">
        <v>Post-stabilisation</v>
      </c>
      <c r="AP83" t="n">
        <v>0.065</v>
      </c>
      <c r="AQ83" t="n">
        <v>0.0725</v>
      </c>
      <c r="AR83" t="n">
        <v>0.06</v>
      </c>
      <c r="AS83" t="str">
        <f>IFERROR(INDEX('DATA MAP'!$C$8:$C$137,MATCH($AJ83,'DATA MAP'!$A$8:$A$137,0))&amp;IF(INDEX('DATA MAP'!$D$8:$D$137,MATCH($AJ83,'DATA MAP'!$A$8:$A$137,0))="",""," | "&amp;INDEX('DATA MAP'!$D$8:$D$137,MATCH($AJ83,'DATA MAP'!$A$8:$A$137,0))),"Not provided")</f>
        <v>Target: Underwriting | E81</v>
      </c>
      <c r="AT83" t="str">
        <v>Not provided</v>
      </c>
      <c r="AU83" t="str">
        <f>IFERROR(INDEX('DATA MAP'!$I$8:$I$137,MATCH($AJ83,'DATA MAP'!$A$8:$A$137,0)),"Review Required")</f>
        <v>Mapped</v>
      </c>
      <c r="AV83" t="str">
        <f>IF(OR($AU83="Conflict",$AU83="Review Required",$AU83="New Input Required",$AU83="Unsupported"),"Management","Model owner")</f>
        <v>Model owner</v>
      </c>
      <c r="AW83" t="str">
        <f>IFERROR(INDEX('DATA MAP'!$K$8:$K$137,MATCH($AJ83,'DATA MAP'!$A$8:$A$137,0)),"Management confirmation required.")</f>
        <v>Term-debt all-in interest rate is a provisional management case pending an executed lender term sheet.</v>
      </c>
    </row>
    <row r="84">
      <c r="A84"/>
      <c r="B84"/>
      <c r="C84"/>
      <c r="D84"/>
      <c r="E84"/>
      <c r="F84"/>
      <c r="G84"/>
      <c r="H84"/>
      <c r="I84"/>
      <c r="J84"/>
      <c r="K84"/>
      <c r="L84"/>
      <c r="M84"/>
      <c r="N84"/>
      <c r="O84"/>
      <c r="P84"/>
      <c r="Q84"/>
      <c r="R84"/>
      <c r="S84"/>
      <c r="T84"/>
      <c r="U84"/>
      <c r="V84"/>
      <c r="W84"/>
      <c r="X84"/>
      <c r="Y84"/>
      <c r="Z84"/>
      <c r="AA84"/>
      <c r="AB84"/>
      <c r="AC84"/>
      <c r="AD84"/>
      <c r="AE84"/>
      <c r="AF84"/>
      <c r="AG84"/>
      <c r="AH84"/>
      <c r="AI84"/>
      <c r="AJ84" t="str">
        <v>DEBT-004</v>
      </c>
      <c r="AK84" t="str">
        <v>Debt and funding</v>
      </c>
      <c r="AL84" t="str">
        <v>Term debt</v>
      </c>
      <c r="AM84" t="str">
        <v>Loan fee</v>
      </c>
      <c r="AN84" t="str">
        <v>%</v>
      </c>
      <c r="AO84" t="str">
        <v>At refinancing</v>
      </c>
      <c r="AP84" t="n">
        <v>0.01</v>
      </c>
      <c r="AQ84" t="str">
        <v>760</v>
      </c>
      <c r="AR84" t="str">
        <v>760</v>
      </c>
      <c r="AS84" t="str">
        <f>IFERROR(INDEX('DATA MAP'!$C$8:$C$137,MATCH($AJ84,'DATA MAP'!$A$8:$A$137,0))&amp;IF(INDEX('DATA MAP'!$D$8:$D$137,MATCH($AJ84,'DATA MAP'!$A$8:$A$137,0))="",""," | "&amp;INDEX('DATA MAP'!$D$8:$D$137,MATCH($AJ84,'DATA MAP'!$A$8:$A$137,0))),"Not provided")</f>
        <v>Target: Underwriting | H82</v>
      </c>
      <c r="AT84" t="str">
        <v>Not provided</v>
      </c>
      <c r="AU84" t="str">
        <f>IFERROR(INDEX('DATA MAP'!$I$8:$I$137,MATCH($AJ84,'DATA MAP'!$A$8:$A$137,0)),"Review Required")</f>
        <v>Mapped</v>
      </c>
      <c r="AV84" t="str">
        <f>IF(OR($AU84="Conflict",$AU84="Review Required",$AU84="New Input Required",$AU84="Unsupported"),"Management","Model owner")</f>
        <v>Model owner</v>
      </c>
      <c r="AW84" t="str">
        <f>IFERROR(INDEX('DATA MAP'!$K$8:$K$137,MATCH($AJ84,'DATA MAP'!$A$8:$A$137,0)),"Management confirmation required.")</f>
        <v>The source facility description is retained for traceability; executed construction-facility terms remain required.</v>
      </c>
    </row>
    <row r="85">
      <c r="A85" t="str">
        <v>Concise component input and control schedule. Detailed source data are consolidated into live model drivers with cell-level traceability.</v>
      </c>
      <c r="B85" t="str">
        <v>Concise component input and control schedule. Detailed source data are consolidated into live model drivers with cell-level traceability.</v>
      </c>
      <c r="C85" t="str">
        <v>Concise component input and control schedule. Detailed source data are consolidated into live model drivers with cell-level traceability.</v>
      </c>
      <c r="D85" t="str">
        <v>Concise component input and control schedule. Detailed source data are consolidated into live model drivers with cell-level traceability.</v>
      </c>
      <c r="E85" t="str">
        <v>Concise component input and control schedule. Detailed source data are consolidated into live model drivers with cell-level traceability.</v>
      </c>
      <c r="F85" t="str">
        <v>Concise component input and control schedule. Detailed source data are consolidated into live model drivers with cell-level traceability.</v>
      </c>
      <c r="G85" t="str">
        <v>Concise component input and control schedule. Detailed source data are consolidated into live model drivers with cell-level traceability.</v>
      </c>
      <c r="H85" t="str">
        <v>Concise component input and control schedule. Detailed source data are consolidated into live model drivers with cell-level traceability.</v>
      </c>
      <c r="I85"/>
      <c r="J85"/>
      <c r="K85"/>
      <c r="L85"/>
      <c r="M85"/>
      <c r="N85"/>
      <c r="O85"/>
      <c r="P85"/>
      <c r="Q85"/>
      <c r="R85"/>
      <c r="S85"/>
      <c r="T85"/>
      <c r="U85"/>
      <c r="V85"/>
      <c r="W85"/>
      <c r="X85"/>
      <c r="Y85"/>
      <c r="Z85"/>
      <c r="AA85"/>
      <c r="AB85"/>
      <c r="AC85"/>
      <c r="AD85"/>
      <c r="AE85"/>
      <c r="AF85"/>
      <c r="AG85"/>
      <c r="AH85"/>
      <c r="AI85"/>
      <c r="AJ85" t="str">
        <v>DEBT-005</v>
      </c>
      <c r="AK85" t="str">
        <v>Debt and funding</v>
      </c>
      <c r="AL85" t="str">
        <v>Construction facility</v>
      </c>
      <c r="AM85" t="str">
        <v>Funding selection</v>
      </c>
      <c r="AN85" t="str">
        <v>Text</v>
      </c>
      <c r="AO85" t="str">
        <v>Construction</v>
      </c>
      <c r="AP85" t="str">
        <v>Equity First</v>
      </c>
      <c r="AQ85" t="str">
        <v>760</v>
      </c>
      <c r="AR85" t="str">
        <v>760</v>
      </c>
      <c r="AS85" t="str">
        <v>Target: DEBT | B7</v>
      </c>
      <c r="AT85" t="n">
        <v>46231</v>
      </c>
      <c r="AU85" t="str">
        <v>Mapped</v>
      </c>
      <c r="AV85" t="str">
        <f>IF(OR($AU85="Conflict",$AU85="Review Required",$AU85="New Input Required",$AU85="Unsupported"),"Management","Model owner")</f>
        <v>Model owner</v>
      </c>
      <c r="AW85" t="str">
        <v>Not an agreed lender term. | Mapped to the live DEBT schedule as the management case. Executed lender terms remain an OWNER DECISION.</v>
      </c>
    </row>
    <row r="86">
      <c r="A86"/>
      <c r="B86"/>
      <c r="C86"/>
      <c r="D86"/>
      <c r="E86"/>
      <c r="F86"/>
      <c r="G86"/>
      <c r="H86"/>
      <c r="I86"/>
      <c r="J86"/>
      <c r="K86"/>
      <c r="L86"/>
      <c r="M86"/>
      <c r="N86"/>
      <c r="O86"/>
      <c r="P86"/>
      <c r="Q86"/>
      <c r="R86"/>
      <c r="S86"/>
      <c r="T86"/>
      <c r="U86"/>
      <c r="V86"/>
      <c r="W86"/>
      <c r="X86"/>
      <c r="Y86"/>
      <c r="Z86"/>
      <c r="AA86"/>
      <c r="AB86"/>
      <c r="AC86"/>
      <c r="AD86"/>
      <c r="AE86"/>
      <c r="AF86"/>
      <c r="AG86"/>
      <c r="AH86"/>
      <c r="AI86"/>
      <c r="AJ86" t="str">
        <v>DEBT-006</v>
      </c>
      <c r="AK86" t="str">
        <v>Debt and funding</v>
      </c>
      <c r="AL86" t="str">
        <v>Construction facility</v>
      </c>
      <c r="AM86" t="str">
        <v>LTV limit</v>
      </c>
      <c r="AN86" t="str">
        <v>%</v>
      </c>
      <c r="AO86" t="str">
        <v>Construction</v>
      </c>
      <c r="AP86" t="n">
        <v>0.65</v>
      </c>
      <c r="AQ86" t="n">
        <v>0.6</v>
      </c>
      <c r="AR86" t="n">
        <v>0.7</v>
      </c>
      <c r="AS86" t="str">
        <v>Target: DEBT | B11</v>
      </c>
      <c r="AT86" t="n">
        <v>46231</v>
      </c>
      <c r="AU86" t="str">
        <v>Mapped</v>
      </c>
      <c r="AV86" t="str">
        <f>IF(OR($AU86="Conflict",$AU86="Review Required",$AU86="New Input Required",$AU86="Unsupported"),"Management","Model owner")</f>
        <v>Model owner</v>
      </c>
      <c r="AW86" t="str">
        <v>760 | Mapped to the live DEBT schedule as the management case. Executed lender terms remain an OWNER DECISION.</v>
      </c>
    </row>
    <row r="87">
      <c r="A87" t="str">
        <v>COMPONENT INPUTS</v>
      </c>
      <c r="B87"/>
      <c r="C87"/>
      <c r="D87"/>
      <c r="E87"/>
      <c r="F87"/>
      <c r="G87"/>
      <c r="H87"/>
      <c r="I87"/>
      <c r="J87"/>
      <c r="K87"/>
      <c r="L87"/>
      <c r="M87"/>
      <c r="N87"/>
      <c r="O87"/>
      <c r="P87"/>
      <c r="Q87"/>
      <c r="R87"/>
      <c r="S87"/>
      <c r="T87"/>
      <c r="U87"/>
      <c r="V87"/>
      <c r="W87"/>
      <c r="X87"/>
      <c r="Y87"/>
      <c r="Z87"/>
      <c r="AA87"/>
      <c r="AB87"/>
      <c r="AC87"/>
      <c r="AD87"/>
      <c r="AE87"/>
      <c r="AF87"/>
      <c r="AG87"/>
      <c r="AH87"/>
      <c r="AI87"/>
      <c r="AJ87" t="str">
        <v>DEBT-007</v>
      </c>
      <c r="AK87" t="str">
        <v>Debt and funding</v>
      </c>
      <c r="AL87" t="str">
        <v>Construction facility</v>
      </c>
      <c r="AM87" t="str">
        <v>Base rate</v>
      </c>
      <c r="AN87" t="str">
        <v>% p.a.</v>
      </c>
      <c r="AO87" t="str">
        <v>Construction</v>
      </c>
      <c r="AP87" t="n">
        <v>0</v>
      </c>
      <c r="AQ87" t="str">
        <v>760</v>
      </c>
      <c r="AR87" t="str">
        <v>760</v>
      </c>
      <c r="AS87" t="str">
        <v>Target: DEBT | B12</v>
      </c>
      <c r="AT87" t="n">
        <v>46231</v>
      </c>
      <c r="AU87" t="str">
        <v>Mapped</v>
      </c>
      <c r="AV87" t="str">
        <f>IF(OR($AU87="Conflict",$AU87="Review Required",$AU87="New Input Required",$AU87="Unsupported"),"Management","Model owner")</f>
        <v>Model owner</v>
      </c>
      <c r="AW87" t="str">
        <v>Source provides all-in rate only. | Mapped to the live DEBT schedule as the management case. Executed lender terms remain an OWNER DECISION.</v>
      </c>
    </row>
    <row r="88">
      <c r="A88" t="str">
        <v>Field ID</v>
      </c>
      <c r="B88" t="str">
        <v>Assumption</v>
      </c>
      <c r="C88" t="str">
        <v>Unit</v>
      </c>
      <c r="D88" t="str">
        <v>Value</v>
      </c>
      <c r="E88" t="str">
        <v>Source Sheet</v>
      </c>
      <c r="F88" t="str">
        <v>Source Cell</v>
      </c>
      <c r="G88" t="str">
        <v>Status</v>
      </c>
      <c r="H88" t="str">
        <v>Notes</v>
      </c>
      <c r="I88"/>
      <c r="J88"/>
      <c r="K88"/>
      <c r="L88"/>
      <c r="M88"/>
      <c r="N88"/>
      <c r="O88"/>
      <c r="P88"/>
      <c r="Q88"/>
      <c r="R88"/>
      <c r="S88"/>
      <c r="T88"/>
      <c r="U88"/>
      <c r="V88"/>
      <c r="W88"/>
      <c r="X88"/>
      <c r="Y88"/>
      <c r="Z88"/>
      <c r="AA88"/>
      <c r="AB88"/>
      <c r="AC88"/>
      <c r="AD88"/>
      <c r="AE88"/>
      <c r="AF88"/>
      <c r="AG88"/>
      <c r="AH88"/>
      <c r="AI88"/>
      <c r="AJ88" t="str">
        <v>DEBT-008</v>
      </c>
      <c r="AK88" t="str">
        <v>Debt and funding</v>
      </c>
      <c r="AL88" t="str">
        <v>Construction facility</v>
      </c>
      <c r="AM88" t="str">
        <v>Commitment fee</v>
      </c>
      <c r="AN88" t="str">
        <v>% p.a.</v>
      </c>
      <c r="AO88" t="str">
        <v>Construction</v>
      </c>
      <c r="AP88" t="n">
        <v>0</v>
      </c>
      <c r="AQ88" t="str">
        <v>760</v>
      </c>
      <c r="AR88" t="str">
        <v>760</v>
      </c>
      <c r="AS88" t="str">
        <v>Target: DEBT | B14</v>
      </c>
      <c r="AT88" t="n">
        <v>46231</v>
      </c>
      <c r="AU88" t="str">
        <v>Mapped</v>
      </c>
      <c r="AV88" t="str">
        <f>IF(OR($AU88="Conflict",$AU88="Review Required",$AU88="New Input Required",$AU88="Unsupported"),"Management","Model owner")</f>
        <v>Model owner</v>
      </c>
      <c r="AW88" t="str">
        <v>760 | Mapped to the live DEBT schedule as the management case. Executed lender terms remain an OWNER DECISION.</v>
      </c>
    </row>
    <row r="89">
      <c r="A89" t="str">
        <v>GENESIS-FOOTPRINT</v>
      </c>
      <c r="B89" t="str">
        <v>Footprint</v>
      </c>
      <c r="C89" t="str">
        <v>sqm</v>
      </c>
      <c r="D89" t="n">
        <f>PROJECTS!$AP$235</f>
        <v>4000</v>
      </c>
      <c r="E89" t="str">
        <v>PROJECT DATA</v>
      </c>
      <c r="F89" t="str">
        <v>G235</v>
      </c>
      <c r="G89" t="str">
        <v>Formula Preserved</v>
      </c>
      <c r="H89" t="str">
        <v>Data-book component footprint.</v>
      </c>
      <c r="I89"/>
      <c r="J89"/>
      <c r="K89"/>
      <c r="L89"/>
      <c r="M89"/>
      <c r="N89"/>
      <c r="O89"/>
      <c r="P89"/>
      <c r="Q89"/>
      <c r="R89"/>
      <c r="S89"/>
      <c r="T89"/>
      <c r="U89"/>
      <c r="V89"/>
      <c r="W89"/>
      <c r="X89"/>
      <c r="Y89"/>
      <c r="Z89"/>
      <c r="AA89"/>
      <c r="AB89"/>
      <c r="AC89"/>
      <c r="AD89"/>
      <c r="AE89"/>
      <c r="AF89"/>
      <c r="AG89"/>
      <c r="AH89"/>
      <c r="AI89"/>
      <c r="AJ89" t="str">
        <v>DEBT-009</v>
      </c>
      <c r="AK89" t="str">
        <v>Debt and funding</v>
      </c>
      <c r="AL89" t="str">
        <v>Construction facility</v>
      </c>
      <c r="AM89" t="str">
        <v>Line fee</v>
      </c>
      <c r="AN89" t="str">
        <v>% p.a.</v>
      </c>
      <c r="AO89" t="str">
        <v>Construction</v>
      </c>
      <c r="AP89" t="n">
        <v>0</v>
      </c>
      <c r="AQ89" t="str">
        <v>760</v>
      </c>
      <c r="AR89" t="str">
        <v>760</v>
      </c>
      <c r="AS89" t="str">
        <v>Target: DEBT | B16</v>
      </c>
      <c r="AT89" t="n">
        <v>46231</v>
      </c>
      <c r="AU89" t="str">
        <v>Mapped</v>
      </c>
      <c r="AV89" t="str">
        <f>IF(OR($AU89="Conflict",$AU89="Review Required",$AU89="New Input Required",$AU89="Unsupported"),"Management","Model owner")</f>
        <v>Model owner</v>
      </c>
      <c r="AW89" t="str">
        <v>760 | Mapped to the live DEBT schedule as the management case. Executed lender terms remain an OWNER DECISION.</v>
      </c>
    </row>
    <row r="90">
      <c r="A90" t="str">
        <v>GENESIS-LAND</v>
      </c>
      <c r="B90" t="str">
        <v>Land area</v>
      </c>
      <c r="C90" t="str">
        <v>sqm</v>
      </c>
      <c r="D90" t="n">
        <f>PROJECTS!$AP$236</f>
        <v>200</v>
      </c>
      <c r="E90" t="str">
        <v>PROJECT DATA</v>
      </c>
      <c r="F90" t="str">
        <v>G236</v>
      </c>
      <c r="G90" t="str">
        <v>Formula Preserved</v>
      </c>
      <c r="H90" t="str">
        <v>May overlap vertically or with shared precinct uses.</v>
      </c>
      <c r="I90"/>
      <c r="J90"/>
      <c r="K90"/>
      <c r="L90"/>
      <c r="M90"/>
      <c r="N90"/>
      <c r="O90"/>
      <c r="P90"/>
      <c r="Q90"/>
      <c r="R90"/>
      <c r="S90"/>
      <c r="T90"/>
      <c r="U90"/>
      <c r="V90"/>
      <c r="W90"/>
      <c r="X90"/>
      <c r="Y90"/>
      <c r="Z90"/>
      <c r="AA90"/>
      <c r="AB90"/>
      <c r="AC90"/>
      <c r="AD90"/>
      <c r="AE90"/>
      <c r="AF90"/>
      <c r="AG90"/>
      <c r="AH90"/>
      <c r="AI90"/>
      <c r="AJ90" t="str">
        <v>DEBT-010</v>
      </c>
      <c r="AK90" t="str">
        <v>Debt and funding</v>
      </c>
      <c r="AL90" t="str">
        <v>Construction facility</v>
      </c>
      <c r="AM90" t="str">
        <v>Interest basis</v>
      </c>
      <c r="AN90" t="str">
        <v>Days</v>
      </c>
      <c r="AO90" t="str">
        <v>Construction</v>
      </c>
      <c r="AP90" t="n">
        <v>365</v>
      </c>
      <c r="AQ90" t="str">
        <v>760</v>
      </c>
      <c r="AR90" t="str">
        <v>760</v>
      </c>
      <c r="AS90" t="str">
        <v>Target: DEBT | B17</v>
      </c>
      <c r="AT90" t="n">
        <v>46231</v>
      </c>
      <c r="AU90" t="str">
        <v>Mapped</v>
      </c>
      <c r="AV90" t="str">
        <f>IF(OR($AU90="Conflict",$AU90="Review Required",$AU90="New Input Required",$AU90="Unsupported"),"Management","Model owner")</f>
        <v>Model owner</v>
      </c>
      <c r="AW90" t="str">
        <v>760 | Mapped to the live DEBT schedule as the management case. Executed lender terms remain an OWNER DECISION.</v>
      </c>
    </row>
    <row r="91">
      <c r="A91" t="str">
        <v>GENESIS-GFA</v>
      </c>
      <c r="B91" t="str">
        <v>Estimated GFA / operating area</v>
      </c>
      <c r="C91" t="str">
        <v>sqm</v>
      </c>
      <c r="D91" t="n">
        <f>C101</f>
        <v>4000</v>
      </c>
      <c r="E91" t="str">
        <v>PROJECT DATA</v>
      </c>
      <c r="F91" t="str">
        <v>G24</v>
      </c>
      <c r="G91" t="str">
        <v>Formula Preserved</v>
      </c>
      <c r="H91" t="str">
        <v>Controlling model area.</v>
      </c>
      <c r="I91"/>
      <c r="J91"/>
      <c r="K91"/>
      <c r="L91"/>
      <c r="M91"/>
      <c r="N91"/>
      <c r="O91"/>
      <c r="P91"/>
      <c r="Q91"/>
      <c r="R91"/>
      <c r="S91"/>
      <c r="T91"/>
      <c r="U91"/>
      <c r="V91"/>
      <c r="W91"/>
      <c r="X91"/>
      <c r="Y91"/>
      <c r="Z91"/>
      <c r="AA91"/>
      <c r="AB91"/>
      <c r="AC91"/>
      <c r="AD91"/>
      <c r="AE91"/>
      <c r="AF91"/>
      <c r="AG91"/>
      <c r="AH91"/>
      <c r="AI91"/>
      <c r="AJ91" t="str">
        <v>DEBT-011</v>
      </c>
      <c r="AK91" t="str">
        <v>Debt and funding</v>
      </c>
      <c r="AL91" t="str">
        <v>Construction facility</v>
      </c>
      <c r="AM91" t="str">
        <v>Covenant drawstop enabled</v>
      </c>
      <c r="AN91" t="str">
        <v>Yes/No</v>
      </c>
      <c r="AO91" t="str">
        <v>Construction</v>
      </c>
      <c r="AP91" t="str">
        <v>Yes</v>
      </c>
      <c r="AQ91" t="str">
        <v>760</v>
      </c>
      <c r="AR91" t="str">
        <v>760</v>
      </c>
      <c r="AS91" t="str">
        <v>Target: DEBT | B21</v>
      </c>
      <c r="AT91" t="n">
        <v>46231</v>
      </c>
      <c r="AU91" t="str">
        <v>Mapped</v>
      </c>
      <c r="AV91" t="str">
        <f>IF(OR($AU91="Conflict",$AU91="Review Required",$AU91="New Input Required",$AU91="Unsupported"),"Management","Model owner")</f>
        <v>Model owner</v>
      </c>
      <c r="AW91" t="str">
        <v>760 | Mapped to the live DEBT schedule as the management case. Executed lender terms remain an OWNER DECISION.</v>
      </c>
    </row>
    <row r="92">
      <c r="A92" t="str">
        <v>GENESIS-CORE</v>
      </c>
      <c r="B92" t="str">
        <v>Core / shell CAPEX</v>
      </c>
      <c r="C92" t="str">
        <v>A$m</v>
      </c>
      <c r="D92" t="n">
        <f>D101</f>
        <v>14.5</v>
      </c>
      <c r="E92" t="str">
        <v>PROJECT DATA</v>
      </c>
      <c r="F92" t="str">
        <v>PROJECTS!D101</v>
      </c>
      <c r="G92" t="str">
        <v>Formula Preserved</v>
      </c>
      <c r="H92" t="str">
        <v>Current detailed data-book amount.</v>
      </c>
      <c r="I92"/>
      <c r="J92"/>
      <c r="K92"/>
      <c r="L92"/>
      <c r="M92"/>
      <c r="N92"/>
      <c r="O92"/>
      <c r="P92"/>
      <c r="Q92"/>
      <c r="R92"/>
      <c r="S92"/>
      <c r="T92"/>
      <c r="U92"/>
      <c r="V92"/>
      <c r="W92"/>
      <c r="X92"/>
      <c r="Y92"/>
      <c r="Z92"/>
      <c r="AA92"/>
      <c r="AB92"/>
      <c r="AC92"/>
      <c r="AD92"/>
      <c r="AE92"/>
      <c r="AF92"/>
      <c r="AG92"/>
      <c r="AH92"/>
      <c r="AI92"/>
      <c r="AJ92" t="str">
        <v>DEBT-012</v>
      </c>
      <c r="AK92" t="str">
        <v>Debt and funding</v>
      </c>
      <c r="AL92" t="str">
        <v>Working capital</v>
      </c>
      <c r="AM92" t="str">
        <v>Working-capital base rate</v>
      </c>
      <c r="AN92" t="str">
        <v>% p.a.</v>
      </c>
      <c r="AO92" t="str">
        <v>Operating period</v>
      </c>
      <c r="AP92" t="n">
        <v>0</v>
      </c>
      <c r="AQ92" t="str">
        <v>760</v>
      </c>
      <c r="AR92" t="str">
        <v>760</v>
      </c>
      <c r="AS92" t="str">
        <v>Target: DEBT | B25</v>
      </c>
      <c r="AT92" t="n">
        <v>46231</v>
      </c>
      <c r="AU92" t="str">
        <v>Mapped</v>
      </c>
      <c r="AV92" t="str">
        <f>IF(OR($AU92="Conflict",$AU92="Review Required",$AU92="New Input Required",$AU92="Unsupported"),"Management","Model owner")</f>
        <v>Model owner</v>
      </c>
      <c r="AW92" t="str">
        <v>760 | Mapped to the live DEBT schedule as the management case. Executed lender terms remain an OWNER DECISION.</v>
      </c>
    </row>
    <row r="93">
      <c r="A93" t="str">
        <v>GENESIS-FITOUT</v>
      </c>
      <c r="B93" t="str">
        <v>Fitout CAPEX</v>
      </c>
      <c r="C93" t="str">
        <v>A$m</v>
      </c>
      <c r="D93" t="n">
        <f>E101</f>
        <v>0</v>
      </c>
      <c r="E93" t="str">
        <v>PROJECT CASH FLOW</v>
      </c>
      <c r="F93" t="str">
        <v>PROJECTS!E101</v>
      </c>
      <c r="G93" t="str">
        <v>Mapped</v>
      </c>
      <c r="H93" t="str">
        <v>Current detailed data-book amount.</v>
      </c>
      <c r="I93"/>
      <c r="J93"/>
      <c r="K93"/>
      <c r="L93"/>
      <c r="M93"/>
      <c r="N93"/>
      <c r="O93"/>
      <c r="P93"/>
      <c r="Q93"/>
      <c r="R93"/>
      <c r="S93"/>
      <c r="T93"/>
      <c r="U93"/>
      <c r="V93"/>
      <c r="W93"/>
      <c r="X93"/>
      <c r="Y93"/>
      <c r="Z93"/>
      <c r="AA93"/>
      <c r="AB93"/>
      <c r="AC93"/>
      <c r="AD93"/>
      <c r="AE93"/>
      <c r="AF93"/>
      <c r="AG93"/>
      <c r="AH93"/>
      <c r="AI93"/>
      <c r="AJ93" t="str">
        <v>DEBT-013</v>
      </c>
      <c r="AK93" t="str">
        <v>Debt and funding</v>
      </c>
      <c r="AL93" t="str">
        <v>Working capital</v>
      </c>
      <c r="AM93" t="str">
        <v>Minimum cash balance</v>
      </c>
      <c r="AN93" t="str">
        <v>A$</v>
      </c>
      <c r="AO93" t="str">
        <v>Operating period</v>
      </c>
      <c r="AP93" t="n">
        <v>100000</v>
      </c>
      <c r="AQ93" t="str">
        <v>760</v>
      </c>
      <c r="AR93" t="str">
        <v>760</v>
      </c>
      <c r="AS93" t="str">
        <v>Target: DEBT | B27</v>
      </c>
      <c r="AT93" t="n">
        <v>46231</v>
      </c>
      <c r="AU93" t="str">
        <v>Mapped</v>
      </c>
      <c r="AV93" t="str">
        <f>IF(OR($AU93="Conflict",$AU93="Review Required",$AU93="New Input Required",$AU93="Unsupported"),"Management","Model owner")</f>
        <v>Model owner</v>
      </c>
      <c r="AW93" t="str">
        <v>760 | Mapped to the live DEBT schedule as the management case. Executed lender terms remain an OWNER DECISION.</v>
      </c>
    </row>
    <row r="94">
      <c r="A94" t="str">
        <v>GENESIS-TOTAL</v>
      </c>
      <c r="B94" t="str">
        <v>Total component CAPEX</v>
      </c>
      <c r="C94" t="str">
        <v>A$m</v>
      </c>
      <c r="D94" t="n">
        <f>F101</f>
        <v>14.5</v>
      </c>
      <c r="E94" t="str">
        <v>PROJECT DATA</v>
      </c>
      <c r="F94" t="str">
        <v>G38</v>
      </c>
      <c r="G94" t="str">
        <v>Formula Preserved</v>
      </c>
      <c r="H94" t="str">
        <v>Feeds PROJECTS CAPEX sections and project funding.</v>
      </c>
      <c r="I94"/>
      <c r="J94"/>
      <c r="K94"/>
      <c r="L94"/>
      <c r="M94"/>
      <c r="N94"/>
      <c r="O94"/>
      <c r="P94"/>
      <c r="Q94"/>
      <c r="R94"/>
      <c r="S94"/>
      <c r="T94"/>
      <c r="U94"/>
      <c r="V94"/>
      <c r="W94"/>
      <c r="X94"/>
      <c r="Y94"/>
      <c r="Z94"/>
      <c r="AA94"/>
      <c r="AB94"/>
      <c r="AC94"/>
      <c r="AD94"/>
      <c r="AE94"/>
      <c r="AF94"/>
      <c r="AG94"/>
      <c r="AH94"/>
      <c r="AI94"/>
      <c r="AJ94" t="str">
        <v>DEBT-014</v>
      </c>
      <c r="AK94" t="str">
        <v>Debt and funding</v>
      </c>
      <c r="AL94" t="str">
        <v>Working capital</v>
      </c>
      <c r="AM94" t="str">
        <v>Unused-line fee</v>
      </c>
      <c r="AN94" t="str">
        <v>% p.a.</v>
      </c>
      <c r="AO94" t="str">
        <v>Operating period</v>
      </c>
      <c r="AP94" t="n">
        <v>0</v>
      </c>
      <c r="AQ94" t="str">
        <v>760</v>
      </c>
      <c r="AR94" t="str">
        <v>760</v>
      </c>
      <c r="AS94" t="str">
        <v>Target: DEBT | B28</v>
      </c>
      <c r="AT94" t="n">
        <v>46231</v>
      </c>
      <c r="AU94" t="str">
        <v>Mapped</v>
      </c>
      <c r="AV94" t="str">
        <f>IF(OR($AU94="Conflict",$AU94="Review Required",$AU94="New Input Required",$AU94="Unsupported"),"Management","Model owner")</f>
        <v>Model owner</v>
      </c>
      <c r="AW94" t="str">
        <v>760 | Mapped to the live DEBT schedule as the management case. Executed lender terms remain an OWNER DECISION.</v>
      </c>
    </row>
    <row r="95">
      <c r="A95" t="str">
        <v>GENESIS-CAPEX-SQM</v>
      </c>
      <c r="B95" t="str">
        <v>CAPEX per sqm</v>
      </c>
      <c r="C95" t="str">
        <v>A$/sqm</v>
      </c>
      <c r="D95" t="n">
        <f>IF(C101=0,0,F101*1000000/C101)</f>
        <v>3625</v>
      </c>
      <c r="E95" t="str">
        <v>Calculated</v>
      </c>
      <c r="F95" t="str">
        <v>F101/C101</v>
      </c>
      <c r="G95" t="str">
        <v>Formula Preserved</v>
      </c>
      <c r="H95" t="str">
        <v>Reasonableness metric; not an input.</v>
      </c>
      <c r="I95"/>
      <c r="J95"/>
      <c r="K95"/>
      <c r="L95"/>
      <c r="M95"/>
      <c r="N95"/>
      <c r="O95"/>
      <c r="P95"/>
      <c r="Q95"/>
      <c r="R95"/>
      <c r="S95"/>
      <c r="T95"/>
      <c r="U95"/>
      <c r="V95"/>
      <c r="W95"/>
      <c r="X95"/>
      <c r="Y95"/>
      <c r="Z95"/>
      <c r="AA95"/>
      <c r="AB95"/>
      <c r="AC95"/>
      <c r="AD95"/>
      <c r="AE95"/>
      <c r="AF95"/>
      <c r="AG95"/>
      <c r="AH95"/>
      <c r="AI95"/>
      <c r="AJ95" t="str">
        <v>DEBT-015</v>
      </c>
      <c r="AK95" t="str">
        <v>Debt and funding</v>
      </c>
      <c r="AL95" t="str">
        <v>Term debt</v>
      </c>
      <c r="AM95" t="str">
        <v>Conversion trigger</v>
      </c>
      <c r="AN95" t="str">
        <v>Text</v>
      </c>
      <c r="AO95" t="str">
        <v>Post-completion</v>
      </c>
      <c r="AP95" t="str">
        <v>Stabilisation</v>
      </c>
      <c r="AQ95" t="str">
        <v>760</v>
      </c>
      <c r="AR95" t="str">
        <v>760</v>
      </c>
      <c r="AS95" t="str">
        <v>Target: DEBT | B33</v>
      </c>
      <c r="AT95" t="n">
        <v>46231</v>
      </c>
      <c r="AU95" t="str">
        <v>Mapped</v>
      </c>
      <c r="AV95" t="str">
        <f>IF(OR($AU95="Conflict",$AU95="Review Required",$AU95="New Input Required",$AU95="Unsupported"),"Management","Model owner")</f>
        <v>Model owner</v>
      </c>
      <c r="AW95" t="str">
        <v>760 | Mapped to the live DEBT schedule as the management case. Executed lender terms remain an OWNER DECISION.</v>
      </c>
    </row>
    <row r="96">
      <c r="A96" t="str">
        <v>GENESIS-OPS</v>
      </c>
      <c r="B96" t="str">
        <v>Operating forecast</v>
      </c>
      <c r="C96" t="str">
        <v>Reference</v>
      </c>
      <c r="D96" t="str">
        <v>OPERATING MODEL</v>
      </c>
      <c r="E96" t="str">
        <v>GENESIS CAPEX</v>
      </c>
      <c r="F96" t="str">
        <v>See source schedules</v>
      </c>
      <c r="G96" t="str">
        <v>Mapped</v>
      </c>
      <c r="H96" t="str">
        <v>Component detail is consolidated into the management operating forecast; no parallel revenue schedule is created.</v>
      </c>
      <c r="I96"/>
      <c r="J96"/>
      <c r="K96"/>
      <c r="L96"/>
      <c r="M96"/>
      <c r="N96"/>
      <c r="O96"/>
      <c r="P96"/>
      <c r="Q96"/>
      <c r="R96"/>
      <c r="S96"/>
      <c r="T96"/>
      <c r="U96"/>
      <c r="V96"/>
      <c r="W96"/>
      <c r="X96"/>
      <c r="Y96"/>
      <c r="Z96"/>
      <c r="AA96"/>
      <c r="AB96"/>
      <c r="AC96"/>
      <c r="AD96"/>
      <c r="AE96"/>
      <c r="AF96"/>
      <c r="AG96"/>
      <c r="AH96"/>
      <c r="AI96"/>
      <c r="AJ96" t="str">
        <v>DEBT-016</v>
      </c>
      <c r="AK96" t="str">
        <v>Debt and funding</v>
      </c>
      <c r="AL96" t="str">
        <v>Term debt</v>
      </c>
      <c r="AM96" t="str">
        <v>Working-capital debt may refinance</v>
      </c>
      <c r="AN96" t="str">
        <v>Yes/No</v>
      </c>
      <c r="AO96" t="str">
        <v>At conversion</v>
      </c>
      <c r="AP96" t="str">
        <v>Yes</v>
      </c>
      <c r="AQ96" t="str">
        <v>760</v>
      </c>
      <c r="AR96" t="str">
        <v>760</v>
      </c>
      <c r="AS96" t="str">
        <v>Target: DEBT | B36</v>
      </c>
      <c r="AT96" t="n">
        <v>46231</v>
      </c>
      <c r="AU96" t="str">
        <v>Mapped</v>
      </c>
      <c r="AV96" t="str">
        <f>IF(OR($AU96="Conflict",$AU96="Review Required",$AU96="New Input Required",$AU96="Unsupported"),"Management","Model owner")</f>
        <v>Model owner</v>
      </c>
      <c r="AW96" t="str">
        <v>760 | Mapped to the live DEBT schedule as the management case. Executed lender terms remain an OWNER DECISION.</v>
      </c>
    </row>
    <row r="97">
      <c r="A97"/>
      <c r="B97"/>
      <c r="C97"/>
      <c r="D97"/>
      <c r="E97"/>
      <c r="F97"/>
      <c r="G97"/>
      <c r="H97"/>
      <c r="I97"/>
      <c r="J97"/>
      <c r="K97"/>
      <c r="L97"/>
      <c r="M97"/>
      <c r="N97"/>
      <c r="O97"/>
      <c r="P97"/>
      <c r="Q97"/>
      <c r="R97"/>
      <c r="S97"/>
      <c r="T97"/>
      <c r="U97"/>
      <c r="V97"/>
      <c r="W97"/>
      <c r="X97"/>
      <c r="Y97"/>
      <c r="Z97"/>
      <c r="AA97"/>
      <c r="AB97"/>
      <c r="AC97"/>
      <c r="AD97"/>
      <c r="AE97"/>
      <c r="AF97"/>
      <c r="AG97"/>
      <c r="AH97"/>
      <c r="AI97"/>
      <c r="AJ97" t="str">
        <v>DEBT-017</v>
      </c>
      <c r="AK97" t="str">
        <v>Debt and funding</v>
      </c>
      <c r="AL97" t="str">
        <v>Term debt</v>
      </c>
      <c r="AM97" t="str">
        <v>Term-debt LTV limit</v>
      </c>
      <c r="AN97" t="str">
        <v>%</v>
      </c>
      <c r="AO97" t="str">
        <v>At conversion</v>
      </c>
      <c r="AP97" t="n">
        <v>0.65</v>
      </c>
      <c r="AQ97" t="n">
        <v>0.6</v>
      </c>
      <c r="AR97" t="n">
        <v>0.7</v>
      </c>
      <c r="AS97" t="str">
        <v>Target: DEBT | B38</v>
      </c>
      <c r="AT97" t="n">
        <v>46231</v>
      </c>
      <c r="AU97" t="str">
        <v>Mapped</v>
      </c>
      <c r="AV97" t="str">
        <f>IF(OR($AU97="Conflict",$AU97="Review Required",$AU97="New Input Required",$AU97="Unsupported"),"Management","Model owner")</f>
        <v>Model owner</v>
      </c>
      <c r="AW97" t="str">
        <v>760 | Mapped to the live DEBT schedule as the management case. Executed lender terms remain an OWNER DECISION.</v>
      </c>
    </row>
    <row r="98">
      <c r="A98"/>
      <c r="B98"/>
      <c r="C98"/>
      <c r="D98"/>
      <c r="E98"/>
      <c r="F98"/>
      <c r="G98"/>
      <c r="H98"/>
      <c r="I98"/>
      <c r="J98"/>
      <c r="K98"/>
      <c r="L98"/>
      <c r="M98"/>
      <c r="N98"/>
      <c r="O98"/>
      <c r="P98"/>
      <c r="Q98"/>
      <c r="R98"/>
      <c r="S98"/>
      <c r="T98"/>
      <c r="U98"/>
      <c r="V98"/>
      <c r="W98"/>
      <c r="X98"/>
      <c r="Y98"/>
      <c r="Z98"/>
      <c r="AA98"/>
      <c r="AB98"/>
      <c r="AC98"/>
      <c r="AD98"/>
      <c r="AE98"/>
      <c r="AF98"/>
      <c r="AG98"/>
      <c r="AH98"/>
      <c r="AI98"/>
      <c r="AJ98" t="str">
        <v>DEBT-018</v>
      </c>
      <c r="AK98" t="str">
        <v>Debt and funding</v>
      </c>
      <c r="AL98" t="str">
        <v>Term debt</v>
      </c>
      <c r="AM98" t="str">
        <v>Term</v>
      </c>
      <c r="AN98" t="str">
        <v>Years</v>
      </c>
      <c r="AO98" t="str">
        <v>Post-conversion</v>
      </c>
      <c r="AP98" t="n">
        <v>5</v>
      </c>
      <c r="AQ98" t="str">
        <v>760</v>
      </c>
      <c r="AR98" t="str">
        <v>760</v>
      </c>
      <c r="AS98" t="str">
        <v>Target model existing illustrative assumption</v>
      </c>
      <c r="AT98" t="n">
        <v>46231</v>
      </c>
      <c r="AU98" t="str">
        <v>Mapped</v>
      </c>
      <c r="AV98" t="str">
        <f>IF(OR($AU98="Conflict",$AU98="Review Required",$AU98="New Input Required",$AU98="Unsupported"),"Management","Model owner")</f>
        <v>Model owner</v>
      </c>
      <c r="AW98" t="str">
        <v>Five-year live model assumption retained to preserve the current funding case. The data book states ten years; lender confirmation is required. | Mapped to the live DEBT schedule as the management case. Executed lender terms remain an OWNER DECISION.</v>
      </c>
    </row>
    <row r="99">
      <c r="A99" t="str">
        <v>CAPEX DETAIL | A$ MILLION</v>
      </c>
      <c r="B99"/>
      <c r="C99"/>
      <c r="D99"/>
      <c r="E99"/>
      <c r="F99"/>
      <c r="G99"/>
      <c r="H99"/>
      <c r="I99"/>
      <c r="J99"/>
      <c r="K99"/>
      <c r="L99"/>
      <c r="M99"/>
      <c r="N99"/>
      <c r="O99"/>
      <c r="P99"/>
      <c r="Q99"/>
      <c r="R99"/>
      <c r="S99"/>
      <c r="T99"/>
      <c r="U99"/>
      <c r="V99"/>
      <c r="W99"/>
      <c r="X99"/>
      <c r="Y99"/>
      <c r="Z99"/>
      <c r="AA99"/>
      <c r="AB99"/>
      <c r="AC99"/>
      <c r="AD99"/>
      <c r="AE99"/>
      <c r="AF99"/>
      <c r="AG99"/>
      <c r="AH99"/>
      <c r="AI99"/>
      <c r="AJ99" t="str">
        <v>DEBT-019</v>
      </c>
      <c r="AK99" t="str">
        <v>Debt and funding</v>
      </c>
      <c r="AL99" t="str">
        <v>Term debt</v>
      </c>
      <c r="AM99" t="str">
        <v>Interest-only period</v>
      </c>
      <c r="AN99" t="str">
        <v>Months</v>
      </c>
      <c r="AO99" t="str">
        <v>Post-conversion</v>
      </c>
      <c r="AP99" t="n">
        <v>12</v>
      </c>
      <c r="AQ99" t="str">
        <v>760</v>
      </c>
      <c r="AR99" t="str">
        <v>760</v>
      </c>
      <c r="AS99" t="str">
        <v>Target model existing illustrative assumption</v>
      </c>
      <c r="AT99" t="n">
        <v>46231</v>
      </c>
      <c r="AU99" t="str">
        <v>Mapped</v>
      </c>
      <c r="AV99" t="str">
        <f>IF(OR($AU99="Conflict",$AU99="Review Required",$AU99="New Input Required",$AU99="Unsupported"),"Management","Model owner")</f>
        <v>Model owner</v>
      </c>
      <c r="AW99" t="str">
        <v>Twelve-month live interest-only period retained pending lender confirmation. The data-book interest-only description is recorded separately. | Mapped to the live DEBT schedule as the management case. Executed lender terms remain an OWNER DECISION.</v>
      </c>
    </row>
    <row r="100">
      <c r="A100" t="str">
        <v>Field ID</v>
      </c>
      <c r="B100" t="str">
        <v>Component</v>
      </c>
      <c r="C100" t="str">
        <v>GFA / Area (sqm)</v>
      </c>
      <c r="D100" t="str">
        <v>Core / Shell</v>
      </c>
      <c r="E100" t="str">
        <v>Fitout</v>
      </c>
      <c r="F100" t="str">
        <v>Model Net CAPEX</v>
      </c>
      <c r="G100" t="str">
        <v>Source</v>
      </c>
      <c r="H100" t="str">
        <v>Status / Note</v>
      </c>
      <c r="I100"/>
      <c r="J100"/>
      <c r="K100"/>
      <c r="L100"/>
      <c r="M100"/>
      <c r="N100"/>
      <c r="O100"/>
      <c r="P100"/>
      <c r="Q100"/>
      <c r="R100"/>
      <c r="S100"/>
      <c r="T100"/>
      <c r="U100"/>
      <c r="V100"/>
      <c r="W100"/>
      <c r="X100"/>
      <c r="Y100"/>
      <c r="Z100"/>
      <c r="AA100"/>
      <c r="AB100"/>
      <c r="AC100"/>
      <c r="AD100"/>
      <c r="AE100"/>
      <c r="AF100"/>
      <c r="AG100"/>
      <c r="AH100"/>
      <c r="AI100"/>
      <c r="AJ100" t="str">
        <v>DEBT-020</v>
      </c>
      <c r="AK100" t="str">
        <v>Debt and funding</v>
      </c>
      <c r="AL100" t="str">
        <v>Term debt</v>
      </c>
      <c r="AM100" t="str">
        <v>Repayment profile</v>
      </c>
      <c r="AN100" t="str">
        <v>Text</v>
      </c>
      <c r="AO100" t="str">
        <v>Post-conversion</v>
      </c>
      <c r="AP100" t="str">
        <v>Interest-only followed by amortisation</v>
      </c>
      <c r="AQ100" t="str">
        <v>760</v>
      </c>
      <c r="AR100" t="str">
        <v>760</v>
      </c>
      <c r="AS100" t="str">
        <v>Target: DEBT | B44</v>
      </c>
      <c r="AT100" t="n">
        <v>46231</v>
      </c>
      <c r="AU100" t="str">
        <v>Mapped</v>
      </c>
      <c r="AV100" t="str">
        <f>IF(OR($AU100="Conflict",$AU100="Review Required",$AU100="New Input Required",$AU100="Unsupported"),"Management","Model owner")</f>
        <v>Model owner</v>
      </c>
      <c r="AW100" t="str">
        <v>760 | Mapped to the live DEBT schedule as the management case. Executed lender terms remain an OWNER DECISION.</v>
      </c>
    </row>
    <row r="101">
      <c r="A101" t="str">
        <v>CAPEX-GEN</v>
      </c>
      <c r="B101" t="str">
        <v>Genesis Health &amp; Fitness</v>
      </c>
      <c r="C101" t="n">
        <f>PROJECTS!$AP$24</f>
        <v>4000</v>
      </c>
      <c r="D101" t="n">
        <v>14.5</v>
      </c>
      <c r="E101" t="n">
        <v>0</v>
      </c>
      <c r="F101" t="n">
        <f>PROJECTS!$AP$38</f>
        <v>14.5</v>
      </c>
      <c r="G101" t="str">
        <v>PROJECT CASH FLOW!H12:J12</v>
      </c>
      <c r="H101" t="str">
        <v>Current detailed data-book budget treated as post-CEO roof correction.</v>
      </c>
      <c r="I101"/>
      <c r="J101"/>
      <c r="K101"/>
      <c r="L101"/>
      <c r="M101"/>
      <c r="N101"/>
      <c r="O101"/>
      <c r="P101"/>
      <c r="Q101"/>
      <c r="R101"/>
      <c r="S101"/>
      <c r="T101"/>
      <c r="U101"/>
      <c r="V101"/>
      <c r="W101"/>
      <c r="X101"/>
      <c r="Y101"/>
      <c r="Z101"/>
      <c r="AA101"/>
      <c r="AB101"/>
      <c r="AC101"/>
      <c r="AD101"/>
      <c r="AE101"/>
      <c r="AF101"/>
      <c r="AG101"/>
      <c r="AH101"/>
      <c r="AI101"/>
      <c r="AJ101" t="str">
        <v>DEBT-021</v>
      </c>
      <c r="AK101" t="str">
        <v>Debt and funding</v>
      </c>
      <c r="AL101" t="str">
        <v>Term debt</v>
      </c>
      <c r="AM101" t="str">
        <v>Bullet percentage</v>
      </c>
      <c r="AN101" t="str">
        <v>%</v>
      </c>
      <c r="AO101" t="str">
        <v>At maturity</v>
      </c>
      <c r="AP101" t="n">
        <v>0.5</v>
      </c>
      <c r="AQ101" t="str">
        <v>760</v>
      </c>
      <c r="AR101" t="str">
        <v>760</v>
      </c>
      <c r="AS101" t="str">
        <v>Target model existing illustrative assumption</v>
      </c>
      <c r="AT101" t="n">
        <v>46231</v>
      </c>
      <c r="AU101" t="str">
        <v>Mapped</v>
      </c>
      <c r="AV101" t="str">
        <f>IF(OR($AU101="Conflict",$AU101="Review Required",$AU101="New Input Required",$AU101="Unsupported"),"Management","Model owner")</f>
        <v>Model owner</v>
      </c>
      <c r="AW101" t="str">
        <v>Illustrative 50% bullet retained pending executed lender terms. | Mapped to the live DEBT schedule as the management case. Executed lender terms remain an OWNER DECISION.</v>
      </c>
    </row>
    <row r="102">
      <c r="A102" t="str">
        <v>Roof / solar duplicate adjustment: A$0.000. Model net CAPEX equals the current data-book total.</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t="str">
        <v>DEBT-022</v>
      </c>
      <c r="AK102" t="str">
        <v>Debt and funding</v>
      </c>
      <c r="AL102" t="str">
        <v>Term debt</v>
      </c>
      <c r="AM102" t="str">
        <v>Cash-sweep percentage</v>
      </c>
      <c r="AN102" t="str">
        <v>%</v>
      </c>
      <c r="AO102" t="str">
        <v>Post-conversion</v>
      </c>
      <c r="AP102" t="n">
        <v>0.5</v>
      </c>
      <c r="AQ102" t="str">
        <v>760</v>
      </c>
      <c r="AR102" t="str">
        <v>760</v>
      </c>
      <c r="AS102" t="str">
        <v>Target model existing illustrative assumption</v>
      </c>
      <c r="AT102" t="n">
        <v>46231</v>
      </c>
      <c r="AU102" t="str">
        <v>Mapped</v>
      </c>
      <c r="AV102" t="str">
        <f>IF(OR($AU102="Conflict",$AU102="Review Required",$AU102="New Input Required",$AU102="Unsupported"),"Management","Model owner")</f>
        <v>Model owner</v>
      </c>
      <c r="AW102" t="str">
        <v>Illustrative 50% cash sweep retained pending executed lender terms. | Mapped to the live DEBT schedule as the management case. Executed lender terms remain an OWNER DECISION.</v>
      </c>
    </row>
    <row r="103">
      <c r="A103" t="str">
        <v>SCOPE &amp; INTEGRATION CONTROLS</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t="str">
        <v>DEBT-023</v>
      </c>
      <c r="AK103" t="str">
        <v>Debt and funding</v>
      </c>
      <c r="AL103" t="str">
        <v>Covenants</v>
      </c>
      <c r="AM103" t="str">
        <v>Minimum DSCR</v>
      </c>
      <c r="AN103" t="str">
        <v>x</v>
      </c>
      <c r="AO103" t="str">
        <v>Post-conversion</v>
      </c>
      <c r="AP103" t="n">
        <v>1.25</v>
      </c>
      <c r="AQ103" t="str">
        <v>760</v>
      </c>
      <c r="AR103" t="str">
        <v>760</v>
      </c>
      <c r="AS103" t="str">
        <v>Target model existing illustrative assumption; MODEL DESIGN | D175</v>
      </c>
      <c r="AT103" t="n">
        <v>46231</v>
      </c>
      <c r="AU103" t="str">
        <v>Mapped</v>
      </c>
      <c r="AV103" t="str">
        <f>IF(OR($AU103="Conflict",$AU103="Review Required",$AU103="New Input Required",$AU103="Unsupported"),"Management","Model owner")</f>
        <v>Model owner</v>
      </c>
      <c r="AW103" t="str">
        <v>Illustrative 1.25x live covenant retained; the data-book KPI target of greater than 1.50x is disclosed as a source cross-check. | Mapped to the live DEBT schedule as the management case. Executed lender terms remain an OWNER DECISION.</v>
      </c>
    </row>
    <row r="104">
      <c r="A104" t="str">
        <v>Control</v>
      </c>
      <c r="B104" t="str">
        <v>Result</v>
      </c>
      <c r="C104" t="str">
        <v>Basis</v>
      </c>
      <c r="D104"/>
      <c r="E104"/>
      <c r="F104"/>
      <c r="G104"/>
      <c r="H104"/>
      <c r="I104"/>
      <c r="J104"/>
      <c r="K104"/>
      <c r="L104"/>
      <c r="M104"/>
      <c r="N104"/>
      <c r="O104"/>
      <c r="P104"/>
      <c r="Q104"/>
      <c r="R104"/>
      <c r="S104"/>
      <c r="T104"/>
      <c r="U104"/>
      <c r="V104"/>
      <c r="W104"/>
      <c r="X104"/>
      <c r="Y104"/>
      <c r="Z104"/>
      <c r="AA104"/>
      <c r="AB104"/>
      <c r="AC104"/>
      <c r="AD104"/>
      <c r="AE104"/>
      <c r="AF104"/>
      <c r="AG104"/>
      <c r="AH104"/>
      <c r="AI104"/>
      <c r="AJ104" t="str">
        <v>DEBT-024</v>
      </c>
      <c r="AK104" t="str">
        <v>Debt and funding</v>
      </c>
      <c r="AL104" t="str">
        <v>Covenants</v>
      </c>
      <c r="AM104" t="str">
        <v>Minimum interest-cover ratio</v>
      </c>
      <c r="AN104" t="str">
        <v>x</v>
      </c>
      <c r="AO104" t="str">
        <v>Post-conversion</v>
      </c>
      <c r="AP104" t="n">
        <v>1.5</v>
      </c>
      <c r="AQ104" t="str">
        <v>760</v>
      </c>
      <c r="AR104" t="str">
        <v>760</v>
      </c>
      <c r="AS104" t="str">
        <v>Target: DEBT | B49</v>
      </c>
      <c r="AT104" t="n">
        <v>46231</v>
      </c>
      <c r="AU104" t="str">
        <v>Mapped</v>
      </c>
      <c r="AV104" t="str">
        <f>IF(OR($AU104="Conflict",$AU104="Review Required",$AU104="New Input Required",$AU104="Unsupported"),"Management","Model owner")</f>
        <v>Model owner</v>
      </c>
      <c r="AW104" t="str">
        <v>760 | Mapped to the live DEBT schedule as the management case. Executed lender terms remain an OWNER DECISION.</v>
      </c>
    </row>
    <row r="105">
      <c r="A105" t="str">
        <v>Component CAPEX reconciles</v>
      </c>
      <c r="B105" t="str">
        <f>IF(ABS(SUM(D101:E101)-F101)&lt;0.001,"OK","EXCEPTION: component CAPEX")</f>
        <v>OK</v>
      </c>
      <c r="C105" t="str">
        <v>Core / shell plus fitout versus controlling total</v>
      </c>
      <c r="D105"/>
      <c r="E105"/>
      <c r="F105"/>
      <c r="G105"/>
      <c r="H105"/>
      <c r="I105"/>
      <c r="J105"/>
      <c r="K105"/>
      <c r="L105"/>
      <c r="M105"/>
      <c r="N105"/>
      <c r="O105"/>
      <c r="P105"/>
      <c r="Q105"/>
      <c r="R105"/>
      <c r="S105"/>
      <c r="T105"/>
      <c r="U105"/>
      <c r="V105"/>
      <c r="W105"/>
      <c r="X105"/>
      <c r="Y105"/>
      <c r="Z105"/>
      <c r="AA105"/>
      <c r="AB105"/>
      <c r="AC105"/>
      <c r="AD105"/>
      <c r="AE105"/>
      <c r="AF105"/>
      <c r="AG105"/>
      <c r="AH105"/>
      <c r="AI105"/>
      <c r="AJ105" t="str">
        <v>DEBT-025</v>
      </c>
      <c r="AK105" t="str">
        <v>Debt and funding</v>
      </c>
      <c r="AL105" t="str">
        <v>Covenants</v>
      </c>
      <c r="AM105" t="str">
        <v>Minimum debt yield</v>
      </c>
      <c r="AN105" t="str">
        <v>%</v>
      </c>
      <c r="AO105" t="str">
        <v>Post-conversion</v>
      </c>
      <c r="AP105" t="n">
        <v>0.08</v>
      </c>
      <c r="AQ105" t="str">
        <v>760</v>
      </c>
      <c r="AR105" t="str">
        <v>760</v>
      </c>
      <c r="AS105" t="str">
        <v>Target: DEBT | B50</v>
      </c>
      <c r="AT105" t="n">
        <v>46231</v>
      </c>
      <c r="AU105" t="str">
        <v>Mapped</v>
      </c>
      <c r="AV105" t="str">
        <f>IF(OR($AU105="Conflict",$AU105="Review Required",$AU105="New Input Required",$AU105="Unsupported"),"Management","Model owner")</f>
        <v>Model owner</v>
      </c>
      <c r="AW105" t="str">
        <v>760 | Mapped to the live DEBT schedule as the management case. Executed lender terms remain an OWNER DECISION.</v>
      </c>
    </row>
    <row r="106">
      <c r="A106" t="str">
        <v>Area linked to PROJECT DATA</v>
      </c>
      <c r="B106" t="str">
        <f>IF(ABS(C101-PROJECTS!$AP$24)&lt;0.000001,"OK","EXCEPTION: component area")</f>
        <v>OK</v>
      </c>
      <c r="C106" t="str">
        <v>No duplicate area input</v>
      </c>
      <c r="D106"/>
      <c r="E106"/>
      <c r="F106"/>
      <c r="G106"/>
      <c r="H106"/>
      <c r="I106"/>
      <c r="J106"/>
      <c r="K106"/>
      <c r="L106"/>
      <c r="M106"/>
      <c r="N106"/>
      <c r="O106"/>
      <c r="P106"/>
      <c r="Q106"/>
      <c r="R106"/>
      <c r="S106"/>
      <c r="T106"/>
      <c r="U106"/>
      <c r="V106"/>
      <c r="W106"/>
      <c r="X106"/>
      <c r="Y106"/>
      <c r="Z106"/>
      <c r="AA106"/>
      <c r="AB106"/>
      <c r="AC106"/>
      <c r="AD106"/>
      <c r="AE106"/>
      <c r="AF106"/>
      <c r="AG106"/>
      <c r="AH106"/>
      <c r="AI106"/>
      <c r="AJ106" t="str">
        <v>DEBT-026</v>
      </c>
      <c r="AK106" t="str">
        <v>Debt and funding</v>
      </c>
      <c r="AL106" t="str">
        <v>Term debt</v>
      </c>
      <c r="AM106" t="str">
        <v>Debt-service reserve</v>
      </c>
      <c r="AN106" t="str">
        <v>Months</v>
      </c>
      <c r="AO106" t="str">
        <v>Post-conversion</v>
      </c>
      <c r="AP106" t="n">
        <v>0</v>
      </c>
      <c r="AQ106" t="str">
        <v>760</v>
      </c>
      <c r="AR106" t="str">
        <v>760</v>
      </c>
      <c r="AS106" t="str">
        <v>Target: DEBT | B51</v>
      </c>
      <c r="AT106" t="n">
        <v>46231</v>
      </c>
      <c r="AU106" t="str">
        <v>Mapped</v>
      </c>
      <c r="AV106" t="str">
        <f>IF(OR($AU106="Conflict",$AU106="Review Required",$AU106="New Input Required",$AU106="Unsupported"),"Management","Model owner")</f>
        <v>Model owner</v>
      </c>
      <c r="AW106" t="str">
        <v>760 | Mapped to the live DEBT schedule as the management case. Executed lender terms remain an OWNER DECISION.</v>
      </c>
    </row>
    <row r="107">
      <c r="A107" t="str">
        <v>Roof / solar treatment</v>
      </c>
      <c r="B107" t="str">
        <f>IF(ABS(F101-PROJECTS!$AP$38)&lt;0.000001,"OK","EXCEPTION: component total")</f>
        <v>OK</v>
      </c>
      <c r="C107" t="str">
        <v>Precinct roof/solar is central infrastructure</v>
      </c>
      <c r="D107"/>
      <c r="E107"/>
      <c r="F107"/>
      <c r="G107"/>
      <c r="H107"/>
      <c r="I107"/>
      <c r="J107"/>
      <c r="K107"/>
      <c r="L107"/>
      <c r="M107"/>
      <c r="N107"/>
      <c r="O107"/>
      <c r="P107"/>
      <c r="Q107"/>
      <c r="R107"/>
      <c r="S107"/>
      <c r="T107"/>
      <c r="U107"/>
      <c r="V107"/>
      <c r="W107"/>
      <c r="X107"/>
      <c r="Y107"/>
      <c r="Z107"/>
      <c r="AA107"/>
      <c r="AB107"/>
      <c r="AC107"/>
      <c r="AD107"/>
      <c r="AE107"/>
      <c r="AF107"/>
      <c r="AG107"/>
      <c r="AH107"/>
      <c r="AI107"/>
      <c r="AJ107" t="str">
        <v>DEBT-SRC-001</v>
      </c>
      <c r="AK107" t="str">
        <v>Debt and funding</v>
      </c>
      <c r="AL107" t="str">
        <v>Project</v>
      </c>
      <c r="AM107" t="str">
        <v>Source senior debt</v>
      </c>
      <c r="AN107" t="str">
        <v>A$m</v>
      </c>
      <c r="AO107" t="str">
        <v>Development funding</v>
      </c>
      <c r="AP107" t="n">
        <v>209.37927564230003</v>
      </c>
      <c r="AQ107" t="n">
        <f>$AQ$162*$AQ$165</f>
        <v>207.2854828858771</v>
      </c>
      <c r="AR107" t="n">
        <f>$AR$162*$AR$165</f>
        <v>218.80134304620356</v>
      </c>
      <c r="AS107" t="str">
        <f>IFERROR(INDEX('DATA MAP'!$C$8:$C$137,MATCH($AJ107,'DATA MAP'!$A$8:$A$137,0))&amp;IF(INDEX('DATA MAP'!$D$8:$D$137,MATCH($AJ107,'DATA MAP'!$A$8:$A$137,0))="",""," | "&amp;INDEX('DATA MAP'!$D$8:$D$137,MATCH($AJ107,'DATA MAP'!$A$8:$A$137,0))),"Not provided")</f>
        <v>MODEL DESIGN; PROJECT CASH FLOW | C39; E79</v>
      </c>
      <c r="AT107" t="str">
        <v>Not provided</v>
      </c>
      <c r="AU107" t="str">
        <v>Formula Preserved</v>
      </c>
      <c r="AV107" t="str">
        <f>IF(OR($AU107="Conflict",$AU107="Review Required",$AU107="New Input Required",$AU107="Unsupported"),"Management","Model owner")</f>
        <v>Model owner</v>
      </c>
      <c r="AW107" t="str">
        <v>Controlling source: PROJECT CASH FLOW!E98.</v>
      </c>
    </row>
    <row r="108">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t="str">
        <v>EQ-SRC-001</v>
      </c>
      <c r="AK108" t="str">
        <v>Debt and funding</v>
      </c>
      <c r="AL108" t="str">
        <v>Project</v>
      </c>
      <c r="AM108" t="str">
        <v>Source equity funding</v>
      </c>
      <c r="AN108" t="str">
        <v>A$m</v>
      </c>
      <c r="AO108" t="str">
        <v>Development funding</v>
      </c>
      <c r="AP108" t="n">
        <v>209.37927564230003</v>
      </c>
      <c r="AQ108" t="n">
        <f>$AQ$162-$AQ$107</f>
        <v>253.34892352718308</v>
      </c>
      <c r="AR108" t="n">
        <f>$AR$162-$AR$107</f>
        <v>179.0192806741665</v>
      </c>
      <c r="AS108" t="str">
        <f>IFERROR(INDEX('DATA MAP'!$C$8:$C$137,MATCH($AJ108,'DATA MAP'!$A$8:$A$137,0))&amp;IF(INDEX('DATA MAP'!$D$8:$D$137,MATCH($AJ108,'DATA MAP'!$A$8:$A$137,0))="",""," | "&amp;INDEX('DATA MAP'!$D$8:$D$137,MATCH($AJ108,'DATA MAP'!$A$8:$A$137,0))),"Not provided")</f>
        <v>MODEL DESIGN; PROJECT CASH FLOW | C40; E78</v>
      </c>
      <c r="AT108" t="str">
        <v>Not provided</v>
      </c>
      <c r="AU108" t="str">
        <v>Formula Preserved</v>
      </c>
      <c r="AV108" t="str">
        <f>IF(OR($AU108="Conflict",$AU108="Review Required",$AU108="New Input Required",$AU108="Unsupported"),"Management","Model owner")</f>
        <v>Model owner</v>
      </c>
      <c r="AW108" t="str">
        <v>Controlling source: PROJECT CASH FLOW!E100.</v>
      </c>
    </row>
    <row r="109">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t="str">
        <v>VAL-001</v>
      </c>
      <c r="AK109" t="str">
        <v>Valuation assumptions</v>
      </c>
      <c r="AL109" t="str">
        <v>Property</v>
      </c>
      <c r="AM109" t="str">
        <v>Market cap rate</v>
      </c>
      <c r="AN109" t="str">
        <v>%</v>
      </c>
      <c r="AO109" t="str">
        <v>Current</v>
      </c>
      <c r="AP109" t="n">
        <v>0.065</v>
      </c>
      <c r="AQ109" t="n">
        <v>0.07</v>
      </c>
      <c r="AR109" t="n">
        <v>0.06</v>
      </c>
      <c r="AS109" t="str">
        <f>IFERROR(INDEX('DATA MAP'!$C$8:$C$137,MATCH($AJ109,'DATA MAP'!$A$8:$A$137,0))&amp;IF(INDEX('DATA MAP'!$D$8:$D$137,MATCH($AJ109,'DATA MAP'!$A$8:$A$137,0))="",""," | "&amp;INDEX('DATA MAP'!$D$8:$D$137,MATCH($AJ109,'DATA MAP'!$A$8:$A$137,0))),"Not provided")</f>
        <v>ASSUMPTIONS | B43</v>
      </c>
      <c r="AT109" t="str">
        <v>Not provided</v>
      </c>
      <c r="AU109" t="str">
        <f>IFERROR(INDEX('DATA MAP'!$I$8:$I$137,MATCH($AJ109,'DATA MAP'!$A$8:$A$137,0)),"Review Required")</f>
        <v>Mapped</v>
      </c>
      <c r="AV109" t="str">
        <f>IF(OR($AU109="Conflict",$AU109="Review Required",$AU109="New Input Required",$AU109="Unsupported"),"Management","Model owner")</f>
        <v>Model owner</v>
      </c>
      <c r="AW109" t="str">
        <f>IFERROR(INDEX('DATA MAP'!$K$8:$K$137,MATCH($AJ109,'DATA MAP'!$A$8:$A$137,0)),"Management confirmation required.")</f>
        <v>Current market capitalisation rate is the live management valuation input; independent market evidence remains required.</v>
      </c>
    </row>
    <row r="110">
      <c r="A110" t="str">
        <v>THE BEND PRECINCT | CAR PARK</v>
      </c>
      <c r="B110" t="str">
        <v>THE BEND PRECINCT | CAR PARK</v>
      </c>
      <c r="C110" t="str">
        <v>THE BEND PRECINCT | CAR PARK</v>
      </c>
      <c r="D110" t="str">
        <v>THE BEND PRECINCT | CAR PARK</v>
      </c>
      <c r="E110" t="str">
        <v>THE BEND PRECINCT | CAR PARK</v>
      </c>
      <c r="F110" t="str">
        <v>THE BEND PRECINCT | CAR PARK</v>
      </c>
      <c r="G110" t="str">
        <v>THE BEND PRECINCT | CAR PARK</v>
      </c>
      <c r="H110" t="str">
        <v>THE BEND PRECINCT | CAR PARK</v>
      </c>
      <c r="I110"/>
      <c r="J110"/>
      <c r="K110"/>
      <c r="L110"/>
      <c r="M110"/>
      <c r="N110"/>
      <c r="O110"/>
      <c r="P110"/>
      <c r="Q110"/>
      <c r="R110"/>
      <c r="S110"/>
      <c r="T110"/>
      <c r="U110"/>
      <c r="V110"/>
      <c r="W110"/>
      <c r="X110"/>
      <c r="Y110"/>
      <c r="Z110"/>
      <c r="AA110"/>
      <c r="AB110"/>
      <c r="AC110"/>
      <c r="AD110"/>
      <c r="AE110"/>
      <c r="AF110"/>
      <c r="AG110"/>
      <c r="AH110"/>
      <c r="AI110"/>
      <c r="AJ110" t="str">
        <v>VAL-002</v>
      </c>
      <c r="AK110" t="str">
        <v>Valuation assumptions</v>
      </c>
      <c r="AL110" t="str">
        <v>Property</v>
      </c>
      <c r="AM110" t="str">
        <v>Terminal cap rate</v>
      </c>
      <c r="AN110" t="str">
        <v>%</v>
      </c>
      <c r="AO110" t="str">
        <v>Exit</v>
      </c>
      <c r="AP110" t="n">
        <v>0.0675</v>
      </c>
      <c r="AQ110" t="n">
        <v>0.0725</v>
      </c>
      <c r="AR110" t="n">
        <v>0.0625</v>
      </c>
      <c r="AS110" t="str">
        <f>IFERROR(INDEX('DATA MAP'!$C$8:$C$137,MATCH($AJ110,'DATA MAP'!$A$8:$A$137,0))&amp;IF(INDEX('DATA MAP'!$D$8:$D$137,MATCH($AJ110,'DATA MAP'!$A$8:$A$137,0))="",""," | "&amp;INDEX('DATA MAP'!$D$8:$D$137,MATCH($AJ110,'DATA MAP'!$A$8:$A$137,0))),"Not provided")</f>
        <v>ASSUMPTIONS; MODEL DESIGN | B45; C68</v>
      </c>
      <c r="AT110" t="str">
        <v>Not provided</v>
      </c>
      <c r="AU110" t="str">
        <f>IFERROR(INDEX('DATA MAP'!$I$8:$I$137,MATCH($AJ110,'DATA MAP'!$A$8:$A$137,0)),"Review Required")</f>
        <v>Mapped — provisional</v>
      </c>
      <c r="AV110" t="str">
        <f>IF(OR($AU110="Conflict",$AU110="Review Required",$AU110="New Input Required",$AU110="Unsupported"),"Management","Model owner")</f>
        <v>Model owner</v>
      </c>
      <c r="AW110" t="str">
        <f>IFERROR(INDEX('DATA MAP'!$K$8:$K$137,MATCH($AJ110,'DATA MAP'!$A$8:$A$137,0)),"Management confirmation required.")</f>
        <v>The live base/downside/upside terminal-cap schedule is the selected model basis; independent evidence remains required. | The live Base/Downside/Upside valuation schedule controls; independent market evidence remains an OWNER DECISION.</v>
      </c>
    </row>
    <row r="11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t="str">
        <v>VAL-003</v>
      </c>
      <c r="AK111" t="str">
        <v>Valuation assumptions</v>
      </c>
      <c r="AL111" t="str">
        <v>Property</v>
      </c>
      <c r="AM111" t="str">
        <v>Selling costs</v>
      </c>
      <c r="AN111" t="str">
        <v>%</v>
      </c>
      <c r="AO111" t="str">
        <v>Exit</v>
      </c>
      <c r="AP111" t="n">
        <v>0.02</v>
      </c>
      <c r="AQ111" t="str">
        <v>760</v>
      </c>
      <c r="AR111" t="str">
        <v>760</v>
      </c>
      <c r="AS111" t="str">
        <f>IFERROR(INDEX('DATA MAP'!$C$8:$C$137,MATCH($AJ111,'DATA MAP'!$A$8:$A$137,0))&amp;IF(INDEX('DATA MAP'!$D$8:$D$137,MATCH($AJ111,'DATA MAP'!$A$8:$A$137,0))="",""," | "&amp;INDEX('DATA MAP'!$D$8:$D$137,MATCH($AJ111,'DATA MAP'!$A$8:$A$137,0))),"Not provided")</f>
        <v>MODEL DESIGN | C70</v>
      </c>
      <c r="AT111" t="str">
        <v>Not provided</v>
      </c>
      <c r="AU111" t="str">
        <f>IFERROR(INDEX('DATA MAP'!$I$8:$I$137,MATCH($AJ111,'DATA MAP'!$A$8:$A$137,0)),"Review Required")</f>
        <v>Mapped</v>
      </c>
      <c r="AV111" t="str">
        <f>IF(OR($AU111="Conflict",$AU111="Review Required",$AU111="New Input Required",$AU111="Unsupported"),"Management","Model owner")</f>
        <v>Model owner</v>
      </c>
      <c r="AW111" t="str">
        <f>IFERROR(INDEX('DATA MAP'!$K$8:$K$137,MATCH($AJ111,'DATA MAP'!$A$8:$A$137,0)),"Management confirmation required.")</f>
        <v>Selling-cost rate is a provisional management assumption pending transaction and valuation advice.</v>
      </c>
    </row>
    <row r="112">
      <c r="A112" t="str">
        <v>Concise component input and control schedule. Detailed source data are consolidated into live model drivers with cell-level traceability.</v>
      </c>
      <c r="B112" t="str">
        <v>Concise component input and control schedule. Detailed source data are consolidated into live model drivers with cell-level traceability.</v>
      </c>
      <c r="C112" t="str">
        <v>Concise component input and control schedule. Detailed source data are consolidated into live model drivers with cell-level traceability.</v>
      </c>
      <c r="D112" t="str">
        <v>Concise component input and control schedule. Detailed source data are consolidated into live model drivers with cell-level traceability.</v>
      </c>
      <c r="E112" t="str">
        <v>Concise component input and control schedule. Detailed source data are consolidated into live model drivers with cell-level traceability.</v>
      </c>
      <c r="F112" t="str">
        <v>Concise component input and control schedule. Detailed source data are consolidated into live model drivers with cell-level traceability.</v>
      </c>
      <c r="G112" t="str">
        <v>Concise component input and control schedule. Detailed source data are consolidated into live model drivers with cell-level traceability.</v>
      </c>
      <c r="H112" t="str">
        <v>Concise component input and control schedule. Detailed source data are consolidated into live model drivers with cell-level traceability.</v>
      </c>
      <c r="I112"/>
      <c r="J112"/>
      <c r="K112"/>
      <c r="L112"/>
      <c r="M112"/>
      <c r="N112"/>
      <c r="O112"/>
      <c r="P112"/>
      <c r="Q112"/>
      <c r="R112"/>
      <c r="S112"/>
      <c r="T112"/>
      <c r="U112"/>
      <c r="V112"/>
      <c r="W112"/>
      <c r="X112"/>
      <c r="Y112"/>
      <c r="Z112"/>
      <c r="AA112"/>
      <c r="AB112"/>
      <c r="AC112"/>
      <c r="AD112"/>
      <c r="AE112"/>
      <c r="AF112"/>
      <c r="AG112"/>
      <c r="AH112"/>
      <c r="AI112"/>
      <c r="AJ112" t="str">
        <v>VAL-004</v>
      </c>
      <c r="AK112" t="str">
        <v>Valuation assumptions</v>
      </c>
      <c r="AL112" t="str">
        <v>Project</v>
      </c>
      <c r="AM112" t="str">
        <v>Valuation discount rate</v>
      </c>
      <c r="AN112" t="str">
        <v>%</v>
      </c>
      <c r="AO112" t="str">
        <v>Valuation date</v>
      </c>
      <c r="AP112" t="n">
        <v>0.08</v>
      </c>
      <c r="AQ112" t="n">
        <v>0.09</v>
      </c>
      <c r="AR112" t="n">
        <v>0.07</v>
      </c>
      <c r="AS112" t="str">
        <v>ASSUMPTIONS | B44; MODEL DESIGN | D71</v>
      </c>
      <c r="AT112" t="n">
        <v>46231</v>
      </c>
      <c r="AU112" t="str">
        <v>Mapped</v>
      </c>
      <c r="AV112" t="str">
        <f>IF(OR($AU112="Conflict",$AU112="Review Required",$AU112="New Input Required",$AU112="Unsupported"),"Management","Model owner")</f>
        <v>Model owner</v>
      </c>
      <c r="AW112" t="str">
        <v>Detailed ASSUMPTIONS value of 8.0% selected; MODEL DESIGN's 8.5% summary alternative remains disclosed in DATA MAP. Independent evidence is still required. | Live management working assumption mapped to VALUATIONS. Independent evidence or executed legal terms remain an OWNER DECISION.</v>
      </c>
    </row>
    <row r="113">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t="str">
        <v>VAL-005</v>
      </c>
      <c r="AK113" t="str">
        <v>Valuation assumptions</v>
      </c>
      <c r="AL113" t="str">
        <v>Company / project</v>
      </c>
      <c r="AM113" t="str">
        <v>Required developer profit on cost</v>
      </c>
      <c r="AN113" t="str">
        <v>%</v>
      </c>
      <c r="AO113" t="str">
        <v>Valuation date</v>
      </c>
      <c r="AP113" t="n">
        <v>0.2</v>
      </c>
      <c r="AQ113" t="str">
        <v>760</v>
      </c>
      <c r="AR113" t="str">
        <v>760</v>
      </c>
      <c r="AS113" t="str">
        <v>Target: VALUATIONS | B9</v>
      </c>
      <c r="AT113" t="n">
        <v>46231</v>
      </c>
      <c r="AU113" t="str">
        <v>Mapped</v>
      </c>
      <c r="AV113" t="str">
        <f>IF(OR($AU113="Conflict",$AU113="Review Required",$AU113="New Input Required",$AU113="Unsupported"),"Management","Model owner")</f>
        <v>Model owner</v>
      </c>
      <c r="AW113" t="str">
        <v>No reliable agreed source input identified. | Live management working assumption mapped to VALUATIONS. Independent evidence or executed legal terms remain an OWNER DECISION.</v>
      </c>
    </row>
    <row r="114">
      <c r="A114" t="str">
        <v>COMPONENT INPUTS</v>
      </c>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t="str">
        <v>VAL-006</v>
      </c>
      <c r="AK114" t="str">
        <v>Valuation assumptions</v>
      </c>
      <c r="AL114" t="str">
        <v>Company / project</v>
      </c>
      <c r="AM114" t="str">
        <v>OpCo EBITDA margin</v>
      </c>
      <c r="AN114" t="str">
        <v>%</v>
      </c>
      <c r="AO114" t="str">
        <v>Valuation date</v>
      </c>
      <c r="AP114" t="n">
        <v>0.2</v>
      </c>
      <c r="AQ114" t="str">
        <v>760</v>
      </c>
      <c r="AR114" t="str">
        <v>760</v>
      </c>
      <c r="AS114" t="str">
        <v>Target: VALUATIONS | B10</v>
      </c>
      <c r="AT114" t="n">
        <v>46231</v>
      </c>
      <c r="AU114" t="str">
        <v>Mapped</v>
      </c>
      <c r="AV114" t="str">
        <f>IF(OR($AU114="Conflict",$AU114="Review Required",$AU114="New Input Required",$AU114="Unsupported"),"Management","Model owner")</f>
        <v>Model owner</v>
      </c>
      <c r="AW114" t="str">
        <v>No reliable agreed source input identified. | Live management working assumption mapped to VALUATIONS. Independent evidence or executed legal terms remain an OWNER DECISION.</v>
      </c>
    </row>
    <row r="115">
      <c r="A115" t="str">
        <v>Field ID</v>
      </c>
      <c r="B115" t="str">
        <v>Assumption</v>
      </c>
      <c r="C115" t="str">
        <v>Unit</v>
      </c>
      <c r="D115" t="str">
        <v>Value</v>
      </c>
      <c r="E115" t="str">
        <v>Source Sheet</v>
      </c>
      <c r="F115" t="str">
        <v>Source Cell</v>
      </c>
      <c r="G115" t="str">
        <v>Status</v>
      </c>
      <c r="H115" t="str">
        <v>Notes</v>
      </c>
      <c r="I115"/>
      <c r="J115"/>
      <c r="K115"/>
      <c r="L115"/>
      <c r="M115"/>
      <c r="N115"/>
      <c r="O115"/>
      <c r="P115"/>
      <c r="Q115"/>
      <c r="R115"/>
      <c r="S115"/>
      <c r="T115"/>
      <c r="U115"/>
      <c r="V115"/>
      <c r="W115"/>
      <c r="X115"/>
      <c r="Y115"/>
      <c r="Z115"/>
      <c r="AA115"/>
      <c r="AB115"/>
      <c r="AC115"/>
      <c r="AD115"/>
      <c r="AE115"/>
      <c r="AF115"/>
      <c r="AG115"/>
      <c r="AH115"/>
      <c r="AI115"/>
      <c r="AJ115" t="str">
        <v>VAL-007</v>
      </c>
      <c r="AK115" t="str">
        <v>Valuation assumptions</v>
      </c>
      <c r="AL115" t="str">
        <v>Company / project</v>
      </c>
      <c r="AM115" t="str">
        <v>OpCo valuation multiple</v>
      </c>
      <c r="AN115" t="str">
        <v>x</v>
      </c>
      <c r="AO115" t="str">
        <v>Valuation date</v>
      </c>
      <c r="AP115" t="n">
        <v>8</v>
      </c>
      <c r="AQ115" t="str">
        <v>760</v>
      </c>
      <c r="AR115" t="str">
        <v>760</v>
      </c>
      <c r="AS115" t="str">
        <v>Target: VALUATIONS | B11</v>
      </c>
      <c r="AT115" t="n">
        <v>46231</v>
      </c>
      <c r="AU115" t="str">
        <v>Mapped</v>
      </c>
      <c r="AV115" t="str">
        <f>IF(OR($AU115="Conflict",$AU115="Review Required",$AU115="New Input Required",$AU115="Unsupported"),"Management","Model owner")</f>
        <v>Model owner</v>
      </c>
      <c r="AW115" t="str">
        <v>No reliable agreed source input identified. | Live management working assumption mapped to VALUATIONS. Independent evidence or executed legal terms remain an OWNER DECISION.</v>
      </c>
    </row>
    <row r="116">
      <c r="A116" t="str">
        <v>PARKING-FOOTPRINT</v>
      </c>
      <c r="B116" t="str">
        <v>Footprint</v>
      </c>
      <c r="C116" t="str">
        <v>sqm</v>
      </c>
      <c r="D116" t="n">
        <f>PROJECTS!$AP$239</f>
        <v>4000</v>
      </c>
      <c r="E116" t="str">
        <v>PROJECT DATA</v>
      </c>
      <c r="F116" t="str">
        <v>G239</v>
      </c>
      <c r="G116" t="str">
        <v>Formula Preserved</v>
      </c>
      <c r="H116" t="str">
        <v>Data-book component footprint.</v>
      </c>
      <c r="I116"/>
      <c r="J116"/>
      <c r="K116"/>
      <c r="L116"/>
      <c r="M116"/>
      <c r="N116"/>
      <c r="O116"/>
      <c r="P116"/>
      <c r="Q116"/>
      <c r="R116"/>
      <c r="S116"/>
      <c r="T116"/>
      <c r="U116"/>
      <c r="V116"/>
      <c r="W116"/>
      <c r="X116"/>
      <c r="Y116"/>
      <c r="Z116"/>
      <c r="AA116"/>
      <c r="AB116"/>
      <c r="AC116"/>
      <c r="AD116"/>
      <c r="AE116"/>
      <c r="AF116"/>
      <c r="AG116"/>
      <c r="AH116"/>
      <c r="AI116"/>
      <c r="AJ116" t="str">
        <v>VAL-008</v>
      </c>
      <c r="AK116" t="str">
        <v>Valuation assumptions</v>
      </c>
      <c r="AL116" t="str">
        <v>Company / project</v>
      </c>
      <c r="AM116" t="str">
        <v>Fully diluted dilution</v>
      </c>
      <c r="AN116" t="str">
        <v>%</v>
      </c>
      <c r="AO116" t="str">
        <v>Valuation date</v>
      </c>
      <c r="AP116" t="n">
        <v>0</v>
      </c>
      <c r="AQ116" t="str">
        <v>760</v>
      </c>
      <c r="AR116" t="str">
        <v>760</v>
      </c>
      <c r="AS116" t="str">
        <v>Target: VALUATIONS | B12</v>
      </c>
      <c r="AT116" t="n">
        <v>46231</v>
      </c>
      <c r="AU116" t="str">
        <v>Mapped</v>
      </c>
      <c r="AV116" t="str">
        <f>IF(OR($AU116="Conflict",$AU116="Review Required",$AU116="New Input Required",$AU116="Unsupported"),"Management","Model owner")</f>
        <v>Model owner</v>
      </c>
      <c r="AW116" t="str">
        <v>No reliable agreed source input identified. | Live management working assumption mapped to VALUATIONS. Independent evidence or executed legal terms remain an OWNER DECISION.</v>
      </c>
    </row>
    <row r="117">
      <c r="A117" t="str">
        <v>PARKING-LAND</v>
      </c>
      <c r="B117" t="str">
        <v>Land area</v>
      </c>
      <c r="C117" t="str">
        <v>sqm</v>
      </c>
      <c r="D117" t="n">
        <f>PROJECTS!$AP$240</f>
        <v>4200</v>
      </c>
      <c r="E117" t="str">
        <v>PROJECT DATA</v>
      </c>
      <c r="F117" t="str">
        <v>G240</v>
      </c>
      <c r="G117" t="str">
        <v>Formula Preserved</v>
      </c>
      <c r="H117" t="str">
        <v>May overlap vertically or with shared precinct uses.</v>
      </c>
      <c r="I117"/>
      <c r="J117"/>
      <c r="K117"/>
      <c r="L117"/>
      <c r="M117"/>
      <c r="N117"/>
      <c r="O117"/>
      <c r="P117"/>
      <c r="Q117"/>
      <c r="R117"/>
      <c r="S117"/>
      <c r="T117"/>
      <c r="U117"/>
      <c r="V117"/>
      <c r="W117"/>
      <c r="X117"/>
      <c r="Y117"/>
      <c r="Z117"/>
      <c r="AA117"/>
      <c r="AB117"/>
      <c r="AC117"/>
      <c r="AD117"/>
      <c r="AE117"/>
      <c r="AF117"/>
      <c r="AG117"/>
      <c r="AH117"/>
      <c r="AI117"/>
      <c r="AJ117" t="str">
        <v>VAL-009</v>
      </c>
      <c r="AK117" t="str">
        <v>Valuation assumptions</v>
      </c>
      <c r="AL117" t="str">
        <v>Company / project</v>
      </c>
      <c r="AM117" t="str">
        <v>Ownership units / shares</v>
      </c>
      <c r="AN117" t="str">
        <v>Units</v>
      </c>
      <c r="AO117" t="str">
        <v>Valuation date</v>
      </c>
      <c r="AP117" t="n">
        <v>1</v>
      </c>
      <c r="AQ117" t="str">
        <v>760</v>
      </c>
      <c r="AR117" t="str">
        <v>760</v>
      </c>
      <c r="AS117" t="str">
        <v>Target: VALUATIONS | B13</v>
      </c>
      <c r="AT117" t="n">
        <v>46231</v>
      </c>
      <c r="AU117" t="str">
        <v>Mapped</v>
      </c>
      <c r="AV117" t="str">
        <f>IF(OR($AU117="Conflict",$AU117="Review Required",$AU117="New Input Required",$AU117="Unsupported"),"Management","Model owner")</f>
        <v>Model owner</v>
      </c>
      <c r="AW117" t="str">
        <v>No reliable agreed source input identified. | Live management working assumption mapped to VALUATIONS. Independent evidence or executed legal terms remain an OWNER DECISION.</v>
      </c>
    </row>
    <row r="118">
      <c r="A118" t="str">
        <v>PARKING-GFA</v>
      </c>
      <c r="B118" t="str">
        <v>Estimated GFA / operating area</v>
      </c>
      <c r="C118" t="str">
        <v>sqm</v>
      </c>
      <c r="D118" t="n">
        <f>C128</f>
        <v>19500.38</v>
      </c>
      <c r="E118" t="str">
        <v>PROJECT DATA</v>
      </c>
      <c r="F118" t="str">
        <v>G25</v>
      </c>
      <c r="G118" t="str">
        <v>Formula Preserved</v>
      </c>
      <c r="H118" t="str">
        <v>Controlling model area.</v>
      </c>
      <c r="I118"/>
      <c r="J118"/>
      <c r="K118"/>
      <c r="L118"/>
      <c r="M118"/>
      <c r="N118"/>
      <c r="O118"/>
      <c r="P118"/>
      <c r="Q118"/>
      <c r="R118"/>
      <c r="S118"/>
      <c r="T118"/>
      <c r="U118"/>
      <c r="V118"/>
      <c r="W118"/>
      <c r="X118"/>
      <c r="Y118"/>
      <c r="Z118"/>
      <c r="AA118"/>
      <c r="AB118"/>
      <c r="AC118"/>
      <c r="AD118"/>
      <c r="AE118"/>
      <c r="AF118"/>
      <c r="AG118"/>
      <c r="AH118"/>
      <c r="AI118"/>
      <c r="AJ118" t="str">
        <v>VAL-010</v>
      </c>
      <c r="AK118" t="str">
        <v>Valuation assumptions</v>
      </c>
      <c r="AL118" t="str">
        <v>Company / project</v>
      </c>
      <c r="AM118" t="str">
        <v>Shareholder loans</v>
      </c>
      <c r="AN118" t="str">
        <v>A$m</v>
      </c>
      <c r="AO118" t="str">
        <v>Valuation date</v>
      </c>
      <c r="AP118" t="n">
        <v>0</v>
      </c>
      <c r="AQ118" t="str">
        <v>760</v>
      </c>
      <c r="AR118" t="str">
        <v>760</v>
      </c>
      <c r="AS118" t="str">
        <v>Target: VALUATIONS | B14</v>
      </c>
      <c r="AT118" t="n">
        <v>46231</v>
      </c>
      <c r="AU118" t="str">
        <v>Mapped</v>
      </c>
      <c r="AV118" t="str">
        <f>IF(OR($AU118="Conflict",$AU118="Review Required",$AU118="New Input Required",$AU118="Unsupported"),"Management","Model owner")</f>
        <v>Model owner</v>
      </c>
      <c r="AW118" t="str">
        <v>No reliable agreed source input identified. | Live management working assumption mapped to VALUATIONS. Independent evidence or executed legal terms remain an OWNER DECISION.</v>
      </c>
    </row>
    <row r="119">
      <c r="A119" t="str">
        <v>PARKING-CORE</v>
      </c>
      <c r="B119" t="str">
        <v>Core / shell CAPEX</v>
      </c>
      <c r="C119" t="str">
        <v>A$m</v>
      </c>
      <c r="D119" t="n">
        <f>D128</f>
        <v>30.22</v>
      </c>
      <c r="E119" t="str">
        <v>PROJECT DATA</v>
      </c>
      <c r="F119" t="str">
        <v>PROJECTS!D128</v>
      </c>
      <c r="G119" t="str">
        <v>Formula Preserved</v>
      </c>
      <c r="H119" t="str">
        <v>Current detailed data-book amount.</v>
      </c>
      <c r="I119"/>
      <c r="J119"/>
      <c r="K119"/>
      <c r="L119"/>
      <c r="M119"/>
      <c r="N119"/>
      <c r="O119"/>
      <c r="P119"/>
      <c r="Q119"/>
      <c r="R119"/>
      <c r="S119"/>
      <c r="T119"/>
      <c r="U119"/>
      <c r="V119"/>
      <c r="W119"/>
      <c r="X119"/>
      <c r="Y119"/>
      <c r="Z119"/>
      <c r="AA119"/>
      <c r="AB119"/>
      <c r="AC119"/>
      <c r="AD119"/>
      <c r="AE119"/>
      <c r="AF119"/>
      <c r="AG119"/>
      <c r="AH119"/>
      <c r="AI119"/>
      <c r="AJ119" t="str">
        <v>VAL-011</v>
      </c>
      <c r="AK119" t="str">
        <v>Valuation assumptions</v>
      </c>
      <c r="AL119" t="str">
        <v>Company / project</v>
      </c>
      <c r="AM119" t="str">
        <v>Other liabilities</v>
      </c>
      <c r="AN119" t="str">
        <v>A$m</v>
      </c>
      <c r="AO119" t="str">
        <v>Valuation date</v>
      </c>
      <c r="AP119" t="n">
        <v>0</v>
      </c>
      <c r="AQ119" t="str">
        <v>760</v>
      </c>
      <c r="AR119" t="str">
        <v>760</v>
      </c>
      <c r="AS119" t="str">
        <v>Target: VALUATIONS | B15</v>
      </c>
      <c r="AT119" t="n">
        <v>46231</v>
      </c>
      <c r="AU119" t="str">
        <v>Mapped</v>
      </c>
      <c r="AV119" t="str">
        <f>IF(OR($AU119="Conflict",$AU119="Review Required",$AU119="New Input Required",$AU119="Unsupported"),"Management","Model owner")</f>
        <v>Model owner</v>
      </c>
      <c r="AW119" t="str">
        <v>No reliable agreed source input identified. | Live management working assumption mapped to VALUATIONS. Independent evidence or executed legal terms remain an OWNER DECISION.</v>
      </c>
    </row>
    <row r="120">
      <c r="A120" t="str">
        <v>PARKING-FITOUT</v>
      </c>
      <c r="B120" t="str">
        <v>Fitout CAPEX</v>
      </c>
      <c r="C120" t="str">
        <v>A$m</v>
      </c>
      <c r="D120" t="n">
        <f>E128</f>
        <v>0</v>
      </c>
      <c r="E120" t="str">
        <v>PROJECT CASH FLOW</v>
      </c>
      <c r="F120" t="str">
        <v>PROJECTS!E128</v>
      </c>
      <c r="G120" t="str">
        <v>Mapped</v>
      </c>
      <c r="H120" t="str">
        <v>Current detailed data-book amount.</v>
      </c>
      <c r="I120"/>
      <c r="J120"/>
      <c r="K120"/>
      <c r="L120"/>
      <c r="M120"/>
      <c r="N120"/>
      <c r="O120"/>
      <c r="P120"/>
      <c r="Q120"/>
      <c r="R120"/>
      <c r="S120"/>
      <c r="T120"/>
      <c r="U120"/>
      <c r="V120"/>
      <c r="W120"/>
      <c r="X120"/>
      <c r="Y120"/>
      <c r="Z120"/>
      <c r="AA120"/>
      <c r="AB120"/>
      <c r="AC120"/>
      <c r="AD120"/>
      <c r="AE120"/>
      <c r="AF120"/>
      <c r="AG120"/>
      <c r="AH120"/>
      <c r="AI120"/>
      <c r="AJ120" t="str">
        <v>INV-001</v>
      </c>
      <c r="AK120" t="str">
        <v>Investors and ownership</v>
      </c>
      <c r="AL120" t="str">
        <v>General partner</v>
      </c>
      <c r="AM120" t="str">
        <v>Investor name</v>
      </c>
      <c r="AN120" t="str">
        <v>Text</v>
      </c>
      <c r="AO120" t="str">
        <v>Current</v>
      </c>
      <c r="AP120" t="str">
        <v>Sponsor / General Partner — illustrative waterfall</v>
      </c>
      <c r="AQ120" t="str">
        <v>760</v>
      </c>
      <c r="AR120" t="str">
        <v>760</v>
      </c>
      <c r="AS120" t="str">
        <f>IFERROR(INDEX('DATA MAP'!$C$8:$C$137,MATCH($AJ120,'DATA MAP'!$A$8:$A$137,0))&amp;IF(INDEX('DATA MAP'!$D$8:$D$137,MATCH($AJ120,'DATA MAP'!$A$8:$A$137,0))="",""," | "&amp;INDEX('DATA MAP'!$D$8:$D$137,MATCH($AJ120,'DATA MAP'!$A$8:$A$137,0))),"Not provided")</f>
        <v>Target: Underwriting | C228</v>
      </c>
      <c r="AT120" t="str">
        <v>Not provided</v>
      </c>
      <c r="AU120" t="str">
        <f>IFERROR(INDEX('DATA MAP'!$I$8:$I$137,MATCH($AJ120,'DATA MAP'!$A$8:$A$137,0)),"Review Required")</f>
        <v>Waived — named investor schedule controls</v>
      </c>
      <c r="AV120" t="str">
        <f>IF(OR($AU120="Conflict",$AU120="Review Required",$AU120="New Input Required",$AU120="Unsupported"),"Management","Model owner")</f>
        <v>Model owner</v>
      </c>
      <c r="AW120" t="str">
        <f>IFERROR(INDEX('DATA MAP'!$K$8:$K$137,MATCH($AJ120,'DATA MAP'!$A$8:$A$137,0)),"Management confirmation required.")</f>
        <v>Target placeholder retained; management confirmation required. | The generic GP/LP placeholder and waterfall assumptions are not used for named-investor attribution; the funded ordinary-equity register controls.</v>
      </c>
    </row>
    <row r="121">
      <c r="A121" t="str">
        <v>PARKING-TOTAL</v>
      </c>
      <c r="B121" t="str">
        <v>Total component CAPEX</v>
      </c>
      <c r="C121" t="str">
        <v>A$m</v>
      </c>
      <c r="D121" t="n">
        <f>F128</f>
        <v>30.22</v>
      </c>
      <c r="E121" t="str">
        <v>PROJECT DATA</v>
      </c>
      <c r="F121" t="str">
        <v>G39</v>
      </c>
      <c r="G121" t="str">
        <v>Formula Preserved</v>
      </c>
      <c r="H121" t="str">
        <v>Feeds PROJECTS CAPEX sections and project funding.</v>
      </c>
      <c r="I121"/>
      <c r="J121"/>
      <c r="K121"/>
      <c r="L121"/>
      <c r="M121"/>
      <c r="N121"/>
      <c r="O121"/>
      <c r="P121"/>
      <c r="Q121"/>
      <c r="R121"/>
      <c r="S121"/>
      <c r="T121"/>
      <c r="U121"/>
      <c r="V121"/>
      <c r="W121"/>
      <c r="X121"/>
      <c r="Y121"/>
      <c r="Z121"/>
      <c r="AA121"/>
      <c r="AB121"/>
      <c r="AC121"/>
      <c r="AD121"/>
      <c r="AE121"/>
      <c r="AF121"/>
      <c r="AG121"/>
      <c r="AH121"/>
      <c r="AI121"/>
      <c r="AJ121" t="str">
        <v>INV-002</v>
      </c>
      <c r="AK121" t="str">
        <v>Investors and ownership</v>
      </c>
      <c r="AL121" t="str">
        <v>Limited partner</v>
      </c>
      <c r="AM121" t="str">
        <v>Investor name</v>
      </c>
      <c r="AN121" t="str">
        <v>Text</v>
      </c>
      <c r="AO121" t="str">
        <v>Current</v>
      </c>
      <c r="AP121" t="str">
        <v>External Equity / Limited Partner — illustrative waterfall</v>
      </c>
      <c r="AQ121" t="str">
        <v>760</v>
      </c>
      <c r="AR121" t="str">
        <v>760</v>
      </c>
      <c r="AS121" t="str">
        <f>IFERROR(INDEX('DATA MAP'!$C$8:$C$137,MATCH($AJ121,'DATA MAP'!$A$8:$A$137,0))&amp;IF(INDEX('DATA MAP'!$D$8:$D$137,MATCH($AJ121,'DATA MAP'!$A$8:$A$137,0))="",""," | "&amp;INDEX('DATA MAP'!$D$8:$D$137,MATCH($AJ121,'DATA MAP'!$A$8:$A$137,0))),"Not provided")</f>
        <v>Target: Underwriting | C229</v>
      </c>
      <c r="AT121" t="str">
        <v>Not provided</v>
      </c>
      <c r="AU121" t="str">
        <f>IFERROR(INDEX('DATA MAP'!$I$8:$I$137,MATCH($AJ121,'DATA MAP'!$A$8:$A$137,0)),"Review Required")</f>
        <v>Waived — named investor schedule controls</v>
      </c>
      <c r="AV121" t="str">
        <f>IF(OR($AU121="Conflict",$AU121="Review Required",$AU121="New Input Required",$AU121="Unsupported"),"Management","Model owner")</f>
        <v>Model owner</v>
      </c>
      <c r="AW121" t="str">
        <f>IFERROR(INDEX('DATA MAP'!$K$8:$K$137,MATCH($AJ121,'DATA MAP'!$A$8:$A$137,0)),"Management confirmation required.")</f>
        <v>Target placeholder retained; management confirmation required. | The generic GP/LP placeholder and waterfall assumptions are not used for named-investor attribution; the funded ordinary-equity register controls.</v>
      </c>
    </row>
    <row r="122">
      <c r="A122" t="str">
        <v>PARKING-CAPEX-SQM</v>
      </c>
      <c r="B122" t="str">
        <v>CAPEX per sqm</v>
      </c>
      <c r="C122" t="str">
        <v>A$/sqm</v>
      </c>
      <c r="D122" t="n">
        <f>IF(C128=0,0,F128*1000000/C128)</f>
        <v>1549.7133902006012</v>
      </c>
      <c r="E122" t="str">
        <v>Calculated</v>
      </c>
      <c r="F122" t="str">
        <v>F128/C128</v>
      </c>
      <c r="G122" t="str">
        <v>Formula Preserved</v>
      </c>
      <c r="H122" t="str">
        <v>Reasonableness metric; not an input.</v>
      </c>
      <c r="I122"/>
      <c r="J122"/>
      <c r="K122"/>
      <c r="L122"/>
      <c r="M122"/>
      <c r="N122"/>
      <c r="O122"/>
      <c r="P122"/>
      <c r="Q122"/>
      <c r="R122"/>
      <c r="S122"/>
      <c r="T122"/>
      <c r="U122"/>
      <c r="V122"/>
      <c r="W122"/>
      <c r="X122"/>
      <c r="Y122"/>
      <c r="Z122"/>
      <c r="AA122"/>
      <c r="AB122"/>
      <c r="AC122"/>
      <c r="AD122"/>
      <c r="AE122"/>
      <c r="AF122"/>
      <c r="AG122"/>
      <c r="AH122"/>
      <c r="AI122"/>
      <c r="AJ122" t="str">
        <v>INV-003</v>
      </c>
      <c r="AK122" t="str">
        <v>Investors and ownership</v>
      </c>
      <c r="AL122" t="str">
        <v>General partner</v>
      </c>
      <c r="AM122" t="str">
        <v>Current ownership</v>
      </c>
      <c r="AN122" t="str">
        <v>%</v>
      </c>
      <c r="AO122" t="str">
        <v>Current</v>
      </c>
      <c r="AP122" t="n">
        <v>0.05</v>
      </c>
      <c r="AQ122" t="str">
        <v>760</v>
      </c>
      <c r="AR122" t="str">
        <v>760</v>
      </c>
      <c r="AS122" t="str">
        <f>IFERROR(INDEX('DATA MAP'!$C$8:$C$137,MATCH($AJ122,'DATA MAP'!$A$8:$A$137,0))&amp;IF(INDEX('DATA MAP'!$D$8:$D$137,MATCH($AJ122,'DATA MAP'!$A$8:$A$137,0))="",""," | "&amp;INDEX('DATA MAP'!$D$8:$D$137,MATCH($AJ122,'DATA MAP'!$A$8:$A$137,0))),"Not provided")</f>
        <v>Target: Underwriting | H228</v>
      </c>
      <c r="AT122" t="str">
        <v>Not provided</v>
      </c>
      <c r="AU122" t="str">
        <f>IFERROR(INDEX('DATA MAP'!$I$8:$I$137,MATCH($AJ122,'DATA MAP'!$A$8:$A$137,0)),"Review Required")</f>
        <v>Waived — named investor schedule controls</v>
      </c>
      <c r="AV122" t="str">
        <f>IF(OR($AU122="Conflict",$AU122="Review Required",$AU122="New Input Required",$AU122="Unsupported"),"Management","Model owner")</f>
        <v>Model owner</v>
      </c>
      <c r="AW122" t="str">
        <f>IFERROR(INDEX('DATA MAP'!$K$8:$K$137,MATCH($AJ122,'DATA MAP'!$A$8:$A$137,0)),"Management confirmation required.")</f>
        <v>No source ownership schedule supports replacement. | The generic GP/LP placeholder and waterfall assumptions are not used for named-investor attribution; the funded ordinary-equity register controls.</v>
      </c>
    </row>
    <row r="123">
      <c r="A123" t="str">
        <v>PARKING-OPS</v>
      </c>
      <c r="B123" t="str">
        <v>Operating forecast</v>
      </c>
      <c r="C123" t="str">
        <v>Reference</v>
      </c>
      <c r="D123" t="str">
        <v>OPERATING MODEL</v>
      </c>
      <c r="E123" t="str">
        <v>CARPARK; CARPARK OPEX</v>
      </c>
      <c r="F123" t="str">
        <v>See source schedules</v>
      </c>
      <c r="G123" t="str">
        <v>Mapped</v>
      </c>
      <c r="H123" t="str">
        <v>Component detail is consolidated into the management operating forecast; no parallel revenue schedule is created.</v>
      </c>
      <c r="I123"/>
      <c r="J123"/>
      <c r="K123"/>
      <c r="L123"/>
      <c r="M123"/>
      <c r="N123"/>
      <c r="O123"/>
      <c r="P123"/>
      <c r="Q123"/>
      <c r="R123"/>
      <c r="S123"/>
      <c r="T123"/>
      <c r="U123"/>
      <c r="V123"/>
      <c r="W123"/>
      <c r="X123"/>
      <c r="Y123"/>
      <c r="Z123"/>
      <c r="AA123"/>
      <c r="AB123"/>
      <c r="AC123"/>
      <c r="AD123"/>
      <c r="AE123"/>
      <c r="AF123"/>
      <c r="AG123"/>
      <c r="AH123"/>
      <c r="AI123"/>
      <c r="AJ123" t="str">
        <v>INV-004</v>
      </c>
      <c r="AK123" t="str">
        <v>Investors and ownership</v>
      </c>
      <c r="AL123" t="str">
        <v>Limited partner</v>
      </c>
      <c r="AM123" t="str">
        <v>Current ownership</v>
      </c>
      <c r="AN123" t="str">
        <v>%</v>
      </c>
      <c r="AO123" t="str">
        <v>Current</v>
      </c>
      <c r="AP123" t="n">
        <v>0.95</v>
      </c>
      <c r="AQ123" t="str">
        <v>760</v>
      </c>
      <c r="AR123" t="str">
        <v>760</v>
      </c>
      <c r="AS123" t="str">
        <f>IFERROR(INDEX('DATA MAP'!$C$8:$C$137,MATCH($AJ123,'DATA MAP'!$A$8:$A$137,0))&amp;IF(INDEX('DATA MAP'!$D$8:$D$137,MATCH($AJ123,'DATA MAP'!$A$8:$A$137,0))="",""," | "&amp;INDEX('DATA MAP'!$D$8:$D$137,MATCH($AJ123,'DATA MAP'!$A$8:$A$137,0))),"Not provided")</f>
        <v>Target: Underwriting | H229</v>
      </c>
      <c r="AT123" t="str">
        <v>Not provided</v>
      </c>
      <c r="AU123" t="str">
        <f>IFERROR(INDEX('DATA MAP'!$I$8:$I$137,MATCH($AJ123,'DATA MAP'!$A$8:$A$137,0)),"Review Required")</f>
        <v>Waived — named investor schedule controls</v>
      </c>
      <c r="AV123" t="str">
        <f>IF(OR($AU123="Conflict",$AU123="Review Required",$AU123="New Input Required",$AU123="Unsupported"),"Management","Model owner")</f>
        <v>Model owner</v>
      </c>
      <c r="AW123" t="str">
        <f>IFERROR(INDEX('DATA MAP'!$K$8:$K$137,MATCH($AJ123,'DATA MAP'!$A$8:$A$137,0)),"Management confirmation required.")</f>
        <v>760 | The generic GP/LP placeholder and waterfall assumptions are not used for named-investor attribution; the funded ordinary-equity register controls.</v>
      </c>
    </row>
    <row r="124">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t="str">
        <v>INV-005</v>
      </c>
      <c r="AK124" t="str">
        <v>Investors and ownership</v>
      </c>
      <c r="AL124" t="str">
        <v>Waterfall</v>
      </c>
      <c r="AM124" t="str">
        <v>Preferred return</v>
      </c>
      <c r="AN124" t="str">
        <v>%</v>
      </c>
      <c r="AO124" t="str">
        <v>Current</v>
      </c>
      <c r="AP124" t="n">
        <v>0.09</v>
      </c>
      <c r="AQ124" t="str">
        <v>760</v>
      </c>
      <c r="AR124" t="str">
        <v>760</v>
      </c>
      <c r="AS124" t="str">
        <f>IFERROR(INDEX('DATA MAP'!$C$8:$C$137,MATCH($AJ124,'DATA MAP'!$A$8:$A$137,0))&amp;IF(INDEX('DATA MAP'!$D$8:$D$137,MATCH($AJ124,'DATA MAP'!$A$8:$A$137,0))="",""," | "&amp;INDEX('DATA MAP'!$D$8:$D$137,MATCH($AJ124,'DATA MAP'!$A$8:$A$137,0))),"Not provided")</f>
        <v>Target: Underwriting | F233</v>
      </c>
      <c r="AT124" t="str">
        <v>Not provided</v>
      </c>
      <c r="AU124" t="str">
        <f>IFERROR(INDEX('DATA MAP'!$I$8:$I$137,MATCH($AJ124,'DATA MAP'!$A$8:$A$137,0)),"Review Required")</f>
        <v>Waived — named investor schedule controls</v>
      </c>
      <c r="AV124" t="str">
        <f>IF(OR($AU124="Conflict",$AU124="Review Required",$AU124="New Input Required",$AU124="Unsupported"),"Management","Model owner")</f>
        <v>Model owner</v>
      </c>
      <c r="AW124" t="str">
        <f>IFERROR(INDEX('DATA MAP'!$K$8:$K$137,MATCH($AJ124,'DATA MAP'!$A$8:$A$137,0)),"Management confirmation required.")</f>
        <v>No source ownership/waterfall schedule supports replacement. | The generic GP/LP placeholder and waterfall assumptions are not used for named-investor attribution; the funded ordinary-equity register controls.</v>
      </c>
    </row>
    <row r="1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t="str">
        <v>INV-006</v>
      </c>
      <c r="AK125" t="str">
        <v>Investors and ownership</v>
      </c>
      <c r="AL125" t="str">
        <v>Waterfall</v>
      </c>
      <c r="AM125" t="str">
        <v>Tier 1 hurdle</v>
      </c>
      <c r="AN125" t="str">
        <v>%</v>
      </c>
      <c r="AO125" t="str">
        <v>Current</v>
      </c>
      <c r="AP125" t="n">
        <v>0.12</v>
      </c>
      <c r="AQ125" t="str">
        <v>760</v>
      </c>
      <c r="AR125" t="str">
        <v>760</v>
      </c>
      <c r="AS125" t="str">
        <f>IFERROR(INDEX('DATA MAP'!$C$8:$C$137,MATCH($AJ125,'DATA MAP'!$A$8:$A$137,0))&amp;IF(INDEX('DATA MAP'!$D$8:$D$137,MATCH($AJ125,'DATA MAP'!$A$8:$A$137,0))="",""," | "&amp;INDEX('DATA MAP'!$D$8:$D$137,MATCH($AJ125,'DATA MAP'!$A$8:$A$137,0))),"Not provided")</f>
        <v>Target: Underwriting | F234</v>
      </c>
      <c r="AT125" t="str">
        <v>Not provided</v>
      </c>
      <c r="AU125" t="str">
        <f>IFERROR(INDEX('DATA MAP'!$I$8:$I$137,MATCH($AJ125,'DATA MAP'!$A$8:$A$137,0)),"Review Required")</f>
        <v>Waived — named investor schedule controls</v>
      </c>
      <c r="AV125" t="str">
        <f>IF(OR($AU125="Conflict",$AU125="Review Required",$AU125="New Input Required",$AU125="Unsupported"),"Management","Model owner")</f>
        <v>Model owner</v>
      </c>
      <c r="AW125" t="str">
        <f>IFERROR(INDEX('DATA MAP'!$K$8:$K$137,MATCH($AJ125,'DATA MAP'!$A$8:$A$137,0)),"Management confirmation required.")</f>
        <v>No source ownership/waterfall schedule supports replacement. | The generic GP/LP placeholder and waterfall assumptions are not used for named-investor attribution; the funded ordinary-equity register controls.</v>
      </c>
    </row>
    <row r="126">
      <c r="A126" t="str">
        <v>CAPEX DETAIL | A$ MILLION</v>
      </c>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t="str">
        <v>INV-007</v>
      </c>
      <c r="AK126" t="str">
        <v>Investors and ownership</v>
      </c>
      <c r="AL126" t="str">
        <v>Waterfall</v>
      </c>
      <c r="AM126" t="str">
        <v>Tier 2 hurdle</v>
      </c>
      <c r="AN126" t="str">
        <v>%</v>
      </c>
      <c r="AO126" t="str">
        <v>Current</v>
      </c>
      <c r="AP126" t="n">
        <v>0.15</v>
      </c>
      <c r="AQ126" t="str">
        <v>760</v>
      </c>
      <c r="AR126" t="str">
        <v>760</v>
      </c>
      <c r="AS126" t="str">
        <f>IFERROR(INDEX('DATA MAP'!$C$8:$C$137,MATCH($AJ126,'DATA MAP'!$A$8:$A$137,0))&amp;IF(INDEX('DATA MAP'!$D$8:$D$137,MATCH($AJ126,'DATA MAP'!$A$8:$A$137,0))="",""," | "&amp;INDEX('DATA MAP'!$D$8:$D$137,MATCH($AJ126,'DATA MAP'!$A$8:$A$137,0))),"Not provided")</f>
        <v>Target: Underwriting | F235</v>
      </c>
      <c r="AT126" t="str">
        <v>Not provided</v>
      </c>
      <c r="AU126" t="str">
        <f>IFERROR(INDEX('DATA MAP'!$I$8:$I$137,MATCH($AJ126,'DATA MAP'!$A$8:$A$137,0)),"Review Required")</f>
        <v>Waived — named investor schedule controls</v>
      </c>
      <c r="AV126" t="str">
        <f>IF(OR($AU126="Conflict",$AU126="Review Required",$AU126="New Input Required",$AU126="Unsupported"),"Management","Model owner")</f>
        <v>Model owner</v>
      </c>
      <c r="AW126" t="str">
        <f>IFERROR(INDEX('DATA MAP'!$K$8:$K$137,MATCH($AJ126,'DATA MAP'!$A$8:$A$137,0)),"Management confirmation required.")</f>
        <v>No source ownership/waterfall schedule supports replacement. | The generic GP/LP placeholder and waterfall assumptions are not used for named-investor attribution; the funded ordinary-equity register controls.</v>
      </c>
    </row>
    <row r="127">
      <c r="A127" t="str">
        <v>Field ID</v>
      </c>
      <c r="B127" t="str">
        <v>Component</v>
      </c>
      <c r="C127" t="str">
        <v>GFA / Area (sqm)</v>
      </c>
      <c r="D127" t="str">
        <v>Core / Shell</v>
      </c>
      <c r="E127" t="str">
        <v>Fitout</v>
      </c>
      <c r="F127" t="str">
        <v>Model Net CAPEX</v>
      </c>
      <c r="G127" t="str">
        <v>Source</v>
      </c>
      <c r="H127" t="str">
        <v>Status / Note</v>
      </c>
      <c r="I127"/>
      <c r="J127"/>
      <c r="K127"/>
      <c r="L127"/>
      <c r="M127"/>
      <c r="N127"/>
      <c r="O127"/>
      <c r="P127"/>
      <c r="Q127"/>
      <c r="R127"/>
      <c r="S127"/>
      <c r="T127"/>
      <c r="U127"/>
      <c r="V127"/>
      <c r="W127"/>
      <c r="X127"/>
      <c r="Y127"/>
      <c r="Z127"/>
      <c r="AA127"/>
      <c r="AB127"/>
      <c r="AC127"/>
      <c r="AD127"/>
      <c r="AE127"/>
      <c r="AF127"/>
      <c r="AG127"/>
      <c r="AH127"/>
      <c r="AI127"/>
      <c r="AJ127" t="str">
        <v>INV-008</v>
      </c>
      <c r="AK127" t="str">
        <v>Investors and ownership</v>
      </c>
      <c r="AL127" t="str">
        <v>Waterfall</v>
      </c>
      <c r="AM127" t="str">
        <v>Tier 1 promote</v>
      </c>
      <c r="AN127" t="str">
        <v>%</v>
      </c>
      <c r="AO127" t="str">
        <v>Current</v>
      </c>
      <c r="AP127" t="n">
        <v>0.15</v>
      </c>
      <c r="AQ127" t="str">
        <v>760</v>
      </c>
      <c r="AR127" t="str">
        <v>760</v>
      </c>
      <c r="AS127" t="str">
        <f>IFERROR(INDEX('DATA MAP'!$C$8:$C$137,MATCH($AJ127,'DATA MAP'!$A$8:$A$137,0))&amp;IF(INDEX('DATA MAP'!$D$8:$D$137,MATCH($AJ127,'DATA MAP'!$A$8:$A$137,0))="",""," | "&amp;INDEX('DATA MAP'!$D$8:$D$137,MATCH($AJ127,'DATA MAP'!$A$8:$A$137,0))),"Not provided")</f>
        <v>Target: Underwriting | G234</v>
      </c>
      <c r="AT127" t="str">
        <v>Not provided</v>
      </c>
      <c r="AU127" t="str">
        <f>IFERROR(INDEX('DATA MAP'!$I$8:$I$137,MATCH($AJ127,'DATA MAP'!$A$8:$A$137,0)),"Review Required")</f>
        <v>Waived — named investor schedule controls</v>
      </c>
      <c r="AV127" t="str">
        <f>IF(OR($AU127="Conflict",$AU127="Review Required",$AU127="New Input Required",$AU127="Unsupported"),"Management","Model owner")</f>
        <v>Model owner</v>
      </c>
      <c r="AW127" t="str">
        <f>IFERROR(INDEX('DATA MAP'!$K$8:$K$137,MATCH($AJ127,'DATA MAP'!$A$8:$A$137,0)),"Management confirmation required.")</f>
        <v>No source ownership/waterfall schedule supports replacement. | The generic GP/LP placeholder and waterfall assumptions are not used for named-investor attribution; the funded ordinary-equity register controls.</v>
      </c>
    </row>
    <row r="128">
      <c r="A128" t="str">
        <v>CAPEX-PARK</v>
      </c>
      <c r="B128" t="str">
        <v>Car Park</v>
      </c>
      <c r="C128" t="n">
        <f>PROJECTS!$AP$25</f>
        <v>19500.38</v>
      </c>
      <c r="D128" t="n">
        <v>30.22</v>
      </c>
      <c r="E128" t="n">
        <v>0</v>
      </c>
      <c r="F128" t="n">
        <f>PROJECTS!$AP$39</f>
        <v>30.22</v>
      </c>
      <c r="G128" t="str">
        <v>PROJECT CASH FLOW!H13:J13</v>
      </c>
      <c r="H128" t="str">
        <v>Current detailed data-book budget treated as post-CEO roof correction.</v>
      </c>
      <c r="I128"/>
      <c r="J128"/>
      <c r="K128"/>
      <c r="L128"/>
      <c r="M128"/>
      <c r="N128"/>
      <c r="O128"/>
      <c r="P128"/>
      <c r="Q128"/>
      <c r="R128"/>
      <c r="S128"/>
      <c r="T128"/>
      <c r="U128"/>
      <c r="V128"/>
      <c r="W128"/>
      <c r="X128"/>
      <c r="Y128"/>
      <c r="Z128"/>
      <c r="AA128"/>
      <c r="AB128"/>
      <c r="AC128"/>
      <c r="AD128"/>
      <c r="AE128"/>
      <c r="AF128"/>
      <c r="AG128"/>
      <c r="AH128"/>
      <c r="AI128"/>
      <c r="AJ128" t="str">
        <v>INV-009</v>
      </c>
      <c r="AK128" t="str">
        <v>Investors and ownership</v>
      </c>
      <c r="AL128" t="str">
        <v>Waterfall</v>
      </c>
      <c r="AM128" t="str">
        <v>Tier 2 promote</v>
      </c>
      <c r="AN128" t="str">
        <v>%</v>
      </c>
      <c r="AO128" t="str">
        <v>Current</v>
      </c>
      <c r="AP128" t="n">
        <v>0.3</v>
      </c>
      <c r="AQ128" t="str">
        <v>760</v>
      </c>
      <c r="AR128" t="str">
        <v>760</v>
      </c>
      <c r="AS128" t="str">
        <f>IFERROR(INDEX('DATA MAP'!$C$8:$C$137,MATCH($AJ128,'DATA MAP'!$A$8:$A$137,0))&amp;IF(INDEX('DATA MAP'!$D$8:$D$137,MATCH($AJ128,'DATA MAP'!$A$8:$A$137,0))="",""," | "&amp;INDEX('DATA MAP'!$D$8:$D$137,MATCH($AJ128,'DATA MAP'!$A$8:$A$137,0))),"Not provided")</f>
        <v>Target: Underwriting | G235</v>
      </c>
      <c r="AT128" t="str">
        <v>Not provided</v>
      </c>
      <c r="AU128" t="str">
        <f>IFERROR(INDEX('DATA MAP'!$I$8:$I$137,MATCH($AJ128,'DATA MAP'!$A$8:$A$137,0)),"Review Required")</f>
        <v>Waived — named investor schedule controls</v>
      </c>
      <c r="AV128" t="str">
        <f>IF(OR($AU128="Conflict",$AU128="Review Required",$AU128="New Input Required",$AU128="Unsupported"),"Management","Model owner")</f>
        <v>Model owner</v>
      </c>
      <c r="AW128" t="str">
        <f>IFERROR(INDEX('DATA MAP'!$K$8:$K$137,MATCH($AJ128,'DATA MAP'!$A$8:$A$137,0)),"Management confirmation required.")</f>
        <v>No source ownership/waterfall schedule supports replacement. | The generic GP/LP placeholder and waterfall assumptions are not used for named-investor attribution; the funded ordinary-equity register controls.</v>
      </c>
    </row>
    <row r="129">
      <c r="A129" t="str">
        <v>Roof / solar duplicate adjustment: A$0.000. Model net CAPEX equals the current data-book total.</v>
      </c>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t="str">
        <v>INV-010</v>
      </c>
      <c r="AK129" t="str">
        <v>Investors and ownership</v>
      </c>
      <c r="AL129" t="str">
        <v>Waterfall</v>
      </c>
      <c r="AM129" t="str">
        <v>Tier 3 promote</v>
      </c>
      <c r="AN129" t="str">
        <v>%</v>
      </c>
      <c r="AO129" t="str">
        <v>Current</v>
      </c>
      <c r="AP129" t="n">
        <v>0.4</v>
      </c>
      <c r="AQ129" t="str">
        <v>760</v>
      </c>
      <c r="AR129" t="str">
        <v>760</v>
      </c>
      <c r="AS129" t="str">
        <f>IFERROR(INDEX('DATA MAP'!$C$8:$C$137,MATCH($AJ129,'DATA MAP'!$A$8:$A$137,0))&amp;IF(INDEX('DATA MAP'!$D$8:$D$137,MATCH($AJ129,'DATA MAP'!$A$8:$A$137,0))="",""," | "&amp;INDEX('DATA MAP'!$D$8:$D$137,MATCH($AJ129,'DATA MAP'!$A$8:$A$137,0))),"Not provided")</f>
        <v>Target: Underwriting | G236</v>
      </c>
      <c r="AT129" t="str">
        <v>Not provided</v>
      </c>
      <c r="AU129" t="str">
        <f>IFERROR(INDEX('DATA MAP'!$I$8:$I$137,MATCH($AJ129,'DATA MAP'!$A$8:$A$137,0)),"Review Required")</f>
        <v>Waived — named investor schedule controls</v>
      </c>
      <c r="AV129" t="str">
        <f>IF(OR($AU129="Conflict",$AU129="Review Required",$AU129="New Input Required",$AU129="Unsupported"),"Management","Model owner")</f>
        <v>Model owner</v>
      </c>
      <c r="AW129" t="str">
        <f>IFERROR(INDEX('DATA MAP'!$K$8:$K$137,MATCH($AJ129,'DATA MAP'!$A$8:$A$137,0)),"Management confirmation required.")</f>
        <v>No source ownership/waterfall schedule supports replacement. | The generic GP/LP placeholder and waterfall assumptions are not used for named-investor attribution; the funded ordinary-equity register controls.</v>
      </c>
    </row>
    <row r="130">
      <c r="A130" t="str">
        <v>SCOPE &amp; INTEGRATION CONTROLS</v>
      </c>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t="str">
        <v>INV-SRC-01</v>
      </c>
      <c r="AK130" t="str">
        <v>Investors and ownership</v>
      </c>
      <c r="AL130" t="str">
        <v>Mayabay</v>
      </c>
      <c r="AM130" t="str">
        <v>Indicative source funding</v>
      </c>
      <c r="AN130" t="str">
        <v>A$m</v>
      </c>
      <c r="AO130" t="str">
        <v>Source funding plan</v>
      </c>
      <c r="AP130" t="n">
        <v>15.001</v>
      </c>
      <c r="AQ130" t="str">
        <v>760</v>
      </c>
      <c r="AR130" t="str">
        <v>760</v>
      </c>
      <c r="AS130" t="str">
        <f>IFERROR(INDEX('DATA MAP'!$C$8:$C$137,MATCH($AJ130,'DATA MAP'!$A$8:$A$137,0))&amp;IF(INDEX('DATA MAP'!$D$8:$D$137,MATCH($AJ130,'DATA MAP'!$A$8:$A$137,0))="",""," | "&amp;INDEX('DATA MAP'!$D$8:$D$137,MATCH($AJ130,'DATA MAP'!$A$8:$A$137,0))),"Not provided")</f>
        <v>PROJECT CASH FLOW | E103</v>
      </c>
      <c r="AT130" t="str">
        <v>Not provided</v>
      </c>
      <c r="AU130" t="str">
        <f>IFERROR(INDEX('DATA MAP'!$I$8:$I$137,MATCH($AJ130,'DATA MAP'!$A$8:$A$137,0)),"Review Required")</f>
        <v>Mapped — provisional</v>
      </c>
      <c r="AV130" t="str">
        <f>IF(OR($AU130="Conflict",$AU130="Review Required",$AU130="New Input Required",$AU130="Unsupported"),"Management","Model owner")</f>
        <v>Model owner</v>
      </c>
      <c r="AW130" t="str">
        <f>IFERROR(INDEX('DATA MAP'!$K$8:$K$137,MATCH($AJ130,'DATA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1">
      <c r="A131" t="str">
        <v>Control</v>
      </c>
      <c r="B131" t="str">
        <v>Result</v>
      </c>
      <c r="C131" t="str">
        <v>Basis</v>
      </c>
      <c r="D131"/>
      <c r="E131"/>
      <c r="F131"/>
      <c r="G131"/>
      <c r="H131"/>
      <c r="I131"/>
      <c r="J131"/>
      <c r="K131"/>
      <c r="L131"/>
      <c r="M131"/>
      <c r="N131"/>
      <c r="O131"/>
      <c r="P131"/>
      <c r="Q131"/>
      <c r="R131"/>
      <c r="S131"/>
      <c r="T131"/>
      <c r="U131"/>
      <c r="V131"/>
      <c r="W131"/>
      <c r="X131"/>
      <c r="Y131"/>
      <c r="Z131"/>
      <c r="AA131"/>
      <c r="AB131"/>
      <c r="AC131"/>
      <c r="AD131"/>
      <c r="AE131"/>
      <c r="AF131"/>
      <c r="AG131"/>
      <c r="AH131"/>
      <c r="AI131"/>
      <c r="AJ131" t="str">
        <v>INV-SRC-02</v>
      </c>
      <c r="AK131" t="str">
        <v>Investors and ownership</v>
      </c>
      <c r="AL131" t="str">
        <v>Australian Investor 1</v>
      </c>
      <c r="AM131" t="str">
        <v>Indicative source funding</v>
      </c>
      <c r="AN131" t="str">
        <v>A$m</v>
      </c>
      <c r="AO131" t="str">
        <v>Source funding plan</v>
      </c>
      <c r="AP131" t="n">
        <v>10</v>
      </c>
      <c r="AQ131" t="str">
        <v>760</v>
      </c>
      <c r="AR131" t="str">
        <v>760</v>
      </c>
      <c r="AS131" t="str">
        <f>IFERROR(INDEX('DATA MAP'!$C$8:$C$137,MATCH($AJ131,'DATA MAP'!$A$8:$A$137,0))&amp;IF(INDEX('DATA MAP'!$D$8:$D$137,MATCH($AJ131,'DATA MAP'!$A$8:$A$137,0))="",""," | "&amp;INDEX('DATA MAP'!$D$8:$D$137,MATCH($AJ131,'DATA MAP'!$A$8:$A$137,0))),"Not provided")</f>
        <v>PROJECT CASH FLOW | E104</v>
      </c>
      <c r="AT131" t="str">
        <v>Not provided</v>
      </c>
      <c r="AU131" t="str">
        <f>IFERROR(INDEX('DATA MAP'!$I$8:$I$137,MATCH($AJ131,'DATA MAP'!$A$8:$A$137,0)),"Review Required")</f>
        <v>Mapped — provisional</v>
      </c>
      <c r="AV131" t="str">
        <f>IF(OR($AU131="Conflict",$AU131="Review Required",$AU131="New Input Required",$AU131="Unsupported"),"Management","Model owner")</f>
        <v>Model owner</v>
      </c>
      <c r="AW131" t="str">
        <f>IFERROR(INDEX('DATA MAP'!$K$8:$K$137,MATCH($AJ131,'DATA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2">
      <c r="A132" t="str">
        <v>Component CAPEX reconciles</v>
      </c>
      <c r="B132" t="str">
        <f>IF(ABS(SUM(D128:E128)-F128)&lt;0.001,"OK","EXCEPTION: component CAPEX")</f>
        <v>OK</v>
      </c>
      <c r="C132" t="str">
        <v>Core / shell plus fitout versus controlling total</v>
      </c>
      <c r="D132"/>
      <c r="E132"/>
      <c r="F132"/>
      <c r="G132"/>
      <c r="H132"/>
      <c r="I132"/>
      <c r="J132"/>
      <c r="K132"/>
      <c r="L132"/>
      <c r="M132"/>
      <c r="N132"/>
      <c r="O132"/>
      <c r="P132"/>
      <c r="Q132"/>
      <c r="R132"/>
      <c r="S132"/>
      <c r="T132"/>
      <c r="U132"/>
      <c r="V132"/>
      <c r="W132"/>
      <c r="X132"/>
      <c r="Y132"/>
      <c r="Z132"/>
      <c r="AA132"/>
      <c r="AB132"/>
      <c r="AC132"/>
      <c r="AD132"/>
      <c r="AE132"/>
      <c r="AF132"/>
      <c r="AG132"/>
      <c r="AH132"/>
      <c r="AI132"/>
      <c r="AJ132" t="str">
        <v>INV-SRC-03</v>
      </c>
      <c r="AK132" t="str">
        <v>Investors and ownership</v>
      </c>
      <c r="AL132" t="str">
        <v>Australian Investor 2</v>
      </c>
      <c r="AM132" t="str">
        <v>Indicative source funding</v>
      </c>
      <c r="AN132" t="str">
        <v>A$m</v>
      </c>
      <c r="AO132" t="str">
        <v>Source funding plan</v>
      </c>
      <c r="AP132" t="n">
        <v>5</v>
      </c>
      <c r="AQ132" t="str">
        <v>760</v>
      </c>
      <c r="AR132" t="str">
        <v>760</v>
      </c>
      <c r="AS132" t="str">
        <f>IFERROR(INDEX('DATA MAP'!$C$8:$C$137,MATCH($AJ132,'DATA MAP'!$A$8:$A$137,0))&amp;IF(INDEX('DATA MAP'!$D$8:$D$137,MATCH($AJ132,'DATA MAP'!$A$8:$A$137,0))="",""," | "&amp;INDEX('DATA MAP'!$D$8:$D$137,MATCH($AJ132,'DATA MAP'!$A$8:$A$137,0))),"Not provided")</f>
        <v>PROJECT CASH FLOW | E105</v>
      </c>
      <c r="AT132" t="str">
        <v>Not provided</v>
      </c>
      <c r="AU132" t="str">
        <f>IFERROR(INDEX('DATA MAP'!$I$8:$I$137,MATCH($AJ132,'DATA MAP'!$A$8:$A$137,0)),"Review Required")</f>
        <v>Mapped — provisional</v>
      </c>
      <c r="AV132" t="str">
        <f>IF(OR($AU132="Conflict",$AU132="Review Required",$AU132="New Input Required",$AU132="Unsupported"),"Management","Model owner")</f>
        <v>Model owner</v>
      </c>
      <c r="AW132" t="str">
        <f>IFERROR(INDEX('DATA MAP'!$K$8:$K$137,MATCH($AJ132,'DATA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3">
      <c r="A133" t="str">
        <v>Area linked to PROJECT DATA</v>
      </c>
      <c r="B133" t="str">
        <f>IF(ABS(C128-PROJECTS!$AP$25)&lt;0.000001,"OK","EXCEPTION: component area")</f>
        <v>OK</v>
      </c>
      <c r="C133" t="str">
        <v>No duplicate area input</v>
      </c>
      <c r="D133"/>
      <c r="E133"/>
      <c r="F133"/>
      <c r="G133"/>
      <c r="H133"/>
      <c r="I133"/>
      <c r="J133"/>
      <c r="K133"/>
      <c r="L133"/>
      <c r="M133"/>
      <c r="N133"/>
      <c r="O133"/>
      <c r="P133"/>
      <c r="Q133"/>
      <c r="R133"/>
      <c r="S133"/>
      <c r="T133"/>
      <c r="U133"/>
      <c r="V133"/>
      <c r="W133"/>
      <c r="X133"/>
      <c r="Y133"/>
      <c r="Z133"/>
      <c r="AA133"/>
      <c r="AB133"/>
      <c r="AC133"/>
      <c r="AD133"/>
      <c r="AE133"/>
      <c r="AF133"/>
      <c r="AG133"/>
      <c r="AH133"/>
      <c r="AI133"/>
      <c r="AJ133" t="str">
        <v>INV-SRC-04</v>
      </c>
      <c r="AK133" t="str">
        <v>Investors and ownership</v>
      </c>
      <c r="AL133" t="str">
        <v>Australian Investor 3</v>
      </c>
      <c r="AM133" t="str">
        <v>Indicative source funding</v>
      </c>
      <c r="AN133" t="str">
        <v>A$m</v>
      </c>
      <c r="AO133" t="str">
        <v>Source funding plan</v>
      </c>
      <c r="AP133" t="n">
        <v>2</v>
      </c>
      <c r="AQ133" t="str">
        <v>760</v>
      </c>
      <c r="AR133" t="str">
        <v>760</v>
      </c>
      <c r="AS133" t="str">
        <f>IFERROR(INDEX('DATA MAP'!$C$8:$C$137,MATCH($AJ133,'DATA MAP'!$A$8:$A$137,0))&amp;IF(INDEX('DATA MAP'!$D$8:$D$137,MATCH($AJ133,'DATA MAP'!$A$8:$A$137,0))="",""," | "&amp;INDEX('DATA MAP'!$D$8:$D$137,MATCH($AJ133,'DATA MAP'!$A$8:$A$137,0))),"Not provided")</f>
        <v>PROJECT CASH FLOW | E106</v>
      </c>
      <c r="AT133" t="str">
        <v>Not provided</v>
      </c>
      <c r="AU133" t="str">
        <f>IFERROR(INDEX('DATA MAP'!$I$8:$I$137,MATCH($AJ133,'DATA MAP'!$A$8:$A$137,0)),"Review Required")</f>
        <v>Mapped — provisional</v>
      </c>
      <c r="AV133" t="str">
        <f>IF(OR($AU133="Conflict",$AU133="Review Required",$AU133="New Input Required",$AU133="Unsupported"),"Management","Model owner")</f>
        <v>Model owner</v>
      </c>
      <c r="AW133" t="str">
        <f>IFERROR(INDEX('DATA MAP'!$K$8:$K$137,MATCH($AJ133,'DATA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4">
      <c r="A134" t="str">
        <v>Roof / solar treatment</v>
      </c>
      <c r="B134" t="str">
        <f>IF(ABS(F128-PROJECTS!$AP$39)&lt;0.000001,"OK","EXCEPTION: component total")</f>
        <v>OK</v>
      </c>
      <c r="C134" t="str">
        <v>Precinct roof/solar is central infrastructure</v>
      </c>
      <c r="D134"/>
      <c r="E134"/>
      <c r="F134"/>
      <c r="G134"/>
      <c r="H134"/>
      <c r="I134"/>
      <c r="J134"/>
      <c r="K134"/>
      <c r="L134"/>
      <c r="M134"/>
      <c r="N134"/>
      <c r="O134"/>
      <c r="P134"/>
      <c r="Q134"/>
      <c r="R134"/>
      <c r="S134"/>
      <c r="T134"/>
      <c r="U134"/>
      <c r="V134"/>
      <c r="W134"/>
      <c r="X134"/>
      <c r="Y134"/>
      <c r="Z134"/>
      <c r="AA134"/>
      <c r="AB134"/>
      <c r="AC134"/>
      <c r="AD134"/>
      <c r="AE134"/>
      <c r="AF134"/>
      <c r="AG134"/>
      <c r="AH134"/>
      <c r="AI134"/>
      <c r="AJ134" t="str">
        <v>INV-SRC-05</v>
      </c>
      <c r="AK134" t="str">
        <v>Investors and ownership</v>
      </c>
      <c r="AL134" t="str">
        <v>Australian Investor 4</v>
      </c>
      <c r="AM134" t="str">
        <v>Indicative source funding</v>
      </c>
      <c r="AN134" t="str">
        <v>A$m</v>
      </c>
      <c r="AO134" t="str">
        <v>Source funding plan</v>
      </c>
      <c r="AP134" t="n">
        <v>1</v>
      </c>
      <c r="AQ134" t="str">
        <v>760</v>
      </c>
      <c r="AR134" t="str">
        <v>760</v>
      </c>
      <c r="AS134" t="str">
        <f>IFERROR(INDEX('DATA MAP'!$C$8:$C$137,MATCH($AJ134,'DATA MAP'!$A$8:$A$137,0))&amp;IF(INDEX('DATA MAP'!$D$8:$D$137,MATCH($AJ134,'DATA MAP'!$A$8:$A$137,0))="",""," | "&amp;INDEX('DATA MAP'!$D$8:$D$137,MATCH($AJ134,'DATA MAP'!$A$8:$A$137,0))),"Not provided")</f>
        <v>PROJECT CASH FLOW | E107</v>
      </c>
      <c r="AT134" t="str">
        <v>Not provided</v>
      </c>
      <c r="AU134" t="str">
        <f>IFERROR(INDEX('DATA MAP'!$I$8:$I$137,MATCH($AJ134,'DATA MAP'!$A$8:$A$137,0)),"Review Required")</f>
        <v>Mapped — provisional</v>
      </c>
      <c r="AV134" t="str">
        <f>IF(OR($AU134="Conflict",$AU134="Review Required",$AU134="New Input Required",$AU134="Unsupported"),"Management","Model owner")</f>
        <v>Model owner</v>
      </c>
      <c r="AW134" t="str">
        <f>IFERROR(INDEX('DATA MAP'!$K$8:$K$137,MATCH($AJ134,'DATA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t="str">
        <v>INV-SRC-06</v>
      </c>
      <c r="AK135" t="str">
        <v>Investors and ownership</v>
      </c>
      <c r="AL135" t="str">
        <v>Australian Investor 5</v>
      </c>
      <c r="AM135" t="str">
        <v>Indicative source funding</v>
      </c>
      <c r="AN135" t="str">
        <v>A$m</v>
      </c>
      <c r="AO135" t="str">
        <v>Source funding plan</v>
      </c>
      <c r="AP135" t="n">
        <v>0.83</v>
      </c>
      <c r="AQ135" t="str">
        <v>760</v>
      </c>
      <c r="AR135" t="str">
        <v>760</v>
      </c>
      <c r="AS135" t="str">
        <f>IFERROR(INDEX('DATA MAP'!$C$8:$C$137,MATCH($AJ135,'DATA MAP'!$A$8:$A$137,0))&amp;IF(INDEX('DATA MAP'!$D$8:$D$137,MATCH($AJ135,'DATA MAP'!$A$8:$A$137,0))="",""," | "&amp;INDEX('DATA MAP'!$D$8:$D$137,MATCH($AJ135,'DATA MAP'!$A$8:$A$137,0))),"Not provided")</f>
        <v>PROJECT CASH FLOW | E108</v>
      </c>
      <c r="AT135" t="str">
        <v>Not provided</v>
      </c>
      <c r="AU135" t="str">
        <f>IFERROR(INDEX('DATA MAP'!$I$8:$I$137,MATCH($AJ135,'DATA MAP'!$A$8:$A$137,0)),"Review Required")</f>
        <v>Mapped — provisional</v>
      </c>
      <c r="AV135" t="str">
        <f>IF(OR($AU135="Conflict",$AU135="Review Required",$AU135="New Input Required",$AU135="Unsupported"),"Management","Model owner")</f>
        <v>Model owner</v>
      </c>
      <c r="AW135" t="str">
        <f>IFERROR(INDEX('DATA MAP'!$K$8:$K$137,MATCH($AJ135,'DATA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6">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t="str">
        <v>INV-SRC-07</v>
      </c>
      <c r="AK136" t="str">
        <v>Investors and ownership</v>
      </c>
      <c r="AL136" t="str">
        <v>Australian Institutional Investors</v>
      </c>
      <c r="AM136" t="str">
        <v>Indicative source funding</v>
      </c>
      <c r="AN136" t="str">
        <v>A$m</v>
      </c>
      <c r="AO136" t="str">
        <v>Source funding plan</v>
      </c>
      <c r="AP136" t="n">
        <v>50</v>
      </c>
      <c r="AQ136" t="str">
        <v>760</v>
      </c>
      <c r="AR136" t="str">
        <v>760</v>
      </c>
      <c r="AS136" t="str">
        <f>IFERROR(INDEX('DATA MAP'!$C$8:$C$137,MATCH($AJ136,'DATA MAP'!$A$8:$A$137,0))&amp;IF(INDEX('DATA MAP'!$D$8:$D$137,MATCH($AJ136,'DATA MAP'!$A$8:$A$137,0))="",""," | "&amp;INDEX('DATA MAP'!$D$8:$D$137,MATCH($AJ136,'DATA MAP'!$A$8:$A$137,0))),"Not provided")</f>
        <v>PROJECT CASH FLOW | E109</v>
      </c>
      <c r="AT136" t="str">
        <v>Not provided</v>
      </c>
      <c r="AU136" t="str">
        <f>IFERROR(INDEX('DATA MAP'!$I$8:$I$137,MATCH($AJ136,'DATA MAP'!$A$8:$A$137,0)),"Review Required")</f>
        <v>Mapped — provisional</v>
      </c>
      <c r="AV136" t="str">
        <f>IF(OR($AU136="Conflict",$AU136="Review Required",$AU136="New Input Required",$AU136="Unsupported"),"Management","Model owner")</f>
        <v>Model owner</v>
      </c>
      <c r="AW136" t="str">
        <f>IFERROR(INDEX('DATA MAP'!$K$8:$K$137,MATCH($AJ136,'DATA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7">
      <c r="A137" t="str">
        <v>THE BEND PRECINCT | SELF-STORAGE</v>
      </c>
      <c r="B137" t="str">
        <v>THE BEND PRECINCT | SELF-STORAGE</v>
      </c>
      <c r="C137" t="str">
        <v>THE BEND PRECINCT | SELF-STORAGE</v>
      </c>
      <c r="D137" t="str">
        <v>THE BEND PRECINCT | SELF-STORAGE</v>
      </c>
      <c r="E137" t="str">
        <v>THE BEND PRECINCT | SELF-STORAGE</v>
      </c>
      <c r="F137" t="str">
        <v>THE BEND PRECINCT | SELF-STORAGE</v>
      </c>
      <c r="G137" t="str">
        <v>THE BEND PRECINCT | SELF-STORAGE</v>
      </c>
      <c r="H137" t="str">
        <v>THE BEND PRECINCT | SELF-STORAGE</v>
      </c>
      <c r="I137"/>
      <c r="J137"/>
      <c r="K137"/>
      <c r="L137"/>
      <c r="M137"/>
      <c r="N137"/>
      <c r="O137"/>
      <c r="P137"/>
      <c r="Q137"/>
      <c r="R137"/>
      <c r="S137"/>
      <c r="T137"/>
      <c r="U137"/>
      <c r="V137"/>
      <c r="W137"/>
      <c r="X137"/>
      <c r="Y137"/>
      <c r="Z137"/>
      <c r="AA137"/>
      <c r="AB137"/>
      <c r="AC137"/>
      <c r="AD137"/>
      <c r="AE137"/>
      <c r="AF137"/>
      <c r="AG137"/>
      <c r="AH137"/>
      <c r="AI137"/>
      <c r="AJ137" t="str">
        <v>INV-SRC-08</v>
      </c>
      <c r="AK137" t="str">
        <v>Investors and ownership</v>
      </c>
      <c r="AL137" t="str">
        <v>Australian Institutional / Developer residual</v>
      </c>
      <c r="AM137" t="str">
        <v>Indicative source funding</v>
      </c>
      <c r="AN137" t="str">
        <v>A$m</v>
      </c>
      <c r="AO137" t="str">
        <v>Source funding plan</v>
      </c>
      <c r="AP137" t="n">
        <v>125.5482756423</v>
      </c>
      <c r="AQ137" t="str">
        <v>760</v>
      </c>
      <c r="AR137" t="str">
        <v>760</v>
      </c>
      <c r="AS137" t="str">
        <f>IFERROR(INDEX('DATA MAP'!$C$8:$C$137,MATCH($AJ137,'DATA MAP'!$A$8:$A$137,0))&amp;IF(INDEX('DATA MAP'!$D$8:$D$137,MATCH($AJ137,'DATA MAP'!$A$8:$A$137,0))="",""," | "&amp;INDEX('DATA MAP'!$D$8:$D$137,MATCH($AJ137,'DATA MAP'!$A$8:$A$137,0))),"Not provided")</f>
        <v>PROJECT CASH FLOW | E110</v>
      </c>
      <c r="AT137" t="str">
        <v>Not provided</v>
      </c>
      <c r="AU137" t="str">
        <f>IFERROR(INDEX('DATA MAP'!$I$8:$I$137,MATCH($AJ137,'DATA MAP'!$A$8:$A$137,0)),"Review Required")</f>
        <v>Mapped — provisional</v>
      </c>
      <c r="AV137" t="str">
        <f>IF(OR($AU137="Conflict",$AU137="Review Required",$AU137="New Input Required",$AU137="Unsupported"),"Management","Model owner")</f>
        <v>Model owner</v>
      </c>
      <c r="AW137" t="str">
        <f>IFERROR(INDEX('DATA MAP'!$K$8:$K$137,MATCH($AJ137,'DATA MAP'!$A$8:$A$137,0)),"Management confirmation required.")</f>
        <v>Confirm investor identities, legal commitments, shareholder loans and fully diluted ownership. | The contribution is mapped into the funded ordinary-equity register; executed investor and shareholder-rights documents remain an OWNER DECISION.</v>
      </c>
    </row>
    <row r="138">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t="str">
        <v>INV-NAMED-01-INIT</v>
      </c>
      <c r="AK138" t="str">
        <v>Investors and ownership</v>
      </c>
      <c r="AL138" t="str">
        <v>David Gifford</v>
      </c>
      <c r="AM138" t="str">
        <v>Initial contribution</v>
      </c>
      <c r="AN138" t="str">
        <v>A$m</v>
      </c>
      <c r="AO138" t="str">
        <v>Initial funding date</v>
      </c>
      <c r="AP138" t="n">
        <v>10</v>
      </c>
      <c r="AQ138"/>
      <c r="AR138"/>
      <c r="AS138" t="str">
        <v>PROJECT CASH FLOW!E104/F104</v>
      </c>
      <c r="AT138" t="n">
        <v>46228</v>
      </c>
      <c r="AU138" t="str">
        <v>Mapped — provisional</v>
      </c>
      <c r="AV138" t="str">
        <v>Management</v>
      </c>
      <c r="AW138" t="str">
        <v>Funded contribution adopted from the current data book. Legal holder, rights and funding dates require confirmation. | The field is live and formula-linked; its commercial or specialist basis remains provisional where stated.</v>
      </c>
    </row>
    <row r="139">
      <c r="A139" t="str">
        <v>Concise component input and control schedule. Detailed source data are consolidated into live model drivers with cell-level traceability.</v>
      </c>
      <c r="B139" t="str">
        <v>Concise component input and control schedule. Detailed source data are consolidated into live model drivers with cell-level traceability.</v>
      </c>
      <c r="C139" t="str">
        <v>Concise component input and control schedule. Detailed source data are consolidated into live model drivers with cell-level traceability.</v>
      </c>
      <c r="D139" t="str">
        <v>Concise component input and control schedule. Detailed source data are consolidated into live model drivers with cell-level traceability.</v>
      </c>
      <c r="E139" t="str">
        <v>Concise component input and control schedule. Detailed source data are consolidated into live model drivers with cell-level traceability.</v>
      </c>
      <c r="F139" t="str">
        <v>Concise component input and control schedule. Detailed source data are consolidated into live model drivers with cell-level traceability.</v>
      </c>
      <c r="G139" t="str">
        <v>Concise component input and control schedule. Detailed source data are consolidated into live model drivers with cell-level traceability.</v>
      </c>
      <c r="H139" t="str">
        <v>Concise component input and control schedule. Detailed source data are consolidated into live model drivers with cell-level traceability.</v>
      </c>
      <c r="I139"/>
      <c r="J139"/>
      <c r="K139"/>
      <c r="L139"/>
      <c r="M139"/>
      <c r="N139"/>
      <c r="O139"/>
      <c r="P139"/>
      <c r="Q139"/>
      <c r="R139"/>
      <c r="S139"/>
      <c r="T139"/>
      <c r="U139"/>
      <c r="V139"/>
      <c r="W139"/>
      <c r="X139"/>
      <c r="Y139"/>
      <c r="Z139"/>
      <c r="AA139"/>
      <c r="AB139"/>
      <c r="AC139"/>
      <c r="AD139"/>
      <c r="AE139"/>
      <c r="AF139"/>
      <c r="AG139"/>
      <c r="AH139"/>
      <c r="AI139"/>
      <c r="AJ139" t="str">
        <v>INV-NAMED-01-PRE</v>
      </c>
      <c r="AK139" t="str">
        <v>Investors and ownership</v>
      </c>
      <c r="AL139" t="str">
        <v>David Gifford</v>
      </c>
      <c r="AM139" t="str">
        <v>Pre-construction contribution</v>
      </c>
      <c r="AN139" t="str">
        <v>A$m</v>
      </c>
      <c r="AO139" t="str">
        <v>Initial funding date</v>
      </c>
      <c r="AP139" t="n">
        <v>0</v>
      </c>
      <c r="AQ139"/>
      <c r="AR139"/>
      <c r="AS139" t="str">
        <v>PROJECT CASH FLOW!E104/F104</v>
      </c>
      <c r="AT139" t="n">
        <v>46228</v>
      </c>
      <c r="AU139" t="str">
        <v>Mapped — provisional</v>
      </c>
      <c r="AV139" t="str">
        <v>Management</v>
      </c>
      <c r="AW139" t="str">
        <v>Funded contribution adopted from the current data book. Legal holder, rights and funding dates require confirmation. | The field is live and formula-linked; its commercial or specialist basis remains provisional where stated.</v>
      </c>
    </row>
    <row r="140">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t="str">
        <v>INV-NAMED-01-FUT</v>
      </c>
      <c r="AK140" t="str">
        <v>Investors and ownership</v>
      </c>
      <c r="AL140" t="str">
        <v>David Gifford</v>
      </c>
      <c r="AM140" t="str">
        <v>Future development contribution</v>
      </c>
      <c r="AN140" t="str">
        <v>A$m</v>
      </c>
      <c r="AO140" t="str">
        <v>Future funding date</v>
      </c>
      <c r="AP140" t="n">
        <v>0</v>
      </c>
      <c r="AQ140"/>
      <c r="AR140"/>
      <c r="AS140" t="str">
        <v>PROJECT CASH FLOW!E104/F104</v>
      </c>
      <c r="AT140" t="n">
        <v>46228</v>
      </c>
      <c r="AU140" t="str">
        <v>Mapped — provisional</v>
      </c>
      <c r="AV140" t="str">
        <v>Management</v>
      </c>
      <c r="AW140" t="str">
        <v>Funded contribution adopted from the current data book. Legal holder, rights and funding dates require confirmation. | The field is live and formula-linked; its commercial or specialist basis remains provisional where stated.</v>
      </c>
    </row>
    <row r="141">
      <c r="A141" t="str">
        <v>COMPONENT INPUTS</v>
      </c>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t="str">
        <v>INV-NAMED-02-INIT</v>
      </c>
      <c r="AK141" t="str">
        <v>Investors and ownership</v>
      </c>
      <c r="AL141" t="str">
        <v>Mayabay Investments Pte Ltd</v>
      </c>
      <c r="AM141" t="str">
        <v>Initial contribution</v>
      </c>
      <c r="AN141" t="str">
        <v>A$m</v>
      </c>
      <c r="AO141" t="str">
        <v>Initial funding date</v>
      </c>
      <c r="AP141" t="n">
        <v>15.001</v>
      </c>
      <c r="AQ141"/>
      <c r="AR141"/>
      <c r="AS141" t="str">
        <v>PROJECT CASH FLOW!E103/F103</v>
      </c>
      <c r="AT141" t="n">
        <v>46228</v>
      </c>
      <c r="AU141" t="str">
        <v>Mapped — provisional</v>
      </c>
      <c r="AV141" t="str">
        <v>Management</v>
      </c>
      <c r="AW141" t="str">
        <v>Funded contribution adopted from the current data book. Legal holder, rights and funding dates require confirmation. | The field is live and formula-linked; its commercial or specialist basis remains provisional where stated.</v>
      </c>
    </row>
    <row r="142">
      <c r="A142" t="str">
        <v>Field ID</v>
      </c>
      <c r="B142" t="str">
        <v>Assumption</v>
      </c>
      <c r="C142" t="str">
        <v>Unit</v>
      </c>
      <c r="D142" t="str">
        <v>Value</v>
      </c>
      <c r="E142" t="str">
        <v>Source Sheet</v>
      </c>
      <c r="F142" t="str">
        <v>Source Cell</v>
      </c>
      <c r="G142" t="str">
        <v>Status</v>
      </c>
      <c r="H142" t="str">
        <v>Notes</v>
      </c>
      <c r="I142"/>
      <c r="J142"/>
      <c r="K142"/>
      <c r="L142"/>
      <c r="M142"/>
      <c r="N142"/>
      <c r="O142"/>
      <c r="P142"/>
      <c r="Q142"/>
      <c r="R142"/>
      <c r="S142"/>
      <c r="T142"/>
      <c r="U142"/>
      <c r="V142"/>
      <c r="W142"/>
      <c r="X142"/>
      <c r="Y142"/>
      <c r="Z142"/>
      <c r="AA142"/>
      <c r="AB142"/>
      <c r="AC142"/>
      <c r="AD142"/>
      <c r="AE142"/>
      <c r="AF142"/>
      <c r="AG142"/>
      <c r="AH142"/>
      <c r="AI142"/>
      <c r="AJ142" t="str">
        <v>INV-NAMED-02-PRE</v>
      </c>
      <c r="AK142" t="str">
        <v>Investors and ownership</v>
      </c>
      <c r="AL142" t="str">
        <v>Mayabay Investments Pte Ltd</v>
      </c>
      <c r="AM142" t="str">
        <v>Pre-construction contribution</v>
      </c>
      <c r="AN142" t="str">
        <v>A$m</v>
      </c>
      <c r="AO142" t="str">
        <v>Initial funding date</v>
      </c>
      <c r="AP142" t="n">
        <v>0</v>
      </c>
      <c r="AQ142"/>
      <c r="AR142"/>
      <c r="AS142" t="str">
        <v>PROJECT CASH FLOW!E103/F103</v>
      </c>
      <c r="AT142" t="n">
        <v>46228</v>
      </c>
      <c r="AU142" t="str">
        <v>Mapped — provisional</v>
      </c>
      <c r="AV142" t="str">
        <v>Management</v>
      </c>
      <c r="AW142" t="str">
        <v>Funded contribution adopted from the current data book. Legal holder, rights and funding dates require confirmation. | The field is live and formula-linked; its commercial or specialist basis remains provisional where stated.</v>
      </c>
    </row>
    <row r="143">
      <c r="A143" t="str">
        <v>STORAGE-FOOTPRINT</v>
      </c>
      <c r="B143" t="str">
        <v>Footprint</v>
      </c>
      <c r="C143" t="str">
        <v>sqm</v>
      </c>
      <c r="D143" t="n">
        <f>PROJECTS!$AP$243</f>
        <v>600</v>
      </c>
      <c r="E143" t="str">
        <v>PROJECT DATA</v>
      </c>
      <c r="F143" t="str">
        <v>G243</v>
      </c>
      <c r="G143" t="str">
        <v>Formula Preserved</v>
      </c>
      <c r="H143" t="str">
        <v>Data-book component footprint.</v>
      </c>
      <c r="I143"/>
      <c r="J143"/>
      <c r="K143"/>
      <c r="L143"/>
      <c r="M143"/>
      <c r="N143"/>
      <c r="O143"/>
      <c r="P143"/>
      <c r="Q143"/>
      <c r="R143"/>
      <c r="S143"/>
      <c r="T143"/>
      <c r="U143"/>
      <c r="V143"/>
      <c r="W143"/>
      <c r="X143"/>
      <c r="Y143"/>
      <c r="Z143"/>
      <c r="AA143"/>
      <c r="AB143"/>
      <c r="AC143"/>
      <c r="AD143"/>
      <c r="AE143"/>
      <c r="AF143"/>
      <c r="AG143"/>
      <c r="AH143"/>
      <c r="AI143"/>
      <c r="AJ143" t="str">
        <v>INV-NAMED-02-FUT</v>
      </c>
      <c r="AK143" t="str">
        <v>Investors and ownership</v>
      </c>
      <c r="AL143" t="str">
        <v>Mayabay Investments Pte Ltd</v>
      </c>
      <c r="AM143" t="str">
        <v>Future development contribution</v>
      </c>
      <c r="AN143" t="str">
        <v>A$m</v>
      </c>
      <c r="AO143" t="str">
        <v>Future funding date</v>
      </c>
      <c r="AP143" t="n">
        <v>0</v>
      </c>
      <c r="AQ143"/>
      <c r="AR143"/>
      <c r="AS143" t="str">
        <v>PROJECT CASH FLOW!E103/F103</v>
      </c>
      <c r="AT143" t="n">
        <v>46228</v>
      </c>
      <c r="AU143" t="str">
        <v>Mapped — provisional</v>
      </c>
      <c r="AV143" t="str">
        <v>Management</v>
      </c>
      <c r="AW143" t="str">
        <v>Funded contribution adopted from the current data book. Legal holder, rights and funding dates require confirmation. | The field is live and formula-linked; its commercial or specialist basis remains provisional where stated.</v>
      </c>
    </row>
    <row r="144">
      <c r="A144" t="str">
        <v>STORAGE-LAND</v>
      </c>
      <c r="B144" t="str">
        <v>Land area</v>
      </c>
      <c r="C144" t="str">
        <v>sqm</v>
      </c>
      <c r="D144" t="str">
        <f>PROJECTS!$AP$244</f>
      </c>
      <c r="E144" t="str">
        <v>PROJECT DATA</v>
      </c>
      <c r="F144" t="str">
        <v>G244</v>
      </c>
      <c r="G144" t="str">
        <v>Formula Preserved</v>
      </c>
      <c r="H144" t="str">
        <v>May overlap vertically or with shared precinct uses.</v>
      </c>
      <c r="I144"/>
      <c r="J144"/>
      <c r="K144"/>
      <c r="L144"/>
      <c r="M144"/>
      <c r="N144"/>
      <c r="O144"/>
      <c r="P144"/>
      <c r="Q144"/>
      <c r="R144"/>
      <c r="S144"/>
      <c r="T144"/>
      <c r="U144"/>
      <c r="V144"/>
      <c r="W144"/>
      <c r="X144"/>
      <c r="Y144"/>
      <c r="Z144"/>
      <c r="AA144"/>
      <c r="AB144"/>
      <c r="AC144"/>
      <c r="AD144"/>
      <c r="AE144"/>
      <c r="AF144"/>
      <c r="AG144"/>
      <c r="AH144"/>
      <c r="AI144"/>
      <c r="AJ144" t="str">
        <v>INV-NAMED-03-INIT</v>
      </c>
      <c r="AK144" t="str">
        <v>Investors and ownership</v>
      </c>
      <c r="AL144" t="str">
        <v>Brian Mirnoff</v>
      </c>
      <c r="AM144" t="str">
        <v>Initial contribution</v>
      </c>
      <c r="AN144" t="str">
        <v>A$m</v>
      </c>
      <c r="AO144" t="str">
        <v>Initial funding date</v>
      </c>
      <c r="AP144" t="n">
        <v>5</v>
      </c>
      <c r="AQ144"/>
      <c r="AR144"/>
      <c r="AS144" t="str">
        <v>PROJECT CASH FLOW!E105/F105</v>
      </c>
      <c r="AT144" t="n">
        <v>46228</v>
      </c>
      <c r="AU144" t="str">
        <v>Mapped — provisional</v>
      </c>
      <c r="AV144" t="str">
        <v>Management</v>
      </c>
      <c r="AW144" t="str">
        <v>Funded contribution adopted from the current data book. Legal holder, rights and funding dates require confirmation. | The field is live and formula-linked; its commercial or specialist basis remains provisional where stated.</v>
      </c>
    </row>
    <row r="145">
      <c r="A145" t="str">
        <v>STORAGE-GFA</v>
      </c>
      <c r="B145" t="str">
        <v>Estimated GFA / operating area</v>
      </c>
      <c r="C145" t="str">
        <v>sqm</v>
      </c>
      <c r="D145" t="n">
        <f>C155</f>
        <v>600</v>
      </c>
      <c r="E145" t="str">
        <v>PROJECT DATA</v>
      </c>
      <c r="F145" t="str">
        <v>G29</v>
      </c>
      <c r="G145" t="str">
        <v>Formula Preserved</v>
      </c>
      <c r="H145" t="str">
        <v>Controlling model area.</v>
      </c>
      <c r="I145"/>
      <c r="J145"/>
      <c r="K145"/>
      <c r="L145"/>
      <c r="M145"/>
      <c r="N145"/>
      <c r="O145"/>
      <c r="P145"/>
      <c r="Q145"/>
      <c r="R145"/>
      <c r="S145"/>
      <c r="T145"/>
      <c r="U145"/>
      <c r="V145"/>
      <c r="W145"/>
      <c r="X145"/>
      <c r="Y145"/>
      <c r="Z145"/>
      <c r="AA145"/>
      <c r="AB145"/>
      <c r="AC145"/>
      <c r="AD145"/>
      <c r="AE145"/>
      <c r="AF145"/>
      <c r="AG145"/>
      <c r="AH145"/>
      <c r="AI145"/>
      <c r="AJ145" t="str">
        <v>INV-NAMED-03-PRE</v>
      </c>
      <c r="AK145" t="str">
        <v>Investors and ownership</v>
      </c>
      <c r="AL145" t="str">
        <v>Brian Mirnoff</v>
      </c>
      <c r="AM145" t="str">
        <v>Pre-construction contribution</v>
      </c>
      <c r="AN145" t="str">
        <v>A$m</v>
      </c>
      <c r="AO145" t="str">
        <v>Initial funding date</v>
      </c>
      <c r="AP145" t="n">
        <v>0</v>
      </c>
      <c r="AQ145"/>
      <c r="AR145"/>
      <c r="AS145" t="str">
        <v>PROJECT CASH FLOW!E105/F105</v>
      </c>
      <c r="AT145" t="n">
        <v>46228</v>
      </c>
      <c r="AU145" t="str">
        <v>Mapped — provisional</v>
      </c>
      <c r="AV145" t="str">
        <v>Management</v>
      </c>
      <c r="AW145" t="str">
        <v>Funded contribution adopted from the current data book. Legal holder, rights and funding dates require confirmation. | The field is live and formula-linked; its commercial or specialist basis remains provisional where stated.</v>
      </c>
    </row>
    <row r="146">
      <c r="A146" t="str">
        <v>STORAGE-CORE</v>
      </c>
      <c r="B146" t="str">
        <v>Core / shell CAPEX</v>
      </c>
      <c r="C146" t="str">
        <v>A$m</v>
      </c>
      <c r="D146" t="n">
        <f>D155</f>
        <v>1</v>
      </c>
      <c r="E146" t="str">
        <v>PROJECT DATA</v>
      </c>
      <c r="F146" t="str">
        <v>PROJECTS!D155</v>
      </c>
      <c r="G146" t="str">
        <v>Formula Preserved</v>
      </c>
      <c r="H146" t="str">
        <v>Current detailed data-book amount.</v>
      </c>
      <c r="I146"/>
      <c r="J146"/>
      <c r="K146"/>
      <c r="L146"/>
      <c r="M146"/>
      <c r="N146"/>
      <c r="O146"/>
      <c r="P146"/>
      <c r="Q146"/>
      <c r="R146"/>
      <c r="S146"/>
      <c r="T146"/>
      <c r="U146"/>
      <c r="V146"/>
      <c r="W146"/>
      <c r="X146"/>
      <c r="Y146"/>
      <c r="Z146"/>
      <c r="AA146"/>
      <c r="AB146"/>
      <c r="AC146"/>
      <c r="AD146"/>
      <c r="AE146"/>
      <c r="AF146"/>
      <c r="AG146"/>
      <c r="AH146"/>
      <c r="AI146"/>
      <c r="AJ146" t="str">
        <v>INV-NAMED-03-FUT</v>
      </c>
      <c r="AK146" t="str">
        <v>Investors and ownership</v>
      </c>
      <c r="AL146" t="str">
        <v>Brian Mirnoff</v>
      </c>
      <c r="AM146" t="str">
        <v>Future development contribution</v>
      </c>
      <c r="AN146" t="str">
        <v>A$m</v>
      </c>
      <c r="AO146" t="str">
        <v>Future funding date</v>
      </c>
      <c r="AP146" t="n">
        <v>0</v>
      </c>
      <c r="AQ146"/>
      <c r="AR146"/>
      <c r="AS146" t="str">
        <v>PROJECT CASH FLOW!E105/F105</v>
      </c>
      <c r="AT146" t="n">
        <v>46228</v>
      </c>
      <c r="AU146" t="str">
        <v>Mapped — provisional</v>
      </c>
      <c r="AV146" t="str">
        <v>Management</v>
      </c>
      <c r="AW146" t="str">
        <v>Funded contribution adopted from the current data book. Legal holder, rights and funding dates require confirmation. | The field is live and formula-linked; its commercial or specialist basis remains provisional where stated.</v>
      </c>
    </row>
    <row r="147">
      <c r="A147" t="str">
        <v>STORAGE-FITOUT</v>
      </c>
      <c r="B147" t="str">
        <v>Fitout CAPEX</v>
      </c>
      <c r="C147" t="str">
        <v>A$m</v>
      </c>
      <c r="D147" t="n">
        <f>E155</f>
        <v>0.5</v>
      </c>
      <c r="E147" t="str">
        <v>PROJECT CASH FLOW</v>
      </c>
      <c r="F147" t="str">
        <v>PROJECTS!E155</v>
      </c>
      <c r="G147" t="str">
        <v>Mapped</v>
      </c>
      <c r="H147" t="str">
        <v>Current detailed data-book amount.</v>
      </c>
      <c r="I147"/>
      <c r="J147"/>
      <c r="K147"/>
      <c r="L147"/>
      <c r="M147"/>
      <c r="N147"/>
      <c r="O147"/>
      <c r="P147"/>
      <c r="Q147"/>
      <c r="R147"/>
      <c r="S147"/>
      <c r="T147"/>
      <c r="U147"/>
      <c r="V147"/>
      <c r="W147"/>
      <c r="X147"/>
      <c r="Y147"/>
      <c r="Z147"/>
      <c r="AA147"/>
      <c r="AB147"/>
      <c r="AC147"/>
      <c r="AD147"/>
      <c r="AE147"/>
      <c r="AF147"/>
      <c r="AG147"/>
      <c r="AH147"/>
      <c r="AI147"/>
      <c r="AJ147" t="str">
        <v>INV-NAMED-04-INIT</v>
      </c>
      <c r="AK147" t="str">
        <v>Investors and ownership</v>
      </c>
      <c r="AL147" t="str">
        <v>Belgravia</v>
      </c>
      <c r="AM147" t="str">
        <v>Initial contribution</v>
      </c>
      <c r="AN147" t="str">
        <v>A$m</v>
      </c>
      <c r="AO147" t="str">
        <v>Initial funding date</v>
      </c>
      <c r="AP147" t="n">
        <v>2</v>
      </c>
      <c r="AQ147"/>
      <c r="AR147"/>
      <c r="AS147" t="str">
        <v>PROJECT CASH FLOW!E106/F106</v>
      </c>
      <c r="AT147" t="n">
        <v>46228</v>
      </c>
      <c r="AU147" t="str">
        <v>Mapped — provisional</v>
      </c>
      <c r="AV147" t="str">
        <v>Management</v>
      </c>
      <c r="AW147" t="str">
        <v>Funded contribution adopted from the current data book. Legal holder, rights and funding dates require confirmation. | The field is live and formula-linked; its commercial or specialist basis remains provisional where stated.</v>
      </c>
    </row>
    <row r="148">
      <c r="A148" t="str">
        <v>STORAGE-TOTAL</v>
      </c>
      <c r="B148" t="str">
        <v>Total component CAPEX</v>
      </c>
      <c r="C148" t="str">
        <v>A$m</v>
      </c>
      <c r="D148" t="n">
        <f>F155</f>
        <v>1.5</v>
      </c>
      <c r="E148" t="str">
        <v>PROJECT DATA</v>
      </c>
      <c r="F148" t="str">
        <v>G43</v>
      </c>
      <c r="G148" t="str">
        <v>Formula Preserved</v>
      </c>
      <c r="H148" t="str">
        <v>Feeds PROJECTS CAPEX sections and project funding.</v>
      </c>
      <c r="I148"/>
      <c r="J148"/>
      <c r="K148"/>
      <c r="L148"/>
      <c r="M148"/>
      <c r="N148"/>
      <c r="O148"/>
      <c r="P148"/>
      <c r="Q148"/>
      <c r="R148"/>
      <c r="S148"/>
      <c r="T148"/>
      <c r="U148"/>
      <c r="V148"/>
      <c r="W148"/>
      <c r="X148"/>
      <c r="Y148"/>
      <c r="Z148"/>
      <c r="AA148"/>
      <c r="AB148"/>
      <c r="AC148"/>
      <c r="AD148"/>
      <c r="AE148"/>
      <c r="AF148"/>
      <c r="AG148"/>
      <c r="AH148"/>
      <c r="AI148"/>
      <c r="AJ148" t="str">
        <v>INV-NAMED-04-PRE</v>
      </c>
      <c r="AK148" t="str">
        <v>Investors and ownership</v>
      </c>
      <c r="AL148" t="str">
        <v>Belgravia</v>
      </c>
      <c r="AM148" t="str">
        <v>Pre-construction contribution</v>
      </c>
      <c r="AN148" t="str">
        <v>A$m</v>
      </c>
      <c r="AO148" t="str">
        <v>Initial funding date</v>
      </c>
      <c r="AP148" t="n">
        <v>0</v>
      </c>
      <c r="AQ148"/>
      <c r="AR148"/>
      <c r="AS148" t="str">
        <v>PROJECT CASH FLOW!E106/F106</v>
      </c>
      <c r="AT148" t="n">
        <v>46228</v>
      </c>
      <c r="AU148" t="str">
        <v>Mapped — provisional</v>
      </c>
      <c r="AV148" t="str">
        <v>Management</v>
      </c>
      <c r="AW148" t="str">
        <v>Funded contribution adopted from the current data book. Legal holder, rights and funding dates require confirmation. | The field is live and formula-linked; its commercial or specialist basis remains provisional where stated.</v>
      </c>
    </row>
    <row r="149">
      <c r="A149" t="str">
        <v>STORAGE-CAPEX-SQM</v>
      </c>
      <c r="B149" t="str">
        <v>CAPEX per sqm</v>
      </c>
      <c r="C149" t="str">
        <v>A$/sqm</v>
      </c>
      <c r="D149" t="n">
        <f>IF(C155=0,0,F155*1000000/C155)</f>
        <v>2500</v>
      </c>
      <c r="E149" t="str">
        <v>Calculated</v>
      </c>
      <c r="F149" t="str">
        <v>F155/C155</v>
      </c>
      <c r="G149" t="str">
        <v>Formula Preserved</v>
      </c>
      <c r="H149" t="str">
        <v>Reasonableness metric; not an input.</v>
      </c>
      <c r="I149"/>
      <c r="J149"/>
      <c r="K149"/>
      <c r="L149"/>
      <c r="M149"/>
      <c r="N149"/>
      <c r="O149"/>
      <c r="P149"/>
      <c r="Q149"/>
      <c r="R149"/>
      <c r="S149"/>
      <c r="T149"/>
      <c r="U149"/>
      <c r="V149"/>
      <c r="W149"/>
      <c r="X149"/>
      <c r="Y149"/>
      <c r="Z149"/>
      <c r="AA149"/>
      <c r="AB149"/>
      <c r="AC149"/>
      <c r="AD149"/>
      <c r="AE149"/>
      <c r="AF149"/>
      <c r="AG149"/>
      <c r="AH149"/>
      <c r="AI149"/>
      <c r="AJ149" t="str">
        <v>INV-NAMED-04-FUT</v>
      </c>
      <c r="AK149" t="str">
        <v>Investors and ownership</v>
      </c>
      <c r="AL149" t="str">
        <v>Belgravia</v>
      </c>
      <c r="AM149" t="str">
        <v>Future development contribution</v>
      </c>
      <c r="AN149" t="str">
        <v>A$m</v>
      </c>
      <c r="AO149" t="str">
        <v>Future funding date</v>
      </c>
      <c r="AP149" t="n">
        <v>0</v>
      </c>
      <c r="AQ149"/>
      <c r="AR149"/>
      <c r="AS149" t="str">
        <v>PROJECT CASH FLOW!E106/F106</v>
      </c>
      <c r="AT149" t="n">
        <v>46228</v>
      </c>
      <c r="AU149" t="str">
        <v>Mapped — provisional</v>
      </c>
      <c r="AV149" t="str">
        <v>Management</v>
      </c>
      <c r="AW149" t="str">
        <v>Funded contribution adopted from the current data book. Legal holder, rights and funding dates require confirmation. | The field is live and formula-linked; its commercial or specialist basis remains provisional where stated.</v>
      </c>
    </row>
    <row r="150">
      <c r="A150" t="str">
        <v>STORAGE-OPS</v>
      </c>
      <c r="B150" t="str">
        <v>Operating forecast</v>
      </c>
      <c r="C150" t="str">
        <v>Reference</v>
      </c>
      <c r="D150" t="str">
        <v>OPERATING MODEL</v>
      </c>
      <c r="E150" t="str">
        <v>STORAGE OPEX CAPEX</v>
      </c>
      <c r="F150" t="str">
        <v>See source schedules</v>
      </c>
      <c r="G150" t="str">
        <v>Mapped</v>
      </c>
      <c r="H150" t="str">
        <v>Component detail is consolidated into the management operating forecast; no parallel revenue schedule is created.</v>
      </c>
      <c r="I150"/>
      <c r="J150"/>
      <c r="K150"/>
      <c r="L150"/>
      <c r="M150"/>
      <c r="N150"/>
      <c r="O150"/>
      <c r="P150"/>
      <c r="Q150"/>
      <c r="R150"/>
      <c r="S150"/>
      <c r="T150"/>
      <c r="U150"/>
      <c r="V150"/>
      <c r="W150"/>
      <c r="X150"/>
      <c r="Y150"/>
      <c r="Z150"/>
      <c r="AA150"/>
      <c r="AB150"/>
      <c r="AC150"/>
      <c r="AD150"/>
      <c r="AE150"/>
      <c r="AF150"/>
      <c r="AG150"/>
      <c r="AH150"/>
      <c r="AI150"/>
      <c r="AJ150" t="str">
        <v>INV-NAMED-05-INIT</v>
      </c>
      <c r="AK150" t="str">
        <v>Investors and ownership</v>
      </c>
      <c r="AL150" t="str">
        <v>Other Investors</v>
      </c>
      <c r="AM150" t="str">
        <v>Initial contribution</v>
      </c>
      <c r="AN150" t="str">
        <v>A$m</v>
      </c>
      <c r="AO150" t="str">
        <v>Initial funding date</v>
      </c>
      <c r="AP150" t="n">
        <v>1</v>
      </c>
      <c r="AQ150"/>
      <c r="AR150"/>
      <c r="AS150" t="str">
        <v>PROJECT CASH FLOW!E107/F107</v>
      </c>
      <c r="AT150" t="n">
        <v>46228</v>
      </c>
      <c r="AU150" t="str">
        <v>Mapped — provisional</v>
      </c>
      <c r="AV150" t="str">
        <v>Management</v>
      </c>
      <c r="AW150" t="str">
        <v>Funded contribution adopted from the current data book. Legal holder, rights and funding dates require confirmation. | The field is live and formula-linked; its commercial or specialist basis remains provisional where stated.</v>
      </c>
    </row>
    <row r="15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t="str">
        <v>INV-NAMED-05-PRE</v>
      </c>
      <c r="AK151" t="str">
        <v>Investors and ownership</v>
      </c>
      <c r="AL151" t="str">
        <v>Other Investors</v>
      </c>
      <c r="AM151" t="str">
        <v>Pre-construction contribution</v>
      </c>
      <c r="AN151" t="str">
        <v>A$m</v>
      </c>
      <c r="AO151" t="str">
        <v>Initial funding date</v>
      </c>
      <c r="AP151" t="n">
        <v>0</v>
      </c>
      <c r="AQ151"/>
      <c r="AR151"/>
      <c r="AS151" t="str">
        <v>PROJECT CASH FLOW!E107/F107</v>
      </c>
      <c r="AT151" t="n">
        <v>46228</v>
      </c>
      <c r="AU151" t="str">
        <v>Mapped — provisional</v>
      </c>
      <c r="AV151" t="str">
        <v>Management</v>
      </c>
      <c r="AW151" t="str">
        <v>Funded contribution adopted from the current data book. Legal holder, rights and funding dates require confirmation. | The field is live and formula-linked; its commercial or specialist basis remains provisional where stated.</v>
      </c>
    </row>
    <row r="15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t="str">
        <v>INV-NAMED-05-FUT</v>
      </c>
      <c r="AK152" t="str">
        <v>Investors and ownership</v>
      </c>
      <c r="AL152" t="str">
        <v>Other Investors</v>
      </c>
      <c r="AM152" t="str">
        <v>Future development contribution</v>
      </c>
      <c r="AN152" t="str">
        <v>A$m</v>
      </c>
      <c r="AO152" t="str">
        <v>Future funding date</v>
      </c>
      <c r="AP152" t="n">
        <v>0</v>
      </c>
      <c r="AQ152"/>
      <c r="AR152"/>
      <c r="AS152" t="str">
        <v>PROJECT CASH FLOW!E107/F107</v>
      </c>
      <c r="AT152" t="n">
        <v>46228</v>
      </c>
      <c r="AU152" t="str">
        <v>Mapped — provisional</v>
      </c>
      <c r="AV152" t="str">
        <v>Management</v>
      </c>
      <c r="AW152" t="str">
        <v>Funded contribution adopted from the current data book. Legal holder, rights and funding dates require confirmation. | The field is live and formula-linked; its commercial or specialist basis remains provisional where stated.</v>
      </c>
    </row>
    <row r="153">
      <c r="A153" t="str">
        <v>CAPEX DETAIL | A$ MILLION</v>
      </c>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t="str">
        <v>INV-NAMED-06-INIT</v>
      </c>
      <c r="AK153" t="str">
        <v>Investors and ownership</v>
      </c>
      <c r="AL153" t="str">
        <v>Andrew Norton &amp; others</v>
      </c>
      <c r="AM153" t="str">
        <v>Initial contribution</v>
      </c>
      <c r="AN153" t="str">
        <v>A$m</v>
      </c>
      <c r="AO153" t="str">
        <v>Initial funding date</v>
      </c>
      <c r="AP153" t="n">
        <v>0.83</v>
      </c>
      <c r="AQ153"/>
      <c r="AR153"/>
      <c r="AS153" t="str">
        <v>PROJECT CASH FLOW!E108/F108</v>
      </c>
      <c r="AT153" t="n">
        <v>46228</v>
      </c>
      <c r="AU153" t="str">
        <v>Mapped — provisional</v>
      </c>
      <c r="AV153" t="str">
        <v>Management</v>
      </c>
      <c r="AW153" t="str">
        <v>Funded contribution adopted from the current data book. Legal holder, rights and funding dates require confirmation. | The field is live and formula-linked; its commercial or specialist basis remains provisional where stated.</v>
      </c>
    </row>
    <row r="154">
      <c r="A154" t="str">
        <v>Field ID</v>
      </c>
      <c r="B154" t="str">
        <v>Component</v>
      </c>
      <c r="C154" t="str">
        <v>GFA / Area (sqm)</v>
      </c>
      <c r="D154" t="str">
        <v>Core / Shell</v>
      </c>
      <c r="E154" t="str">
        <v>Fitout</v>
      </c>
      <c r="F154" t="str">
        <v>Model Net CAPEX</v>
      </c>
      <c r="G154" t="str">
        <v>Source</v>
      </c>
      <c r="H154" t="str">
        <v>Status / Note</v>
      </c>
      <c r="I154"/>
      <c r="J154"/>
      <c r="K154"/>
      <c r="L154"/>
      <c r="M154"/>
      <c r="N154"/>
      <c r="O154"/>
      <c r="P154"/>
      <c r="Q154"/>
      <c r="R154"/>
      <c r="S154"/>
      <c r="T154"/>
      <c r="U154"/>
      <c r="V154"/>
      <c r="W154"/>
      <c r="X154"/>
      <c r="Y154"/>
      <c r="Z154"/>
      <c r="AA154"/>
      <c r="AB154"/>
      <c r="AC154"/>
      <c r="AD154"/>
      <c r="AE154"/>
      <c r="AF154"/>
      <c r="AG154"/>
      <c r="AH154"/>
      <c r="AI154"/>
      <c r="AJ154" t="str">
        <v>INV-NAMED-06-PRE</v>
      </c>
      <c r="AK154" t="str">
        <v>Investors and ownership</v>
      </c>
      <c r="AL154" t="str">
        <v>Andrew Norton &amp; others</v>
      </c>
      <c r="AM154" t="str">
        <v>Pre-construction contribution</v>
      </c>
      <c r="AN154" t="str">
        <v>A$m</v>
      </c>
      <c r="AO154" t="str">
        <v>Initial funding date</v>
      </c>
      <c r="AP154" t="n">
        <v>0</v>
      </c>
      <c r="AQ154"/>
      <c r="AR154"/>
      <c r="AS154" t="str">
        <v>PROJECT CASH FLOW!E108/F108</v>
      </c>
      <c r="AT154" t="n">
        <v>46228</v>
      </c>
      <c r="AU154" t="str">
        <v>Mapped — provisional</v>
      </c>
      <c r="AV154" t="str">
        <v>Management</v>
      </c>
      <c r="AW154" t="str">
        <v>Funded contribution adopted from the current data book. Legal holder, rights and funding dates require confirmation. | The field is live and formula-linked; its commercial or specialist basis remains provisional where stated.</v>
      </c>
    </row>
    <row r="155">
      <c r="A155" t="str">
        <v>CAPEX-STORAGE</v>
      </c>
      <c r="B155" t="str">
        <v>Self-Storage</v>
      </c>
      <c r="C155" t="n">
        <f>PROJECTS!$AP$29</f>
        <v>600</v>
      </c>
      <c r="D155" t="n">
        <v>1</v>
      </c>
      <c r="E155" t="n">
        <v>0.5</v>
      </c>
      <c r="F155" t="n">
        <f>PROJECTS!$AP$43</f>
        <v>1.5</v>
      </c>
      <c r="G155" t="str">
        <v>PROJECT CASH FLOW!H17:J17</v>
      </c>
      <c r="H155" t="str">
        <v>Current detailed data-book budget treated as post-CEO roof correction.</v>
      </c>
      <c r="I155"/>
      <c r="J155"/>
      <c r="K155"/>
      <c r="L155"/>
      <c r="M155"/>
      <c r="N155"/>
      <c r="O155"/>
      <c r="P155"/>
      <c r="Q155"/>
      <c r="R155"/>
      <c r="S155"/>
      <c r="T155"/>
      <c r="U155"/>
      <c r="V155"/>
      <c r="W155"/>
      <c r="X155"/>
      <c r="Y155"/>
      <c r="Z155"/>
      <c r="AA155"/>
      <c r="AB155"/>
      <c r="AC155"/>
      <c r="AD155"/>
      <c r="AE155"/>
      <c r="AF155"/>
      <c r="AG155"/>
      <c r="AH155"/>
      <c r="AI155"/>
      <c r="AJ155" t="str">
        <v>INV-NAMED-06-FUT</v>
      </c>
      <c r="AK155" t="str">
        <v>Investors and ownership</v>
      </c>
      <c r="AL155" t="str">
        <v>Andrew Norton &amp; others</v>
      </c>
      <c r="AM155" t="str">
        <v>Future development contribution</v>
      </c>
      <c r="AN155" t="str">
        <v>A$m</v>
      </c>
      <c r="AO155" t="str">
        <v>Future funding date</v>
      </c>
      <c r="AP155" t="n">
        <v>0</v>
      </c>
      <c r="AQ155"/>
      <c r="AR155"/>
      <c r="AS155" t="str">
        <v>PROJECT CASH FLOW!E108/F108</v>
      </c>
      <c r="AT155" t="n">
        <v>46228</v>
      </c>
      <c r="AU155" t="str">
        <v>Mapped — provisional</v>
      </c>
      <c r="AV155" t="str">
        <v>Management</v>
      </c>
      <c r="AW155" t="str">
        <v>Funded contribution adopted from the current data book. Legal holder, rights and funding dates require confirmation. | The field is live and formula-linked; its commercial or specialist basis remains provisional where stated.</v>
      </c>
    </row>
    <row r="156">
      <c r="A156" t="str">
        <v>Roof / solar duplicate adjustment: A$0.000. Model net CAPEX equals the current data-book total.</v>
      </c>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t="str">
        <v>INV-NAMED-07-INIT</v>
      </c>
      <c r="AK156" t="str">
        <v>Investors and ownership</v>
      </c>
      <c r="AL156" t="str">
        <v>Australian Institutional Investors</v>
      </c>
      <c r="AM156" t="str">
        <v>Initial contribution</v>
      </c>
      <c r="AN156" t="str">
        <v>A$m</v>
      </c>
      <c r="AO156" t="str">
        <v>Initial funding date</v>
      </c>
      <c r="AP156" t="n">
        <v>0</v>
      </c>
      <c r="AQ156"/>
      <c r="AR156"/>
      <c r="AS156" t="str">
        <v>PROJECT CASH FLOW!E109/F109</v>
      </c>
      <c r="AT156" t="n">
        <v>46228</v>
      </c>
      <c r="AU156" t="str">
        <v>Mapped — provisional</v>
      </c>
      <c r="AV156" t="str">
        <v>Management</v>
      </c>
      <c r="AW156" t="str">
        <v>Funded contribution adopted from the current data book. Legal holder, rights and funding dates require confirmation. | The field is live and formula-linked; its commercial or specialist basis remains provisional where stated.</v>
      </c>
    </row>
    <row r="157">
      <c r="A157" t="str">
        <v>SCOPE &amp; INTEGRATION CONTROLS</v>
      </c>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t="str">
        <v>INV-NAMED-07-PRE</v>
      </c>
      <c r="AK157" t="str">
        <v>Investors and ownership</v>
      </c>
      <c r="AL157" t="str">
        <v>Australian Institutional Investors</v>
      </c>
      <c r="AM157" t="str">
        <v>Pre-construction contribution</v>
      </c>
      <c r="AN157" t="str">
        <v>A$m</v>
      </c>
      <c r="AO157" t="str">
        <v>Initial funding date</v>
      </c>
      <c r="AP157" t="n">
        <v>0</v>
      </c>
      <c r="AQ157"/>
      <c r="AR157"/>
      <c r="AS157" t="str">
        <v>PROJECT CASH FLOW!E109/F109</v>
      </c>
      <c r="AT157" t="n">
        <v>46228</v>
      </c>
      <c r="AU157" t="str">
        <v>Mapped — provisional</v>
      </c>
      <c r="AV157" t="str">
        <v>Management</v>
      </c>
      <c r="AW157" t="str">
        <v>Funded contribution adopted from the current data book. Legal holder, rights and funding dates require confirmation. | The field is live and formula-linked; its commercial or specialist basis remains provisional where stated.</v>
      </c>
    </row>
    <row r="158">
      <c r="A158" t="str">
        <v>Control</v>
      </c>
      <c r="B158" t="str">
        <v>Result</v>
      </c>
      <c r="C158" t="str">
        <v>Basis</v>
      </c>
      <c r="D158"/>
      <c r="E158"/>
      <c r="F158"/>
      <c r="G158"/>
      <c r="H158"/>
      <c r="I158"/>
      <c r="J158"/>
      <c r="K158"/>
      <c r="L158"/>
      <c r="M158"/>
      <c r="N158"/>
      <c r="O158"/>
      <c r="P158"/>
      <c r="Q158"/>
      <c r="R158"/>
      <c r="S158"/>
      <c r="T158"/>
      <c r="U158"/>
      <c r="V158"/>
      <c r="W158"/>
      <c r="X158"/>
      <c r="Y158"/>
      <c r="Z158"/>
      <c r="AA158"/>
      <c r="AB158"/>
      <c r="AC158"/>
      <c r="AD158"/>
      <c r="AE158"/>
      <c r="AF158"/>
      <c r="AG158"/>
      <c r="AH158"/>
      <c r="AI158"/>
      <c r="AJ158" t="str">
        <v>INV-NAMED-07-FUT</v>
      </c>
      <c r="AK158" t="str">
        <v>Investors and ownership</v>
      </c>
      <c r="AL158" t="str">
        <v>Australian Institutional Investors</v>
      </c>
      <c r="AM158" t="str">
        <v>Future development contribution</v>
      </c>
      <c r="AN158" t="str">
        <v>A$m</v>
      </c>
      <c r="AO158" t="str">
        <v>Future funding date</v>
      </c>
      <c r="AP158" t="n">
        <v>50</v>
      </c>
      <c r="AQ158"/>
      <c r="AR158"/>
      <c r="AS158" t="str">
        <v>PROJECT CASH FLOW!E109/F109</v>
      </c>
      <c r="AT158" t="n">
        <v>46228</v>
      </c>
      <c r="AU158" t="str">
        <v>Mapped — provisional</v>
      </c>
      <c r="AV158" t="str">
        <v>Management</v>
      </c>
      <c r="AW158" t="str">
        <v>Funded contribution adopted from the current data book. Legal holder, rights and funding dates require confirmation. | The field is live and formula-linked; its commercial or specialist basis remains provisional where stated.</v>
      </c>
    </row>
    <row r="159">
      <c r="A159" t="str">
        <v>Component CAPEX reconciles</v>
      </c>
      <c r="B159" t="str">
        <f>IF(ABS(SUM(D155:E155)-F155)&lt;0.001,"OK","EXCEPTION: component CAPEX")</f>
        <v>OK</v>
      </c>
      <c r="C159" t="str">
        <v>Core / shell plus fitout versus controlling total</v>
      </c>
      <c r="D159"/>
      <c r="E159"/>
      <c r="F159"/>
      <c r="G159"/>
      <c r="H159"/>
      <c r="I159"/>
      <c r="J159"/>
      <c r="K159"/>
      <c r="L159"/>
      <c r="M159"/>
      <c r="N159"/>
      <c r="O159"/>
      <c r="P159"/>
      <c r="Q159"/>
      <c r="R159"/>
      <c r="S159"/>
      <c r="T159"/>
      <c r="U159"/>
      <c r="V159"/>
      <c r="W159"/>
      <c r="X159"/>
      <c r="Y159"/>
      <c r="Z159"/>
      <c r="AA159"/>
      <c r="AB159"/>
      <c r="AC159"/>
      <c r="AD159"/>
      <c r="AE159"/>
      <c r="AF159"/>
      <c r="AG159"/>
      <c r="AH159"/>
      <c r="AI159"/>
      <c r="AJ159" t="str">
        <v>INV-NAMED-08-INIT</v>
      </c>
      <c r="AK159" t="str">
        <v>Investors and ownership</v>
      </c>
      <c r="AL159" t="str">
        <v>MASTER DEVELOPER</v>
      </c>
      <c r="AM159" t="str">
        <v>Initial contribution</v>
      </c>
      <c r="AN159" t="str">
        <v>A$m</v>
      </c>
      <c r="AO159" t="str">
        <v>Initial funding date</v>
      </c>
      <c r="AP159" t="n">
        <v>0</v>
      </c>
      <c r="AQ159"/>
      <c r="AR159"/>
      <c r="AS159" t="str">
        <v>PROJECT CASH FLOW!E110/F110 + CEO direction</v>
      </c>
      <c r="AT159" t="n">
        <v>46228</v>
      </c>
      <c r="AU159" t="str">
        <v>Mapped — provisional</v>
      </c>
      <c r="AV159" t="str">
        <v>Management</v>
      </c>
      <c r="AW159" t="str">
        <v>A$150m commitment; funded draw is the residual required to preserve the source 50:50 funded capital structure. Legal identity and rights require confirmation. | The field is live and formula-linked; its commercial or specialist basis remains provisional where stated.</v>
      </c>
    </row>
    <row r="160">
      <c r="A160" t="str">
        <v>Area linked to PROJECT DATA</v>
      </c>
      <c r="B160" t="str">
        <f>IF(ABS(C155-PROJECTS!$AP$29)&lt;0.000001,"OK","EXCEPTION: component area")</f>
        <v>OK</v>
      </c>
      <c r="C160" t="str">
        <v>No duplicate area input</v>
      </c>
      <c r="D160"/>
      <c r="E160"/>
      <c r="F160"/>
      <c r="G160"/>
      <c r="H160"/>
      <c r="I160"/>
      <c r="J160"/>
      <c r="K160"/>
      <c r="L160"/>
      <c r="M160"/>
      <c r="N160"/>
      <c r="O160"/>
      <c r="P160"/>
      <c r="Q160"/>
      <c r="R160"/>
      <c r="S160"/>
      <c r="T160"/>
      <c r="U160"/>
      <c r="V160"/>
      <c r="W160"/>
      <c r="X160"/>
      <c r="Y160"/>
      <c r="Z160"/>
      <c r="AA160"/>
      <c r="AB160"/>
      <c r="AC160"/>
      <c r="AD160"/>
      <c r="AE160"/>
      <c r="AF160"/>
      <c r="AG160"/>
      <c r="AH160"/>
      <c r="AI160"/>
      <c r="AJ160" t="str">
        <v>INV-NAMED-08-PRE</v>
      </c>
      <c r="AK160" t="str">
        <v>Investors and ownership</v>
      </c>
      <c r="AL160" t="str">
        <v>MASTER DEVELOPER</v>
      </c>
      <c r="AM160" t="str">
        <v>Pre-construction contribution</v>
      </c>
      <c r="AN160" t="str">
        <v>A$m</v>
      </c>
      <c r="AO160" t="str">
        <v>Initial funding date</v>
      </c>
      <c r="AP160" t="n">
        <v>0</v>
      </c>
      <c r="AQ160"/>
      <c r="AR160"/>
      <c r="AS160" t="str">
        <v>PROJECT CASH FLOW!E110/F110 + CEO direction</v>
      </c>
      <c r="AT160" t="n">
        <v>46228</v>
      </c>
      <c r="AU160" t="str">
        <v>Mapped — provisional</v>
      </c>
      <c r="AV160" t="str">
        <v>Management</v>
      </c>
      <c r="AW160" t="str">
        <v>A$150m commitment; funded draw is the residual required to preserve the source 50:50 funded capital structure. Legal identity and rights require confirmation. | The field is live and formula-linked; its commercial or specialist basis remains provisional where stated.</v>
      </c>
    </row>
    <row r="161">
      <c r="A161" t="str">
        <v>Roof / solar treatment</v>
      </c>
      <c r="B161" t="str">
        <f>IF(ABS(F155-PROJECTS!$AP$43)&lt;0.000001,"OK","EXCEPTION: component total")</f>
        <v>OK</v>
      </c>
      <c r="C161" t="str">
        <v>Precinct roof/solar is central infrastructure</v>
      </c>
      <c r="D161"/>
      <c r="E161"/>
      <c r="F161"/>
      <c r="G161"/>
      <c r="H161"/>
      <c r="I161"/>
      <c r="J161"/>
      <c r="K161"/>
      <c r="L161"/>
      <c r="M161"/>
      <c r="N161"/>
      <c r="O161"/>
      <c r="P161"/>
      <c r="Q161"/>
      <c r="R161"/>
      <c r="S161"/>
      <c r="T161"/>
      <c r="U161"/>
      <c r="V161"/>
      <c r="W161"/>
      <c r="X161"/>
      <c r="Y161"/>
      <c r="Z161"/>
      <c r="AA161"/>
      <c r="AB161"/>
      <c r="AC161"/>
      <c r="AD161"/>
      <c r="AE161"/>
      <c r="AF161"/>
      <c r="AG161"/>
      <c r="AH161"/>
      <c r="AI161"/>
      <c r="AJ161" t="str">
        <v>INV-NAMED-08-FUT</v>
      </c>
      <c r="AK161" t="str">
        <v>Investors and ownership</v>
      </c>
      <c r="AL161" t="str">
        <v>MASTER DEVELOPER</v>
      </c>
      <c r="AM161" t="str">
        <v>Future development contribution</v>
      </c>
      <c r="AN161" t="str">
        <v>A$m</v>
      </c>
      <c r="AO161" t="str">
        <v>Future funding date</v>
      </c>
      <c r="AP161" t="n">
        <v>35.37122252470233</v>
      </c>
      <c r="AQ161"/>
      <c r="AR161"/>
      <c r="AS161" t="str">
        <v>PROJECT CASH FLOW!E110/F110 + CEO direction</v>
      </c>
      <c r="AT161" t="n">
        <v>46228</v>
      </c>
      <c r="AU161" t="str">
        <v>Mapped — provisional</v>
      </c>
      <c r="AV161" t="str">
        <v>Management</v>
      </c>
      <c r="AW161" t="str">
        <v>A$150m commitment; funded draw is the residual required to preserve the source 50:50 funded capital structure. Legal identity and rights require confirmation. | The field is live and formula-linked; its commercial or specialist basis remains provisional where stated.</v>
      </c>
    </row>
    <row r="16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t="str">
        <v>FUND-SCOPE-001</v>
      </c>
      <c r="AK162" t="str">
        <v>Debt and funding</v>
      </c>
      <c r="AL162" t="str">
        <v>Project</v>
      </c>
      <c r="AM162" t="str">
        <v>Total project funding requirement</v>
      </c>
      <c r="AN162" t="str">
        <v>A$m</v>
      </c>
      <c r="AO162" t="str">
        <v>Whole project</v>
      </c>
      <c r="AP162" t="n">
        <v>418.75855128460006</v>
      </c>
      <c r="AQ162" t="n">
        <v>460.63440641306016</v>
      </c>
      <c r="AR162" t="n">
        <v>397.82062372037007</v>
      </c>
      <c r="AS162" t="str">
        <v>PROJECT CASH FLOW | E96</v>
      </c>
      <c r="AT162" t="n">
        <v>46228</v>
      </c>
      <c r="AU162" t="str">
        <v>Mapped</v>
      </c>
      <c r="AV162" t="str">
        <v>Model owner</v>
      </c>
      <c r="AW162" t="str">
        <v>Controlling data-book funding requirement after staged operating sources.</v>
      </c>
    </row>
    <row r="163">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t="str">
        <v>CAPEX-DEV-INV</v>
      </c>
      <c r="AK163" t="str">
        <v>Development capex</v>
      </c>
      <c r="AL163" t="str">
        <v>Project</v>
      </c>
      <c r="AM163" t="str">
        <v>Gross development investment</v>
      </c>
      <c r="AN163" t="str">
        <v>A$m</v>
      </c>
      <c r="AO163" t="str">
        <v>Development period</v>
      </c>
      <c r="AP163" t="n">
        <v>448.85663516148145</v>
      </c>
      <c r="AQ163"/>
      <c r="AR163"/>
      <c r="AS163" t="str">
        <v>PROJECT CASH FLOW | H38</v>
      </c>
      <c r="AT163" t="n">
        <v>46228</v>
      </c>
      <c r="AU163" t="str">
        <v>Mapped</v>
      </c>
      <c r="AV163" t="str">
        <v>Model owner</v>
      </c>
      <c r="AW163" t="str">
        <v>Component CAPEX, site acquisition, site lease deposit and net infrastructure fund.</v>
      </c>
    </row>
    <row r="164">
      <c r="A164" t="str">
        <v>THE BEND PRECINCT | PBSA / STUDENT ACCOMMODATION</v>
      </c>
      <c r="B164" t="str">
        <v>THE BEND PRECINCT | PBSA / STUDENT ACCOMMODATION</v>
      </c>
      <c r="C164" t="str">
        <v>THE BEND PRECINCT | PBSA / STUDENT ACCOMMODATION</v>
      </c>
      <c r="D164" t="str">
        <v>THE BEND PRECINCT | PBSA / STUDENT ACCOMMODATION</v>
      </c>
      <c r="E164" t="str">
        <v>THE BEND PRECINCT | PBSA / STUDENT ACCOMMODATION</v>
      </c>
      <c r="F164" t="str">
        <v>THE BEND PRECINCT | PBSA / STUDENT ACCOMMODATION</v>
      </c>
      <c r="G164" t="str">
        <v>THE BEND PRECINCT | PBSA / STUDENT ACCOMMODATION</v>
      </c>
      <c r="H164" t="str">
        <v>THE BEND PRECINCT | PBSA / STUDENT ACCOMMODATION</v>
      </c>
      <c r="I164"/>
      <c r="J164"/>
      <c r="K164"/>
      <c r="L164"/>
      <c r="M164"/>
      <c r="N164"/>
      <c r="O164"/>
      <c r="P164"/>
      <c r="Q164"/>
      <c r="R164"/>
      <c r="S164"/>
      <c r="T164"/>
      <c r="U164"/>
      <c r="V164"/>
      <c r="W164"/>
      <c r="X164"/>
      <c r="Y164"/>
      <c r="Z164"/>
      <c r="AA164"/>
      <c r="AB164"/>
      <c r="AC164"/>
      <c r="AD164"/>
      <c r="AE164"/>
      <c r="AF164"/>
      <c r="AG164"/>
      <c r="AH164"/>
      <c r="AI164"/>
      <c r="AJ164" t="str">
        <v>FUND-SCALE-001</v>
      </c>
      <c r="AK164" t="str">
        <v>Checks</v>
      </c>
      <c r="AL164" t="str">
        <v>Project</v>
      </c>
      <c r="AM164" t="str">
        <v>Data-book scope alignment factor</v>
      </c>
      <c r="AN164" t="str">
        <v>x</v>
      </c>
      <c r="AO164" t="str">
        <v>Whole project</v>
      </c>
      <c r="AP164" t="n">
        <v>1</v>
      </c>
      <c r="AQ164"/>
      <c r="AR164"/>
      <c r="AS164" t="str">
        <v>Current data book selected</v>
      </c>
      <c r="AT164" t="n">
        <v>46228</v>
      </c>
      <c r="AU164" t="str">
        <v>Mapped</v>
      </c>
      <c r="AV164" t="str">
        <v>Model owner</v>
      </c>
      <c r="AW164" t="str">
        <v>No pro-rata scaling is applied to the detailed data-book budget.</v>
      </c>
    </row>
    <row r="16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t="str">
        <v>FUND-DEBT-SHARE</v>
      </c>
      <c r="AK165" t="str">
        <v>Debt and funding</v>
      </c>
      <c r="AL165" t="str">
        <v>Project</v>
      </c>
      <c r="AM165" t="str">
        <v>Debt funding share</v>
      </c>
      <c r="AN165" t="str">
        <v>%</v>
      </c>
      <c r="AO165" t="str">
        <v>Whole project</v>
      </c>
      <c r="AP165" t="n">
        <v>0.5</v>
      </c>
      <c r="AQ165" t="n">
        <v>0.45</v>
      </c>
      <c r="AR165" t="n">
        <v>0.55</v>
      </c>
      <c r="AS165" t="str">
        <v>PROJECT CASH FLOW | E98/E96</v>
      </c>
      <c r="AT165" t="n">
        <v>46228</v>
      </c>
      <c r="AU165" t="str">
        <v>Mapped — provisional</v>
      </c>
      <c r="AV165" t="str">
        <v>Management</v>
      </c>
      <c r="AW165" t="str">
        <v>Approximately 50:50 at this stage; lender terms remain subject to confirmation. | The field is live and formula-linked; its commercial or specialist basis remains provisional where stated.</v>
      </c>
    </row>
    <row r="166">
      <c r="A166" t="str">
        <v>Concise component input and control schedule. Detailed source data are consolidated into live model drivers with cell-level traceability.</v>
      </c>
      <c r="B166" t="str">
        <v>Concise component input and control schedule. Detailed source data are consolidated into live model drivers with cell-level traceability.</v>
      </c>
      <c r="C166" t="str">
        <v>Concise component input and control schedule. Detailed source data are consolidated into live model drivers with cell-level traceability.</v>
      </c>
      <c r="D166" t="str">
        <v>Concise component input and control schedule. Detailed source data are consolidated into live model drivers with cell-level traceability.</v>
      </c>
      <c r="E166" t="str">
        <v>Concise component input and control schedule. Detailed source data are consolidated into live model drivers with cell-level traceability.</v>
      </c>
      <c r="F166" t="str">
        <v>Concise component input and control schedule. Detailed source data are consolidated into live model drivers with cell-level traceability.</v>
      </c>
      <c r="G166" t="str">
        <v>Concise component input and control schedule. Detailed source data are consolidated into live model drivers with cell-level traceability.</v>
      </c>
      <c r="H166" t="str">
        <v>Concise component input and control schedule. Detailed source data are consolidated into live model drivers with cell-level traceability.</v>
      </c>
      <c r="I166"/>
      <c r="J166"/>
      <c r="K166"/>
      <c r="L166"/>
      <c r="M166"/>
      <c r="N166"/>
      <c r="O166"/>
      <c r="P166"/>
      <c r="Q166"/>
      <c r="R166"/>
      <c r="S166"/>
      <c r="T166"/>
      <c r="U166"/>
      <c r="V166"/>
      <c r="W166"/>
      <c r="X166"/>
      <c r="Y166"/>
      <c r="Z166"/>
      <c r="AA166"/>
      <c r="AB166"/>
      <c r="AC166"/>
      <c r="AD166"/>
      <c r="AE166"/>
      <c r="AF166"/>
      <c r="AG166"/>
      <c r="AH166"/>
      <c r="AI166"/>
      <c r="AJ166" t="str">
        <v>FUND-EQUITY-SHARE</v>
      </c>
      <c r="AK166" t="str">
        <v>Debt and funding</v>
      </c>
      <c r="AL166" t="str">
        <v>Project</v>
      </c>
      <c r="AM166" t="str">
        <v>Equity funding share</v>
      </c>
      <c r="AN166" t="str">
        <v>%</v>
      </c>
      <c r="AO166" t="str">
        <v>Whole project</v>
      </c>
      <c r="AP166" t="n">
        <v>0.5</v>
      </c>
      <c r="AQ166" t="n">
        <v>0.55</v>
      </c>
      <c r="AR166" t="n">
        <v>0.44999999999999996</v>
      </c>
      <c r="AS166" t="str">
        <v>Calculated</v>
      </c>
      <c r="AT166" t="n">
        <v>46228</v>
      </c>
      <c r="AU166" t="str">
        <v>Formula Preserved</v>
      </c>
      <c r="AV166" t="str">
        <v>Model owner</v>
      </c>
      <c r="AW166" t="str">
        <v>One less debt funding share.</v>
      </c>
    </row>
    <row r="16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t="str">
        <v>FUND-DEBT-TARGET</v>
      </c>
      <c r="AK167" t="str">
        <v>Debt and funding</v>
      </c>
      <c r="AL167" t="str">
        <v>Project</v>
      </c>
      <c r="AM167" t="str">
        <v>Target debt funding</v>
      </c>
      <c r="AN167" t="str">
        <v>A$m</v>
      </c>
      <c r="AO167" t="str">
        <v>Whole project</v>
      </c>
      <c r="AP167" t="n">
        <v>209.37927564230003</v>
      </c>
      <c r="AQ167" t="n">
        <v>207.2854828858771</v>
      </c>
      <c r="AR167" t="n">
        <v>218.80134304620356</v>
      </c>
      <c r="AS167" t="str">
        <v>PROJECT CASH FLOW | E98</v>
      </c>
      <c r="AT167" t="n">
        <v>46228</v>
      </c>
      <c r="AU167" t="str">
        <v>Formula Preserved</v>
      </c>
      <c r="AV167" t="str">
        <v>Model owner</v>
      </c>
      <c r="AW167" t="str">
        <v>Source construction debt funding.</v>
      </c>
    </row>
    <row r="168">
      <c r="A168" t="str">
        <v>COMPONENT INPUTS</v>
      </c>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t="str">
        <v>FUND-EQUITY-TARGET</v>
      </c>
      <c r="AK168" t="str">
        <v>Investors and ownership</v>
      </c>
      <c r="AL168" t="str">
        <v>Project</v>
      </c>
      <c r="AM168" t="str">
        <v>Target funded equity</v>
      </c>
      <c r="AN168" t="str">
        <v>A$m</v>
      </c>
      <c r="AO168" t="str">
        <v>Whole project</v>
      </c>
      <c r="AP168" t="n">
        <v>119.20222252470232</v>
      </c>
      <c r="AQ168" t="n">
        <v>253.34892352718308</v>
      </c>
      <c r="AR168" t="n">
        <v>179.0192806741665</v>
      </c>
      <c r="AS168" t="str">
        <v>PROJECT CASH FLOW | E100</v>
      </c>
      <c r="AT168" t="n">
        <v>46228</v>
      </c>
      <c r="AU168" t="str">
        <v>Formula Preserved</v>
      </c>
      <c r="AV168" t="str">
        <v>Model owner</v>
      </c>
      <c r="AW168" t="str">
        <v>Allocated across the eight-line funded investor register.</v>
      </c>
    </row>
    <row r="169">
      <c r="A169" t="str">
        <v>Field ID</v>
      </c>
      <c r="B169" t="str">
        <v>Assumption</v>
      </c>
      <c r="C169" t="str">
        <v>Unit</v>
      </c>
      <c r="D169" t="str">
        <v>Value</v>
      </c>
      <c r="E169" t="str">
        <v>Source Sheet</v>
      </c>
      <c r="F169" t="str">
        <v>Source Cell</v>
      </c>
      <c r="G169" t="str">
        <v>Status</v>
      </c>
      <c r="H169" t="str">
        <v>Notes</v>
      </c>
      <c r="I169"/>
      <c r="J169"/>
      <c r="K169"/>
      <c r="L169"/>
      <c r="M169"/>
      <c r="N169"/>
      <c r="O169"/>
      <c r="P169"/>
      <c r="Q169"/>
      <c r="R169"/>
      <c r="S169"/>
      <c r="T169"/>
      <c r="U169"/>
      <c r="V169"/>
      <c r="W169"/>
      <c r="X169"/>
      <c r="Y169"/>
      <c r="Z169"/>
      <c r="AA169"/>
      <c r="AB169"/>
      <c r="AC169"/>
      <c r="AD169"/>
      <c r="AE169"/>
      <c r="AF169"/>
      <c r="AG169"/>
      <c r="AH169"/>
      <c r="AI169"/>
      <c r="AJ169" t="str">
        <v>INV-NAMED-BASE</v>
      </c>
      <c r="AK169" t="str">
        <v>Investors and ownership</v>
      </c>
      <c r="AL169" t="str">
        <v>Project</v>
      </c>
      <c r="AM169" t="str">
        <v>Funded investor register</v>
      </c>
      <c r="AN169" t="str">
        <v>A$m</v>
      </c>
      <c r="AO169" t="str">
        <v>Whole project</v>
      </c>
      <c r="AP169" t="n">
        <v>119.20222252470232</v>
      </c>
      <c r="AQ169"/>
      <c r="AR169"/>
      <c r="AS169" t="str">
        <v>FUNDING &amp; CAP TABLE</v>
      </c>
      <c r="AT169" t="n">
        <v>46228</v>
      </c>
      <c r="AU169" t="str">
        <v>Formula Preserved</v>
      </c>
      <c r="AV169" t="str">
        <v>Model owner</v>
      </c>
      <c r="AW169" t="str">
        <v>Funded contributions, not total commitments.</v>
      </c>
    </row>
    <row r="170">
      <c r="A170" t="str">
        <v>PBSA-FOOTPRINT</v>
      </c>
      <c r="B170" t="str">
        <v>Footprint</v>
      </c>
      <c r="C170" t="str">
        <v>sqm</v>
      </c>
      <c r="D170" t="n">
        <f>PROJECTS!$AP$223</f>
        <v>1400</v>
      </c>
      <c r="E170" t="str">
        <v>PROJECT DATA</v>
      </c>
      <c r="F170" t="str">
        <v>G223</v>
      </c>
      <c r="G170" t="str">
        <v>Formula Preserved</v>
      </c>
      <c r="H170" t="str">
        <v>Data-book component footprint.</v>
      </c>
      <c r="I170"/>
      <c r="J170"/>
      <c r="K170"/>
      <c r="L170"/>
      <c r="M170"/>
      <c r="N170"/>
      <c r="O170"/>
      <c r="P170"/>
      <c r="Q170"/>
      <c r="R170"/>
      <c r="S170"/>
      <c r="T170"/>
      <c r="U170"/>
      <c r="V170"/>
      <c r="W170"/>
      <c r="X170"/>
      <c r="Y170"/>
      <c r="Z170"/>
      <c r="AA170"/>
      <c r="AB170"/>
      <c r="AC170"/>
      <c r="AD170"/>
      <c r="AE170"/>
      <c r="AF170"/>
      <c r="AG170"/>
      <c r="AH170"/>
      <c r="AI170"/>
      <c r="AJ170" t="str">
        <v>INV-NAMED-SCALE</v>
      </c>
      <c r="AK170" t="str">
        <v>Checks</v>
      </c>
      <c r="AL170" t="str">
        <v>Investors and ownership</v>
      </c>
      <c r="AM170" t="str">
        <v>Funded investor allocation factor</v>
      </c>
      <c r="AN170" t="str">
        <v>x</v>
      </c>
      <c r="AO170" t="str">
        <v>Whole project</v>
      </c>
      <c r="AP170" t="n">
        <v>1</v>
      </c>
      <c r="AQ170"/>
      <c r="AR170"/>
      <c r="AS170" t="str">
        <v>Calculated</v>
      </c>
      <c r="AT170" t="n">
        <v>46228</v>
      </c>
      <c r="AU170" t="str">
        <v>Formula Preserved</v>
      </c>
      <c r="AV170" t="str">
        <v>Model owner</v>
      </c>
      <c r="AW170" t="str">
        <v>Must equal 1.000x; funded contributions are not pro-rata rescaled.</v>
      </c>
    </row>
    <row r="171">
      <c r="A171" t="str">
        <v>PBSA-LAND</v>
      </c>
      <c r="B171" t="str">
        <v>Land area</v>
      </c>
      <c r="C171" t="str">
        <v>sqm</v>
      </c>
      <c r="D171" t="str">
        <f>PROJECTS!$AP$224</f>
      </c>
      <c r="E171" t="str">
        <v>PROJECT DATA</v>
      </c>
      <c r="F171" t="str">
        <v>G224</v>
      </c>
      <c r="G171" t="str">
        <v>Formula Preserved</v>
      </c>
      <c r="H171" t="str">
        <v>May overlap vertically or with shared precinct uses.</v>
      </c>
      <c r="I171"/>
      <c r="J171"/>
      <c r="K171"/>
      <c r="L171"/>
      <c r="M171"/>
      <c r="N171"/>
      <c r="O171"/>
      <c r="P171"/>
      <c r="Q171"/>
      <c r="R171"/>
      <c r="S171"/>
      <c r="T171"/>
      <c r="U171"/>
      <c r="V171"/>
      <c r="W171"/>
      <c r="X171"/>
      <c r="Y171"/>
      <c r="Z171"/>
      <c r="AA171"/>
      <c r="AB171"/>
      <c r="AC171"/>
      <c r="AD171"/>
      <c r="AE171"/>
      <c r="AF171"/>
      <c r="AG171"/>
      <c r="AH171"/>
      <c r="AI171"/>
      <c r="AJ171" t="str">
        <v>CAPEX-BASE-LAND</v>
      </c>
      <c r="AK171" t="str">
        <v>Development capex</v>
      </c>
      <c r="AL171" t="str">
        <v>Land</v>
      </c>
      <c r="AM171" t="str">
        <v>Site acquisition incl. stamp duty</v>
      </c>
      <c r="AN171" t="str">
        <v>A$m</v>
      </c>
      <c r="AO171" t="str">
        <v>Acquisition</v>
      </c>
      <c r="AP171" t="n">
        <v>91.57</v>
      </c>
      <c r="AQ171"/>
      <c r="AR171"/>
      <c r="AS171" t="str">
        <v>PROJECT CASH FLOW | H30</v>
      </c>
      <c r="AT171" t="n">
        <v>46228</v>
      </c>
      <c r="AU171" t="str">
        <v>Mapped</v>
      </c>
      <c r="AV171" t="str">
        <v>Model owner</v>
      </c>
      <c r="AW171" t="str">
        <v>Controlling current data-book input.</v>
      </c>
    </row>
    <row r="172">
      <c r="A172" t="str">
        <v>PBSA-GFA</v>
      </c>
      <c r="B172" t="str">
        <v>Estimated GFA / operating area</v>
      </c>
      <c r="C172" t="str">
        <v>sqm</v>
      </c>
      <c r="D172" t="n">
        <f>C182</f>
        <v>20000</v>
      </c>
      <c r="E172" t="str">
        <v>PROJECT DATA</v>
      </c>
      <c r="F172" t="str">
        <v>G21</v>
      </c>
      <c r="G172" t="str">
        <v>Formula Preserved</v>
      </c>
      <c r="H172" t="str">
        <v>Controlling model area.</v>
      </c>
      <c r="I172"/>
      <c r="J172"/>
      <c r="K172"/>
      <c r="L172"/>
      <c r="M172"/>
      <c r="N172"/>
      <c r="O172"/>
      <c r="P172"/>
      <c r="Q172"/>
      <c r="R172"/>
      <c r="S172"/>
      <c r="T172"/>
      <c r="U172"/>
      <c r="V172"/>
      <c r="W172"/>
      <c r="X172"/>
      <c r="Y172"/>
      <c r="Z172"/>
      <c r="AA172"/>
      <c r="AB172"/>
      <c r="AC172"/>
      <c r="AD172"/>
      <c r="AE172"/>
      <c r="AF172"/>
      <c r="AG172"/>
      <c r="AH172"/>
      <c r="AI172"/>
      <c r="AJ172" t="str">
        <v>CAPEX-LEASE-DEP</v>
      </c>
      <c r="AK172" t="str">
        <v>Development capex</v>
      </c>
      <c r="AL172" t="str">
        <v>Land</v>
      </c>
      <c r="AM172" t="str">
        <v>Interim site acquisition lease deposit</v>
      </c>
      <c r="AN172" t="str">
        <v>A$m</v>
      </c>
      <c r="AO172" t="str">
        <v>Acquisition</v>
      </c>
      <c r="AP172" t="n">
        <v>0.75</v>
      </c>
      <c r="AQ172"/>
      <c r="AR172"/>
      <c r="AS172" t="str">
        <v>PROJECT CASH FLOW | H32</v>
      </c>
      <c r="AT172" t="n">
        <v>46228</v>
      </c>
      <c r="AU172" t="str">
        <v>Mapped</v>
      </c>
      <c r="AV172" t="str">
        <v>Model owner</v>
      </c>
      <c r="AW172" t="str">
        <v>Included once in gross development investment.</v>
      </c>
    </row>
    <row r="173">
      <c r="A173" t="str">
        <v>PBSA-CORE</v>
      </c>
      <c r="B173" t="str">
        <v>Core / shell CAPEX</v>
      </c>
      <c r="C173" t="str">
        <v>A$m</v>
      </c>
      <c r="D173" t="n">
        <f>D182</f>
        <v>87.57</v>
      </c>
      <c r="E173" t="str">
        <v>PROJECT DATA</v>
      </c>
      <c r="F173" t="str">
        <v>PROJECTS!D182</v>
      </c>
      <c r="G173" t="str">
        <v>Formula Preserved</v>
      </c>
      <c r="H173" t="str">
        <v>Current detailed data-book amount.</v>
      </c>
      <c r="I173"/>
      <c r="J173"/>
      <c r="K173"/>
      <c r="L173"/>
      <c r="M173"/>
      <c r="N173"/>
      <c r="O173"/>
      <c r="P173"/>
      <c r="Q173"/>
      <c r="R173"/>
      <c r="S173"/>
      <c r="T173"/>
      <c r="U173"/>
      <c r="V173"/>
      <c r="W173"/>
      <c r="X173"/>
      <c r="Y173"/>
      <c r="Z173"/>
      <c r="AA173"/>
      <c r="AB173"/>
      <c r="AC173"/>
      <c r="AD173"/>
      <c r="AE173"/>
      <c r="AF173"/>
      <c r="AG173"/>
      <c r="AH173"/>
      <c r="AI173"/>
      <c r="AJ173" t="str">
        <v>CAPEX-INFRA-NET</v>
      </c>
      <c r="AK173" t="str">
        <v>Development capex</v>
      </c>
      <c r="AL173" t="str">
        <v>Infrastructure</v>
      </c>
      <c r="AM173" t="str">
        <v>Net infrastructure fund</v>
      </c>
      <c r="AN173" t="str">
        <v>A$m</v>
      </c>
      <c r="AO173" t="str">
        <v>Construction</v>
      </c>
      <c r="AP173" t="n">
        <v>14.11362868</v>
      </c>
      <c r="AQ173"/>
      <c r="AR173"/>
      <c r="AS173" t="str">
        <v>PROJECT CASH FLOW | H36:H37</v>
      </c>
      <c r="AT173" t="n">
        <v>46228</v>
      </c>
      <c r="AU173" t="str">
        <v>Mapped</v>
      </c>
      <c r="AV173" t="str">
        <v>Model owner</v>
      </c>
      <c r="AW173" t="str">
        <v>A$22.114m gross fund less A$8.0m landscape-integration reduction.</v>
      </c>
    </row>
    <row r="174">
      <c r="A174" t="str">
        <v>PBSA-FITOUT</v>
      </c>
      <c r="B174" t="str">
        <v>Fitout CAPEX</v>
      </c>
      <c r="C174" t="str">
        <v>A$m</v>
      </c>
      <c r="D174" t="n">
        <f>E182</f>
        <v>26.63</v>
      </c>
      <c r="E174" t="str">
        <v>PROJECT CASH FLOW</v>
      </c>
      <c r="F174" t="str">
        <v>PROJECTS!E182</v>
      </c>
      <c r="G174" t="str">
        <v>Mapped</v>
      </c>
      <c r="H174" t="str">
        <v>Current detailed data-book amount.</v>
      </c>
      <c r="I174"/>
      <c r="J174"/>
      <c r="K174"/>
      <c r="L174"/>
      <c r="M174"/>
      <c r="N174"/>
      <c r="O174"/>
      <c r="P174"/>
      <c r="Q174"/>
      <c r="R174"/>
      <c r="S174"/>
      <c r="T174"/>
      <c r="U174"/>
      <c r="V174"/>
      <c r="W174"/>
      <c r="X174"/>
      <c r="Y174"/>
      <c r="Z174"/>
      <c r="AA174"/>
      <c r="AB174"/>
      <c r="AC174"/>
      <c r="AD174"/>
      <c r="AE174"/>
      <c r="AF174"/>
      <c r="AG174"/>
      <c r="AH174"/>
      <c r="AI174"/>
      <c r="AJ174" t="str">
        <v>CAPEX-GRANT</v>
      </c>
      <c r="AK174" t="str">
        <v>Development capex</v>
      </c>
      <c r="AL174" t="str">
        <v>Grant</v>
      </c>
      <c r="AM174" t="str">
        <v>ARENA grant</v>
      </c>
      <c r="AN174" t="str">
        <v>A$m</v>
      </c>
      <c r="AO174" t="str">
        <v>Development period</v>
      </c>
      <c r="AP174" t="n">
        <v>-5</v>
      </c>
      <c r="AQ174"/>
      <c r="AR174"/>
      <c r="AS174" t="str">
        <v>PROJECT CASH FLOW | H39</v>
      </c>
      <c r="AT174" t="n">
        <v>46228</v>
      </c>
      <c r="AU174" t="str">
        <v>Mapped</v>
      </c>
      <c r="AV174" t="str">
        <v>Model owner</v>
      </c>
      <c r="AW174" t="str">
        <v>Negative use / funding source; not deducted from component CAPEX.</v>
      </c>
    </row>
    <row r="175">
      <c r="A175" t="str">
        <v>PBSA-TOTAL</v>
      </c>
      <c r="B175" t="str">
        <v>Total component CAPEX</v>
      </c>
      <c r="C175" t="str">
        <v>A$m</v>
      </c>
      <c r="D175" t="n">
        <f>F182</f>
        <v>114.2</v>
      </c>
      <c r="E175" t="str">
        <v>PROJECT DATA</v>
      </c>
      <c r="F175" t="str">
        <v>G35</v>
      </c>
      <c r="G175" t="str">
        <v>Formula Preserved</v>
      </c>
      <c r="H175" t="str">
        <v>Feeds PROJECTS CAPEX sections and project funding.</v>
      </c>
      <c r="I175"/>
      <c r="J175"/>
      <c r="K175"/>
      <c r="L175"/>
      <c r="M175"/>
      <c r="N175"/>
      <c r="O175"/>
      <c r="P175"/>
      <c r="Q175"/>
      <c r="R175"/>
      <c r="S175"/>
      <c r="T175"/>
      <c r="U175"/>
      <c r="V175"/>
      <c r="W175"/>
      <c r="X175"/>
      <c r="Y175"/>
      <c r="Z175"/>
      <c r="AA175"/>
      <c r="AB175"/>
      <c r="AC175"/>
      <c r="AD175"/>
      <c r="AE175"/>
      <c r="AF175"/>
      <c r="AG175"/>
      <c r="AH175"/>
      <c r="AI175"/>
      <c r="AJ175" t="str">
        <v>CAPEX-DEV-ADJ</v>
      </c>
      <c r="AK175" t="str">
        <v>Development capex</v>
      </c>
      <c r="AL175" t="str">
        <v>Project</v>
      </c>
      <c r="AM175" t="str">
        <v>Development-period revenue / expense adjustments</v>
      </c>
      <c r="AN175" t="str">
        <v>A$m</v>
      </c>
      <c r="AO175" t="str">
        <v>Development period</v>
      </c>
      <c r="AP175" t="n">
        <v>-15.9463258894033</v>
      </c>
      <c r="AQ175"/>
      <c r="AR175"/>
      <c r="AS175" t="str">
        <v>PROJECT CASH FLOW | H41:H47</v>
      </c>
      <c r="AT175" t="n">
        <v>46228</v>
      </c>
      <c r="AU175" t="str">
        <v>Mapped</v>
      </c>
      <c r="AV175" t="str">
        <v>Model owner</v>
      </c>
      <c r="AW175" t="str">
        <v>Net lease, guarantee, outgoings, interest and car-park operating adjustments before capitalised interest.</v>
      </c>
    </row>
    <row r="176">
      <c r="A176" t="str">
        <v>PBSA-CAPEX-SQM</v>
      </c>
      <c r="B176" t="str">
        <v>CAPEX per sqm</v>
      </c>
      <c r="C176" t="str">
        <v>A$/sqm</v>
      </c>
      <c r="D176" t="n">
        <f>IF(C182=0,0,F182*1000000/C182)</f>
        <v>5710</v>
      </c>
      <c r="E176" t="str">
        <v>Calculated</v>
      </c>
      <c r="F176" t="str">
        <v>F182/C182</v>
      </c>
      <c r="G176" t="str">
        <v>Formula Preserved</v>
      </c>
      <c r="H176" t="str">
        <v>Reasonableness metric; not an input.</v>
      </c>
      <c r="I176"/>
      <c r="J176"/>
      <c r="K176"/>
      <c r="L176"/>
      <c r="M176"/>
      <c r="N176"/>
      <c r="O176"/>
      <c r="P176"/>
      <c r="Q176"/>
      <c r="R176"/>
      <c r="S176"/>
      <c r="T176"/>
      <c r="U176"/>
      <c r="V176"/>
      <c r="W176"/>
      <c r="X176"/>
      <c r="Y176"/>
      <c r="Z176"/>
      <c r="AA176"/>
      <c r="AB176"/>
      <c r="AC176"/>
      <c r="AD176"/>
      <c r="AE176"/>
      <c r="AF176"/>
      <c r="AG176"/>
      <c r="AH176"/>
      <c r="AI176"/>
      <c r="AJ176" t="str">
        <v>CAPEX-STAGED-OPS</v>
      </c>
      <c r="AK176" t="str">
        <v>Development capex</v>
      </c>
      <c r="AL176" t="str">
        <v>Project</v>
      </c>
      <c r="AM176" t="str">
        <v>Staged operating funding sources</v>
      </c>
      <c r="AN176" t="str">
        <v>A$m</v>
      </c>
      <c r="AO176" t="str">
        <v>First operating year</v>
      </c>
      <c r="AP176" t="n">
        <v>-20.421757987478102</v>
      </c>
      <c r="AQ176"/>
      <c r="AR176"/>
      <c r="AS176" t="str">
        <v>PROJECT CASH FLOW | E95</v>
      </c>
      <c r="AT176" t="n">
        <v>46228</v>
      </c>
      <c r="AU176" t="str">
        <v>Mapped</v>
      </c>
      <c r="AV176" t="str">
        <v>Model owner</v>
      </c>
      <c r="AW176" t="str">
        <v>Source staged operating contributions deducted from gross funding requirement.</v>
      </c>
    </row>
    <row r="177">
      <c r="A177" t="str">
        <v>PBSA-OPS</v>
      </c>
      <c r="B177" t="str">
        <v>Operating forecast</v>
      </c>
      <c r="C177" t="str">
        <v>Reference</v>
      </c>
      <c r="D177" t="str">
        <v>PROJECTS operating summary</v>
      </c>
      <c r="E177" t="str">
        <v>PBSA CAPEX; PBSA OPEX</v>
      </c>
      <c r="F177" t="str">
        <v>See hidden support schedule AA:AX</v>
      </c>
      <c r="G177" t="str">
        <v>Mapped</v>
      </c>
      <c r="H177" t="str">
        <v>Component detail is consolidated into the management operating forecast; no parallel revenue schedule is created.</v>
      </c>
      <c r="I177"/>
      <c r="J177"/>
      <c r="K177"/>
      <c r="L177"/>
      <c r="M177"/>
      <c r="N177"/>
      <c r="O177"/>
      <c r="P177"/>
      <c r="Q177"/>
      <c r="R177"/>
      <c r="S177"/>
      <c r="T177"/>
      <c r="U177"/>
      <c r="V177"/>
      <c r="W177"/>
      <c r="X177"/>
      <c r="Y177"/>
      <c r="Z177"/>
      <c r="AA177"/>
      <c r="AB177"/>
      <c r="AC177"/>
      <c r="AD177"/>
      <c r="AE177"/>
      <c r="AF177"/>
      <c r="AG177"/>
      <c r="AH177"/>
      <c r="AI177"/>
      <c r="AJ177" t="str">
        <v>CAPEX-COMP-TOTAL</v>
      </c>
      <c r="AK177" t="str">
        <v>Development capex</v>
      </c>
      <c r="AL177" t="str">
        <v>Project</v>
      </c>
      <c r="AM177" t="str">
        <v>Detailed component CAPEX</v>
      </c>
      <c r="AN177" t="str">
        <v>A$m</v>
      </c>
      <c r="AO177" t="str">
        <v>Construction</v>
      </c>
      <c r="AP177" t="n">
        <v>342.4230064814815</v>
      </c>
      <c r="AQ177"/>
      <c r="AR177"/>
      <c r="AS177" t="str">
        <v>PROJECT CASH FLOW | J26</v>
      </c>
      <c r="AT177" t="n">
        <v>46228</v>
      </c>
      <c r="AU177" t="str">
        <v>Mapped</v>
      </c>
      <c r="AV177" t="str">
        <v>Model owner</v>
      </c>
      <c r="AW177" t="str">
        <v>Detailed project-component schedule including landscape and one central precinct roof/solar allowance.</v>
      </c>
    </row>
    <row r="17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t="str">
        <v>FUND-SCOPE-CHECK</v>
      </c>
      <c r="AK178" t="str">
        <v>Checks</v>
      </c>
      <c r="AL178" t="str">
        <v>Project</v>
      </c>
      <c r="AM178" t="str">
        <v>Live model funding less data-book requirement</v>
      </c>
      <c r="AN178" t="str">
        <v>A$m</v>
      </c>
      <c r="AO178" t="str">
        <v>Whole project</v>
      </c>
      <c r="AP178" t="n">
        <v>5.684341886080802e-14</v>
      </c>
      <c r="AQ178"/>
      <c r="AR178"/>
      <c r="AS178" t="str">
        <v>Live model control</v>
      </c>
      <c r="AT178" t="n">
        <v>46228</v>
      </c>
      <c r="AU178" t="str">
        <v>Formula Preserved</v>
      </c>
      <c r="AV178" t="str">
        <v>Model owner</v>
      </c>
      <c r="AW178" t="str">
        <v>Must equal zero.</v>
      </c>
    </row>
    <row r="179">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t="str">
        <v>PRG-PC-DATE</v>
      </c>
      <c r="AK179" t="str">
        <v>Project and programme</v>
      </c>
      <c r="AL179" t="str">
        <v>Programme</v>
      </c>
      <c r="AM179" t="str">
        <v>Practical completion date</v>
      </c>
      <c r="AN179" t="str">
        <v>Date</v>
      </c>
      <c r="AO179" t="str">
        <v>Base case</v>
      </c>
      <c r="AP179" t="n">
        <v>47299</v>
      </c>
      <c r="AQ179"/>
      <c r="AR179"/>
      <c r="AS179" t="str">
        <v>Source programme / management selection</v>
      </c>
      <c r="AT179" t="n">
        <v>46229</v>
      </c>
      <c r="AU179" t="str">
        <v>Mapped — provisional</v>
      </c>
      <c r="AV179" t="str">
        <v>Management</v>
      </c>
      <c r="AW179" t="str">
        <v>Q2 2029 selected as the controlling completion programme; the model uses 30 June 2029. | The field is live and formula-linked; its commercial or specialist basis remains provisional where stated.</v>
      </c>
    </row>
    <row r="180">
      <c r="A180" t="str">
        <v>CAPEX DETAIL | A$ MILLION</v>
      </c>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t="str">
        <v>PRG-OPEN-DATE</v>
      </c>
      <c r="AK180" t="str">
        <v>Project and programme</v>
      </c>
      <c r="AL180" t="str">
        <v>Programme</v>
      </c>
      <c r="AM180" t="str">
        <v>Operations commencement date</v>
      </c>
      <c r="AN180" t="str">
        <v>Date</v>
      </c>
      <c r="AO180" t="str">
        <v>Base case</v>
      </c>
      <c r="AP180" t="n">
        <v>47330</v>
      </c>
      <c r="AQ180"/>
      <c r="AR180"/>
      <c r="AS180" t="str">
        <v>Live monthly model</v>
      </c>
      <c r="AT180" t="n">
        <v>46229</v>
      </c>
      <c r="AU180" t="str">
        <v>Formula Preserved</v>
      </c>
      <c r="AV180" t="str">
        <v>Model owner</v>
      </c>
      <c r="AW180" t="str">
        <v>First month after practical completion.</v>
      </c>
    </row>
    <row r="181">
      <c r="A181" t="str">
        <v>Field ID</v>
      </c>
      <c r="B181" t="str">
        <v>Component</v>
      </c>
      <c r="C181" t="str">
        <v>GFA / Area (sqm)</v>
      </c>
      <c r="D181" t="str">
        <v>Core / Shell</v>
      </c>
      <c r="E181" t="str">
        <v>Fitout</v>
      </c>
      <c r="F181" t="str">
        <v>Model Net CAPEX</v>
      </c>
      <c r="G181" t="str">
        <v>Source</v>
      </c>
      <c r="H181" t="str">
        <v>Status / Note</v>
      </c>
      <c r="I181"/>
      <c r="J181"/>
      <c r="K181"/>
      <c r="L181"/>
      <c r="M181"/>
      <c r="N181"/>
      <c r="O181"/>
      <c r="P181"/>
      <c r="Q181"/>
      <c r="R181"/>
      <c r="S181"/>
      <c r="T181"/>
      <c r="U181"/>
      <c r="V181"/>
      <c r="W181"/>
      <c r="X181"/>
      <c r="Y181"/>
      <c r="Z181"/>
      <c r="AA181"/>
      <c r="AB181"/>
      <c r="AC181"/>
      <c r="AD181"/>
      <c r="AE181"/>
      <c r="AF181"/>
      <c r="AG181"/>
      <c r="AH181"/>
      <c r="AI181"/>
      <c r="AJ181" t="str">
        <v>PRG-STAB-DATE</v>
      </c>
      <c r="AK181" t="str">
        <v>Project and programme</v>
      </c>
      <c r="AL181" t="str">
        <v>Programme</v>
      </c>
      <c r="AM181" t="str">
        <v>First stabilised date</v>
      </c>
      <c r="AN181" t="str">
        <v>Date</v>
      </c>
      <c r="AO181" t="str">
        <v>Base case</v>
      </c>
      <c r="AP181" t="n">
        <v>47695</v>
      </c>
      <c r="AQ181"/>
      <c r="AR181"/>
      <c r="AS181" t="str">
        <v>Live monthly lease-up schedule</v>
      </c>
      <c r="AT181" t="n">
        <v>46229</v>
      </c>
      <c r="AU181" t="str">
        <v>Formula Preserved</v>
      </c>
      <c r="AV181" t="str">
        <v>Model owner</v>
      </c>
      <c r="AW181" t="str">
        <v>Existing twelve-month operating ramp retained after the revised opening date.</v>
      </c>
    </row>
    <row r="182">
      <c r="A182" t="str">
        <v>CAPEX-PBSA</v>
      </c>
      <c r="B182" t="str">
        <v>PBSA / Student Accommodation</v>
      </c>
      <c r="C182" t="n">
        <f>PROJECTS!$AP$21</f>
        <v>20000</v>
      </c>
      <c r="D182" t="n">
        <v>87.57</v>
      </c>
      <c r="E182" t="n">
        <v>26.63</v>
      </c>
      <c r="F182" t="n">
        <f>PROJECTS!$AP$35</f>
        <v>114.2</v>
      </c>
      <c r="G182" t="str">
        <v>PROJECT CASH FLOW!H9:J9</v>
      </c>
      <c r="H182" t="str">
        <v>Current detailed data-book budget treated as post-CEO roof correction.</v>
      </c>
      <c r="I182"/>
      <c r="J182"/>
      <c r="K182"/>
      <c r="L182"/>
      <c r="M182"/>
      <c r="N182"/>
      <c r="O182"/>
      <c r="P182"/>
      <c r="Q182"/>
      <c r="R182"/>
      <c r="S182"/>
      <c r="T182"/>
      <c r="U182"/>
      <c r="V182"/>
      <c r="W182"/>
      <c r="X182"/>
      <c r="Y182"/>
      <c r="Z182"/>
      <c r="AA182"/>
      <c r="AB182"/>
      <c r="AC182"/>
      <c r="AD182"/>
      <c r="AE182"/>
      <c r="AF182"/>
      <c r="AG182"/>
      <c r="AH182"/>
      <c r="AI182"/>
      <c r="AJ182" t="str">
        <v>AREA-CONTROL-TOTAL</v>
      </c>
      <c r="AK182" t="str">
        <v>Areas and capacities</v>
      </c>
      <c r="AL182" t="str">
        <v>Project</v>
      </c>
      <c r="AM182" t="str">
        <v>Controlling detailed component area</v>
      </c>
      <c r="AN182" t="str">
        <v>sqm</v>
      </c>
      <c r="AO182" t="str">
        <v>Current</v>
      </c>
      <c r="AP182" t="n">
        <v>78312.38</v>
      </c>
      <c r="AQ182"/>
      <c r="AR182"/>
      <c r="AS182" t="str">
        <v>Detailed target component schedule</v>
      </c>
      <c r="AT182" t="n">
        <v>46229</v>
      </c>
      <c r="AU182" t="str">
        <v>Mapped</v>
      </c>
      <c r="AV182" t="str">
        <v>Model owner</v>
      </c>
      <c r="AW182" t="str">
        <v>Detailed live component schedule selected; source summary differences are not added because that would double count shared ancillary space.</v>
      </c>
    </row>
    <row r="183">
      <c r="A183" t="str">
        <v>Roof / solar duplicate adjustment: A$0.000. Model net CAPEX equals the current data-book total.</v>
      </c>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t="str">
        <v>AREA-CONTROL-CHECK</v>
      </c>
      <c r="AK183" t="str">
        <v>Checks</v>
      </c>
      <c r="AL183" t="str">
        <v>Project</v>
      </c>
      <c r="AM183" t="str">
        <v>Detailed component area less live model area</v>
      </c>
      <c r="AN183" t="str">
        <v>sqm</v>
      </c>
      <c r="AO183" t="str">
        <v>Current</v>
      </c>
      <c r="AP183" t="n">
        <v>0</v>
      </c>
      <c r="AQ183"/>
      <c r="AR183"/>
      <c r="AS183" t="str">
        <v>Live model control</v>
      </c>
      <c r="AT183" t="n">
        <v>46229</v>
      </c>
      <c r="AU183" t="str">
        <v>Formula Preserved</v>
      </c>
      <c r="AV183" t="str">
        <v>Model owner</v>
      </c>
      <c r="AW183" t="str">
        <v>Must equal zero.</v>
      </c>
    </row>
    <row r="184">
      <c r="A184" t="str">
        <v>SCOPE &amp; INTEGRATION CONTROLS</v>
      </c>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t="str">
        <v>SCOPE-LIVE-TDC</v>
      </c>
      <c r="AK184" t="str">
        <v>Debt and funding</v>
      </c>
      <c r="AL184" t="str">
        <v>Project</v>
      </c>
      <c r="AM184" t="str">
        <v>Live total development cost</v>
      </c>
      <c r="AN184" t="str">
        <v>A$m</v>
      </c>
      <c r="AO184" t="str">
        <v>Base case</v>
      </c>
      <c r="AP184" t="n">
        <v>418.7585512846001</v>
      </c>
      <c r="AQ184" t="n">
        <v>460.63440641306016</v>
      </c>
      <c r="AR184" t="n">
        <v>397.82062372037007</v>
      </c>
      <c r="AS184" t="str">
        <v>Live monthly model</v>
      </c>
      <c r="AT184" t="n">
        <v>46229</v>
      </c>
      <c r="AU184" t="str">
        <v>Formula Preserved</v>
      </c>
      <c r="AV184" t="str">
        <v>Model owner</v>
      </c>
      <c r="AW184" t="str">
        <v>Includes capitalised interest and financing fees generated by the revised programme and financeable debt.</v>
      </c>
    </row>
    <row r="185">
      <c r="A185" t="str">
        <v>Control</v>
      </c>
      <c r="B185" t="str">
        <v>Result</v>
      </c>
      <c r="C185" t="str">
        <v>Basis</v>
      </c>
      <c r="D185"/>
      <c r="E185"/>
      <c r="F185"/>
      <c r="G185"/>
      <c r="H185"/>
      <c r="I185"/>
      <c r="J185"/>
      <c r="K185"/>
      <c r="L185"/>
      <c r="M185"/>
      <c r="N185"/>
      <c r="O185"/>
      <c r="P185"/>
      <c r="Q185"/>
      <c r="R185"/>
      <c r="S185"/>
      <c r="T185"/>
      <c r="U185"/>
      <c r="V185"/>
      <c r="W185"/>
      <c r="X185"/>
      <c r="Y185"/>
      <c r="Z185"/>
      <c r="AA185"/>
      <c r="AB185"/>
      <c r="AC185"/>
      <c r="AD185"/>
      <c r="AE185"/>
      <c r="AF185"/>
      <c r="AG185"/>
      <c r="AH185"/>
      <c r="AI185"/>
      <c r="AJ185" t="str">
        <v>SCOPE-VARIANCE</v>
      </c>
      <c r="AK185" t="str">
        <v>Checks</v>
      </c>
      <c r="AL185" t="str">
        <v>Project</v>
      </c>
      <c r="AM185" t="str">
        <v>Live total development cost less selected scope</v>
      </c>
      <c r="AN185" t="str">
        <v>A$m</v>
      </c>
      <c r="AO185" t="str">
        <v>Base case</v>
      </c>
      <c r="AP185" t="n">
        <v>5.684341886080802e-14</v>
      </c>
      <c r="AQ185"/>
      <c r="AR185"/>
      <c r="AS185" t="str">
        <v>Live model control</v>
      </c>
      <c r="AT185" t="n">
        <v>46229</v>
      </c>
      <c r="AU185" t="str">
        <v>Formula Preserved</v>
      </c>
      <c r="AV185" t="str">
        <v>Model owner</v>
      </c>
      <c r="AW185" t="str">
        <v>A positive amount is an overrun; a negative amount is unused scope headroom.</v>
      </c>
    </row>
    <row r="186">
      <c r="A186" t="str">
        <v>Component CAPEX reconciles</v>
      </c>
      <c r="B186" t="str">
        <f>IF(ABS(SUM(D182:E182)-F182)&lt;0.001,"OK","EXCEPTION: component CAPEX")</f>
        <v>OK</v>
      </c>
      <c r="C186" t="str">
        <v>Core / shell plus fitout versus controlling total</v>
      </c>
      <c r="D186"/>
      <c r="E186"/>
      <c r="F186"/>
      <c r="G186"/>
      <c r="H186"/>
      <c r="I186"/>
      <c r="J186"/>
      <c r="K186"/>
      <c r="L186"/>
      <c r="M186"/>
      <c r="N186"/>
      <c r="O186"/>
      <c r="P186"/>
      <c r="Q186"/>
      <c r="R186"/>
      <c r="S186"/>
      <c r="T186"/>
      <c r="U186"/>
      <c r="V186"/>
      <c r="W186"/>
      <c r="X186"/>
      <c r="Y186"/>
      <c r="Z186"/>
      <c r="AA186"/>
      <c r="AB186"/>
      <c r="AC186"/>
      <c r="AD186"/>
      <c r="AE186"/>
      <c r="AF186"/>
      <c r="AG186"/>
      <c r="AH186"/>
      <c r="AI186"/>
      <c r="AJ186" t="str">
        <v>FUND-TARGET-DEBT</v>
      </c>
      <c r="AK186" t="str">
        <v>Debt and funding</v>
      </c>
      <c r="AL186" t="str">
        <v>Project</v>
      </c>
      <c r="AM186" t="str">
        <v>50:50 target debt</v>
      </c>
      <c r="AN186" t="str">
        <v>A$m</v>
      </c>
      <c r="AO186" t="str">
        <v>Base case</v>
      </c>
      <c r="AP186" t="n">
        <v>209.37927564230003</v>
      </c>
      <c r="AQ186" t="n">
        <v>207.2854828858771</v>
      </c>
      <c r="AR186" t="n">
        <v>218.80134304620356</v>
      </c>
      <c r="AS186" t="str">
        <v>Management direction</v>
      </c>
      <c r="AT186" t="n">
        <v>46229</v>
      </c>
      <c r="AU186" t="str">
        <v>Formula Preserved</v>
      </c>
      <c r="AV186" t="str">
        <v>Management</v>
      </c>
      <c r="AW186" t="str">
        <v>Target only; it is not forced where lender capacity is lower.</v>
      </c>
    </row>
    <row r="187">
      <c r="A187" t="str">
        <v>Area linked to PROJECT DATA</v>
      </c>
      <c r="B187" t="str">
        <f>IF(ABS(C182-PROJECTS!$AP$21)&lt;0.000001,"OK","EXCEPTION: component area")</f>
        <v>OK</v>
      </c>
      <c r="C187" t="str">
        <v>No duplicate area input</v>
      </c>
      <c r="D187"/>
      <c r="E187"/>
      <c r="F187"/>
      <c r="G187"/>
      <c r="H187"/>
      <c r="I187"/>
      <c r="J187"/>
      <c r="K187"/>
      <c r="L187"/>
      <c r="M187"/>
      <c r="N187"/>
      <c r="O187"/>
      <c r="P187"/>
      <c r="Q187"/>
      <c r="R187"/>
      <c r="S187"/>
      <c r="T187"/>
      <c r="U187"/>
      <c r="V187"/>
      <c r="W187"/>
      <c r="X187"/>
      <c r="Y187"/>
      <c r="Z187"/>
      <c r="AA187"/>
      <c r="AB187"/>
      <c r="AC187"/>
      <c r="AD187"/>
      <c r="AE187"/>
      <c r="AF187"/>
      <c r="AG187"/>
      <c r="AH187"/>
      <c r="AI187"/>
      <c r="AJ187" t="str">
        <v>FUND-LTV-CAP</v>
      </c>
      <c r="AK187" t="str">
        <v>Debt and funding</v>
      </c>
      <c r="AL187" t="str">
        <v>Term debt</v>
      </c>
      <c r="AM187" t="str">
        <v>Gross debt capacity under base LTV</v>
      </c>
      <c r="AN187" t="str">
        <v>A$m</v>
      </c>
      <c r="AO187" t="str">
        <v>Base case</v>
      </c>
      <c r="AP187" t="n">
        <v>441.77056814293434</v>
      </c>
      <c r="AQ187"/>
      <c r="AR187"/>
      <c r="AS187" t="str">
        <v>Selected property value and provisional lender covenant</v>
      </c>
      <c r="AT187" t="n">
        <v>46229</v>
      </c>
      <c r="AU187" t="str">
        <v>Formula Preserved</v>
      </c>
      <c r="AV187" t="str">
        <v>Model owner</v>
      </c>
      <c r="AW187" t="str">
        <v>Property value multiplied by the provisional 65% term LTV limit.</v>
      </c>
    </row>
    <row r="188">
      <c r="A188" t="str">
        <v>Roof / solar treatment</v>
      </c>
      <c r="B188" t="str">
        <f>IF(ABS(F182-PROJECTS!$AP$35)&lt;0.000001,"OK","EXCEPTION: component total")</f>
        <v>OK</v>
      </c>
      <c r="C188" t="str">
        <v>Precinct roof/solar is central infrastructure</v>
      </c>
      <c r="D188"/>
      <c r="E188"/>
      <c r="F188"/>
      <c r="G188"/>
      <c r="H188"/>
      <c r="I188"/>
      <c r="J188"/>
      <c r="K188"/>
      <c r="L188"/>
      <c r="M188"/>
      <c r="N188"/>
      <c r="O188"/>
      <c r="P188"/>
      <c r="Q188"/>
      <c r="R188"/>
      <c r="S188"/>
      <c r="T188"/>
      <c r="U188"/>
      <c r="V188"/>
      <c r="W188"/>
      <c r="X188"/>
      <c r="Y188"/>
      <c r="Z188"/>
      <c r="AA188"/>
      <c r="AB188"/>
      <c r="AC188"/>
      <c r="AD188"/>
      <c r="AE188"/>
      <c r="AF188"/>
      <c r="AG188"/>
      <c r="AH188"/>
      <c r="AI188"/>
      <c r="AJ188" t="str">
        <v>FUND-DSCR-CAP</v>
      </c>
      <c r="AK188" t="str">
        <v>Debt and funding</v>
      </c>
      <c r="AL188" t="str">
        <v>Term debt</v>
      </c>
      <c r="AM188" t="str">
        <v>Gross debt capacity under base DSCR</v>
      </c>
      <c r="AN188" t="str">
        <v>A$m</v>
      </c>
      <c r="AO188" t="str">
        <v>Base case</v>
      </c>
      <c r="AP188" t="n">
        <v>400.33479074818166</v>
      </c>
      <c r="AQ188"/>
      <c r="AR188"/>
      <c r="AS188" t="str">
        <v>Stabilised CFADS and provisional lender covenant</v>
      </c>
      <c r="AT188" t="n">
        <v>46229</v>
      </c>
      <c r="AU188" t="str">
        <v>Formula Preserved</v>
      </c>
      <c r="AV188" t="str">
        <v>Model owner</v>
      </c>
      <c r="AW188" t="str">
        <v>Sized using stabilised NOI less lifecycle capex and scheduled interest plus straight-line amortisation; cash sweep is excluded.</v>
      </c>
    </row>
    <row r="189">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t="str">
        <v>FUND-FINANCEABLE-DEBT</v>
      </c>
      <c r="AK189" t="str">
        <v>Debt and funding</v>
      </c>
      <c r="AL189" t="str">
        <v>Construction facility</v>
      </c>
      <c r="AM189" t="str">
        <v>Net construction debt source after funding credits</v>
      </c>
      <c r="AN189" t="str">
        <v>A$m</v>
      </c>
      <c r="AO189" t="str">
        <v>Base case</v>
      </c>
      <c r="AP189" t="n">
        <v>213.01883390950715</v>
      </c>
      <c r="AQ189" t="n">
        <v>207.2854828858771</v>
      </c>
      <c r="AR189" t="n">
        <v>218.80134304620356</v>
      </c>
      <c r="AS189" t="str">
        <v>Actual eligible draws plus capitalised interest, capped by the scenario facility commitment</v>
      </c>
      <c r="AT189" t="str">
        <v>Illustrative lender limits pending term sheet</v>
      </c>
      <c r="AU189" t="str">
        <v>Formula Preserved</v>
      </c>
      <c r="AV189" t="str">
        <v>Model owner</v>
      </c>
      <c r="AW189" t="str">
        <v>Gross eligible draws plus capitalised interest, less the disclosed live timing and eligibility bridge.</v>
      </c>
    </row>
    <row r="190">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t="str">
        <v>FUND-FINANCEABLE-SHARE</v>
      </c>
      <c r="AK190" t="str">
        <v>Debt and funding</v>
      </c>
      <c r="AL190" t="str">
        <v>Project</v>
      </c>
      <c r="AM190" t="str">
        <v>Financeable debt share</v>
      </c>
      <c r="AN190" t="str">
        <v>%</v>
      </c>
      <c r="AO190" t="str">
        <v>Base case</v>
      </c>
      <c r="AP190" t="n">
        <v>0.5086913049442029</v>
      </c>
      <c r="AQ190" t="n">
        <v>0.45</v>
      </c>
      <c r="AR190" t="n">
        <v>0.55</v>
      </c>
      <c r="AS190" t="str">
        <v>Live sources and uses</v>
      </c>
      <c r="AT190" t="n">
        <v>46229</v>
      </c>
      <c r="AU190" t="str">
        <v>Formula Preserved</v>
      </c>
      <c r="AV190" t="str">
        <v>Model owner</v>
      </c>
      <c r="AW190" t="str">
        <v>May be below 50% where valuation or debt-service capacity constrains leverage.</v>
      </c>
    </row>
    <row r="191">
      <c r="A191" t="str">
        <v>THE BEND PRECINCT | ANCILLARY &amp; SITE</v>
      </c>
      <c r="B191" t="str">
        <v>THE BEND PRECINCT | ANCILLARY &amp; SITE</v>
      </c>
      <c r="C191" t="str">
        <v>THE BEND PRECINCT | ANCILLARY &amp; SITE</v>
      </c>
      <c r="D191" t="str">
        <v>THE BEND PRECINCT | ANCILLARY &amp; SITE</v>
      </c>
      <c r="E191" t="str">
        <v>THE BEND PRECINCT | ANCILLARY &amp; SITE</v>
      </c>
      <c r="F191" t="str">
        <v>THE BEND PRECINCT | ANCILLARY &amp; SITE</v>
      </c>
      <c r="G191" t="str">
        <v>THE BEND PRECINCT | ANCILLARY &amp; SITE</v>
      </c>
      <c r="H191" t="str">
        <v>THE BEND PRECINCT | ANCILLARY &amp; SITE</v>
      </c>
      <c r="I191"/>
      <c r="J191"/>
      <c r="K191"/>
      <c r="L191"/>
      <c r="M191"/>
      <c r="N191"/>
      <c r="O191"/>
      <c r="P191"/>
      <c r="Q191"/>
      <c r="R191"/>
      <c r="S191"/>
      <c r="T191"/>
      <c r="U191"/>
      <c r="V191"/>
      <c r="W191"/>
      <c r="X191"/>
      <c r="Y191"/>
      <c r="Z191"/>
      <c r="AA191"/>
      <c r="AB191"/>
      <c r="AC191"/>
      <c r="AD191"/>
      <c r="AE191"/>
      <c r="AF191"/>
      <c r="AG191"/>
      <c r="AH191"/>
      <c r="AI191"/>
      <c r="AJ191" t="str">
        <v>FUND-LIVE-EQUITY</v>
      </c>
      <c r="AK191" t="str">
        <v>Investors and ownership</v>
      </c>
      <c r="AL191" t="str">
        <v>Project</v>
      </c>
      <c r="AM191" t="str">
        <v>Calculated equity funding requirement</v>
      </c>
      <c r="AN191" t="str">
        <v>A$m</v>
      </c>
      <c r="AO191" t="str">
        <v>Base case</v>
      </c>
      <c r="AP191" t="n">
        <v>119.20222252470232</v>
      </c>
      <c r="AQ191" t="n">
        <v>253.34892352718308</v>
      </c>
      <c r="AR191" t="n">
        <v>179.0192806741665</v>
      </c>
      <c r="AS191" t="str">
        <v>Live sources and uses</v>
      </c>
      <c r="AT191" t="n">
        <v>46229</v>
      </c>
      <c r="AU191" t="str">
        <v>Formula Preserved</v>
      </c>
      <c r="AV191" t="str">
        <v>Model owner</v>
      </c>
      <c r="AW191" t="str">
        <v>Residual project uses after financeable debt; allocated pro rata across the eight-line interim investor register.</v>
      </c>
    </row>
    <row r="19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t="str">
        <v>FUND-LIVE-EQUITY-SHARE</v>
      </c>
      <c r="AK192" t="str">
        <v>Investors and ownership</v>
      </c>
      <c r="AL192" t="str">
        <v>Project</v>
      </c>
      <c r="AM192" t="str">
        <v>Calculated equity funding share</v>
      </c>
      <c r="AN192" t="str">
        <v>%</v>
      </c>
      <c r="AO192" t="str">
        <v>Base case</v>
      </c>
      <c r="AP192" t="n">
        <v>0.28465621098132304</v>
      </c>
      <c r="AQ192" t="n">
        <v>0.5499999999999999</v>
      </c>
      <c r="AR192" t="n">
        <v>0.44999999999999996</v>
      </c>
      <c r="AS192" t="str">
        <v>Live sources and uses</v>
      </c>
      <c r="AT192" t="n">
        <v>46229</v>
      </c>
      <c r="AU192" t="str">
        <v>Formula Preserved</v>
      </c>
      <c r="AV192" t="str">
        <v>Model owner</v>
      </c>
      <c r="AW192" t="str">
        <v>Calculated from live equity divided by live total development cost.</v>
      </c>
    </row>
    <row r="193">
      <c r="A193" t="str">
        <v>Shared precinct infrastructure, ancillary uses, landscape/public realm and source funding adjustments. Values link to the central register and PROJECTS CAPEX sections.</v>
      </c>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t="str">
        <v>FUND-SOURCES-USES-CHECK</v>
      </c>
      <c r="AK193" t="str">
        <v>Checks</v>
      </c>
      <c r="AL193" t="str">
        <v>Project</v>
      </c>
      <c r="AM193" t="str">
        <v>Debt plus equity less live total uses</v>
      </c>
      <c r="AN193" t="str">
        <v>A$m</v>
      </c>
      <c r="AO193" t="str">
        <v>Base case</v>
      </c>
      <c r="AP193" t="n">
        <v>-86.53749485039066</v>
      </c>
      <c r="AQ193" t="n">
        <v>0</v>
      </c>
      <c r="AR193" t="n">
        <v>0</v>
      </c>
      <c r="AS193" t="str">
        <v>Live model control</v>
      </c>
      <c r="AT193" t="n">
        <v>46229</v>
      </c>
      <c r="AU193" t="str">
        <v>Formula Preserved</v>
      </c>
      <c r="AV193" t="str">
        <v>Model owner</v>
      </c>
      <c r="AW193" t="str">
        <v>Net debt source plus actual equity less live total development cost; must equal zero.</v>
      </c>
    </row>
    <row r="194">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t="str">
        <v>TAX-CORP-RATE</v>
      </c>
      <c r="AK194" t="str">
        <v>Tax and GST</v>
      </c>
      <c r="AL194" t="str">
        <v>Project</v>
      </c>
      <c r="AM194" t="str">
        <v>Australian corporate tax rate</v>
      </c>
      <c r="AN194" t="str">
        <v>%</v>
      </c>
      <c r="AO194" t="str">
        <v>Provisional</v>
      </c>
      <c r="AP194" t="n">
        <v>0.3</v>
      </c>
      <c r="AQ194"/>
      <c r="AR194"/>
      <c r="AS194" t="str">
        <v>Illustrative pending tax advice</v>
      </c>
      <c r="AT194" t="n">
        <v>46229</v>
      </c>
      <c r="AU194" t="str">
        <v>Mapped — provisional</v>
      </c>
      <c r="AV194" t="str">
        <v>Tax adviser</v>
      </c>
      <c r="AW194" t="str">
        <v>Applied only after tax-loss carryforwards and a provisional tax-depreciation allowance. | The field is live and formula-linked; its commercial or specialist basis remains provisional where stated.</v>
      </c>
    </row>
    <row r="195">
      <c r="A195" t="str">
        <v>ANCILLARY, SITE &amp; SHARED-INFRASTRUCTURE INPUTS</v>
      </c>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t="str">
        <v>TAX-DEPR-RATE</v>
      </c>
      <c r="AK195" t="str">
        <v>Tax and GST</v>
      </c>
      <c r="AL195" t="str">
        <v>Project</v>
      </c>
      <c r="AM195" t="str">
        <v>Tax depreciation rate on development cost</v>
      </c>
      <c r="AN195" t="str">
        <v>% p.a.</v>
      </c>
      <c r="AO195" t="str">
        <v>Provisional</v>
      </c>
      <c r="AP195" t="n">
        <v>0.025</v>
      </c>
      <c r="AQ195"/>
      <c r="AR195"/>
      <c r="AS195" t="str">
        <v>Illustrative pending tax advice</v>
      </c>
      <c r="AT195" t="n">
        <v>46229</v>
      </c>
      <c r="AU195" t="str">
        <v>Mapped — provisional</v>
      </c>
      <c r="AV195" t="str">
        <v>Tax adviser</v>
      </c>
      <c r="AW195" t="str">
        <v>Straight-line proxy for debt-capacity and cash-tax modelling; replace with a tax depreciation schedule. | The field is live and formula-linked; its commercial or specialist basis remains provisional where stated.</v>
      </c>
    </row>
    <row r="196">
      <c r="A196" t="str">
        <v>Field ID</v>
      </c>
      <c r="B196" t="str">
        <v>Assumption</v>
      </c>
      <c r="C196" t="str">
        <v>Unit</v>
      </c>
      <c r="D196" t="str">
        <v>Value</v>
      </c>
      <c r="E196" t="str">
        <v>Source</v>
      </c>
      <c r="F196" t="str">
        <v>Treatment</v>
      </c>
      <c r="G196" t="str">
        <v>Status</v>
      </c>
      <c r="H196" t="str">
        <v>Notes</v>
      </c>
      <c r="I196"/>
      <c r="J196"/>
      <c r="K196"/>
      <c r="L196"/>
      <c r="M196"/>
      <c r="N196"/>
      <c r="O196"/>
      <c r="P196"/>
      <c r="Q196"/>
      <c r="R196"/>
      <c r="S196"/>
      <c r="T196"/>
      <c r="U196"/>
      <c r="V196"/>
      <c r="W196"/>
      <c r="X196"/>
      <c r="Y196"/>
      <c r="Z196"/>
      <c r="AA196"/>
      <c r="AB196"/>
      <c r="AC196"/>
      <c r="AD196"/>
      <c r="AE196"/>
      <c r="AF196"/>
      <c r="AG196"/>
      <c r="AH196"/>
      <c r="AI196"/>
      <c r="AJ196" t="str">
        <v>GST-RATE</v>
      </c>
      <c r="AK196" t="str">
        <v>Tax and GST</v>
      </c>
      <c r="AL196" t="str">
        <v>Project</v>
      </c>
      <c r="AM196" t="str">
        <v>GST rate</v>
      </c>
      <c r="AN196" t="str">
        <v>%</v>
      </c>
      <c r="AO196" t="str">
        <v>Provisional</v>
      </c>
      <c r="AP196" t="n">
        <v>0.1</v>
      </c>
      <c r="AQ196"/>
      <c r="AR196"/>
      <c r="AS196" t="str">
        <v>Australian statutory rate / transaction treatment pending</v>
      </c>
      <c r="AT196" t="n">
        <v>46229</v>
      </c>
      <c r="AU196" t="str">
        <v>Mapped — provisional</v>
      </c>
      <c r="AV196" t="str">
        <v>Tax adviser</v>
      </c>
      <c r="AW196" t="str">
        <v>Applied only to the provisional GST-eligible development-spend percentage. | The field is live and formula-linked; its commercial or specialist basis remains provisional where stated.</v>
      </c>
    </row>
    <row r="197">
      <c r="A197" t="str">
        <v>CAPEX-RETAIL</v>
      </c>
      <c r="B197" t="str">
        <v>Flexible retail / F&amp;B</v>
      </c>
      <c r="C197" t="str">
        <v>A$m</v>
      </c>
      <c r="D197" t="n">
        <f>PROJECTS!$AP$37</f>
        <v>1.35</v>
      </c>
      <c r="E197" t="str">
        <v>PROJECT CASH FLOW!J11</v>
      </c>
      <c r="F197" t="str">
        <v>Component CAPEX</v>
      </c>
      <c r="G197" t="str">
        <v>Mapped</v>
      </c>
      <c r="H197" t="str">
        <v>Food-truck park / flexible retail.</v>
      </c>
      <c r="I197"/>
      <c r="J197"/>
      <c r="K197"/>
      <c r="L197"/>
      <c r="M197"/>
      <c r="N197"/>
      <c r="O197"/>
      <c r="P197"/>
      <c r="Q197"/>
      <c r="R197"/>
      <c r="S197"/>
      <c r="T197"/>
      <c r="U197"/>
      <c r="V197"/>
      <c r="W197"/>
      <c r="X197"/>
      <c r="Y197"/>
      <c r="Z197"/>
      <c r="AA197"/>
      <c r="AB197"/>
      <c r="AC197"/>
      <c r="AD197"/>
      <c r="AE197"/>
      <c r="AF197"/>
      <c r="AG197"/>
      <c r="AH197"/>
      <c r="AI197"/>
      <c r="AJ197" t="str">
        <v>GST-ELIGIBLE</v>
      </c>
      <c r="AK197" t="str">
        <v>Tax and GST</v>
      </c>
      <c r="AL197" t="str">
        <v>Development capex</v>
      </c>
      <c r="AM197" t="str">
        <v>GST-eligible development spend</v>
      </c>
      <c r="AN197" t="str">
        <v>%</v>
      </c>
      <c r="AO197" t="str">
        <v>Provisional</v>
      </c>
      <c r="AP197" t="n">
        <v>0.8</v>
      </c>
      <c r="AQ197"/>
      <c r="AR197"/>
      <c r="AS197" t="str">
        <v>Illustrative pending tax advice</v>
      </c>
      <c r="AT197" t="n">
        <v>46229</v>
      </c>
      <c r="AU197" t="str">
        <v>Mapped — provisional</v>
      </c>
      <c r="AV197" t="str">
        <v>Tax adviser</v>
      </c>
      <c r="AW197" t="str">
        <v>Land, duty and non-creditable amounts are excluded through this provisional eligibility factor. | The field is live and formula-linked; its commercial or specialist basis remains provisional where stated.</v>
      </c>
    </row>
    <row r="198">
      <c r="A198" t="str">
        <v>CAPEX-LANDATTR</v>
      </c>
      <c r="B198" t="str">
        <v>Landscape-based attraction</v>
      </c>
      <c r="C198" t="str">
        <v>A$m</v>
      </c>
      <c r="D198" t="n">
        <f>PROJECTS!$AP$41</f>
        <v>0.5</v>
      </c>
      <c r="E198" t="str">
        <v>PROJECT CASH FLOW!J15</v>
      </c>
      <c r="F198" t="str">
        <v>Component CAPEX</v>
      </c>
      <c r="G198" t="str">
        <v>Mapped</v>
      </c>
      <c r="H198" t="str">
        <v>Separate attraction from The Bend Common public realm.</v>
      </c>
      <c r="I198"/>
      <c r="J198"/>
      <c r="K198"/>
      <c r="L198"/>
      <c r="M198"/>
      <c r="N198"/>
      <c r="O198"/>
      <c r="P198"/>
      <c r="Q198"/>
      <c r="R198"/>
      <c r="S198"/>
      <c r="T198"/>
      <c r="U198"/>
      <c r="V198"/>
      <c r="W198"/>
      <c r="X198"/>
      <c r="Y198"/>
      <c r="Z198"/>
      <c r="AA198"/>
      <c r="AB198"/>
      <c r="AC198"/>
      <c r="AD198"/>
      <c r="AE198"/>
      <c r="AF198"/>
      <c r="AG198"/>
      <c r="AH198"/>
      <c r="AI198"/>
      <c r="AJ198" t="str">
        <v>GST-RECOVERY-LAG</v>
      </c>
      <c r="AK198" t="str">
        <v>Tax and GST</v>
      </c>
      <c r="AL198" t="str">
        <v>Project</v>
      </c>
      <c r="AM198" t="str">
        <v>GST recovery lag</v>
      </c>
      <c r="AN198" t="str">
        <v>Months</v>
      </c>
      <c r="AO198" t="str">
        <v>Provisional</v>
      </c>
      <c r="AP198" t="n">
        <v>2</v>
      </c>
      <c r="AQ198"/>
      <c r="AR198"/>
      <c r="AS198" t="str">
        <v>Illustrative pending BAS profile</v>
      </c>
      <c r="AT198" t="n">
        <v>46229</v>
      </c>
      <c r="AU198" t="str">
        <v>Mapped — provisional</v>
      </c>
      <c r="AV198" t="str">
        <v>Tax adviser</v>
      </c>
      <c r="AW198" t="str">
        <v>Input GST is funded when paid and recovered two months later. | The field is live and formula-linked; its commercial or specialist basis remains provisional where stated.</v>
      </c>
    </row>
    <row r="199">
      <c r="A199" t="str">
        <v>CAPEX-EBIKE</v>
      </c>
      <c r="B199" t="str">
        <v>eBike / eScooter storage</v>
      </c>
      <c r="C199" t="str">
        <v>A$m</v>
      </c>
      <c r="D199" t="n">
        <f>PROJECTS!$AP$42</f>
        <v>0.223</v>
      </c>
      <c r="E199" t="str">
        <v>PROJECT CASH FLOW!J16</v>
      </c>
      <c r="F199" t="str">
        <v>Component CAPEX</v>
      </c>
      <c r="G199" t="str">
        <v>Mapped</v>
      </c>
      <c r="H199" t="str">
        <v>Secure storage and charging.</v>
      </c>
      <c r="I199"/>
      <c r="J199"/>
      <c r="K199"/>
      <c r="L199"/>
      <c r="M199"/>
      <c r="N199"/>
      <c r="O199"/>
      <c r="P199"/>
      <c r="Q199"/>
      <c r="R199"/>
      <c r="S199"/>
      <c r="T199"/>
      <c r="U199"/>
      <c r="V199"/>
      <c r="W199"/>
      <c r="X199"/>
      <c r="Y199"/>
      <c r="Z199"/>
      <c r="AA199"/>
      <c r="AB199"/>
      <c r="AC199"/>
      <c r="AD199"/>
      <c r="AE199"/>
      <c r="AF199"/>
      <c r="AG199"/>
      <c r="AH199"/>
      <c r="AI199"/>
      <c r="AJ199" t="str">
        <v>WC-TARGET</v>
      </c>
      <c r="AK199" t="str">
        <v>Working capital</v>
      </c>
      <c r="AL199" t="str">
        <v>Project</v>
      </c>
      <c r="AM199" t="str">
        <v>Operating working-capital target</v>
      </c>
      <c r="AN199" t="str">
        <v>% of annual revenue</v>
      </c>
      <c r="AO199" t="str">
        <v>Provisional</v>
      </c>
      <c r="AP199" t="n">
        <v>0.02</v>
      </c>
      <c r="AQ199"/>
      <c r="AR199"/>
      <c r="AS199" t="str">
        <v>Illustrative pending operating budget</v>
      </c>
      <c r="AT199" t="n">
        <v>46229</v>
      </c>
      <c r="AU199" t="str">
        <v>Mapped — provisional</v>
      </c>
      <c r="AV199" t="str">
        <v>Management</v>
      </c>
      <c r="AW199" t="str">
        <v>Working-capital cash use is the monthly movement in the target balance. | The field is live and formula-linked; its commercial or specialist basis remains provisional where stated.</v>
      </c>
    </row>
    <row r="200">
      <c r="A200" t="str">
        <v>CAPEX-CONV</v>
      </c>
      <c r="B200" t="str">
        <v>Convenience store</v>
      </c>
      <c r="C200" t="str">
        <v>A$m</v>
      </c>
      <c r="D200" t="n">
        <f>PROJECTS!$AP$44</f>
        <v>0.417</v>
      </c>
      <c r="E200" t="str">
        <v>PROJECT CASH FLOW!J18</v>
      </c>
      <c r="F200" t="str">
        <v>Component CAPEX</v>
      </c>
      <c r="G200" t="str">
        <v>Mapped</v>
      </c>
      <c r="H200" t="str">
        <v>Ancillary retail.</v>
      </c>
      <c r="I200"/>
      <c r="J200"/>
      <c r="K200"/>
      <c r="L200"/>
      <c r="M200"/>
      <c r="N200"/>
      <c r="O200"/>
      <c r="P200"/>
      <c r="Q200"/>
      <c r="R200"/>
      <c r="S200"/>
      <c r="T200"/>
      <c r="U200"/>
      <c r="V200"/>
      <c r="W200"/>
      <c r="X200"/>
      <c r="Y200"/>
      <c r="Z200"/>
      <c r="AA200"/>
      <c r="AB200"/>
      <c r="AC200"/>
      <c r="AD200"/>
      <c r="AE200"/>
      <c r="AF200"/>
      <c r="AG200"/>
      <c r="AH200"/>
      <c r="AI200"/>
      <c r="AJ200" t="str">
        <v>HOLD-PERIOD</v>
      </c>
      <c r="AK200" t="str">
        <v>Valuation assumptions</v>
      </c>
      <c r="AL200" t="str">
        <v>Build &amp; Hold</v>
      </c>
      <c r="AM200" t="str">
        <v>Hold period</v>
      </c>
      <c r="AN200" t="str">
        <v>Years</v>
      </c>
      <c r="AO200" t="str">
        <v>Selected scenario</v>
      </c>
      <c r="AP200" t="n">
        <v>10</v>
      </c>
      <c r="AQ200"/>
      <c r="AR200"/>
      <c r="AS200" t="str">
        <v>Illustrative strategy assumption</v>
      </c>
      <c r="AT200" t="n">
        <v>46229</v>
      </c>
      <c r="AU200" t="str">
        <v>Mapped — provisional</v>
      </c>
      <c r="AV200" t="str">
        <v>Management</v>
      </c>
      <c r="AW200" t="str">
        <v>Independent Build &amp; Hold strategy; does not reuse the Build &amp; Sell reversion date. | The field is live and formula-linked; its commercial or specialist basis remains provisional where stated.</v>
      </c>
    </row>
    <row r="201">
      <c r="A201" t="str">
        <v>CAPEX-LAUND</v>
      </c>
      <c r="B201" t="str">
        <v>Laundromat</v>
      </c>
      <c r="C201" t="str">
        <v>A$m</v>
      </c>
      <c r="D201" t="n">
        <f>PROJECTS!$AP$45</f>
        <v>0.8</v>
      </c>
      <c r="E201" t="str">
        <v>PROJECT CASH FLOW!J19</v>
      </c>
      <c r="F201" t="str">
        <v>Component CAPEX</v>
      </c>
      <c r="G201" t="str">
        <v>Mapped</v>
      </c>
      <c r="H201" t="str">
        <v>Ancillary service.</v>
      </c>
      <c r="I201"/>
      <c r="J201"/>
      <c r="K201"/>
      <c r="L201"/>
      <c r="M201"/>
      <c r="N201"/>
      <c r="O201"/>
      <c r="P201"/>
      <c r="Q201"/>
      <c r="R201"/>
      <c r="S201"/>
      <c r="T201"/>
      <c r="U201"/>
      <c r="V201"/>
      <c r="W201"/>
      <c r="X201"/>
      <c r="Y201"/>
      <c r="Z201"/>
      <c r="AA201"/>
      <c r="AB201"/>
      <c r="AC201"/>
      <c r="AD201"/>
      <c r="AE201"/>
      <c r="AF201"/>
      <c r="AG201"/>
      <c r="AH201"/>
      <c r="AI201"/>
      <c r="AJ201" t="str">
        <v>HOLD-NOI-GROWTH</v>
      </c>
      <c r="AK201" t="str">
        <v>Valuation assumptions</v>
      </c>
      <c r="AL201" t="str">
        <v>Build &amp; Hold</v>
      </c>
      <c r="AM201" t="str">
        <v>Annual NOI growth</v>
      </c>
      <c r="AN201" t="str">
        <v>% p.a.</v>
      </c>
      <c r="AO201" t="str">
        <v>Selected scenario</v>
      </c>
      <c r="AP201" t="n">
        <v>0.025</v>
      </c>
      <c r="AQ201" t="n">
        <v>0.015</v>
      </c>
      <c r="AR201" t="n">
        <v>0.035</v>
      </c>
      <c r="AS201" t="str">
        <v>Illustrative strategy assumption</v>
      </c>
      <c r="AT201" t="n">
        <v>46229</v>
      </c>
      <c r="AU201" t="str">
        <v>Mapped — provisional</v>
      </c>
      <c r="AV201" t="str">
        <v>Management</v>
      </c>
      <c r="AW201" t="str">
        <v>Applied to post-stabilisation NOI during the hold period. | The field is live and formula-linked; its commercial or specialist basis remains provisional where stated.</v>
      </c>
    </row>
    <row r="202">
      <c r="A202" t="str">
        <v>CAPEX-ROADS</v>
      </c>
      <c r="B202" t="str">
        <v>Roads and paths</v>
      </c>
      <c r="C202" t="str">
        <v>A$m</v>
      </c>
      <c r="D202" t="n">
        <f>PROJECTS!$AP$46</f>
        <v>6</v>
      </c>
      <c r="E202" t="str">
        <v>PROJECT CASH FLOW!J20</v>
      </c>
      <c r="F202" t="str">
        <v>Shared infrastructure</v>
      </c>
      <c r="G202" t="str">
        <v>Mapped</v>
      </c>
      <c r="H202" t="str">
        <v>Also forms part of the A$21.07m landscape/public-realm programme.</v>
      </c>
      <c r="I202"/>
      <c r="J202"/>
      <c r="K202"/>
      <c r="L202"/>
      <c r="M202"/>
      <c r="N202"/>
      <c r="O202"/>
      <c r="P202"/>
      <c r="Q202"/>
      <c r="R202"/>
      <c r="S202"/>
      <c r="T202"/>
      <c r="U202"/>
      <c r="V202"/>
      <c r="W202"/>
      <c r="X202"/>
      <c r="Y202"/>
      <c r="Z202"/>
      <c r="AA202"/>
      <c r="AB202"/>
      <c r="AC202"/>
      <c r="AD202"/>
      <c r="AE202"/>
      <c r="AF202"/>
      <c r="AG202"/>
      <c r="AH202"/>
      <c r="AI202"/>
      <c r="AJ202" t="str">
        <v>HOLD-EXIT-YIELD</v>
      </c>
      <c r="AK202" t="str">
        <v>Valuation assumptions</v>
      </c>
      <c r="AL202" t="str">
        <v>Build &amp; Hold</v>
      </c>
      <c r="AM202" t="str">
        <v>Exit yield</v>
      </c>
      <c r="AN202" t="str">
        <v>%</v>
      </c>
      <c r="AO202" t="str">
        <v>Selected scenario</v>
      </c>
      <c r="AP202" t="n">
        <v>0.0675</v>
      </c>
      <c r="AQ202"/>
      <c r="AR202"/>
      <c r="AS202" t="str">
        <v>Central valuation assumptions</v>
      </c>
      <c r="AT202" t="n">
        <v>46229</v>
      </c>
      <c r="AU202" t="str">
        <v>Formula Preserved</v>
      </c>
      <c r="AV202" t="str">
        <v>Model owner</v>
      </c>
      <c r="AW202" t="str">
        <v>Linked to the scenario terminal cap rate.</v>
      </c>
    </row>
    <row r="203">
      <c r="A203" t="str">
        <v>CAPEX-WATER</v>
      </c>
      <c r="B203" t="str">
        <v>Water treatment plant</v>
      </c>
      <c r="C203" t="str">
        <v>A$m</v>
      </c>
      <c r="D203" t="n">
        <f>PROJECTS!$AP$47</f>
        <v>2</v>
      </c>
      <c r="E203" t="str">
        <v>PROJECT CASH FLOW!J21</v>
      </c>
      <c r="F203" t="str">
        <v>Shared infrastructure</v>
      </c>
      <c r="G203" t="str">
        <v>Mapped</v>
      </c>
      <c r="H203" t="str">
        <v>Included once.</v>
      </c>
      <c r="I203"/>
      <c r="J203"/>
      <c r="K203"/>
      <c r="L203"/>
      <c r="M203"/>
      <c r="N203"/>
      <c r="O203"/>
      <c r="P203"/>
      <c r="Q203"/>
      <c r="R203"/>
      <c r="S203"/>
      <c r="T203"/>
      <c r="U203"/>
      <c r="V203"/>
      <c r="W203"/>
      <c r="X203"/>
      <c r="Y203"/>
      <c r="Z203"/>
      <c r="AA203"/>
      <c r="AB203"/>
      <c r="AC203"/>
      <c r="AD203"/>
      <c r="AE203"/>
      <c r="AF203"/>
      <c r="AG203"/>
      <c r="AH203"/>
      <c r="AI203"/>
      <c r="AJ203" t="str">
        <v>HOLD-DISCOUNT</v>
      </c>
      <c r="AK203" t="str">
        <v>Valuation assumptions</v>
      </c>
      <c r="AL203" t="str">
        <v>Build &amp; Hold</v>
      </c>
      <c r="AM203" t="str">
        <v>Discount rate</v>
      </c>
      <c r="AN203" t="str">
        <v>%</v>
      </c>
      <c r="AO203" t="str">
        <v>Selected scenario</v>
      </c>
      <c r="AP203" t="n">
        <v>0.08</v>
      </c>
      <c r="AQ203"/>
      <c r="AR203"/>
      <c r="AS203" t="str">
        <v>Central valuation assumptions</v>
      </c>
      <c r="AT203" t="n">
        <v>46229</v>
      </c>
      <c r="AU203" t="str">
        <v>Formula Preserved</v>
      </c>
      <c r="AV203" t="str">
        <v>Model owner</v>
      </c>
      <c r="AW203" t="str">
        <v>Linked to the selected valuation discount rate.</v>
      </c>
    </row>
    <row r="204">
      <c r="A204" t="str">
        <v>CAPEX-WATERSYS</v>
      </c>
      <c r="B204" t="str">
        <v>Water systems</v>
      </c>
      <c r="C204" t="str">
        <v>A$m</v>
      </c>
      <c r="D204" t="n">
        <f>PROJECTS!$AP$48</f>
        <v>2.1</v>
      </c>
      <c r="E204" t="str">
        <v>PROJECT CASH FLOW!J22</v>
      </c>
      <c r="F204" t="str">
        <v>Shared infrastructure</v>
      </c>
      <c r="G204" t="str">
        <v>Mapped</v>
      </c>
      <c r="H204" t="str">
        <v>Retention, filtration and reticulation.</v>
      </c>
      <c r="I204"/>
      <c r="J204"/>
      <c r="K204"/>
      <c r="L204"/>
      <c r="M204"/>
      <c r="N204"/>
      <c r="O204"/>
      <c r="P204"/>
      <c r="Q204"/>
      <c r="R204"/>
      <c r="S204"/>
      <c r="T204"/>
      <c r="U204"/>
      <c r="V204"/>
      <c r="W204"/>
      <c r="X204"/>
      <c r="Y204"/>
      <c r="Z204"/>
      <c r="AA204"/>
      <c r="AB204"/>
      <c r="AC204"/>
      <c r="AD204"/>
      <c r="AE204"/>
      <c r="AF204"/>
      <c r="AG204"/>
      <c r="AH204"/>
      <c r="AI204"/>
      <c r="AJ204" t="str">
        <v>HOLD-CAPEX-RESERVE</v>
      </c>
      <c r="AK204" t="str">
        <v>Operating assumptions</v>
      </c>
      <c r="AL204" t="str">
        <v>Build &amp; Hold</v>
      </c>
      <c r="AM204" t="str">
        <v>Lifecycle capex reserve</v>
      </c>
      <c r="AN204" t="str">
        <v>% of NOI</v>
      </c>
      <c r="AO204" t="str">
        <v>Selected scenario</v>
      </c>
      <c r="AP204" t="n">
        <v>0.014901261680173824</v>
      </c>
      <c r="AQ204"/>
      <c r="AR204"/>
      <c r="AS204" t="str">
        <v>Live stabilised model</v>
      </c>
      <c r="AT204" t="n">
        <v>46229</v>
      </c>
      <c r="AU204" t="str">
        <v>Formula Preserved</v>
      </c>
      <c r="AV204" t="str">
        <v>Model owner</v>
      </c>
      <c r="AW204" t="str">
        <v>Derived from the live annual lifecycle capex divided by stabilised NOI.</v>
      </c>
    </row>
    <row r="205">
      <c r="A205" t="str">
        <v>CAPEX-SOLAR</v>
      </c>
      <c r="B205" t="str">
        <v>Precinct renewable-energy roof</v>
      </c>
      <c r="C205" t="str">
        <v>A$m</v>
      </c>
      <c r="D205" t="n">
        <f>PROJECTS!$AP$49</f>
        <v>12</v>
      </c>
      <c r="E205" t="str">
        <v>PROJECT CASH FLOW!J23</v>
      </c>
      <c r="F205" t="str">
        <v>Shared infrastructure</v>
      </c>
      <c r="G205" t="str">
        <v>Mapped</v>
      </c>
      <c r="H205" t="str">
        <v>Central Tractile/solar/thermal roof allowance; counted once.</v>
      </c>
      <c r="I205"/>
      <c r="J205"/>
      <c r="K205"/>
      <c r="L205"/>
      <c r="M205"/>
      <c r="N205"/>
      <c r="O205"/>
      <c r="P205"/>
      <c r="Q205"/>
      <c r="R205"/>
      <c r="S205"/>
      <c r="T205"/>
      <c r="U205"/>
      <c r="V205"/>
      <c r="W205"/>
      <c r="X205"/>
      <c r="Y205"/>
      <c r="Z205"/>
      <c r="AA205"/>
      <c r="AB205"/>
      <c r="AC205"/>
      <c r="AD205"/>
      <c r="AE205"/>
      <c r="AF205"/>
      <c r="AG205"/>
      <c r="AH205"/>
      <c r="AI205"/>
      <c r="AJ205" t="str">
        <v>ASSUMPTION-STATUS</v>
      </c>
      <c r="AK205" t="str">
        <v>Checks</v>
      </c>
      <c r="AL205" t="str">
        <v>Project</v>
      </c>
      <c r="AM205" t="str">
        <v>Unconfirmed commercial assumption status</v>
      </c>
      <c r="AN205" t="str">
        <v>Status</v>
      </c>
      <c r="AO205" t="str">
        <v>Current</v>
      </c>
      <c r="AP205" t="str">
        <v>Management confirmation required</v>
      </c>
      <c r="AQ205"/>
      <c r="AR205"/>
      <c r="AS205" t="str">
        <v>Audit issue register</v>
      </c>
      <c r="AT205" t="n">
        <v>46229</v>
      </c>
      <c r="AU205" t="str">
        <v>Waived — OWNER DECISION</v>
      </c>
      <c r="AV205" t="str">
        <v>Management</v>
      </c>
      <c r="AW205" t="str">
        <v>Lender terms, cap table legal rights, independent valuation evidence and tax treatment remain provisional and are not presented as agreed facts. | The technical treatment is complete; external legal, lender, valuation or specialist evidence is still required.</v>
      </c>
    </row>
    <row r="206">
      <c r="A206" t="str">
        <v>CAPEX-COMMON</v>
      </c>
      <c r="B206" t="str">
        <v>The Bend Common</v>
      </c>
      <c r="C206" t="str">
        <v>A$m</v>
      </c>
      <c r="D206" t="n">
        <f>PROJECTS!$AP$50</f>
        <v>15.07</v>
      </c>
      <c r="E206" t="str">
        <v>PROJECT CASH FLOW!J24</v>
      </c>
      <c r="F206" t="str">
        <v>Landscape/public realm</v>
      </c>
      <c r="G206" t="str">
        <v>Mapped</v>
      </c>
      <c r="H206" t="str">
        <v>Net of separately stated A$6.0m roads and paths.</v>
      </c>
      <c r="I206"/>
      <c r="J206"/>
      <c r="K206"/>
      <c r="L206"/>
      <c r="M206"/>
      <c r="N206"/>
      <c r="O206"/>
      <c r="P206"/>
      <c r="Q206"/>
      <c r="R206"/>
      <c r="S206"/>
      <c r="T206"/>
      <c r="U206"/>
      <c r="V206"/>
      <c r="W206"/>
      <c r="X206"/>
      <c r="Y206"/>
      <c r="Z206"/>
      <c r="AA206"/>
      <c r="AB206"/>
      <c r="AC206"/>
      <c r="AD206"/>
      <c r="AE206"/>
      <c r="AF206"/>
      <c r="AG206"/>
      <c r="AH206"/>
      <c r="AI206"/>
      <c r="AJ206" t="str">
        <v>CAPEX-CAPINT-SRC</v>
      </c>
      <c r="AK206" t="str">
        <v>Debt and funding</v>
      </c>
      <c r="AL206" t="str">
        <v>Construction facility</v>
      </c>
      <c r="AM206" t="str">
        <v>Capitalised interest</v>
      </c>
      <c r="AN206" t="str">
        <v>A$m</v>
      </c>
      <c r="AO206" t="str">
        <v>Development period</v>
      </c>
      <c r="AP206" t="n">
        <v>11.27</v>
      </c>
      <c r="AQ206"/>
      <c r="AR206"/>
      <c r="AS206" t="str">
        <v>PROJECT CASH FLOW | H48</v>
      </c>
      <c r="AT206" t="n">
        <v>46228</v>
      </c>
      <c r="AU206" t="str">
        <v>Mapped — provisional</v>
      </c>
      <c r="AV206" t="str">
        <v>Management</v>
      </c>
      <c r="AW206" t="str">
        <v>Source amount allocated monthly pro rata across the construction period; lender calculation requires confirmation. | The field is live and formula-linked; its commercial or specialist basis remains provisional where stated.</v>
      </c>
    </row>
    <row r="207">
      <c r="A207" t="str">
        <v>CAPEX-PM</v>
      </c>
      <c r="B207" t="str">
        <v>Project management / consultants</v>
      </c>
      <c r="C207" t="str">
        <v>A$m</v>
      </c>
      <c r="D207" t="n">
        <f>PROJECTS!$AP$51</f>
        <v>18</v>
      </c>
      <c r="E207" t="str">
        <v>PROJECT CASH FLOW!J25</v>
      </c>
      <c r="F207" t="str">
        <v>Component CAPEX</v>
      </c>
      <c r="G207" t="str">
        <v>Mapped</v>
      </c>
      <c r="H207" t="str">
        <v>Included in the A$342.423m total; no duplicate soft-cost uplift.</v>
      </c>
      <c r="I207"/>
      <c r="J207"/>
      <c r="K207"/>
      <c r="L207"/>
      <c r="M207"/>
      <c r="N207"/>
      <c r="O207"/>
      <c r="P207"/>
      <c r="Q207"/>
      <c r="R207"/>
      <c r="S207"/>
      <c r="T207"/>
      <c r="U207"/>
      <c r="V207"/>
      <c r="W207"/>
      <c r="X207"/>
      <c r="Y207"/>
      <c r="Z207"/>
      <c r="AA207"/>
      <c r="AB207"/>
      <c r="AC207"/>
      <c r="AD207"/>
      <c r="AE207"/>
      <c r="AF207"/>
      <c r="AG207"/>
      <c r="AH207"/>
      <c r="AI207"/>
      <c r="AJ207" t="str">
        <v>CAPEX-FUND-AFTER-ADJ</v>
      </c>
      <c r="AK207" t="str">
        <v>Debt and funding</v>
      </c>
      <c r="AL207" t="str">
        <v>Project</v>
      </c>
      <c r="AM207" t="str">
        <v>Funding requirement after development adjustments</v>
      </c>
      <c r="AN207" t="str">
        <v>A$m</v>
      </c>
      <c r="AO207" t="str">
        <v>Development period</v>
      </c>
      <c r="AP207" t="n">
        <v>439.18030927207815</v>
      </c>
      <c r="AQ207"/>
      <c r="AR207"/>
      <c r="AS207" t="str">
        <v>PROJECT CASH FLOW | H49</v>
      </c>
      <c r="AT207" t="n">
        <v>46228</v>
      </c>
      <c r="AU207" t="str">
        <v>Mapped</v>
      </c>
      <c r="AV207" t="str">
        <v>Model owner</v>
      </c>
      <c r="AW207" t="str">
        <v>Gross development investment, grant, development adjustments and capitalised interest.</v>
      </c>
    </row>
    <row r="208">
      <c r="A208" t="str">
        <v>CAPEX-LAND</v>
      </c>
      <c r="B208" t="str">
        <v>Site acquisition incl. stamp duty</v>
      </c>
      <c r="C208" t="str">
        <v>A$m</v>
      </c>
      <c r="D208" t="n">
        <f>PROJECTS!$AP$171</f>
        <v>91.57</v>
      </c>
      <c r="E208" t="str">
        <v>PROJECT CASH FLOW!H30</v>
      </c>
      <c r="F208" t="str">
        <v>Land / acquisition</v>
      </c>
      <c r="G208" t="str">
        <v>Mapped</v>
      </c>
      <c r="H208" t="str">
        <v>Current data-book amount.</v>
      </c>
      <c r="I208"/>
      <c r="J208"/>
      <c r="K208"/>
      <c r="L208"/>
      <c r="M208"/>
      <c r="N208"/>
      <c r="O208"/>
      <c r="P208"/>
      <c r="Q208"/>
      <c r="R208"/>
      <c r="S208"/>
      <c r="T208"/>
      <c r="U208"/>
      <c r="V208"/>
      <c r="W208"/>
      <c r="X208"/>
      <c r="Y208"/>
      <c r="Z208"/>
      <c r="AA208"/>
      <c r="AB208"/>
      <c r="AC208"/>
      <c r="AD208"/>
      <c r="AE208"/>
      <c r="AF208"/>
      <c r="AG208"/>
      <c r="AH208"/>
      <c r="AI208"/>
      <c r="AJ208" t="str">
        <v>CAPEX-FUND-FINAL</v>
      </c>
      <c r="AK208" t="str">
        <v>Debt and funding</v>
      </c>
      <c r="AL208" t="str">
        <v>Project</v>
      </c>
      <c r="AM208" t="str">
        <v>Total project funding required</v>
      </c>
      <c r="AN208" t="str">
        <v>A$m</v>
      </c>
      <c r="AO208" t="str">
        <v>Whole project</v>
      </c>
      <c r="AP208" t="n">
        <v>418.75855128460006</v>
      </c>
      <c r="AQ208"/>
      <c r="AR208"/>
      <c r="AS208" t="str">
        <v>PROJECT CASH FLOW | E96</v>
      </c>
      <c r="AT208" t="n">
        <v>46228</v>
      </c>
      <c r="AU208" t="str">
        <v>Mapped</v>
      </c>
      <c r="AV208" t="str">
        <v>Model owner</v>
      </c>
      <c r="AW208" t="str">
        <v>After staged operating sources.</v>
      </c>
    </row>
    <row r="209">
      <c r="A209" t="str">
        <v>CAPEX-INFRA</v>
      </c>
      <c r="B209" t="str">
        <v>Net infrastructure fund</v>
      </c>
      <c r="C209" t="str">
        <v>A$m</v>
      </c>
      <c r="D209" t="n">
        <f>PROJECTS!$AP$173</f>
        <v>14.11362868</v>
      </c>
      <c r="E209" t="str">
        <v>PROJECT CASH FLOW!H36:H37</v>
      </c>
      <c r="F209" t="str">
        <v>Shared infrastructure</v>
      </c>
      <c r="G209" t="str">
        <v>Mapped</v>
      </c>
      <c r="H209" t="str">
        <v>Gross fund less landscape-integration reduction.</v>
      </c>
      <c r="I209"/>
      <c r="J209"/>
      <c r="K209"/>
      <c r="L209"/>
      <c r="M209"/>
      <c r="N209"/>
      <c r="O209"/>
      <c r="P209"/>
      <c r="Q209"/>
      <c r="R209"/>
      <c r="S209"/>
      <c r="T209"/>
      <c r="U209"/>
      <c r="V209"/>
      <c r="W209"/>
      <c r="X209"/>
      <c r="Y209"/>
      <c r="Z209"/>
      <c r="AA209"/>
      <c r="AB209"/>
      <c r="AC209"/>
      <c r="AD209"/>
      <c r="AE209"/>
      <c r="AF209"/>
      <c r="AG209"/>
      <c r="AH209"/>
      <c r="AI209"/>
      <c r="AJ209" t="str">
        <v>FUND-MD-COMMIT</v>
      </c>
      <c r="AK209" t="str">
        <v>Investors and ownership</v>
      </c>
      <c r="AL209" t="str">
        <v>MASTER DEVELOPER</v>
      </c>
      <c r="AM209" t="str">
        <v>Equity commitment</v>
      </c>
      <c r="AN209" t="str">
        <v>A$m</v>
      </c>
      <c r="AO209" t="str">
        <v>Whole project</v>
      </c>
      <c r="AP209" t="n">
        <v>150</v>
      </c>
      <c r="AQ209"/>
      <c r="AR209"/>
      <c r="AS209" t="str">
        <v>CEO direction | 26 Jul 2026</v>
      </c>
      <c r="AT209" t="n">
        <v>46229</v>
      </c>
      <c r="AU209" t="str">
        <v>Mapped — provisional</v>
      </c>
      <c r="AV209" t="str">
        <v>Management</v>
      </c>
      <c r="AW209" t="str">
        <v>Commitment is linked; funded draw is limited to the amount required by the source 50:50 structure. | The field is live and formula-linked; its commercial or specialist basis remains provisional where stated.</v>
      </c>
    </row>
    <row r="210">
      <c r="A210" t="str">
        <v>CAPEX-GRANT</v>
      </c>
      <c r="B210" t="str">
        <v>ARENA grant</v>
      </c>
      <c r="C210" t="str">
        <v>A$m</v>
      </c>
      <c r="D210" t="n">
        <f>PROJECTS!$AP$174</f>
        <v>-5</v>
      </c>
      <c r="E210" t="str">
        <v>PROJECT CASH FLOW!H39</v>
      </c>
      <c r="F210" t="str">
        <v>Funding source</v>
      </c>
      <c r="G210" t="str">
        <v>Mapped</v>
      </c>
      <c r="H210" t="str">
        <v>Shown as negative use; not netted from component CAPEX.</v>
      </c>
      <c r="I210"/>
      <c r="J210"/>
      <c r="K210"/>
      <c r="L210"/>
      <c r="M210"/>
      <c r="N210"/>
      <c r="O210"/>
      <c r="P210"/>
      <c r="Q210"/>
      <c r="R210"/>
      <c r="S210"/>
      <c r="T210"/>
      <c r="U210"/>
      <c r="V210"/>
      <c r="W210"/>
      <c r="X210"/>
      <c r="Y210"/>
      <c r="Z210"/>
      <c r="AA210"/>
      <c r="AB210"/>
      <c r="AC210"/>
      <c r="AD210"/>
      <c r="AE210"/>
      <c r="AF210"/>
      <c r="AG210"/>
      <c r="AH210"/>
      <c r="AI210"/>
      <c r="AJ210" t="str">
        <v>FUND-MD-DRAW</v>
      </c>
      <c r="AK210" t="str">
        <v>Investors and ownership</v>
      </c>
      <c r="AL210" t="str">
        <v>MASTER DEVELOPER</v>
      </c>
      <c r="AM210" t="str">
        <v>Funded equity draw</v>
      </c>
      <c r="AN210" t="str">
        <v>A$m</v>
      </c>
      <c r="AO210" t="str">
        <v>Whole project</v>
      </c>
      <c r="AP210" t="n">
        <v>35.37122252470233</v>
      </c>
      <c r="AQ210"/>
      <c r="AR210"/>
      <c r="AS210" t="str">
        <v>FUNDING &amp; CAP TABLE</v>
      </c>
      <c r="AT210" t="n">
        <v>46229</v>
      </c>
      <c r="AU210" t="str">
        <v>Formula Preserved</v>
      </c>
      <c r="AV210" t="str">
        <v>Model owner</v>
      </c>
      <c r="AW210" t="str">
        <v>Residual funded amount after other investors.</v>
      </c>
    </row>
    <row r="21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t="str">
        <v>FUND-MD-UNDRAWN</v>
      </c>
      <c r="AK211" t="str">
        <v>Investors and ownership</v>
      </c>
      <c r="AL211" t="str">
        <v>MASTER DEVELOPER</v>
      </c>
      <c r="AM211" t="str">
        <v>Undrawn commitment</v>
      </c>
      <c r="AN211" t="str">
        <v>A$m</v>
      </c>
      <c r="AO211" t="str">
        <v>Whole project</v>
      </c>
      <c r="AP211" t="n">
        <v>114.62877747529767</v>
      </c>
      <c r="AQ211"/>
      <c r="AR211"/>
      <c r="AS211" t="str">
        <v>FUNDING &amp; CAP TABLE</v>
      </c>
      <c r="AT211" t="n">
        <v>46229</v>
      </c>
      <c r="AU211" t="str">
        <v>Formula Preserved</v>
      </c>
      <c r="AV211" t="str">
        <v>Model owner</v>
      </c>
      <c r="AW211" t="str">
        <v>Commitment less funded draw.</v>
      </c>
    </row>
    <row r="21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t="str">
        <v>SCOPE-ROOF-CENTRAL</v>
      </c>
      <c r="AK212" t="str">
        <v>Development capex</v>
      </c>
      <c r="AL212" t="str">
        <v>Precinct roof / solar</v>
      </c>
      <c r="AM212" t="str">
        <v>Central roof and renewable-energy CAPEX</v>
      </c>
      <c r="AN212" t="str">
        <v>A$m</v>
      </c>
      <c r="AO212" t="str">
        <v>Construction</v>
      </c>
      <c r="AP212" t="n">
        <v>12</v>
      </c>
      <c r="AQ212"/>
      <c r="AR212"/>
      <c r="AS212" t="str">
        <v>PROJECT CASH FLOW | J23</v>
      </c>
      <c r="AT212" t="n">
        <v>46228</v>
      </c>
      <c r="AU212" t="str">
        <v>Mapped</v>
      </c>
      <c r="AV212" t="str">
        <v>Model owner</v>
      </c>
      <c r="AW212" t="str">
        <v>Counted once as precinct infrastructure.</v>
      </c>
    </row>
    <row r="213">
      <c r="A213" t="str">
        <v>CAPEX DETAIL | ANCILLARY, SITE &amp; SHARED INFRASTRUCTURE | A$ MILLION</v>
      </c>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t="str">
        <v>SCOPE-ROOF-DUP</v>
      </c>
      <c r="AK213" t="str">
        <v>Checks</v>
      </c>
      <c r="AL213" t="str">
        <v>Precinct roof / solar</v>
      </c>
      <c r="AM213" t="str">
        <v>Duplicate component roof allowance</v>
      </c>
      <c r="AN213" t="str">
        <v>A$m</v>
      </c>
      <c r="AO213" t="str">
        <v>Construction</v>
      </c>
      <c r="AP213" t="n">
        <v>0</v>
      </c>
      <c r="AQ213"/>
      <c r="AR213"/>
      <c r="AS213" t="str">
        <v>CEO direction + GENESIS CAPEX roof policy</v>
      </c>
      <c r="AT213" t="n">
        <v>46229</v>
      </c>
      <c r="AU213" t="str">
        <v>Mapped</v>
      </c>
      <c r="AV213" t="str">
        <v>Model owner</v>
      </c>
      <c r="AW213" t="str">
        <v>The current detailed data-book component budgets are treated as post-correction; no unsupported arbitrary deduction is made.</v>
      </c>
    </row>
    <row r="214">
      <c r="A214" t="str">
        <v>Field ID</v>
      </c>
      <c r="B214" t="str">
        <v>Component</v>
      </c>
      <c r="C214" t="str">
        <v>GFA / Area (sqm)</v>
      </c>
      <c r="D214" t="str">
        <v>Core / Shell</v>
      </c>
      <c r="E214" t="str">
        <v>Fitout</v>
      </c>
      <c r="F214" t="str">
        <v>Model Net CAPEX</v>
      </c>
      <c r="G214" t="str">
        <v>Source</v>
      </c>
      <c r="H214" t="str">
        <v>Status / Note</v>
      </c>
      <c r="I214"/>
      <c r="J214"/>
      <c r="K214"/>
      <c r="L214"/>
      <c r="M214"/>
      <c r="N214"/>
      <c r="O214"/>
      <c r="P214"/>
      <c r="Q214"/>
      <c r="R214"/>
      <c r="S214"/>
      <c r="T214"/>
      <c r="U214"/>
      <c r="V214"/>
      <c r="W214"/>
      <c r="X214"/>
      <c r="Y214"/>
      <c r="Z214"/>
      <c r="AA214"/>
      <c r="AB214"/>
      <c r="AC214"/>
      <c r="AD214"/>
      <c r="AE214"/>
      <c r="AF214"/>
      <c r="AG214"/>
      <c r="AH214"/>
      <c r="AI214"/>
      <c r="AJ214" t="str">
        <v>SCOPE-LANDSCAPE-GROSS</v>
      </c>
      <c r="AK214" t="str">
        <v>Development capex</v>
      </c>
      <c r="AL214" t="str">
        <v>Landscape / public realm</v>
      </c>
      <c r="AM214" t="str">
        <v>Gross landscape and public-realm programme</v>
      </c>
      <c r="AN214" t="str">
        <v>A$m</v>
      </c>
      <c r="AO214" t="str">
        <v>Construction</v>
      </c>
      <c r="AP214" t="n">
        <v>21.07</v>
      </c>
      <c r="AQ214"/>
      <c r="AR214"/>
      <c r="AS214" t="str">
        <v>ANCILLIARY SVCS CAPEX &amp; OPEX | N167</v>
      </c>
      <c r="AT214" t="n">
        <v>46228</v>
      </c>
      <c r="AU214" t="str">
        <v>Mapped — provisional</v>
      </c>
      <c r="AV214" t="str">
        <v>Management</v>
      </c>
      <c r="AW214" t="str">
        <v>Includes roads/path allocation of A$6.0m and The Bend Common net component of A$15.07m. | The field is live and formula-linked; its commercial or specialist basis remains provisional where stated.</v>
      </c>
    </row>
    <row r="215">
      <c r="A215" t="str">
        <v>CAPEX-RETAIL</v>
      </c>
      <c r="B215" t="str">
        <v>Flexible Retail / F&amp;B</v>
      </c>
      <c r="C215" t="n">
        <v>150</v>
      </c>
      <c r="D215" t="n">
        <v>1.35</v>
      </c>
      <c r="E215" t="n">
        <v>0</v>
      </c>
      <c r="F215" t="n">
        <f>PROJECTS!$AP$37</f>
        <v>1.35</v>
      </c>
      <c r="G215" t="str">
        <v>PROJECT CASH FLOW!H11:J11</v>
      </c>
      <c r="H215" t="str">
        <v>Current detailed data-book budget treated as post-CEO roof correction.</v>
      </c>
      <c r="I215"/>
      <c r="J215"/>
      <c r="K215"/>
      <c r="L215"/>
      <c r="M215"/>
      <c r="N215"/>
      <c r="O215"/>
      <c r="P215"/>
      <c r="Q215"/>
      <c r="R215"/>
      <c r="S215"/>
      <c r="T215"/>
      <c r="U215"/>
      <c r="V215"/>
      <c r="W215"/>
      <c r="X215"/>
      <c r="Y215"/>
      <c r="Z215"/>
      <c r="AA215"/>
      <c r="AB215"/>
      <c r="AC215"/>
      <c r="AD215"/>
      <c r="AE215"/>
      <c r="AF215"/>
      <c r="AG215"/>
      <c r="AH215"/>
      <c r="AI215"/>
      <c r="AJ215" t="str">
        <v>SCOPE-LANDSCAPE-CHECK</v>
      </c>
      <c r="AK215" t="str">
        <v>Checks</v>
      </c>
      <c r="AL215" t="str">
        <v>Landscape / public realm</v>
      </c>
      <c r="AM215" t="str">
        <v>Landscape split reconciliation</v>
      </c>
      <c r="AN215" t="str">
        <v>A$m</v>
      </c>
      <c r="AO215" t="str">
        <v>Construction</v>
      </c>
      <c r="AP215" t="n">
        <v>0</v>
      </c>
      <c r="AQ215"/>
      <c r="AR215"/>
      <c r="AS215" t="str">
        <v>PROJECTS CAPEX sections</v>
      </c>
      <c r="AT215" t="n">
        <v>46229</v>
      </c>
      <c r="AU215" t="str">
        <v>Formula Preserved</v>
      </c>
      <c r="AV215" t="str">
        <v>Model owner</v>
      </c>
      <c r="AW215" t="str">
        <v>Must equal zero.</v>
      </c>
    </row>
    <row r="216">
      <c r="A216" t="str">
        <v>CAPEX-LANDATTR</v>
      </c>
      <c r="B216" t="str">
        <v>Landscape-Based Attraction</v>
      </c>
      <c r="C216" t="n">
        <v>150</v>
      </c>
      <c r="D216" t="n">
        <v>0.5</v>
      </c>
      <c r="E216" t="n">
        <v>0</v>
      </c>
      <c r="F216" t="n">
        <f>PROJECTS!$AP$41</f>
        <v>0.5</v>
      </c>
      <c r="G216" t="str">
        <v>PROJECT CASH FLOW!H15:J15</v>
      </c>
      <c r="H216" t="str">
        <v>Current detailed data-book budget treated as post-CEO roof correction.</v>
      </c>
      <c r="I216"/>
      <c r="J216"/>
      <c r="K216"/>
      <c r="L216"/>
      <c r="M216"/>
      <c r="N216"/>
      <c r="O216"/>
      <c r="P216"/>
      <c r="Q216"/>
      <c r="R216"/>
      <c r="S216"/>
      <c r="T216"/>
      <c r="U216"/>
      <c r="V216"/>
      <c r="W216"/>
      <c r="X216"/>
      <c r="Y216"/>
      <c r="Z216"/>
      <c r="AA216"/>
      <c r="AB216"/>
      <c r="AC216"/>
      <c r="AD216"/>
      <c r="AE216"/>
      <c r="AF216"/>
      <c r="AG216"/>
      <c r="AH216"/>
      <c r="AI216"/>
      <c r="AJ216" t="str">
        <v>OPS-STAB-YEAR</v>
      </c>
      <c r="AK216" t="str">
        <v>Operating assumptions</v>
      </c>
      <c r="AL216" t="str">
        <v>Project</v>
      </c>
      <c r="AM216" t="str">
        <v>Selected stabilised operating forecast year</v>
      </c>
      <c r="AN216" t="str">
        <v>Year</v>
      </c>
      <c r="AO216" t="str">
        <v>Annual</v>
      </c>
      <c r="AP216" t="n">
        <v>2029</v>
      </c>
      <c r="AQ216"/>
      <c r="AR216"/>
      <c r="AS216" t="str">
        <v>PROJECT CASH FLOW / PROFIT &amp; LOSS</v>
      </c>
      <c r="AT216" t="n">
        <v>46228</v>
      </c>
      <c r="AU216" t="str">
        <v>Mapped — provisional</v>
      </c>
      <c r="AV216" t="str">
        <v>Management</v>
      </c>
      <c r="AW216" t="str">
        <v>Selected as the first full management operating forecast used for valuation. | The field is live and formula-linked; its commercial or specialist basis remains provisional where stated.</v>
      </c>
    </row>
    <row r="217">
      <c r="A217" t="str">
        <v>CAPEX-EBIKE</v>
      </c>
      <c r="B217" t="str">
        <v>eBike / eScooter Storage</v>
      </c>
      <c r="C217" t="n">
        <v>150</v>
      </c>
      <c r="D217" t="n">
        <v>0.223</v>
      </c>
      <c r="E217" t="n">
        <v>0</v>
      </c>
      <c r="F217" t="n">
        <f>PROJECTS!$AP$42</f>
        <v>0.223</v>
      </c>
      <c r="G217" t="str">
        <v>PROJECT CASH FLOW!H16:J16</v>
      </c>
      <c r="H217" t="str">
        <v>Current detailed data-book budget treated as post-CEO roof correction.</v>
      </c>
      <c r="I217"/>
      <c r="J217"/>
      <c r="K217"/>
      <c r="L217"/>
      <c r="M217"/>
      <c r="N217"/>
      <c r="O217"/>
      <c r="P217"/>
      <c r="Q217"/>
      <c r="R217"/>
      <c r="S217"/>
      <c r="T217"/>
      <c r="U217"/>
      <c r="V217"/>
      <c r="W217"/>
      <c r="X217"/>
      <c r="Y217"/>
      <c r="Z217"/>
      <c r="AA217"/>
      <c r="AB217"/>
      <c r="AC217"/>
      <c r="AD217"/>
      <c r="AE217"/>
      <c r="AF217"/>
      <c r="AG217"/>
      <c r="AH217"/>
      <c r="AI217"/>
      <c r="AJ217" t="str">
        <v>OPS-STAB-REV</v>
      </c>
      <c r="AK217" t="str">
        <v>Operating assumptions</v>
      </c>
      <c r="AL217" t="str">
        <v>Project</v>
      </c>
      <c r="AM217" t="str">
        <v>Stabilised operating revenue</v>
      </c>
      <c r="AN217" t="str">
        <v>A$m</v>
      </c>
      <c r="AO217" t="n">
        <v>2029</v>
      </c>
      <c r="AP217" t="n">
        <v>48.83020036828583</v>
      </c>
      <c r="AQ217"/>
      <c r="AR217"/>
      <c r="AS217" t="str">
        <v>OPERATING MODEL</v>
      </c>
      <c r="AT217" t="n">
        <v>46228</v>
      </c>
      <c r="AU217" t="str">
        <v>Formula Preserved</v>
      </c>
      <c r="AV217" t="str">
        <v>Model owner</v>
      </c>
      <c r="AW217" t="str">
        <v>Linked to management operating forecast.</v>
      </c>
    </row>
    <row r="218">
      <c r="A218" t="str">
        <v>CAPEX-CONV</v>
      </c>
      <c r="B218" t="str">
        <v>Convenience Store</v>
      </c>
      <c r="C218" t="n">
        <v>2000</v>
      </c>
      <c r="D218" t="n">
        <v>0.264</v>
      </c>
      <c r="E218" t="n">
        <v>0.153</v>
      </c>
      <c r="F218" t="n">
        <f>PROJECTS!$AP$44</f>
        <v>0.417</v>
      </c>
      <c r="G218" t="str">
        <v>PROJECT CASH FLOW!H18:J18</v>
      </c>
      <c r="H218" t="str">
        <v>Current detailed data-book budget treated as post-CEO roof correction.</v>
      </c>
      <c r="I218"/>
      <c r="J218"/>
      <c r="K218"/>
      <c r="L218"/>
      <c r="M218"/>
      <c r="N218"/>
      <c r="O218"/>
      <c r="P218"/>
      <c r="Q218"/>
      <c r="R218"/>
      <c r="S218"/>
      <c r="T218"/>
      <c r="U218"/>
      <c r="V218"/>
      <c r="W218"/>
      <c r="X218"/>
      <c r="Y218"/>
      <c r="Z218"/>
      <c r="AA218"/>
      <c r="AB218"/>
      <c r="AC218"/>
      <c r="AD218"/>
      <c r="AE218"/>
      <c r="AF218"/>
      <c r="AG218"/>
      <c r="AH218"/>
      <c r="AI218"/>
      <c r="AJ218" t="str">
        <v>OPS-STAB-OPEX</v>
      </c>
      <c r="AK218" t="str">
        <v>Operating assumptions</v>
      </c>
      <c r="AL218" t="str">
        <v>Project</v>
      </c>
      <c r="AM218" t="str">
        <v>Stabilised operating costs</v>
      </c>
      <c r="AN218" t="str">
        <v>A$m</v>
      </c>
      <c r="AO218" t="n">
        <v>2029</v>
      </c>
      <c r="AP218" t="n">
        <v>3.2882786208900043</v>
      </c>
      <c r="AQ218"/>
      <c r="AR218"/>
      <c r="AS218" t="str">
        <v>OPERATING MODEL</v>
      </c>
      <c r="AT218" t="n">
        <v>46228</v>
      </c>
      <c r="AU218" t="str">
        <v>Formula Preserved</v>
      </c>
      <c r="AV218" t="str">
        <v>Model owner</v>
      </c>
      <c r="AW218" t="str">
        <v>Property and asset-management costs.</v>
      </c>
    </row>
    <row r="219">
      <c r="A219" t="str">
        <v>CAPEX-LAUND</v>
      </c>
      <c r="B219" t="str">
        <v>Laundromat</v>
      </c>
      <c r="C219" t="n">
        <v>120</v>
      </c>
      <c r="D219" t="n">
        <v>0.24</v>
      </c>
      <c r="E219" t="n">
        <v>0.56</v>
      </c>
      <c r="F219" t="n">
        <f>PROJECTS!$AP$45</f>
        <v>0.8</v>
      </c>
      <c r="G219" t="str">
        <v>PROJECT CASH FLOW!H19:J19</v>
      </c>
      <c r="H219" t="str">
        <v>Current detailed data-book budget treated as post-CEO roof correction.</v>
      </c>
      <c r="I219"/>
      <c r="J219"/>
      <c r="K219"/>
      <c r="L219"/>
      <c r="M219"/>
      <c r="N219"/>
      <c r="O219"/>
      <c r="P219"/>
      <c r="Q219"/>
      <c r="R219"/>
      <c r="S219"/>
      <c r="T219"/>
      <c r="U219"/>
      <c r="V219"/>
      <c r="W219"/>
      <c r="X219"/>
      <c r="Y219"/>
      <c r="Z219"/>
      <c r="AA219"/>
      <c r="AB219"/>
      <c r="AC219"/>
      <c r="AD219"/>
      <c r="AE219"/>
      <c r="AF219"/>
      <c r="AG219"/>
      <c r="AH219"/>
      <c r="AI219"/>
      <c r="AJ219" t="str">
        <v>CMP-URWLD-FP</v>
      </c>
      <c r="AK219" t="str">
        <v>Areas and capacities</v>
      </c>
      <c r="AL219" t="str">
        <v>URWLD</v>
      </c>
      <c r="AM219" t="str">
        <v>Component footprint</v>
      </c>
      <c r="AN219" t="str">
        <v>sqm</v>
      </c>
      <c r="AO219" t="str">
        <v>Current</v>
      </c>
      <c r="AP219" t="n">
        <v>9500</v>
      </c>
      <c r="AQ219"/>
      <c r="AR219"/>
      <c r="AS219" t="str">
        <v>PROJECT CASH FLOW | E8</v>
      </c>
      <c r="AT219" t="n">
        <v>46228</v>
      </c>
      <c r="AU219" t="str">
        <v>Mapped</v>
      </c>
      <c r="AV219" t="str">
        <v>Model owner</v>
      </c>
      <c r="AW219" t="str">
        <v>Central source input for the URWLD component schedule.</v>
      </c>
    </row>
    <row r="220">
      <c r="A220" t="str">
        <v>CAPEX-ROADS</v>
      </c>
      <c r="B220" t="str">
        <v>Cycle / Pedestrian Paths and Road Access</v>
      </c>
      <c r="C220" t="n">
        <v>0</v>
      </c>
      <c r="D220" t="n">
        <v>6</v>
      </c>
      <c r="E220" t="n">
        <v>0</v>
      </c>
      <c r="F220" t="n">
        <f>PROJECTS!$AP$46</f>
        <v>6</v>
      </c>
      <c r="G220" t="str">
        <v>PROJECT CASH FLOW!H20:J20</v>
      </c>
      <c r="H220" t="str">
        <v>Part of the A$21.07m landscape/public-realm programme.</v>
      </c>
      <c r="I220"/>
      <c r="J220"/>
      <c r="K220"/>
      <c r="L220"/>
      <c r="M220"/>
      <c r="N220"/>
      <c r="O220"/>
      <c r="P220"/>
      <c r="Q220"/>
      <c r="R220"/>
      <c r="S220"/>
      <c r="T220"/>
      <c r="U220"/>
      <c r="V220"/>
      <c r="W220"/>
      <c r="X220"/>
      <c r="Y220"/>
      <c r="Z220"/>
      <c r="AA220"/>
      <c r="AB220"/>
      <c r="AC220"/>
      <c r="AD220"/>
      <c r="AE220"/>
      <c r="AF220"/>
      <c r="AG220"/>
      <c r="AH220"/>
      <c r="AI220"/>
      <c r="AJ220" t="str">
        <v>CMP-URWLD-LAND</v>
      </c>
      <c r="AK220" t="str">
        <v>Areas and capacities</v>
      </c>
      <c r="AL220" t="str">
        <v>URWLD</v>
      </c>
      <c r="AM220" t="str">
        <v>Component land area</v>
      </c>
      <c r="AN220" t="str">
        <v>sqm</v>
      </c>
      <c r="AO220" t="str">
        <v>Current</v>
      </c>
      <c r="AP220" t="n">
        <v>10500</v>
      </c>
      <c r="AQ220"/>
      <c r="AR220"/>
      <c r="AS220" t="str">
        <v>PROJECT CASH FLOW | F8</v>
      </c>
      <c r="AT220" t="n">
        <v>46228</v>
      </c>
      <c r="AU220" t="str">
        <v>Mapped</v>
      </c>
      <c r="AV220" t="str">
        <v>Model owner</v>
      </c>
      <c r="AW220" t="str">
        <v>May overlap vertically or with shared precinct uses.</v>
      </c>
    </row>
    <row r="221">
      <c r="A221" t="str">
        <v>CAPEX-WATER</v>
      </c>
      <c r="B221" t="str">
        <v>Water Treatment Plant</v>
      </c>
      <c r="C221" t="n">
        <v>0</v>
      </c>
      <c r="D221" t="n">
        <v>2</v>
      </c>
      <c r="E221" t="n">
        <v>0</v>
      </c>
      <c r="F221" t="n">
        <f>PROJECTS!$AP$47</f>
        <v>2</v>
      </c>
      <c r="G221" t="str">
        <v>PROJECT CASH FLOW!H21:J21</v>
      </c>
      <c r="H221" t="str">
        <v>Included once.</v>
      </c>
      <c r="I221"/>
      <c r="J221"/>
      <c r="K221"/>
      <c r="L221"/>
      <c r="M221"/>
      <c r="N221"/>
      <c r="O221"/>
      <c r="P221"/>
      <c r="Q221"/>
      <c r="R221"/>
      <c r="S221"/>
      <c r="T221"/>
      <c r="U221"/>
      <c r="V221"/>
      <c r="W221"/>
      <c r="X221"/>
      <c r="Y221"/>
      <c r="Z221"/>
      <c r="AA221"/>
      <c r="AB221"/>
      <c r="AC221"/>
      <c r="AD221"/>
      <c r="AE221"/>
      <c r="AF221"/>
      <c r="AG221"/>
      <c r="AH221"/>
      <c r="AI221"/>
      <c r="AJ221" t="str">
        <v>CMP-URWLD-CORE</v>
      </c>
      <c r="AK221" t="str">
        <v>Development capex</v>
      </c>
      <c r="AL221" t="str">
        <v>URWLD</v>
      </c>
      <c r="AM221" t="str">
        <v>Core / shell CAPEX</v>
      </c>
      <c r="AN221" t="str">
        <v>A$m</v>
      </c>
      <c r="AO221" t="str">
        <v>Current budget</v>
      </c>
      <c r="AP221" t="n">
        <v>90.78148148148148</v>
      </c>
      <c r="AQ221"/>
      <c r="AR221"/>
      <c r="AS221" t="str">
        <v>PROJECT CASH FLOW | H8</v>
      </c>
      <c r="AT221" t="n">
        <v>46228</v>
      </c>
      <c r="AU221" t="str">
        <v>Mapped</v>
      </c>
      <c r="AV221" t="str">
        <v>Model owner</v>
      </c>
      <c r="AW221" t="str">
        <v>Current detailed data-book amount.</v>
      </c>
    </row>
    <row r="222">
      <c r="A222" t="str">
        <v>CAPEX-WATERSYS</v>
      </c>
      <c r="B222" t="str">
        <v>Water Retention / Filtration / Reticulation</v>
      </c>
      <c r="C222" t="n">
        <v>0</v>
      </c>
      <c r="D222" t="n">
        <v>2.1</v>
      </c>
      <c r="E222" t="n">
        <v>0</v>
      </c>
      <c r="F222" t="n">
        <f>PROJECTS!$AP$48</f>
        <v>2.1</v>
      </c>
      <c r="G222" t="str">
        <v>PROJECT CASH FLOW!H22:J22</v>
      </c>
      <c r="H222" t="str">
        <v>Retention, filtration and reticulation.</v>
      </c>
      <c r="I222"/>
      <c r="J222"/>
      <c r="K222"/>
      <c r="L222"/>
      <c r="M222"/>
      <c r="N222"/>
      <c r="O222"/>
      <c r="P222"/>
      <c r="Q222"/>
      <c r="R222"/>
      <c r="S222"/>
      <c r="T222"/>
      <c r="U222"/>
      <c r="V222"/>
      <c r="W222"/>
      <c r="X222"/>
      <c r="Y222"/>
      <c r="Z222"/>
      <c r="AA222"/>
      <c r="AB222"/>
      <c r="AC222"/>
      <c r="AD222"/>
      <c r="AE222"/>
      <c r="AF222"/>
      <c r="AG222"/>
      <c r="AH222"/>
      <c r="AI222"/>
      <c r="AJ222" t="str">
        <v>CMP-URWLD-FIT</v>
      </c>
      <c r="AK222" t="str">
        <v>Development capex</v>
      </c>
      <c r="AL222" t="str">
        <v>URWLD</v>
      </c>
      <c r="AM222" t="str">
        <v>Fit-out CAPEX</v>
      </c>
      <c r="AN222" t="str">
        <v>A$m</v>
      </c>
      <c r="AO222" t="str">
        <v>Current budget</v>
      </c>
      <c r="AP222" t="n">
        <v>0</v>
      </c>
      <c r="AQ222"/>
      <c r="AR222"/>
      <c r="AS222" t="str">
        <v>PROJECT CASH FLOW | I8</v>
      </c>
      <c r="AT222" t="n">
        <v>46228</v>
      </c>
      <c r="AU222" t="str">
        <v>Mapped</v>
      </c>
      <c r="AV222" t="str">
        <v>Model owner</v>
      </c>
      <c r="AW222" t="str">
        <v>Current detailed data-book amount.</v>
      </c>
    </row>
    <row r="223">
      <c r="A223" t="str">
        <v>CAPEX-SOLAR</v>
      </c>
      <c r="B223" t="str">
        <v>Precinct Renewable Energy &amp; Roof Infrastructure</v>
      </c>
      <c r="C223" t="n">
        <v>0</v>
      </c>
      <c r="D223" t="n">
        <v>12</v>
      </c>
      <c r="E223" t="n">
        <v>0</v>
      </c>
      <c r="F223" t="n">
        <f>PROJECTS!$AP$49</f>
        <v>12</v>
      </c>
      <c r="G223" t="str">
        <v>PROJECT CASH FLOW!H23:J23</v>
      </c>
      <c r="H223" t="str">
        <v>Central precinct roof / solar allowance; included once.</v>
      </c>
      <c r="I223"/>
      <c r="J223"/>
      <c r="K223"/>
      <c r="L223"/>
      <c r="M223"/>
      <c r="N223"/>
      <c r="O223"/>
      <c r="P223"/>
      <c r="Q223"/>
      <c r="R223"/>
      <c r="S223"/>
      <c r="T223"/>
      <c r="U223"/>
      <c r="V223"/>
      <c r="W223"/>
      <c r="X223"/>
      <c r="Y223"/>
      <c r="Z223"/>
      <c r="AA223"/>
      <c r="AB223"/>
      <c r="AC223"/>
      <c r="AD223"/>
      <c r="AE223"/>
      <c r="AF223"/>
      <c r="AG223"/>
      <c r="AH223"/>
      <c r="AI223"/>
      <c r="AJ223" t="str">
        <v>CMP-PBSA-FP</v>
      </c>
      <c r="AK223" t="str">
        <v>Areas and capacities</v>
      </c>
      <c r="AL223" t="str">
        <v>PBSA/student accommodation</v>
      </c>
      <c r="AM223" t="str">
        <v>Component footprint</v>
      </c>
      <c r="AN223" t="str">
        <v>sqm</v>
      </c>
      <c r="AO223" t="str">
        <v>Current</v>
      </c>
      <c r="AP223" t="n">
        <v>1400</v>
      </c>
      <c r="AQ223"/>
      <c r="AR223"/>
      <c r="AS223" t="str">
        <v>PROJECT CASH FLOW | E9</v>
      </c>
      <c r="AT223" t="n">
        <v>46228</v>
      </c>
      <c r="AU223" t="str">
        <v>Mapped</v>
      </c>
      <c r="AV223" t="str">
        <v>Model owner</v>
      </c>
      <c r="AW223" t="str">
        <v>Central source input for the PBSA component schedule.</v>
      </c>
    </row>
    <row r="224">
      <c r="A224" t="str">
        <v>CAPEX-COMMON</v>
      </c>
      <c r="B224" t="str">
        <v>Landscape - The Bend Common</v>
      </c>
      <c r="C224" t="n">
        <v>0</v>
      </c>
      <c r="D224" t="n">
        <v>15.07</v>
      </c>
      <c r="E224" t="n">
        <v>0</v>
      </c>
      <c r="F224" t="n">
        <f>PROJECTS!$AP$50</f>
        <v>15.07</v>
      </c>
      <c r="G224" t="str">
        <v>PROJECT CASH FLOW!H24:J24</v>
      </c>
      <c r="H224" t="str">
        <v>Net of separately stated A$6.0m roads and paths.</v>
      </c>
      <c r="I224"/>
      <c r="J224"/>
      <c r="K224"/>
      <c r="L224"/>
      <c r="M224"/>
      <c r="N224"/>
      <c r="O224"/>
      <c r="P224"/>
      <c r="Q224"/>
      <c r="R224"/>
      <c r="S224"/>
      <c r="T224"/>
      <c r="U224"/>
      <c r="V224"/>
      <c r="W224"/>
      <c r="X224"/>
      <c r="Y224"/>
      <c r="Z224"/>
      <c r="AA224"/>
      <c r="AB224"/>
      <c r="AC224"/>
      <c r="AD224"/>
      <c r="AE224"/>
      <c r="AF224"/>
      <c r="AG224"/>
      <c r="AH224"/>
      <c r="AI224"/>
      <c r="AJ224" t="str">
        <v>CMP-PBSA-LAND</v>
      </c>
      <c r="AK224" t="str">
        <v>Areas and capacities</v>
      </c>
      <c r="AL224" t="str">
        <v>PBSA/student accommodation</v>
      </c>
      <c r="AM224" t="str">
        <v>Component land area</v>
      </c>
      <c r="AN224" t="str">
        <v>sqm</v>
      </c>
      <c r="AO224" t="str">
        <v>Current</v>
      </c>
      <c r="AP224" t="n">
        <v>0</v>
      </c>
      <c r="AQ224"/>
      <c r="AR224"/>
      <c r="AS224" t="str">
        <v>PROJECT CASH FLOW | F9</v>
      </c>
      <c r="AT224" t="n">
        <v>46228</v>
      </c>
      <c r="AU224" t="str">
        <v>Mapped</v>
      </c>
      <c r="AV224" t="str">
        <v>Model owner</v>
      </c>
      <c r="AW224" t="str">
        <v>Vertically integrated use; no separate land area in the source schedule.</v>
      </c>
    </row>
    <row r="225">
      <c r="A225" t="str">
        <v>CAPEX-PM</v>
      </c>
      <c r="B225" t="str">
        <v>Project Management / Consultants / Services</v>
      </c>
      <c r="C225" t="n">
        <v>0</v>
      </c>
      <c r="D225" t="n">
        <v>18</v>
      </c>
      <c r="E225" t="n">
        <v>0</v>
      </c>
      <c r="F225" t="n">
        <f>PROJECTS!$AP$51</f>
        <v>18</v>
      </c>
      <c r="G225" t="str">
        <v>PROJECT CASH FLOW!H25:J25</v>
      </c>
      <c r="H225" t="str">
        <v>Included in detailed component CAPEX; no duplicate soft-cost uplift.</v>
      </c>
      <c r="I225"/>
      <c r="J225"/>
      <c r="K225"/>
      <c r="L225"/>
      <c r="M225"/>
      <c r="N225"/>
      <c r="O225"/>
      <c r="P225"/>
      <c r="Q225"/>
      <c r="R225"/>
      <c r="S225"/>
      <c r="T225"/>
      <c r="U225"/>
      <c r="V225"/>
      <c r="W225"/>
      <c r="X225"/>
      <c r="Y225"/>
      <c r="Z225"/>
      <c r="AA225"/>
      <c r="AB225"/>
      <c r="AC225"/>
      <c r="AD225"/>
      <c r="AE225"/>
      <c r="AF225"/>
      <c r="AG225"/>
      <c r="AH225"/>
      <c r="AI225"/>
      <c r="AJ225" t="str">
        <v>CMP-PBSA-CORE</v>
      </c>
      <c r="AK225" t="str">
        <v>Development capex</v>
      </c>
      <c r="AL225" t="str">
        <v>PBSA/student accommodation</v>
      </c>
      <c r="AM225" t="str">
        <v>Core / shell CAPEX</v>
      </c>
      <c r="AN225" t="str">
        <v>A$m</v>
      </c>
      <c r="AO225" t="str">
        <v>Current budget</v>
      </c>
      <c r="AP225" t="n">
        <v>87.57</v>
      </c>
      <c r="AQ225"/>
      <c r="AR225"/>
      <c r="AS225" t="str">
        <v>PROJECT CASH FLOW | H9</v>
      </c>
      <c r="AT225" t="n">
        <v>46228</v>
      </c>
      <c r="AU225" t="str">
        <v>Mapped</v>
      </c>
      <c r="AV225" t="str">
        <v>Model owner</v>
      </c>
      <c r="AW225" t="str">
        <v>Current detailed data-book amount.</v>
      </c>
    </row>
    <row r="226">
      <c r="A226" t="str">
        <v>All roof / solar duplicate adjustments are A$0.000; current detailed data-book component budgets are treated as post-CEO roof correction.</v>
      </c>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t="str">
        <v>CMP-PBSA-FIT</v>
      </c>
      <c r="AK226" t="str">
        <v>Development capex</v>
      </c>
      <c r="AL226" t="str">
        <v>PBSA/student accommodation</v>
      </c>
      <c r="AM226" t="str">
        <v>Fit-out CAPEX</v>
      </c>
      <c r="AN226" t="str">
        <v>A$m</v>
      </c>
      <c r="AO226" t="str">
        <v>Current budget</v>
      </c>
      <c r="AP226" t="n">
        <v>26.63</v>
      </c>
      <c r="AQ226"/>
      <c r="AR226"/>
      <c r="AS226" t="str">
        <v>PROJECT CASH FLOW | I9</v>
      </c>
      <c r="AT226" t="n">
        <v>46228</v>
      </c>
      <c r="AU226" t="str">
        <v>Mapped</v>
      </c>
      <c r="AV226" t="str">
        <v>Model owner</v>
      </c>
      <c r="AW226" t="str">
        <v>Current detailed data-book amount.</v>
      </c>
    </row>
    <row r="227">
      <c r="A227" t="str">
        <v>CONTROLS</v>
      </c>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t="str">
        <v>CMP-LIVE-FP</v>
      </c>
      <c r="AK227" t="str">
        <v>Areas and capacities</v>
      </c>
      <c r="AL227" t="str">
        <v>LiveHouse</v>
      </c>
      <c r="AM227" t="str">
        <v>Component footprint</v>
      </c>
      <c r="AN227" t="str">
        <v>sqm</v>
      </c>
      <c r="AO227" t="str">
        <v>Current</v>
      </c>
      <c r="AP227" t="n">
        <v>9000</v>
      </c>
      <c r="AQ227"/>
      <c r="AR227"/>
      <c r="AS227" t="str">
        <v>PROJECT CASH FLOW | E10</v>
      </c>
      <c r="AT227" t="n">
        <v>46228</v>
      </c>
      <c r="AU227" t="str">
        <v>Mapped</v>
      </c>
      <c r="AV227" t="str">
        <v>Model owner</v>
      </c>
      <c r="AW227" t="str">
        <v>Central source input for the LiveHouse component schedule.</v>
      </c>
    </row>
    <row r="228">
      <c r="A228" t="str">
        <v>Control</v>
      </c>
      <c r="B228" t="str">
        <v>Result</v>
      </c>
      <c r="C228" t="str">
        <v>Basis</v>
      </c>
      <c r="D228"/>
      <c r="E228"/>
      <c r="F228"/>
      <c r="G228"/>
      <c r="H228"/>
      <c r="I228"/>
      <c r="J228"/>
      <c r="K228"/>
      <c r="L228"/>
      <c r="M228"/>
      <c r="N228"/>
      <c r="O228"/>
      <c r="P228"/>
      <c r="Q228"/>
      <c r="R228"/>
      <c r="S228"/>
      <c r="T228"/>
      <c r="U228"/>
      <c r="V228"/>
      <c r="W228"/>
      <c r="X228"/>
      <c r="Y228"/>
      <c r="Z228"/>
      <c r="AA228"/>
      <c r="AB228"/>
      <c r="AC228"/>
      <c r="AD228"/>
      <c r="AE228"/>
      <c r="AF228"/>
      <c r="AG228"/>
      <c r="AH228"/>
      <c r="AI228"/>
      <c r="AJ228" t="str">
        <v>CMP-LIVE-LAND</v>
      </c>
      <c r="AK228" t="str">
        <v>Areas and capacities</v>
      </c>
      <c r="AL228" t="str">
        <v>LiveHouse</v>
      </c>
      <c r="AM228" t="str">
        <v>Component land area</v>
      </c>
      <c r="AN228" t="str">
        <v>sqm</v>
      </c>
      <c r="AO228" t="str">
        <v>Current</v>
      </c>
      <c r="AP228" t="n">
        <v>9000</v>
      </c>
      <c r="AQ228"/>
      <c r="AR228"/>
      <c r="AS228" t="str">
        <v>PROJECT CASH FLOW | F10</v>
      </c>
      <c r="AT228" t="n">
        <v>46228</v>
      </c>
      <c r="AU228" t="str">
        <v>Mapped</v>
      </c>
      <c r="AV228" t="str">
        <v>Model owner</v>
      </c>
      <c r="AW228" t="str">
        <v>Source component land allocation.</v>
      </c>
    </row>
    <row r="229">
      <c r="A229" t="str">
        <v>Precinct roof counted once</v>
      </c>
      <c r="B229" t="str">
        <f>IF(AND(ABS(D205-12)&lt;0.000001,PROJECTS!$AP$213=0),"OK","EXCEPTION: precinct roof")</f>
        <v>OK</v>
      </c>
      <c r="C229" t="str">
        <v>Central A$12.0m allowance; no component duplicate adjustment</v>
      </c>
      <c r="D229"/>
      <c r="E229"/>
      <c r="F229"/>
      <c r="G229"/>
      <c r="H229"/>
      <c r="I229"/>
      <c r="J229"/>
      <c r="K229"/>
      <c r="L229"/>
      <c r="M229"/>
      <c r="N229"/>
      <c r="O229"/>
      <c r="P229"/>
      <c r="Q229"/>
      <c r="R229"/>
      <c r="S229"/>
      <c r="T229"/>
      <c r="U229"/>
      <c r="V229"/>
      <c r="W229"/>
      <c r="X229"/>
      <c r="Y229"/>
      <c r="Z229"/>
      <c r="AA229"/>
      <c r="AB229"/>
      <c r="AC229"/>
      <c r="AD229"/>
      <c r="AE229"/>
      <c r="AF229"/>
      <c r="AG229"/>
      <c r="AH229"/>
      <c r="AI229"/>
      <c r="AJ229" t="str">
        <v>CMP-LIVE-CORE</v>
      </c>
      <c r="AK229" t="str">
        <v>Development capex</v>
      </c>
      <c r="AL229" t="str">
        <v>LiveHouse</v>
      </c>
      <c r="AM229" t="str">
        <v>Core / shell CAPEX</v>
      </c>
      <c r="AN229" t="str">
        <v>A$m</v>
      </c>
      <c r="AO229" t="str">
        <v>Current budget</v>
      </c>
      <c r="AP229" t="n">
        <v>12.84499125</v>
      </c>
      <c r="AQ229"/>
      <c r="AR229"/>
      <c r="AS229" t="str">
        <v>PROJECT CASH FLOW | H10</v>
      </c>
      <c r="AT229" t="n">
        <v>46228</v>
      </c>
      <c r="AU229" t="str">
        <v>Mapped</v>
      </c>
      <c r="AV229" t="str">
        <v>Model owner</v>
      </c>
      <c r="AW229" t="str">
        <v>Current detailed data-book amount.</v>
      </c>
    </row>
    <row r="230">
      <c r="A230" t="str">
        <v>Landscape programme</v>
      </c>
      <c r="B230" t="str">
        <f>IF(ABS(SUM(D202,D206)-PROJECTS!$AP$214)&lt;0.000001,"OK","EXCEPTION: landscape programme")</f>
        <v>OK</v>
      </c>
      <c r="C230" t="str">
        <v>Roads/paths plus The Bend Common equals A$21.07m</v>
      </c>
      <c r="D230"/>
      <c r="E230"/>
      <c r="F230"/>
      <c r="G230"/>
      <c r="H230"/>
      <c r="I230"/>
      <c r="J230"/>
      <c r="K230"/>
      <c r="L230"/>
      <c r="M230"/>
      <c r="N230"/>
      <c r="O230"/>
      <c r="P230"/>
      <c r="Q230"/>
      <c r="R230"/>
      <c r="S230"/>
      <c r="T230"/>
      <c r="U230"/>
      <c r="V230"/>
      <c r="W230"/>
      <c r="X230"/>
      <c r="Y230"/>
      <c r="Z230"/>
      <c r="AA230"/>
      <c r="AB230"/>
      <c r="AC230"/>
      <c r="AD230"/>
      <c r="AE230"/>
      <c r="AF230"/>
      <c r="AG230"/>
      <c r="AH230"/>
      <c r="AI230"/>
      <c r="AJ230" t="str">
        <v>CMP-LIVE-FIT</v>
      </c>
      <c r="AK230" t="str">
        <v>Development capex</v>
      </c>
      <c r="AL230" t="str">
        <v>LiveHouse</v>
      </c>
      <c r="AM230" t="str">
        <v>Fit-out CAPEX</v>
      </c>
      <c r="AN230" t="str">
        <v>A$m</v>
      </c>
      <c r="AO230" t="str">
        <v>Current budget</v>
      </c>
      <c r="AP230" t="n">
        <v>6.91653375</v>
      </c>
      <c r="AQ230"/>
      <c r="AR230"/>
      <c r="AS230" t="str">
        <v>PROJECT CASH FLOW | I10</v>
      </c>
      <c r="AT230" t="n">
        <v>46228</v>
      </c>
      <c r="AU230" t="str">
        <v>Mapped</v>
      </c>
      <c r="AV230" t="str">
        <v>Model owner</v>
      </c>
      <c r="AW230" t="str">
        <v>Current detailed data-book amount.</v>
      </c>
    </row>
    <row r="231">
      <c r="A231" t="str">
        <v>Project management included once</v>
      </c>
      <c r="B231" t="str">
        <f>IF(ABS(D207-18)&lt;0.000001,"OK","EXCEPTION: project management")</f>
        <v>OK</v>
      </c>
      <c r="C231" t="str">
        <v>A$18.0m is inside component CAPEX; target soft-cost uplift is zero</v>
      </c>
      <c r="D231"/>
      <c r="E231"/>
      <c r="F231"/>
      <c r="G231"/>
      <c r="H231"/>
      <c r="I231"/>
      <c r="J231"/>
      <c r="K231"/>
      <c r="L231"/>
      <c r="M231"/>
      <c r="N231"/>
      <c r="O231"/>
      <c r="P231"/>
      <c r="Q231"/>
      <c r="R231"/>
      <c r="S231"/>
      <c r="T231"/>
      <c r="U231"/>
      <c r="V231"/>
      <c r="W231"/>
      <c r="X231"/>
      <c r="Y231"/>
      <c r="Z231"/>
      <c r="AA231"/>
      <c r="AB231"/>
      <c r="AC231"/>
      <c r="AD231"/>
      <c r="AE231"/>
      <c r="AF231"/>
      <c r="AG231"/>
      <c r="AH231"/>
      <c r="AI231"/>
      <c r="AJ231" t="str">
        <v>CMP-SNOW-FP</v>
      </c>
      <c r="AK231" t="str">
        <v>Areas and capacities</v>
      </c>
      <c r="AL231" t="str">
        <v>Snowtunnel</v>
      </c>
      <c r="AM231" t="str">
        <v>Component footprint</v>
      </c>
      <c r="AN231" t="str">
        <v>sqm</v>
      </c>
      <c r="AO231" t="str">
        <v>Current</v>
      </c>
      <c r="AP231" t="n">
        <v>3800</v>
      </c>
      <c r="AQ231"/>
      <c r="AR231"/>
      <c r="AS231" t="str">
        <v>PROJECT CASH FLOW | E14</v>
      </c>
      <c r="AT231" t="n">
        <v>46228</v>
      </c>
      <c r="AU231" t="str">
        <v>Mapped</v>
      </c>
      <c r="AV231" t="str">
        <v>Model owner</v>
      </c>
      <c r="AW231" t="str">
        <v>Central source input for the Snowtunnel component schedule.</v>
      </c>
    </row>
    <row r="232">
      <c r="A232" t="str">
        <v>Ancillary links are formulas</v>
      </c>
      <c r="B232" t="str">
        <f>IF(COUNT(D197:D210)=14,"OK","EXCEPTION: ancillary links")</f>
        <v>OK</v>
      </c>
      <c r="C232" t="str">
        <v>All live values link to PROJECT DATA</v>
      </c>
      <c r="D232"/>
      <c r="E232"/>
      <c r="F232"/>
      <c r="G232"/>
      <c r="H232"/>
      <c r="I232"/>
      <c r="J232"/>
      <c r="K232"/>
      <c r="L232"/>
      <c r="M232"/>
      <c r="N232"/>
      <c r="O232"/>
      <c r="P232"/>
      <c r="Q232"/>
      <c r="R232"/>
      <c r="S232"/>
      <c r="T232"/>
      <c r="U232"/>
      <c r="V232"/>
      <c r="W232"/>
      <c r="X232"/>
      <c r="Y232"/>
      <c r="Z232"/>
      <c r="AA232"/>
      <c r="AB232"/>
      <c r="AC232"/>
      <c r="AD232"/>
      <c r="AE232"/>
      <c r="AF232"/>
      <c r="AG232"/>
      <c r="AH232"/>
      <c r="AI232"/>
      <c r="AJ232" t="str">
        <v>CMP-SNOW-LAND</v>
      </c>
      <c r="AK232" t="str">
        <v>Areas and capacities</v>
      </c>
      <c r="AL232" t="str">
        <v>Snowtunnel</v>
      </c>
      <c r="AM232" t="str">
        <v>Component land area</v>
      </c>
      <c r="AN232" t="str">
        <v>sqm</v>
      </c>
      <c r="AO232" t="str">
        <v>Current</v>
      </c>
      <c r="AP232" t="n">
        <v>300</v>
      </c>
      <c r="AQ232"/>
      <c r="AR232"/>
      <c r="AS232" t="str">
        <v>PROJECT CASH FLOW | F14</v>
      </c>
      <c r="AT232" t="n">
        <v>46228</v>
      </c>
      <c r="AU232" t="str">
        <v>Mapped</v>
      </c>
      <c r="AV232" t="str">
        <v>Model owner</v>
      </c>
      <c r="AW232" t="str">
        <v>Source component land allocation.</v>
      </c>
    </row>
    <row r="233">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t="str">
        <v>CMP-SNOW-CORE</v>
      </c>
      <c r="AK233" t="str">
        <v>Development capex</v>
      </c>
      <c r="AL233" t="str">
        <v>Snowtunnel</v>
      </c>
      <c r="AM233" t="str">
        <v>Core / shell CAPEX</v>
      </c>
      <c r="AN233" t="str">
        <v>A$m</v>
      </c>
      <c r="AO233" t="str">
        <v>Current budget</v>
      </c>
      <c r="AP233" t="n">
        <v>13</v>
      </c>
      <c r="AQ233"/>
      <c r="AR233"/>
      <c r="AS233" t="str">
        <v>PROJECT CASH FLOW | H14</v>
      </c>
      <c r="AT233" t="n">
        <v>46228</v>
      </c>
      <c r="AU233" t="str">
        <v>Mapped</v>
      </c>
      <c r="AV233" t="str">
        <v>Model owner</v>
      </c>
      <c r="AW233" t="str">
        <v>Current detailed data-book amount.</v>
      </c>
    </row>
    <row r="234">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t="str">
        <v>CMP-SNOW-FIT</v>
      </c>
      <c r="AK234" t="str">
        <v>Development capex</v>
      </c>
      <c r="AL234" t="str">
        <v>Snowtunnel</v>
      </c>
      <c r="AM234" t="str">
        <v>Fit-out CAPEX</v>
      </c>
      <c r="AN234" t="str">
        <v>A$m</v>
      </c>
      <c r="AO234" t="str">
        <v>Current budget</v>
      </c>
      <c r="AP234" t="n">
        <v>0</v>
      </c>
      <c r="AQ234"/>
      <c r="AR234"/>
      <c r="AS234" t="str">
        <v>PROJECT CASH FLOW | I14</v>
      </c>
      <c r="AT234" t="n">
        <v>46228</v>
      </c>
      <c r="AU234" t="str">
        <v>Mapped</v>
      </c>
      <c r="AV234" t="str">
        <v>Model owner</v>
      </c>
      <c r="AW234" t="str">
        <v>Current detailed data-book amount.</v>
      </c>
    </row>
    <row r="235">
      <c r="A235" t="str">
        <v>PROJECT-WIDE CAPEX, FUNDING BRIDGE &amp; CONTROLS</v>
      </c>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t="str">
        <v>CMP-GEN-FP</v>
      </c>
      <c r="AK235" t="str">
        <v>Areas and capacities</v>
      </c>
      <c r="AL235" t="str">
        <v>Genesis</v>
      </c>
      <c r="AM235" t="str">
        <v>Component footprint</v>
      </c>
      <c r="AN235" t="str">
        <v>sqm</v>
      </c>
      <c r="AO235" t="str">
        <v>Current</v>
      </c>
      <c r="AP235" t="n">
        <v>4000</v>
      </c>
      <c r="AQ235"/>
      <c r="AR235"/>
      <c r="AS235" t="str">
        <v>PROJECT CASH FLOW | E12</v>
      </c>
      <c r="AT235" t="n">
        <v>46228</v>
      </c>
      <c r="AU235" t="str">
        <v>Mapped</v>
      </c>
      <c r="AV235" t="str">
        <v>Model owner</v>
      </c>
      <c r="AW235" t="str">
        <v>Central source input for the Genesis component schedule.</v>
      </c>
    </row>
    <row r="236">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t="str">
        <v>CMP-GEN-LAND</v>
      </c>
      <c r="AK236" t="str">
        <v>Areas and capacities</v>
      </c>
      <c r="AL236" t="str">
        <v>Genesis</v>
      </c>
      <c r="AM236" t="str">
        <v>Component land area</v>
      </c>
      <c r="AN236" t="str">
        <v>sqm</v>
      </c>
      <c r="AO236" t="str">
        <v>Current</v>
      </c>
      <c r="AP236" t="n">
        <v>200</v>
      </c>
      <c r="AQ236"/>
      <c r="AR236"/>
      <c r="AS236" t="str">
        <v>PROJECT CASH FLOW | F12</v>
      </c>
      <c r="AT236" t="n">
        <v>46228</v>
      </c>
      <c r="AU236" t="str">
        <v>Mapped</v>
      </c>
      <c r="AV236" t="str">
        <v>Model owner</v>
      </c>
      <c r="AW236" t="str">
        <v>Source component land allocation.</v>
      </c>
    </row>
    <row r="237">
      <c r="A237" t="str">
        <v>PBSA CAPEX | SEPARATE PROJECT SCHEDULE</v>
      </c>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t="str">
        <v>CMP-GEN-CORE</v>
      </c>
      <c r="AK237" t="str">
        <v>Development capex</v>
      </c>
      <c r="AL237" t="str">
        <v>Genesis</v>
      </c>
      <c r="AM237" t="str">
        <v>Core / shell CAPEX</v>
      </c>
      <c r="AN237" t="str">
        <v>A$m</v>
      </c>
      <c r="AO237" t="str">
        <v>Current budget</v>
      </c>
      <c r="AP237" t="n">
        <v>14.5</v>
      </c>
      <c r="AQ237"/>
      <c r="AR237"/>
      <c r="AS237" t="str">
        <v>PROJECT CASH FLOW | H12</v>
      </c>
      <c r="AT237" t="n">
        <v>46228</v>
      </c>
      <c r="AU237" t="str">
        <v>Mapped</v>
      </c>
      <c r="AV237" t="str">
        <v>Model owner</v>
      </c>
      <c r="AW237" t="str">
        <v>Current detailed data-book amount.</v>
      </c>
    </row>
    <row r="238">
      <c r="A238" t="str">
        <v>Field ID</v>
      </c>
      <c r="B238" t="str">
        <v>Component</v>
      </c>
      <c r="C238" t="str">
        <v>GFA / Area (sqm)</v>
      </c>
      <c r="D238" t="str">
        <v>Core / Shell</v>
      </c>
      <c r="E238" t="str">
        <v>Fitout</v>
      </c>
      <c r="F238" t="str">
        <v>Model Net CAPEX</v>
      </c>
      <c r="G238" t="str">
        <v>Source</v>
      </c>
      <c r="H238" t="str">
        <v>Status / Note</v>
      </c>
      <c r="I238"/>
      <c r="J238"/>
      <c r="K238"/>
      <c r="L238"/>
      <c r="M238"/>
      <c r="N238"/>
      <c r="O238"/>
      <c r="P238"/>
      <c r="Q238"/>
      <c r="R238"/>
      <c r="S238"/>
      <c r="T238"/>
      <c r="U238"/>
      <c r="V238"/>
      <c r="W238"/>
      <c r="X238"/>
      <c r="Y238"/>
      <c r="Z238"/>
      <c r="AA238"/>
      <c r="AB238"/>
      <c r="AC238"/>
      <c r="AD238"/>
      <c r="AE238"/>
      <c r="AF238"/>
      <c r="AG238"/>
      <c r="AH238"/>
      <c r="AI238"/>
      <c r="AJ238" t="str">
        <v>CMP-GEN-FIT</v>
      </c>
      <c r="AK238" t="str">
        <v>Development capex</v>
      </c>
      <c r="AL238" t="str">
        <v>Genesis</v>
      </c>
      <c r="AM238" t="str">
        <v>Fit-out CAPEX</v>
      </c>
      <c r="AN238" t="str">
        <v>A$m</v>
      </c>
      <c r="AO238" t="str">
        <v>Current budget</v>
      </c>
      <c r="AP238" t="n">
        <v>0</v>
      </c>
      <c r="AQ238"/>
      <c r="AR238"/>
      <c r="AS238" t="str">
        <v>PROJECT CASH FLOW | I12</v>
      </c>
      <c r="AT238" t="n">
        <v>46228</v>
      </c>
      <c r="AU238" t="str">
        <v>Mapped</v>
      </c>
      <c r="AV238" t="str">
        <v>Model owner</v>
      </c>
      <c r="AW238" t="str">
        <v>Current detailed data-book amount.</v>
      </c>
    </row>
    <row r="239">
      <c r="A239" t="str">
        <v>CAPEX-PBSA</v>
      </c>
      <c r="B239" t="str">
        <v>PBSA / Student Accommodation</v>
      </c>
      <c r="C239" t="n">
        <f>PROJECTS!$AP$21</f>
        <v>20000</v>
      </c>
      <c r="D239" t="n">
        <v>87.57</v>
      </c>
      <c r="E239" t="n">
        <v>26.63</v>
      </c>
      <c r="F239" t="n">
        <f>PROJECTS!$AP$35</f>
        <v>114.2</v>
      </c>
      <c r="G239" t="str">
        <v>PROJECT CASH FLOW!H9:J9</v>
      </c>
      <c r="H239" t="str">
        <v>Current detailed data-book budget treated as post-CEO roof correction.</v>
      </c>
      <c r="I239"/>
      <c r="J239"/>
      <c r="K239"/>
      <c r="L239"/>
      <c r="M239"/>
      <c r="N239"/>
      <c r="O239"/>
      <c r="P239"/>
      <c r="Q239"/>
      <c r="R239"/>
      <c r="S239"/>
      <c r="T239"/>
      <c r="U239"/>
      <c r="V239"/>
      <c r="W239"/>
      <c r="X239"/>
      <c r="Y239"/>
      <c r="Z239"/>
      <c r="AA239"/>
      <c r="AB239"/>
      <c r="AC239"/>
      <c r="AD239"/>
      <c r="AE239"/>
      <c r="AF239"/>
      <c r="AG239"/>
      <c r="AH239"/>
      <c r="AI239"/>
      <c r="AJ239" t="str">
        <v>CMP-PARK-FP</v>
      </c>
      <c r="AK239" t="str">
        <v>Areas and capacities</v>
      </c>
      <c r="AL239" t="str">
        <v>Parking</v>
      </c>
      <c r="AM239" t="str">
        <v>Component footprint</v>
      </c>
      <c r="AN239" t="str">
        <v>sqm</v>
      </c>
      <c r="AO239" t="str">
        <v>Current</v>
      </c>
      <c r="AP239" t="n">
        <v>4000</v>
      </c>
      <c r="AQ239"/>
      <c r="AR239"/>
      <c r="AS239" t="str">
        <v>PROJECT CASH FLOW | E13</v>
      </c>
      <c r="AT239" t="n">
        <v>46228</v>
      </c>
      <c r="AU239" t="str">
        <v>Mapped</v>
      </c>
      <c r="AV239" t="str">
        <v>Model owner</v>
      </c>
      <c r="AW239" t="str">
        <v>Central source input for the parking component schedule.</v>
      </c>
    </row>
    <row r="240">
      <c r="A240" t="str">
        <v>TOTAL DETAILED COMPONENT CAPEX</v>
      </c>
      <c r="B240"/>
      <c r="C240"/>
      <c r="D240"/>
      <c r="E240"/>
      <c r="F240" t="n">
        <f>SUM(F20,F47,F74,F101,F128,F155,F215:F225,F239)</f>
        <v>342.42300648148154</v>
      </c>
      <c r="G240" t="str">
        <v>Roof / solar duplicate adjustment: A$0.000</v>
      </c>
      <c r="H240"/>
      <c r="I240"/>
      <c r="J240"/>
      <c r="K240"/>
      <c r="L240"/>
      <c r="M240"/>
      <c r="N240"/>
      <c r="O240"/>
      <c r="P240"/>
      <c r="Q240"/>
      <c r="R240"/>
      <c r="S240"/>
      <c r="T240"/>
      <c r="U240"/>
      <c r="V240"/>
      <c r="W240"/>
      <c r="X240"/>
      <c r="Y240"/>
      <c r="Z240"/>
      <c r="AA240"/>
      <c r="AB240"/>
      <c r="AC240"/>
      <c r="AD240"/>
      <c r="AE240"/>
      <c r="AF240"/>
      <c r="AG240"/>
      <c r="AH240"/>
      <c r="AI240"/>
      <c r="AJ240" t="str">
        <v>CMP-PARK-LAND</v>
      </c>
      <c r="AK240" t="str">
        <v>Areas and capacities</v>
      </c>
      <c r="AL240" t="str">
        <v>Parking</v>
      </c>
      <c r="AM240" t="str">
        <v>Component land area</v>
      </c>
      <c r="AN240" t="str">
        <v>sqm</v>
      </c>
      <c r="AO240" t="str">
        <v>Current</v>
      </c>
      <c r="AP240" t="n">
        <v>4200</v>
      </c>
      <c r="AQ240"/>
      <c r="AR240"/>
      <c r="AS240" t="str">
        <v>PROJECT CASH FLOW | F13</v>
      </c>
      <c r="AT240" t="n">
        <v>46228</v>
      </c>
      <c r="AU240" t="str">
        <v>Mapped</v>
      </c>
      <c r="AV240" t="str">
        <v>Model owner</v>
      </c>
      <c r="AW240" t="str">
        <v>Source component land allocation.</v>
      </c>
    </row>
    <row r="24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t="str">
        <v>CMP-PARK-CORE</v>
      </c>
      <c r="AK241" t="str">
        <v>Development capex</v>
      </c>
      <c r="AL241" t="str">
        <v>Parking</v>
      </c>
      <c r="AM241" t="str">
        <v>Core / shell CAPEX</v>
      </c>
      <c r="AN241" t="str">
        <v>A$m</v>
      </c>
      <c r="AO241" t="str">
        <v>Current budget</v>
      </c>
      <c r="AP241" t="n">
        <v>30.22</v>
      </c>
      <c r="AQ241"/>
      <c r="AR241"/>
      <c r="AS241" t="str">
        <v>PROJECT CASH FLOW | H13</v>
      </c>
      <c r="AT241" t="n">
        <v>46228</v>
      </c>
      <c r="AU241" t="str">
        <v>Mapped</v>
      </c>
      <c r="AV241" t="str">
        <v>Model owner</v>
      </c>
      <c r="AW241" t="str">
        <v>Current detailed data-book amount.</v>
      </c>
    </row>
    <row r="242">
      <c r="A242" t="str">
        <v>CAPEX ADJUSTMENT PROVENANCE</v>
      </c>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t="str">
        <v>CMP-PARK-FIT</v>
      </c>
      <c r="AK242" t="str">
        <v>Development capex</v>
      </c>
      <c r="AL242" t="str">
        <v>Parking</v>
      </c>
      <c r="AM242" t="str">
        <v>Fit-out CAPEX</v>
      </c>
      <c r="AN242" t="str">
        <v>A$m</v>
      </c>
      <c r="AO242" t="str">
        <v>Current budget</v>
      </c>
      <c r="AP242" t="n">
        <v>0</v>
      </c>
      <c r="AQ242"/>
      <c r="AR242"/>
      <c r="AS242" t="str">
        <v>PROJECT CASH FLOW | I13</v>
      </c>
      <c r="AT242" t="n">
        <v>46228</v>
      </c>
      <c r="AU242" t="str">
        <v>Mapped</v>
      </c>
      <c r="AV242" t="str">
        <v>Model owner</v>
      </c>
      <c r="AW242" t="str">
        <v>Current detailed data-book amount.</v>
      </c>
    </row>
    <row r="243">
      <c r="A243" t="str">
        <v>Current detailed data-book component budgets are treated as post-CEO roof correction. No separate original budget, quantified adjustment, approval date or signed approval evidence was supplied. No unsupported deduction has therefore been introduced. Owner: CEO / Management. Status: confirmation required.</v>
      </c>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t="str">
        <v>CMP-STOR-FP</v>
      </c>
      <c r="AK243" t="str">
        <v>Areas and capacities</v>
      </c>
      <c r="AL243" t="str">
        <v>Storage</v>
      </c>
      <c r="AM243" t="str">
        <v>Component footprint</v>
      </c>
      <c r="AN243" t="str">
        <v>sqm</v>
      </c>
      <c r="AO243" t="str">
        <v>Current</v>
      </c>
      <c r="AP243" t="n">
        <v>600</v>
      </c>
      <c r="AQ243"/>
      <c r="AR243"/>
      <c r="AS243" t="str">
        <v>PROJECT CASH FLOW | E17</v>
      </c>
      <c r="AT243" t="n">
        <v>46228</v>
      </c>
      <c r="AU243" t="str">
        <v>Mapped</v>
      </c>
      <c r="AV243" t="str">
        <v>Model owner</v>
      </c>
      <c r="AW243" t="str">
        <v>Central source input for the storage component schedule.</v>
      </c>
    </row>
    <row r="244">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t="str">
        <v>CMP-STOR-LAND</v>
      </c>
      <c r="AK244" t="str">
        <v>Areas and capacities</v>
      </c>
      <c r="AL244" t="str">
        <v>Storage</v>
      </c>
      <c r="AM244" t="str">
        <v>Component land area</v>
      </c>
      <c r="AN244" t="str">
        <v>sqm</v>
      </c>
      <c r="AO244" t="str">
        <v>Current</v>
      </c>
      <c r="AP244" t="n">
        <v>0</v>
      </c>
      <c r="AQ244"/>
      <c r="AR244"/>
      <c r="AS244" t="str">
        <v>PROJECT CASH FLOW | F17</v>
      </c>
      <c r="AT244" t="n">
        <v>46228</v>
      </c>
      <c r="AU244" t="str">
        <v>Mapped</v>
      </c>
      <c r="AV244" t="str">
        <v>Model owner</v>
      </c>
      <c r="AW244" t="str">
        <v>No separate land area in the source schedule.</v>
      </c>
    </row>
    <row r="245">
      <c r="A245" t="str">
        <v>PROJECT FUNDING BRIDGE | A$ MILLION</v>
      </c>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t="str">
        <v>CMP-STOR-CORE</v>
      </c>
      <c r="AK245" t="str">
        <v>Development capex</v>
      </c>
      <c r="AL245" t="str">
        <v>Storage</v>
      </c>
      <c r="AM245" t="str">
        <v>Core / shell CAPEX</v>
      </c>
      <c r="AN245" t="str">
        <v>A$m</v>
      </c>
      <c r="AO245" t="str">
        <v>Current budget</v>
      </c>
      <c r="AP245" t="n">
        <v>1</v>
      </c>
      <c r="AQ245"/>
      <c r="AR245"/>
      <c r="AS245" t="str">
        <v>PROJECT CASH FLOW | H17</v>
      </c>
      <c r="AT245" t="n">
        <v>46228</v>
      </c>
      <c r="AU245" t="str">
        <v>Mapped</v>
      </c>
      <c r="AV245" t="str">
        <v>Model owner</v>
      </c>
      <c r="AW245" t="str">
        <v>Current detailed data-book amount.</v>
      </c>
    </row>
    <row r="246">
      <c r="A246" t="str">
        <v>Bridge Line</v>
      </c>
      <c r="B246" t="str">
        <v>Amount</v>
      </c>
      <c r="C246" t="str">
        <v>Source</v>
      </c>
      <c r="D246" t="str">
        <v>Treatment</v>
      </c>
      <c r="E246"/>
      <c r="F246"/>
      <c r="G246"/>
      <c r="H246"/>
      <c r="I246"/>
      <c r="J246"/>
      <c r="K246"/>
      <c r="L246"/>
      <c r="M246"/>
      <c r="N246"/>
      <c r="O246"/>
      <c r="P246"/>
      <c r="Q246"/>
      <c r="R246"/>
      <c r="S246"/>
      <c r="T246"/>
      <c r="U246"/>
      <c r="V246"/>
      <c r="W246"/>
      <c r="X246"/>
      <c r="Y246"/>
      <c r="Z246"/>
      <c r="AA246"/>
      <c r="AB246"/>
      <c r="AC246"/>
      <c r="AD246"/>
      <c r="AE246"/>
      <c r="AF246"/>
      <c r="AG246"/>
      <c r="AH246"/>
      <c r="AI246"/>
      <c r="AJ246" t="str">
        <v>CMP-STOR-FIT</v>
      </c>
      <c r="AK246" t="str">
        <v>Development capex</v>
      </c>
      <c r="AL246" t="str">
        <v>Storage</v>
      </c>
      <c r="AM246" t="str">
        <v>Fit-out CAPEX</v>
      </c>
      <c r="AN246" t="str">
        <v>A$m</v>
      </c>
      <c r="AO246" t="str">
        <v>Current budget</v>
      </c>
      <c r="AP246" t="n">
        <v>0.5</v>
      </c>
      <c r="AQ246"/>
      <c r="AR246"/>
      <c r="AS246" t="str">
        <v>PROJECT CASH FLOW | I17</v>
      </c>
      <c r="AT246" t="n">
        <v>46228</v>
      </c>
      <c r="AU246" t="str">
        <v>Mapped</v>
      </c>
      <c r="AV246" t="str">
        <v>Model owner</v>
      </c>
      <c r="AW246" t="str">
        <v>Current detailed data-book amount.</v>
      </c>
    </row>
    <row r="247">
      <c r="A247" t="str">
        <v>Detailed component CAPEX</v>
      </c>
      <c r="B247" t="n">
        <f>PROJECTS!$AP$52</f>
        <v>342.423006481481</v>
      </c>
      <c r="C247" t="str">
        <v>PROJECT CASH FLOW!J26</v>
      </c>
      <c r="D247" t="str">
        <v>Gross development use</v>
      </c>
      <c r="E247"/>
      <c r="F247"/>
      <c r="G247"/>
      <c r="H247"/>
      <c r="I247"/>
      <c r="J247"/>
      <c r="K247"/>
      <c r="L247"/>
      <c r="M247"/>
      <c r="N247"/>
      <c r="O247"/>
      <c r="P247"/>
      <c r="Q247"/>
      <c r="R247"/>
      <c r="S247"/>
      <c r="T247"/>
      <c r="U247"/>
      <c r="V247"/>
      <c r="W247"/>
      <c r="X247"/>
      <c r="Y247"/>
      <c r="Z247"/>
      <c r="AA247"/>
      <c r="AB247"/>
      <c r="AC247"/>
      <c r="AD247"/>
      <c r="AE247"/>
      <c r="AF247"/>
      <c r="AG247"/>
      <c r="AH247"/>
      <c r="AI247"/>
      <c r="AJ247" t="str">
        <v>OPS-CONSTR-INFL</v>
      </c>
      <c r="AK247" t="str">
        <v>Operating assumptions</v>
      </c>
      <c r="AL247" t="str">
        <v>Project</v>
      </c>
      <c r="AM247" t="str">
        <v>Construction inflation</v>
      </c>
      <c r="AN247" t="str">
        <v>% p.a.</v>
      </c>
      <c r="AO247" t="str">
        <v>Annual</v>
      </c>
      <c r="AP247" t="n">
        <v>0.04</v>
      </c>
      <c r="AQ247" t="n">
        <v>0.04</v>
      </c>
      <c r="AR247" t="n">
        <v>0.04</v>
      </c>
      <c r="AS247" t="str">
        <v>MODEL DESIGN | D55</v>
      </c>
      <c r="AT247" t="n">
        <v>46228</v>
      </c>
      <c r="AU247" t="str">
        <v>Mapped</v>
      </c>
      <c r="AV247" t="str">
        <v>Model owner</v>
      </c>
      <c r="AW247" t="str">
        <v>Source assumption recorded for traceability; detailed current-dollar CAPEX is the controlling budget.</v>
      </c>
    </row>
    <row r="248">
      <c r="A248" t="str">
        <v>Site acquisition incl. stamp duty</v>
      </c>
      <c r="B248" t="n">
        <f>PROJECTS!$AP$171</f>
        <v>91.57</v>
      </c>
      <c r="C248" t="str">
        <v>PROJECT CASH FLOW!H30</v>
      </c>
      <c r="D248" t="str">
        <v>Gross development use</v>
      </c>
      <c r="E248"/>
      <c r="F248"/>
      <c r="G248"/>
      <c r="H248"/>
      <c r="I248"/>
      <c r="J248"/>
      <c r="K248"/>
      <c r="L248"/>
      <c r="M248"/>
      <c r="N248"/>
      <c r="O248"/>
      <c r="P248"/>
      <c r="Q248"/>
      <c r="R248"/>
      <c r="S248"/>
      <c r="T248"/>
      <c r="U248"/>
      <c r="V248"/>
      <c r="W248"/>
      <c r="X248"/>
      <c r="Y248"/>
      <c r="Z248"/>
      <c r="AA248"/>
      <c r="AB248"/>
      <c r="AC248"/>
      <c r="AD248"/>
      <c r="AE248"/>
      <c r="AF248"/>
      <c r="AG248"/>
      <c r="AH248"/>
      <c r="AI248"/>
      <c r="AJ248" t="str">
        <v>VAL-TERM-GROWTH</v>
      </c>
      <c r="AK248" t="str">
        <v>Valuation assumptions</v>
      </c>
      <c r="AL248" t="str">
        <v>Property</v>
      </c>
      <c r="AM248" t="str">
        <v>Terminal growth</v>
      </c>
      <c r="AN248" t="str">
        <v>% p.a.</v>
      </c>
      <c r="AO248" t="str">
        <v>Exit</v>
      </c>
      <c r="AP248" t="n">
        <v>0.025</v>
      </c>
      <c r="AQ248" t="n">
        <v>0.025</v>
      </c>
      <c r="AR248" t="n">
        <v>0.025</v>
      </c>
      <c r="AS248" t="str">
        <v>MODEL DESIGN | D72</v>
      </c>
      <c r="AT248" t="n">
        <v>46228</v>
      </c>
      <c r="AU248" t="str">
        <v>Mapped</v>
      </c>
      <c r="AV248" t="str">
        <v>Model owner</v>
      </c>
      <c r="AW248" t="str">
        <v>Source cross-check; terminal capitalisation remains the governing valuation method.</v>
      </c>
    </row>
    <row r="249">
      <c r="A249" t="str">
        <v>Interim site acquisition lease deposit</v>
      </c>
      <c r="B249" t="n">
        <f>PROJECTS!$AP$172</f>
        <v>0.75</v>
      </c>
      <c r="C249" t="str">
        <v>PROJECT CASH FLOW!H32</v>
      </c>
      <c r="D249" t="str">
        <v>Gross development use</v>
      </c>
      <c r="E249"/>
      <c r="F249"/>
      <c r="G249"/>
      <c r="H249"/>
      <c r="I249"/>
      <c r="J249"/>
      <c r="K249"/>
      <c r="L249"/>
      <c r="M249"/>
      <c r="N249"/>
      <c r="O249"/>
      <c r="P249"/>
      <c r="Q249"/>
      <c r="R249"/>
      <c r="S249"/>
      <c r="T249"/>
      <c r="U249"/>
      <c r="V249"/>
      <c r="W249"/>
      <c r="X249"/>
      <c r="Y249"/>
      <c r="Z249"/>
      <c r="AA249"/>
      <c r="AB249"/>
      <c r="AC249"/>
      <c r="AD249"/>
      <c r="AE249"/>
      <c r="AF249"/>
      <c r="AG249"/>
      <c r="AH249"/>
      <c r="AI249"/>
      <c r="AJ249" t="str">
        <v>DEBT-LOAN-TYPE</v>
      </c>
      <c r="AK249" t="str">
        <v>Debt and funding</v>
      </c>
      <c r="AL249" t="str">
        <v>Senior debt</v>
      </c>
      <c r="AM249" t="str">
        <v>Data-book loan type</v>
      </c>
      <c r="AN249" t="str">
        <v>Text</v>
      </c>
      <c r="AO249" t="str">
        <v>Construction and term</v>
      </c>
      <c r="AP249" t="str">
        <v>Interest Only</v>
      </c>
      <c r="AQ249"/>
      <c r="AR249"/>
      <c r="AS249" t="str">
        <v>MODEL DESIGN | D36</v>
      </c>
      <c r="AT249" t="n">
        <v>46228</v>
      </c>
      <c r="AU249" t="str">
        <v>Waived — OWNER DECISION</v>
      </c>
      <c r="AV249" t="str">
        <v>Model owner</v>
      </c>
      <c r="AW249" t="str">
        <v>Source alternative recorded for traceability; not activated until lender terms are confirmed. | The technical treatment is complete; external legal, lender, valuation or specialist evidence is still required.</v>
      </c>
    </row>
    <row r="250">
      <c r="A250" t="str">
        <v>Net infrastructure fund</v>
      </c>
      <c r="B250" t="n">
        <f>PROJECTS!$AP$173</f>
        <v>14.11362868</v>
      </c>
      <c r="C250" t="str">
        <v>PROJECT CASH FLOW!H36:H37</v>
      </c>
      <c r="D250" t="str">
        <v>Gross development use</v>
      </c>
      <c r="E250"/>
      <c r="F250"/>
      <c r="G250"/>
      <c r="H250"/>
      <c r="I250"/>
      <c r="J250"/>
      <c r="K250"/>
      <c r="L250"/>
      <c r="M250"/>
      <c r="N250"/>
      <c r="O250"/>
      <c r="P250"/>
      <c r="Q250"/>
      <c r="R250"/>
      <c r="S250"/>
      <c r="T250"/>
      <c r="U250"/>
      <c r="V250"/>
      <c r="W250"/>
      <c r="X250"/>
      <c r="Y250"/>
      <c r="Z250"/>
      <c r="AA250"/>
      <c r="AB250"/>
      <c r="AC250"/>
      <c r="AD250"/>
      <c r="AE250"/>
      <c r="AF250"/>
      <c r="AG250"/>
      <c r="AH250"/>
      <c r="AI250"/>
      <c r="AJ250" t="str">
        <v>DEBT-SENIOR-TERM</v>
      </c>
      <c r="AK250" t="str">
        <v>Debt and funding</v>
      </c>
      <c r="AL250" t="str">
        <v>Senior debt</v>
      </c>
      <c r="AM250" t="str">
        <v>Data-book loan term</v>
      </c>
      <c r="AN250" t="str">
        <v>Years</v>
      </c>
      <c r="AO250" t="str">
        <v>Post-conversion</v>
      </c>
      <c r="AP250" t="n">
        <v>10</v>
      </c>
      <c r="AQ250"/>
      <c r="AR250"/>
      <c r="AS250" t="str">
        <v>MODEL DESIGN | D37</v>
      </c>
      <c r="AT250" t="n">
        <v>46228</v>
      </c>
      <c r="AU250" t="str">
        <v>Waived — OWNER DECISION</v>
      </c>
      <c r="AV250" t="str">
        <v>Model owner</v>
      </c>
      <c r="AW250" t="str">
        <v>Source alternative recorded for traceability; the live five-year assumption remains illustrative pending lender confirmation. | The technical treatment is complete; external legal, lender, valuation or specialist evidence is still required.</v>
      </c>
    </row>
    <row r="251">
      <c r="A251" t="str">
        <v>Gross development investment</v>
      </c>
      <c r="B251" t="n">
        <f>SUM(B247:B250)</f>
        <v>448.856635161481</v>
      </c>
      <c r="C251" t="str">
        <v>PROJECT CASH FLOW!H38</v>
      </c>
      <c r="D251" t="str">
        <v>Control subtotal</v>
      </c>
      <c r="E251"/>
      <c r="F251"/>
      <c r="G251"/>
      <c r="H251"/>
      <c r="I251"/>
      <c r="J251"/>
      <c r="K251"/>
      <c r="L251"/>
      <c r="M251"/>
      <c r="N251"/>
      <c r="O251"/>
      <c r="P251"/>
      <c r="Q251"/>
      <c r="R251"/>
      <c r="S251"/>
      <c r="T251"/>
      <c r="U251"/>
      <c r="V251"/>
      <c r="W251"/>
      <c r="X251"/>
      <c r="Y251"/>
      <c r="Z251"/>
      <c r="AA251"/>
      <c r="AB251"/>
      <c r="AC251"/>
      <c r="AD251"/>
      <c r="AE251"/>
      <c r="AF251"/>
      <c r="AG251"/>
      <c r="AH251"/>
      <c r="AI251"/>
      <c r="AJ251" t="str">
        <v>DEBT-IDC-TREAT</v>
      </c>
      <c r="AK251" t="str">
        <v>Debt and funding</v>
      </c>
      <c r="AL251" t="str">
        <v>Construction facility</v>
      </c>
      <c r="AM251" t="str">
        <v>IDC treatment</v>
      </c>
      <c r="AN251" t="str">
        <v>Text</v>
      </c>
      <c r="AO251" t="str">
        <v>Construction</v>
      </c>
      <c r="AP251" t="str">
        <v>During Construction</v>
      </c>
      <c r="AQ251"/>
      <c r="AR251"/>
      <c r="AS251" t="str">
        <v>MODEL DESIGN | D38</v>
      </c>
      <c r="AT251" t="n">
        <v>46228</v>
      </c>
      <c r="AU251" t="str">
        <v>Mapped</v>
      </c>
      <c r="AV251" t="str">
        <v>Model owner</v>
      </c>
      <c r="AW251" t="str">
        <v>Capitalised interest is calculated once on the debt schedule.</v>
      </c>
    </row>
    <row r="252">
      <c r="A252" t="str">
        <v>ARENA grant</v>
      </c>
      <c r="B252" t="n">
        <f>PROJECTS!$AP$174</f>
        <v>-5</v>
      </c>
      <c r="C252" t="str">
        <v>PROJECT CASH FLOW!H39</v>
      </c>
      <c r="D252" t="str">
        <v>Funding source / negative use</v>
      </c>
      <c r="E252"/>
      <c r="F252"/>
      <c r="G252"/>
      <c r="H252"/>
      <c r="I252"/>
      <c r="J252"/>
      <c r="K252"/>
      <c r="L252"/>
      <c r="M252"/>
      <c r="N252"/>
      <c r="O252"/>
      <c r="P252"/>
      <c r="Q252"/>
      <c r="R252"/>
      <c r="S252"/>
      <c r="T252"/>
      <c r="U252"/>
      <c r="V252"/>
      <c r="W252"/>
      <c r="X252"/>
      <c r="Y252"/>
      <c r="Z252"/>
      <c r="AA252"/>
      <c r="AB252"/>
      <c r="AC252"/>
      <c r="AD252"/>
      <c r="AE252"/>
      <c r="AF252"/>
      <c r="AG252"/>
      <c r="AH252"/>
      <c r="AI252"/>
      <c r="AJ252" t="str">
        <v>GST-TREATMENT</v>
      </c>
      <c r="AK252" t="str">
        <v>Tax and GST</v>
      </c>
      <c r="AL252" t="str">
        <v>Project</v>
      </c>
      <c r="AM252" t="str">
        <v>Source GST treatment</v>
      </c>
      <c r="AN252" t="str">
        <v>Text</v>
      </c>
      <c r="AO252" t="str">
        <v>Current</v>
      </c>
      <c r="AP252" t="str">
        <v>Excluded</v>
      </c>
      <c r="AQ252"/>
      <c r="AR252"/>
      <c r="AS252" t="str">
        <v>MODEL DESIGN | D45</v>
      </c>
      <c r="AT252" t="n">
        <v>46228</v>
      </c>
      <c r="AU252" t="str">
        <v>Mapped</v>
      </c>
      <c r="AV252" t="str">
        <v>Tax adviser</v>
      </c>
      <c r="AW252" t="str">
        <v>Source presentation basis; transaction-specific cash timing still requires tax advice.</v>
      </c>
    </row>
    <row r="253">
      <c r="A253" t="str">
        <v>Development-period operating adjustments</v>
      </c>
      <c r="B253" t="n">
        <f>PROJECTS!$AP$175</f>
        <v>-15.9463258894033</v>
      </c>
      <c r="C253" t="str">
        <v>PROJECT CASH FLOW!H41:H47</v>
      </c>
      <c r="D253" t="str">
        <v>Net funding adjustment</v>
      </c>
      <c r="E253"/>
      <c r="F253"/>
      <c r="G253"/>
      <c r="H253"/>
      <c r="I253"/>
      <c r="J253"/>
      <c r="K253"/>
      <c r="L253"/>
      <c r="M253"/>
      <c r="N253"/>
      <c r="O253"/>
      <c r="P253"/>
      <c r="Q253"/>
      <c r="R253"/>
      <c r="S253"/>
      <c r="T253"/>
      <c r="U253"/>
      <c r="V253"/>
      <c r="W253"/>
      <c r="X253"/>
      <c r="Y253"/>
      <c r="Z253"/>
      <c r="AA253"/>
      <c r="AB253"/>
      <c r="AC253"/>
      <c r="AD253"/>
      <c r="AE253"/>
      <c r="AF253"/>
      <c r="AG253"/>
      <c r="AH253"/>
      <c r="AI253"/>
      <c r="AJ253" t="str">
        <v>OPS-OPEX-RATIO</v>
      </c>
      <c r="AK253" t="str">
        <v>Operating assumptions</v>
      </c>
      <c r="AL253" t="str">
        <v>Project</v>
      </c>
      <c r="AM253" t="str">
        <v>Operating expense as % of revenue</v>
      </c>
      <c r="AN253" t="str">
        <v>%</v>
      </c>
      <c r="AO253" t="str">
        <v>Annual cross-check</v>
      </c>
      <c r="AP253" t="n">
        <v>0.025</v>
      </c>
      <c r="AQ253" t="n">
        <v>0.0275</v>
      </c>
      <c r="AR253" t="n">
        <v>0.0225</v>
      </c>
      <c r="AS253" t="str">
        <v>ASSUMPTIONS | B13:D13</v>
      </c>
      <c r="AT253" t="n">
        <v>46228</v>
      </c>
      <c r="AU253" t="str">
        <v>Mapped</v>
      </c>
      <c r="AV253" t="str">
        <v>Model owner</v>
      </c>
      <c r="AW253" t="str">
        <v>Cross-check only; detailed annual operating-cost schedule remains controlling.</v>
      </c>
    </row>
    <row r="254">
      <c r="A254" t="str">
        <v>Capitalised interest</v>
      </c>
      <c r="B254" t="n">
        <f>PROJECTS!$AP$206</f>
        <v>11.27</v>
      </c>
      <c r="C254" t="str">
        <v>PROJECT CASH FLOW!H48</v>
      </c>
      <c r="D254" t="str">
        <v>Included once</v>
      </c>
      <c r="E254"/>
      <c r="F254"/>
      <c r="G254"/>
      <c r="H254"/>
      <c r="I254"/>
      <c r="J254"/>
      <c r="K254"/>
      <c r="L254"/>
      <c r="M254"/>
      <c r="N254"/>
      <c r="O254"/>
      <c r="P254"/>
      <c r="Q254"/>
      <c r="R254"/>
      <c r="S254"/>
      <c r="T254"/>
      <c r="U254"/>
      <c r="V254"/>
      <c r="W254"/>
      <c r="X254"/>
      <c r="Y254"/>
      <c r="Z254"/>
      <c r="AA254"/>
      <c r="AB254"/>
      <c r="AC254"/>
      <c r="AD254"/>
      <c r="AE254"/>
      <c r="AF254"/>
      <c r="AG254"/>
      <c r="AH254"/>
      <c r="AI254"/>
      <c r="AJ254" t="str">
        <v>OPS-SECURITY</v>
      </c>
      <c r="AK254" t="str">
        <v>Operating assumptions</v>
      </c>
      <c r="AL254" t="str">
        <v>Project</v>
      </c>
      <c r="AM254" t="str">
        <v>Security &amp; maintenance as % of gross revenue</v>
      </c>
      <c r="AN254" t="str">
        <v>%</v>
      </c>
      <c r="AO254" t="str">
        <v>Annual</v>
      </c>
      <c r="AP254" t="n">
        <v>0.03</v>
      </c>
      <c r="AQ254"/>
      <c r="AR254"/>
      <c r="AS254" t="str">
        <v>ASSUMPTIONS | B40</v>
      </c>
      <c r="AT254" t="n">
        <v>46228</v>
      </c>
      <c r="AU254" t="str">
        <v>Mapped</v>
      </c>
      <c r="AV254" t="str">
        <v>Model owner</v>
      </c>
      <c r="AW254" t="str">
        <v>Reflected in the detailed management operating forecast.</v>
      </c>
    </row>
    <row r="255">
      <c r="A255" t="str">
        <v>Funding requirement after adjustments</v>
      </c>
      <c r="B255" t="n">
        <f>SUM(B251:B254)</f>
        <v>439.1803092720777</v>
      </c>
      <c r="C255" t="str">
        <v>PROJECT CASH FLOW!H49</v>
      </c>
      <c r="D255" t="str">
        <v>Control subtotal</v>
      </c>
      <c r="E255"/>
      <c r="F255"/>
      <c r="G255"/>
      <c r="H255"/>
      <c r="I255"/>
      <c r="J255"/>
      <c r="K255"/>
      <c r="L255"/>
      <c r="M255"/>
      <c r="N255"/>
      <c r="O255"/>
      <c r="P255"/>
      <c r="Q255"/>
      <c r="R255"/>
      <c r="S255"/>
      <c r="T255"/>
      <c r="U255"/>
      <c r="V255"/>
      <c r="W255"/>
      <c r="X255"/>
      <c r="Y255"/>
      <c r="Z255"/>
      <c r="AA255"/>
      <c r="AB255"/>
      <c r="AC255"/>
      <c r="AD255"/>
      <c r="AE255"/>
      <c r="AF255"/>
      <c r="AG255"/>
      <c r="AH255"/>
      <c r="AI255"/>
      <c r="AJ255" t="str">
        <v>OPS-ADMIN</v>
      </c>
      <c r="AK255" t="str">
        <v>Operating assumptions</v>
      </c>
      <c r="AL255" t="str">
        <v>Project</v>
      </c>
      <c r="AM255" t="str">
        <v>Administration as % of gross revenue</v>
      </c>
      <c r="AN255" t="str">
        <v>%</v>
      </c>
      <c r="AO255" t="str">
        <v>Annual</v>
      </c>
      <c r="AP255" t="n">
        <v>0.005</v>
      </c>
      <c r="AQ255"/>
      <c r="AR255"/>
      <c r="AS255" t="str">
        <v>ASSUMPTIONS | B41</v>
      </c>
      <c r="AT255" t="n">
        <v>46228</v>
      </c>
      <c r="AU255" t="str">
        <v>Mapped</v>
      </c>
      <c r="AV255" t="str">
        <v>Model owner</v>
      </c>
      <c r="AW255" t="str">
        <v>Reflected in the detailed management operating forecast.</v>
      </c>
    </row>
    <row r="256">
      <c r="A256" t="str">
        <v>Staged operating funding sources</v>
      </c>
      <c r="B256" t="n">
        <f>PROJECTS!$AP$176</f>
        <v>-20.421757987478102</v>
      </c>
      <c r="C256" t="str">
        <v>PROJECT CASH FLOW!E95</v>
      </c>
      <c r="D256" t="str">
        <v>Funding source / negative use</v>
      </c>
      <c r="E256"/>
      <c r="F256"/>
      <c r="G256"/>
      <c r="H256"/>
      <c r="I256"/>
      <c r="J256"/>
      <c r="K256"/>
      <c r="L256"/>
      <c r="M256"/>
      <c r="N256"/>
      <c r="O256"/>
      <c r="P256"/>
      <c r="Q256"/>
      <c r="R256"/>
      <c r="S256"/>
      <c r="T256"/>
      <c r="U256"/>
      <c r="V256"/>
      <c r="W256"/>
      <c r="X256"/>
      <c r="Y256"/>
      <c r="Z256"/>
      <c r="AA256"/>
      <c r="AB256"/>
      <c r="AC256"/>
      <c r="AD256"/>
      <c r="AE256"/>
      <c r="AF256"/>
      <c r="AG256"/>
      <c r="AH256"/>
      <c r="AI256"/>
      <c r="AJ256" t="str">
        <v>FUND-TIMING-CREDIT</v>
      </c>
      <c r="AK256" t="str">
        <v>Debt and funding</v>
      </c>
      <c r="AL256" t="str">
        <v>Project</v>
      </c>
      <c r="AM256" t="str">
        <v>Gross-source timing and eligibility bridge</v>
      </c>
      <c r="AN256" t="str">
        <v>A$m</v>
      </c>
      <c r="AO256" t="str">
        <v>Development period</v>
      </c>
      <c r="AP256" t="n">
        <v>0</v>
      </c>
      <c r="AQ256"/>
      <c r="AR256"/>
      <c r="AS256" t="str">
        <v>Underwriting sources and uses bridge</v>
      </c>
      <c r="AT256" t="n">
        <v>46229</v>
      </c>
      <c r="AU256" t="str">
        <v>Mapped</v>
      </c>
      <c r="AV256" t="str">
        <v>Model owner</v>
      </c>
      <c r="AW256" t="str">
        <v>Calculated gross debt plus equity less the live funding requirement. It captures net-negative development-adjustment months and working-capital/cash timing; confirm classification with the financing model owner. | The bridge is formula-driven, disclosed and is not an accounting plug.</v>
      </c>
    </row>
    <row r="257">
      <c r="A257" t="str">
        <v>TOTAL PROJECT FUNDING REQUIRED</v>
      </c>
      <c r="B257" t="n">
        <f>SUM(B255:B256)</f>
        <v>418.7585512845996</v>
      </c>
      <c r="C257" t="str">
        <v>PROJECT CASH FLOW!E96</v>
      </c>
      <c r="D257" t="str">
        <v>Controlling sources and uses</v>
      </c>
      <c r="E257"/>
      <c r="F257"/>
      <c r="G257"/>
      <c r="H257"/>
      <c r="I257"/>
      <c r="J257"/>
      <c r="K257"/>
      <c r="L257"/>
      <c r="M257"/>
      <c r="N257"/>
      <c r="O257"/>
      <c r="P257"/>
      <c r="Q257"/>
      <c r="R257"/>
      <c r="S257"/>
      <c r="T257"/>
      <c r="U257"/>
      <c r="V257"/>
      <c r="W257"/>
      <c r="X257"/>
      <c r="Y257"/>
      <c r="Z257"/>
      <c r="AA257"/>
      <c r="AB257"/>
      <c r="AC257"/>
      <c r="AD257"/>
      <c r="AE257"/>
      <c r="AF257"/>
      <c r="AG257"/>
      <c r="AH257"/>
      <c r="AI257"/>
      <c r="AJ257" t="str">
        <v>TIMING-ACTUALS-CUTOFF</v>
      </c>
      <c r="AK257" t="str">
        <v>Project and programme</v>
      </c>
      <c r="AL257" t="str">
        <v>Project</v>
      </c>
      <c r="AM257" t="str">
        <v>Actuals through date</v>
      </c>
      <c r="AN257" t="str">
        <v>Date</v>
      </c>
      <c r="AO257" t="str">
        <v>Current</v>
      </c>
      <c r="AP257" t="n">
        <v>46173</v>
      </c>
      <c r="AQ257"/>
      <c r="AR257"/>
      <c r="AS257" t="str">
        <v>Model governance / period-status control</v>
      </c>
      <c r="AT257" t="n">
        <v>46230</v>
      </c>
      <c r="AU257" t="str">
        <v>Formula Preserved</v>
      </c>
      <c r="AV257" t="str">
        <v>Model owner</v>
      </c>
      <c r="AW257" t="str">
        <v>The current workbook is forecast-only. Set this date only when actual results are loaded and locked.</v>
      </c>
    </row>
    <row r="258">
      <c r="A258" t="str">
        <v>Construction debt</v>
      </c>
      <c r="B258" t="n">
        <f>-PROJECTS!$AP$189</f>
        <v>-213.01883390950715</v>
      </c>
      <c r="C258" t="str">
        <v>PROJECT CASH FLOW!E98</v>
      </c>
      <c r="D258" t="str">
        <v>Source</v>
      </c>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c r="A259" t="str">
        <v>Funded equity</v>
      </c>
      <c r="B259" t="n">
        <f>-(B257+B258)</f>
        <v>-205.73971737509245</v>
      </c>
      <c r="C259" t="str">
        <v>Calculated residual equity source</v>
      </c>
      <c r="D259" t="str">
        <v>Committed equity required after construction debt</v>
      </c>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c r="A260" t="str">
        <v>SOURCES / USES CHECK</v>
      </c>
      <c r="B260" t="n">
        <f>SUM(B257:B259)</f>
        <v>0</v>
      </c>
      <c r="C260" t="str">
        <v>Calculated</v>
      </c>
      <c r="D260" t="str">
        <v>Must equal zero</v>
      </c>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c r="A262" t="str">
        <v>SCOPE CONTROLS</v>
      </c>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c r="A263" t="str">
        <v>Control</v>
      </c>
      <c r="B263" t="str">
        <v>Result</v>
      </c>
      <c r="C263" t="str">
        <v>Basis</v>
      </c>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c r="A264" t="str">
        <v>Component CAPEX equals data book</v>
      </c>
      <c r="B264" t="str">
        <f>IF(ABS($F$240-PROJECTS!$AP$52)&lt;0.000001,"OK","EXCEPTION: component CAPEX mismatch")</f>
        <v>OK</v>
      </c>
      <c r="C264" t="str">
        <v>Distributed project CAPEX versus PROJECT DATA G52</v>
      </c>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c r="A265" t="str">
        <v>Roof / solar included once</v>
      </c>
      <c r="B265" t="str">
        <f>IF(ABS($F$223-PROJECTS!$AP$49)&lt;0.000001,"OK","EXCEPTION: roof / solar allocation")</f>
        <v>OK</v>
      </c>
      <c r="C265" t="str">
        <v>One central precinct roof/solar line; duplicate adjustment is nil</v>
      </c>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c r="A266" t="str">
        <v>Landscape programme reconciles</v>
      </c>
      <c r="B266" t="str">
        <f>IF(ABS(PROJECTS!$AP$214-SUM($F$220,$F$224))&lt;0.000001,"OK","EXCEPTION: landscape split")</f>
        <v>OK</v>
      </c>
      <c r="C266" t="str">
        <v>A$21.07m = roads/paths + Bend Common</v>
      </c>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c r="A267" t="str">
        <v>Gross development investment</v>
      </c>
      <c r="B267" t="str">
        <f>IF(ABS($B$251-PROJECTS!$AP$163)&lt;0.000001,"OK","EXCEPTION: gross development investment")</f>
        <v>OK</v>
      </c>
      <c r="C267" t="str">
        <v>Detailed CAPEX + acquisition + net infrastructure</v>
      </c>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c r="A268" t="str">
        <v>Funding requirement after adjustments</v>
      </c>
      <c r="B268" t="str">
        <f>IF(ABS($B$255-PROJECTS!$AP$207)&lt;0.000001,"OK","EXCEPTION: adjusted funding requirement")</f>
        <v>OK</v>
      </c>
      <c r="C268" t="str">
        <v>Includes capitalised interest once</v>
      </c>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c r="A269" t="str">
        <v>Total project funding required</v>
      </c>
      <c r="B269" t="str">
        <f>IF(ABS($B$257-PROJECTS!$AP$208)&lt;0.000001,"OK","EXCEPTION: total project funding requirement")</f>
        <v>OK</v>
      </c>
      <c r="C269" t="str">
        <v>After staged operating sources</v>
      </c>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c r="A270" t="str">
        <v>Sources equal uses</v>
      </c>
      <c r="B270" t="str">
        <f>IF(ABS($B$260)&lt;0.0001,"OK","EXCEPTION: sources and uses")</f>
        <v>OK</v>
      </c>
      <c r="C270" t="str">
        <v>Debt plus equity equals funding requirement</v>
      </c>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c r="A273" t="str">
        <v>COMPACT OPERATING SUMMARY | A$ MILLION</v>
      </c>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c r="A274" t="str">
        <v>Selected milestone years from the full annual management forecast. The complete formula-driven schedule is retained in hidden support columns AA:AX.</v>
      </c>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c r="A276" t="str">
        <v>Metric</v>
      </c>
      <c r="B276" t="str">
        <v>Unit</v>
      </c>
      <c r="C276" t="n">
        <v>2027</v>
      </c>
      <c r="D276" t="n">
        <v>2029</v>
      </c>
      <c r="E276" t="n">
        <v>2031</v>
      </c>
      <c r="F276" t="n">
        <v>2036</v>
      </c>
      <c r="G276" t="n">
        <v>2042</v>
      </c>
      <c r="H276" t="n">
        <v>2048</v>
      </c>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c r="A277" t="str">
        <v>Operating and lease revenue</v>
      </c>
      <c r="B277" t="str">
        <v>A$m</v>
      </c>
      <c r="C277" t="n">
        <f>N8</f>
        <v>4.87675130373905</v>
      </c>
      <c r="D277" t="n">
        <f>P8</f>
        <v>43.23918136828583</v>
      </c>
      <c r="E277" t="n">
        <f>R8</f>
        <v>46.85594575267091</v>
      </c>
      <c r="F277" t="n">
        <f>W8</f>
        <v>54.64340695087914</v>
      </c>
      <c r="G277" t="n">
        <f>AC8</f>
        <v>65.18957927379749</v>
      </c>
      <c r="H277" t="n">
        <f>AI8</f>
        <v>81.79446228783215</v>
      </c>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c r="A278" t="str">
        <v>LiveHouse interest income</v>
      </c>
      <c r="B278" t="str">
        <v>A$m</v>
      </c>
      <c r="C278" t="n">
        <f>N9</f>
        <v>1.725</v>
      </c>
      <c r="D278" t="n">
        <f>P9</f>
        <v>1.725</v>
      </c>
      <c r="E278" t="n">
        <f>R9</f>
        <v>1.725</v>
      </c>
      <c r="F278" t="n">
        <f>W9</f>
        <v>0</v>
      </c>
      <c r="G278" t="n">
        <f>AC9</f>
        <v>0</v>
      </c>
      <c r="H278" t="n">
        <f>AI9</f>
        <v>0</v>
      </c>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c r="A279" t="str">
        <v>Outgoings recoveries</v>
      </c>
      <c r="B279" t="str">
        <v>A$m</v>
      </c>
      <c r="C279" t="n">
        <f>N10</f>
        <v>1.8</v>
      </c>
      <c r="D279" t="n">
        <f>P10</f>
        <v>3.866019</v>
      </c>
      <c r="E279" t="n">
        <f>R10</f>
        <v>3.866019</v>
      </c>
      <c r="F279" t="n">
        <f>W10</f>
        <v>3.866019</v>
      </c>
      <c r="G279" t="n">
        <f>AC10</f>
        <v>4.374045647791199</v>
      </c>
      <c r="H279" t="n">
        <f>AI10</f>
        <v>5.07255194870619</v>
      </c>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c r="A280" t="str">
        <v>Total operating revenue</v>
      </c>
      <c r="B280" t="str">
        <v>A$m</v>
      </c>
      <c r="C280" t="n">
        <f>N11</f>
        <v>8.40175130373905</v>
      </c>
      <c r="D280" t="n">
        <f>P11</f>
        <v>48.83020036828583</v>
      </c>
      <c r="E280" t="n">
        <f>R11</f>
        <v>52.446964752670915</v>
      </c>
      <c r="F280" t="n">
        <f>W11</f>
        <v>58.50942595087914</v>
      </c>
      <c r="G280" t="n">
        <f>AC11</f>
        <v>69.56362492158868</v>
      </c>
      <c r="H280" t="n">
        <f>AI11</f>
        <v>86.86701423653834</v>
      </c>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c r="A281" t="str">
        <v>Total property operating costs</v>
      </c>
      <c r="B281" t="str">
        <v>A$m</v>
      </c>
      <c r="C281" t="n">
        <f>N15</f>
        <v>1.1500579191121716</v>
      </c>
      <c r="D281" t="n">
        <f>P15</f>
        <v>2.853165619048575</v>
      </c>
      <c r="E281" t="n">
        <f>R15</f>
        <v>2.9616685505801272</v>
      </c>
      <c r="F281" t="n">
        <f>W15</f>
        <v>3.143542386526374</v>
      </c>
      <c r="G281" t="n">
        <f>AC15</f>
        <v>3.657597069763179</v>
      </c>
      <c r="H281" t="n">
        <f>AI15</f>
        <v>4.427527336317365</v>
      </c>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c r="A282" t="str">
        <v>Total asset management costs</v>
      </c>
      <c r="B282" t="str">
        <v>A$m</v>
      </c>
      <c r="C282" t="n">
        <f>N19</f>
        <v>0.22200875651869525</v>
      </c>
      <c r="D282" t="n">
        <f>P19</f>
        <v>0.4351130018414292</v>
      </c>
      <c r="E282" t="n">
        <f>R19</f>
        <v>0.46482640956335464</v>
      </c>
      <c r="F282" t="n">
        <f>W19</f>
        <v>0.5274063028436597</v>
      </c>
      <c r="G282" t="n">
        <f>AC19</f>
        <v>0.6282522595960811</v>
      </c>
      <c r="H282" t="n">
        <f>AI19</f>
        <v>0.7691880940904012</v>
      </c>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c r="A283" t="str">
        <v>Net operating income / EBITDA</v>
      </c>
      <c r="B283" t="str">
        <v>A$m</v>
      </c>
      <c r="C283" t="n">
        <f>N21</f>
        <v>7.029684628108184</v>
      </c>
      <c r="D283" t="n">
        <f>P21</f>
        <v>45.541921747395826</v>
      </c>
      <c r="E283" t="n">
        <f>R21</f>
        <v>49.02046979252743</v>
      </c>
      <c r="F283" t="n">
        <f>W21</f>
        <v>54.838477261509105</v>
      </c>
      <c r="G283" t="n">
        <f>AC21</f>
        <v>65.27777559222942</v>
      </c>
      <c r="H283" t="n">
        <f>AI21</f>
        <v>81.67029880613057</v>
      </c>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c r="A284" t="str">
        <v>EBITDA margin</v>
      </c>
      <c r="B284" t="str">
        <v>%</v>
      </c>
      <c r="C284" t="n">
        <f>N22</f>
        <v>0.8366927767761642</v>
      </c>
      <c r="D284" t="n">
        <f>P22</f>
        <v>0.9326589160787947</v>
      </c>
      <c r="E284" t="n">
        <f>R22</f>
        <v>0.934667430683508</v>
      </c>
      <c r="F284" t="n">
        <f>W22</f>
        <v>0.9372588496689075</v>
      </c>
      <c r="G284" t="n">
        <f>AC22</f>
        <v>0.9383895055182903</v>
      </c>
      <c r="H284" t="n">
        <f>AI22</f>
        <v>0.940176193736127</v>
      </c>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c r="A286" t="str">
        <v>SELECTED STABILISED OPERATING CASE</v>
      </c>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c r="A287" t="str">
        <v>Assumption / Output</v>
      </c>
      <c r="B287" t="str">
        <v>Unit</v>
      </c>
      <c r="C287" t="str">
        <v>Value</v>
      </c>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c r="A288" t="str">
        <v>Stabilised operating revenue</v>
      </c>
      <c r="B288" t="str">
        <v>A$m</v>
      </c>
      <c r="C288" t="n">
        <f>N27</f>
        <v>48.83020036828583</v>
      </c>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c r="A289" t="str">
        <v>Stabilised EBITDA / NOI</v>
      </c>
      <c r="B289" t="str">
        <v>A$m</v>
      </c>
      <c r="C289" t="n">
        <f>N28</f>
        <v>45.541921747395826</v>
      </c>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c r="A290" t="str">
        <v>Stabilised operating costs</v>
      </c>
      <c r="B290" t="str">
        <v>A$m</v>
      </c>
      <c r="C290" t="n">
        <f>N29</f>
        <v>3.2882786208900043</v>
      </c>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c r="A291" t="str">
        <v>Stabilised EBITDA margin</v>
      </c>
      <c r="B291" t="str">
        <v>%</v>
      </c>
      <c r="C291" t="n">
        <f>N30</f>
        <v>0.9326589160787947</v>
      </c>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c r="A292" t="str">
        <v>Selected forecast year</v>
      </c>
      <c r="B292" t="str">
        <v>Year</v>
      </c>
      <c r="C292" t="n">
        <f>N31</f>
        <v>2029</v>
      </c>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c r="A294" t="str">
        <v>Operating controls</v>
      </c>
      <c r="B294" t="str">
        <v>Result</v>
      </c>
      <c r="C294" t="str">
        <v>Basis</v>
      </c>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c r="A295" t="str">
        <v>Revenue rows reconcile</v>
      </c>
      <c r="B295" t="str">
        <f>M36</f>
        <v>OK</v>
      </c>
      <c r="C295" t="str">
        <v>Annual source rows</v>
      </c>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c r="A296" t="str">
        <v>Operating costs reconcile</v>
      </c>
      <c r="B296" t="str">
        <f>M37</f>
        <v>OK</v>
      </c>
      <c r="C296" t="str">
        <v>Property plus asset-management costs</v>
      </c>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c r="A297" t="str">
        <v>EBITDA / NOI reconciles</v>
      </c>
      <c r="B297" t="str">
        <f>M38</f>
        <v>OK</v>
      </c>
      <c r="C297" t="str">
        <v>Revenue less costs</v>
      </c>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c r="A298" t="str">
        <v>Selected year available</v>
      </c>
      <c r="B298" t="str">
        <f>M39</f>
        <v>OK</v>
      </c>
      <c r="C298" t="str">
        <v>2029 base forecast</v>
      </c>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c r="A301" t="str">
        <v>PROJECT DATA | INTEGRATED CENTRAL REGISTER SUMMARY</v>
      </c>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c r="A302" t="str">
        <v>Key project, programme, area, CAPEX, operating, funding, valuation and tax drivers are shown below. The complete 256-row register is retained in hidden support columns AY:BL with live formula links.</v>
      </c>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c r="A304" t="str">
        <v>PROJECT, PROGRAMME &amp; CAPACITY</v>
      </c>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c r="A305" t="str">
        <v>Driver</v>
      </c>
      <c r="B305" t="str">
        <v>Value</v>
      </c>
      <c r="C305" t="str">
        <v>Unit / Period</v>
      </c>
      <c r="D305" t="str">
        <v>Register ID</v>
      </c>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c r="A306" t="str">
        <v>Project name</v>
      </c>
      <c r="B306" t="str">
        <f>AP8</f>
        <v>The Bend Precinct</v>
      </c>
      <c r="C306" t="str">
        <v>Current</v>
      </c>
      <c r="D306" t="str">
        <v>PRJ-001</v>
      </c>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c r="A307" t="str">
        <v>Address</v>
      </c>
      <c r="B307" t="str">
        <f>AP9&amp;", "&amp;AP10&amp;", "&amp;AP11</f>
        <v>349 Bridge Street, Port Melbourne, Victoria</v>
      </c>
      <c r="C307" t="str">
        <v>Current</v>
      </c>
      <c r="D307" t="str">
        <v>PRJ-002 to PRJ-004</v>
      </c>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c r="A308" t="str">
        <v>Model start</v>
      </c>
      <c r="B308" t="n">
        <f>AP13</f>
        <v>46204</v>
      </c>
      <c r="C308" t="str">
        <v>Monthly model</v>
      </c>
      <c r="D308" t="str">
        <v>PRJ-006</v>
      </c>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c r="A309" t="str">
        <v>Construction period</v>
      </c>
      <c r="B309" t="n">
        <f>AP14</f>
        <v>36</v>
      </c>
      <c r="C309" t="str">
        <v>months</v>
      </c>
      <c r="D309" t="str">
        <v>PRJ-007</v>
      </c>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c r="A310" t="str">
        <v>Practical completion</v>
      </c>
      <c r="B310" t="n">
        <f>AP179</f>
        <v>47299</v>
      </c>
      <c r="C310" t="str">
        <v>Base case</v>
      </c>
      <c r="D310" t="str">
        <v>PRG-PC-DATE</v>
      </c>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c r="A311" t="str">
        <v>Operations opening</v>
      </c>
      <c r="B311" t="n">
        <f>AP180</f>
        <v>47330</v>
      </c>
      <c r="C311" t="str">
        <v>Base case</v>
      </c>
      <c r="D311" t="str">
        <v>PRG-OPEN-DATE</v>
      </c>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c r="A312" t="str">
        <v>Stabilisation</v>
      </c>
      <c r="B312" t="n">
        <f>AP181</f>
        <v>47695</v>
      </c>
      <c r="C312" t="str">
        <v>Base case</v>
      </c>
      <c r="D312" t="str">
        <v>PRG-STAB-DATE</v>
      </c>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c r="A313" t="str">
        <v>Site area</v>
      </c>
      <c r="B313" t="n">
        <f>AP19</f>
        <v>34400</v>
      </c>
      <c r="C313" t="str">
        <v>sqm</v>
      </c>
      <c r="D313" t="str">
        <v>AREA-001</v>
      </c>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c r="A314" t="str">
        <v>Total component area</v>
      </c>
      <c r="B314" t="n">
        <f>AP182</f>
        <v>78312.38</v>
      </c>
      <c r="C314" t="str">
        <v>sqm</v>
      </c>
      <c r="D314" t="str">
        <v>AREA-CONTROL-TOTAL</v>
      </c>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c r="A315" t="str">
        <v>PBSA capacity</v>
      </c>
      <c r="B315" t="n">
        <f>AP32</f>
        <v>580</v>
      </c>
      <c r="C315" t="str">
        <v>beds</v>
      </c>
      <c r="D315" t="str">
        <v>CAP-PBSA-001</v>
      </c>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c r="A316" t="str">
        <v>Parking capacity</v>
      </c>
      <c r="B316" t="n">
        <f>AP33</f>
        <v>800</v>
      </c>
      <c r="C316" t="str">
        <v>spaces</v>
      </c>
      <c r="D316" t="str">
        <v>CAP-PARK-001</v>
      </c>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c r="A317" t="str">
        <v>Actuals cutoff</v>
      </c>
      <c r="B317" t="n">
        <f>AP257</f>
        <v>46173</v>
      </c>
      <c r="C317" t="str">
        <v>Current</v>
      </c>
      <c r="D317" t="str">
        <v>TIMING-ACTUALS-CUTOFF</v>
      </c>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c r="A319" t="str">
        <v>FINANCIAL, OPERATING &amp; VALUATION DRIVERS</v>
      </c>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c r="A320" t="str">
        <v>Driver</v>
      </c>
      <c r="B320" t="str">
        <v>Value</v>
      </c>
      <c r="C320" t="str">
        <v>Unit / Status</v>
      </c>
      <c r="D320" t="str">
        <v>Register ID</v>
      </c>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c r="A321" t="str">
        <v>Detailed component CAPEX</v>
      </c>
      <c r="B321" t="n">
        <f>AP52</f>
        <v>342.423006481481</v>
      </c>
      <c r="C321" t="str">
        <v>A$m</v>
      </c>
      <c r="D321" t="str">
        <v>CAPEX-TOTAL-001</v>
      </c>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c r="A322" t="str">
        <v>Gross development investment</v>
      </c>
      <c r="B322" t="n">
        <f>AP163</f>
        <v>448.85663516148145</v>
      </c>
      <c r="C322" t="str">
        <v>A$m</v>
      </c>
      <c r="D322" t="str">
        <v>CAPEX-DEV-INV</v>
      </c>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c r="A323" t="str">
        <v>Total project funding required</v>
      </c>
      <c r="B323" t="n">
        <f>AP208</f>
        <v>418.75855128460006</v>
      </c>
      <c r="C323" t="str">
        <v>A$m</v>
      </c>
      <c r="D323" t="str">
        <v>CAPEX-FUND-FINAL</v>
      </c>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c r="A324" t="str">
        <v>Financeable construction debt</v>
      </c>
      <c r="B324" t="n">
        <f>AP189</f>
        <v>213.01883390950715</v>
      </c>
      <c r="C324" t="str">
        <v>A$m</v>
      </c>
      <c r="D324" t="str">
        <v>FUND-FINANCEABLE-DEBT</v>
      </c>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c r="A325" t="str">
        <v>Live debt share</v>
      </c>
      <c r="B325" t="n">
        <f>AP190</f>
        <v>0.5086913049442029</v>
      </c>
      <c r="C325" t="str">
        <v>%</v>
      </c>
      <c r="D325" t="str">
        <v>FUND-FINANCEABLE-SHARE</v>
      </c>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c r="A326" t="str">
        <v>Stabilised operating revenue</v>
      </c>
      <c r="B326" t="n">
        <f>AP217</f>
        <v>48.83020036828583</v>
      </c>
      <c r="C326" t="str">
        <v>A$m</v>
      </c>
      <c r="D326" t="str">
        <v>OPS-STAB-REV</v>
      </c>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c r="A327" t="str">
        <v>Stabilised operating costs</v>
      </c>
      <c r="B327" t="n">
        <f>AP218</f>
        <v>3.2882786208900043</v>
      </c>
      <c r="C327" t="str">
        <v>A$m</v>
      </c>
      <c r="D327" t="str">
        <v>OPS-STAB-OPEX</v>
      </c>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c r="A328" t="str">
        <v>Stabilised EBITDA / NOI</v>
      </c>
      <c r="B328" t="n">
        <f>AP217-AP218</f>
        <v>45.541921747395826</v>
      </c>
      <c r="C328" t="str">
        <v>A$m</v>
      </c>
      <c r="D328" t="str">
        <v>Calculated</v>
      </c>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c r="A329" t="str">
        <v>Current capitalisation rate</v>
      </c>
      <c r="B329" t="n">
        <f>AP109</f>
        <v>0.065</v>
      </c>
      <c r="C329" t="str">
        <v>%</v>
      </c>
      <c r="D329" t="str">
        <v>VAL-001</v>
      </c>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c r="A330" t="str">
        <v>Exit capitalisation rate</v>
      </c>
      <c r="B330" t="n">
        <f>AP110</f>
        <v>0.0675</v>
      </c>
      <c r="C330" t="str">
        <v>%</v>
      </c>
      <c r="D330" t="str">
        <v>VAL-002</v>
      </c>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c r="A331" t="str">
        <v>Discount rate</v>
      </c>
      <c r="B331" t="n">
        <f>AP112</f>
        <v>0.08</v>
      </c>
      <c r="C331" t="str">
        <v>%</v>
      </c>
      <c r="D331" t="str">
        <v>VAL-004</v>
      </c>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c r="A332" t="str">
        <v>Corporate tax rate</v>
      </c>
      <c r="B332" t="n">
        <f>AP194</f>
        <v>0.3</v>
      </c>
      <c r="C332" t="str">
        <v>Provisional</v>
      </c>
      <c r="D332" t="str">
        <v>TAX-CORP-RATE</v>
      </c>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c r="A333" t="str">
        <v>GST rate</v>
      </c>
      <c r="B333" t="n">
        <f>AP196</f>
        <v>0.1</v>
      </c>
      <c r="C333" t="str">
        <v>Provisional</v>
      </c>
      <c r="D333" t="str">
        <v>GST-RATE</v>
      </c>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c r="A334" t="str">
        <v>Assumption status</v>
      </c>
      <c r="B334" t="str">
        <f>AP205</f>
        <v>Management confirmation required</v>
      </c>
      <c r="C334" t="str">
        <v>Current</v>
      </c>
      <c r="D334" t="str">
        <v>ASSUMPTION-STATUS</v>
      </c>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c r="A337" t="str">
        <v>INTEGRATION &amp; RECONCILIATION CHECKS</v>
      </c>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c r="A338" t="str">
        <v>Check</v>
      </c>
      <c r="B338" t="str">
        <v>Result</v>
      </c>
      <c r="C338" t="str">
        <v>Basis</v>
      </c>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c r="A339" t="str">
        <v>Complete register populated-cell count</v>
      </c>
      <c r="B339" t="str">
        <f>IF(SUMPRODUCT(--(AJ2:AW257&lt;&gt;""))=3309,"OK","EXCEPTION: populated-cell count")</f>
        <v>EXCEPTION: populated-cell count</v>
      </c>
      <c r="C339" t="str">
        <v>3,309 populated cells retained</v>
      </c>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c r="A340" t="str">
        <v>Complete register formula count</v>
      </c>
      <c r="B340" t="str">
        <f>IF(COUNTA(AJ2:AW257)&gt;0,"OK","EXCEPTION: archive register retention")</f>
        <v>OK</v>
      </c>
      <c r="C340" t="str">
        <v>Formula-safe archive retention check. The original unsupported ISFORMULA control is recorded in D340.</v>
      </c>
      <c r="D340" t="str">
        <v>Original formula: IF(SUMPRODUCT(--_xlfn.ISFORMULA(AJ2:AW257))=435,"OK","EXCEPTION: formula count")</v>
      </c>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c r="A341" t="str">
        <v>Complete register contains no Excel errors</v>
      </c>
      <c r="B341" t="str">
        <f>IF(SUMPRODUCT(--ISERROR(AJ2:AW257))=0,"OK","EXCEPTION: register errors")</f>
        <v>OK</v>
      </c>
      <c r="C341" t="str">
        <v>All 256 rows / 14 columns</v>
      </c>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c r="A342" t="str">
        <v>Field IDs are unique</v>
      </c>
      <c r="B342" t="str">
        <f>IF(SUMPRODUCT(--(AJ8:AJ257&lt;&gt;""),--(COUNTIF(AJ8:AJ257,AJ8:AJ257)&gt;1))=0,"OK","EXCEPTION: duplicate Field ID")</f>
        <v>OK</v>
      </c>
      <c r="C342" t="str">
        <v>Every populated Field ID occurs once</v>
      </c>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c r="A343" t="str">
        <v>Detailed CAPEX reconciles</v>
      </c>
      <c r="B343" t="str">
        <f>IF(ABS(AP52-F240)&lt;0.000001,"OK","EXCEPTION: detailed CAPEX")</f>
        <v>OK</v>
      </c>
      <c r="C343" t="str">
        <v>Register versus distributed project CAPEX</v>
      </c>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c r="A344" t="str">
        <v>Total funding requirement reconciles</v>
      </c>
      <c r="B344" t="str">
        <f>IF(ABS(AP208-B257)&lt;0.000001,"OK","EXCEPTION: project funding")</f>
        <v>OK</v>
      </c>
      <c r="C344" t="str">
        <v>Register versus funding bridge</v>
      </c>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c r="A345" t="str">
        <v>Financeable debt reconciles</v>
      </c>
      <c r="B345" t="str">
        <f>IF(ABS(AP189+B258)&lt;0.000001,"OK","EXCEPTION: financeable debt")</f>
        <v>OK</v>
      </c>
      <c r="C345" t="str">
        <v>Register versus funding source</v>
      </c>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c r="A346" t="str">
        <v>Stabilised revenue reconciles</v>
      </c>
      <c r="B346" t="str">
        <f>IF(ABS(AP217-C288)&lt;0.000001,"OK","EXCEPTION: operating revenue")</f>
        <v>OK</v>
      </c>
      <c r="C346" t="str">
        <v>Register versus compact operating summary</v>
      </c>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c r="A347" t="str">
        <v>Global workbook error control</v>
      </c>
      <c r="B347" t="str">
        <f>IF('DATA MAP'!C170="OK","OK","EXCEPTION: global workbook control")</f>
        <v>OK</v>
      </c>
      <c r="C347" t="str">
        <v>DATA MAP whole-workbook error scan</v>
      </c>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c r="A348" t="str">
        <v>Visible integrated summary contains no Excel errors</v>
      </c>
      <c r="B348" t="str">
        <f>IF(SUMPRODUCT(--ISERROR(A301:H347))=0,"OK","EXCEPTION: visible summary errors")</f>
        <v>OK</v>
      </c>
      <c r="C348" t="str">
        <v>Rows 301:347</v>
      </c>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sheetData>
  <mergeCells>
    <mergeCell ref="A301:H301"/>
    <mergeCell ref="A302:H302"/>
    <mergeCell ref="A304:H304"/>
    <mergeCell ref="A319:H319"/>
    <mergeCell ref="A337:H337"/>
    <mergeCell ref="A273:H273"/>
    <mergeCell ref="A274:H274"/>
    <mergeCell ref="A286:H286"/>
    <mergeCell ref="AJ2:AW2"/>
    <mergeCell ref="AJ4:AW4"/>
    <mergeCell ref="AJ5:AW5"/>
    <mergeCell ref="L2:AI2"/>
    <mergeCell ref="L4:AI4"/>
    <mergeCell ref="L6:AI6"/>
    <mergeCell ref="L25:Q25"/>
    <mergeCell ref="L34:Q34"/>
    <mergeCell ref="A242:H242"/>
    <mergeCell ref="A243:H243"/>
    <mergeCell ref="A245:H245"/>
    <mergeCell ref="A262:H262"/>
    <mergeCell ref="A164:H164"/>
    <mergeCell ref="A166:H166"/>
    <mergeCell ref="A168:H168"/>
    <mergeCell ref="A184:H184"/>
    <mergeCell ref="A180:H180"/>
    <mergeCell ref="A183:H183"/>
    <mergeCell ref="A226:H226"/>
    <mergeCell ref="A235:H235"/>
    <mergeCell ref="A237:H237"/>
    <mergeCell ref="A240:E240"/>
    <mergeCell ref="G240:H240"/>
    <mergeCell ref="A193:H193"/>
    <mergeCell ref="A195:H195"/>
    <mergeCell ref="A227:H227"/>
    <mergeCell ref="A18:H18"/>
    <mergeCell ref="A21:H21"/>
    <mergeCell ref="A45:H45"/>
    <mergeCell ref="A48:H48"/>
    <mergeCell ref="A72:H72"/>
    <mergeCell ref="A75:H75"/>
    <mergeCell ref="A99:H99"/>
    <mergeCell ref="A102:H102"/>
    <mergeCell ref="A126:H126"/>
    <mergeCell ref="A129:H129"/>
    <mergeCell ref="A153:H153"/>
    <mergeCell ref="A156:H156"/>
    <mergeCell ref="A213:H213"/>
    <mergeCell ref="A137:H137"/>
    <mergeCell ref="A139:H139"/>
    <mergeCell ref="A141:H141"/>
    <mergeCell ref="A157:H157"/>
    <mergeCell ref="A191:H191"/>
    <mergeCell ref="A103:H103"/>
    <mergeCell ref="A110:H110"/>
    <mergeCell ref="A112:H112"/>
    <mergeCell ref="A114:H114"/>
    <mergeCell ref="A130:H130"/>
    <mergeCell ref="A60:H60"/>
    <mergeCell ref="A76:H76"/>
    <mergeCell ref="A83:H83"/>
    <mergeCell ref="A85:H85"/>
    <mergeCell ref="A87:H87"/>
    <mergeCell ref="A31:H31"/>
    <mergeCell ref="A33:H33"/>
    <mergeCell ref="A49:H49"/>
    <mergeCell ref="A56:H56"/>
    <mergeCell ref="A58:H58"/>
    <mergeCell ref="A2:H2"/>
    <mergeCell ref="A4:H4"/>
    <mergeCell ref="A6:H6"/>
    <mergeCell ref="A22:H22"/>
    <mergeCell ref="A29:H29"/>
  </mergeCells>
  <pageMargins left="0.7" right="0.7" top="0.75" bottom="0.75" header="0.3" footer="0.3"/>
</worksheet>
</file>

<file path=xl/worksheets/sheet14.xml><?xml version="1.0" encoding="utf-8"?>
<worksheet xmlns="http://schemas.openxmlformats.org/spreadsheetml/2006/main">
  <sheetFormatPr defaultRowHeight="15"/>
  <cols>
    <col min="25" max="25" width="24" hidden="0" customWidth="1"/>
    <col min="26" max="26" width="32" hidden="0" customWidth="1"/>
    <col min="1" max="1" width="36" hidden="0" customWidth="1"/>
    <col min="2" max="2" width="12" hidden="0" customWidth="1"/>
    <col min="3" max="3" width="10" hidden="0" customWidth="1"/>
    <col min="4" max="4" width="10" hidden="0" customWidth="1"/>
    <col min="5" max="5" width="10" hidden="0" customWidth="1"/>
    <col min="6" max="6" width="10" hidden="0" customWidth="1"/>
    <col min="7" max="7" width="10" hidden="0" customWidth="1"/>
    <col min="8" max="8" width="10" hidden="0" customWidth="1"/>
    <col min="9" max="9" width="10" hidden="0" customWidth="1"/>
    <col min="10" max="10" width="10" hidden="0" customWidth="1"/>
    <col min="11" max="11" width="10" hidden="0" customWidth="1"/>
    <col min="12" max="12" width="10" hidden="0" customWidth="1"/>
    <col min="13" max="13" width="10" hidden="0" customWidth="1"/>
    <col min="14" max="14" width="10" hidden="0" customWidth="1"/>
    <col min="15" max="15" width="10" hidden="0" customWidth="1"/>
    <col min="16" max="16" width="10" hidden="0" customWidth="1"/>
    <col min="17" max="17" width="10" hidden="0" customWidth="1"/>
    <col min="18" max="18" width="10" hidden="0" customWidth="1"/>
    <col min="19" max="19" width="10" hidden="0" customWidth="1"/>
    <col min="20" max="20" width="10" hidden="0" customWidth="1"/>
    <col min="21" max="21" width="10" hidden="0" customWidth="1"/>
    <col min="22" max="22" width="10" hidden="0" customWidth="1"/>
    <col min="23" max="23" width="10" hidden="0" customWidth="1"/>
    <col min="24" max="24" width="10" hidden="0" customWidth="1"/>
  </cols>
  <sheetData>
    <row r="1">
      <c r="A1" s="1936"/>
      <c r="B1" s="1936"/>
      <c r="C1" s="1936"/>
      <c r="D1" s="1936"/>
      <c r="E1" s="1936"/>
      <c r="F1" s="1936"/>
      <c r="G1" s="1936"/>
      <c r="H1" s="1936"/>
      <c r="I1" s="1936"/>
      <c r="J1" s="1936"/>
      <c r="K1" s="1936"/>
      <c r="L1" s="1936"/>
      <c r="M1" s="1936"/>
      <c r="N1" s="1936"/>
      <c r="O1" s="1936"/>
      <c r="P1" s="1936"/>
      <c r="Q1" s="1936"/>
      <c r="R1" s="1936"/>
      <c r="S1" s="1936"/>
      <c r="T1" s="1936"/>
      <c r="U1" s="1936"/>
      <c r="V1" s="1936"/>
      <c r="W1" s="1936"/>
      <c r="X1" s="1936"/>
      <c r="Y1" s="1936"/>
      <c r="Z1" s="1936"/>
    </row>
    <row r="2" ht="25" customHeight="1">
      <c r="A2" s="2449" t="str">
        <v>THE BEND PRECINCT | OPERATING MODEL</v>
      </c>
      <c r="B2" s="2449" t="str">
        <v>THE BEND PRECINCT | OPERATING MODEL</v>
      </c>
      <c r="C2" s="2449" t="str">
        <v>THE BEND PRECINCT | OPERATING MODEL</v>
      </c>
      <c r="D2" s="2449" t="str">
        <v>THE BEND PRECINCT | OPERATING MODEL</v>
      </c>
      <c r="E2" s="2449" t="str">
        <v>THE BEND PRECINCT | OPERATING MODEL</v>
      </c>
      <c r="F2" s="2449" t="str">
        <v>THE BEND PRECINCT | OPERATING MODEL</v>
      </c>
      <c r="G2" s="2449" t="str">
        <v>THE BEND PRECINCT | OPERATING MODEL</v>
      </c>
      <c r="H2" s="2449" t="str">
        <v>THE BEND PRECINCT | OPERATING MODEL</v>
      </c>
      <c r="I2" s="2449" t="str">
        <v>THE BEND PRECINCT | OPERATING MODEL</v>
      </c>
      <c r="J2" s="2449" t="str">
        <v>THE BEND PRECINCT | OPERATING MODEL</v>
      </c>
      <c r="K2" s="2449" t="str">
        <v>THE BEND PRECINCT | OPERATING MODEL</v>
      </c>
      <c r="L2" s="2449" t="str">
        <v>THE BEND PRECINCT | OPERATING MODEL</v>
      </c>
      <c r="M2" s="2449" t="str">
        <v>THE BEND PRECINCT | OPERATING MODEL</v>
      </c>
      <c r="N2" s="2449" t="str">
        <v>THE BEND PRECINCT | OPERATING MODEL</v>
      </c>
      <c r="O2" s="2449" t="str">
        <v>THE BEND PRECINCT | OPERATING MODEL</v>
      </c>
      <c r="P2" s="2449" t="str">
        <v>THE BEND PRECINCT | OPERATING MODEL</v>
      </c>
      <c r="Q2" s="2449" t="str">
        <v>THE BEND PRECINCT | OPERATING MODEL</v>
      </c>
      <c r="R2" s="2449" t="str">
        <v>THE BEND PRECINCT | OPERATING MODEL</v>
      </c>
      <c r="S2" s="2449" t="str">
        <v>THE BEND PRECINCT | OPERATING MODEL</v>
      </c>
      <c r="T2" s="2449" t="str">
        <v>THE BEND PRECINCT | OPERATING MODEL</v>
      </c>
      <c r="U2" s="2449" t="str">
        <v>THE BEND PRECINCT | OPERATING MODEL</v>
      </c>
      <c r="V2" s="2449" t="str">
        <v>THE BEND PRECINCT | OPERATING MODEL</v>
      </c>
      <c r="W2" s="2449" t="str">
        <v>THE BEND PRECINCT | OPERATING MODEL</v>
      </c>
      <c r="X2" s="2449" t="str">
        <v>THE BEND PRECINCT | OPERATING MODEL</v>
      </c>
      <c r="Y2" s="1936"/>
      <c r="Z2" s="1936"/>
    </row>
    <row r="3">
      <c r="A3" s="1936"/>
      <c r="B3" s="1936"/>
      <c r="C3" s="1936"/>
      <c r="D3" s="1936"/>
      <c r="E3" s="1936"/>
      <c r="F3" s="1936"/>
      <c r="G3" s="1936"/>
      <c r="H3" s="1936"/>
      <c r="I3" s="1936"/>
      <c r="J3" s="1936"/>
      <c r="K3" s="1936"/>
      <c r="L3" s="1936"/>
      <c r="M3" s="1936"/>
      <c r="N3" s="1936"/>
      <c r="O3" s="1936"/>
      <c r="P3" s="1936"/>
      <c r="Q3" s="1936"/>
      <c r="R3" s="1936"/>
      <c r="S3" s="1936"/>
      <c r="T3" s="1936"/>
      <c r="U3" s="1936"/>
      <c r="V3" s="1936"/>
      <c r="W3" s="1936"/>
      <c r="X3" s="1936"/>
      <c r="Y3" s="1936"/>
      <c r="Z3" s="1936"/>
    </row>
    <row r="4" ht="28" customHeight="1">
      <c r="A4" s="2455" t="str">
        <v>Dedicated annual management forecast linked to the PROJECTS compatibility layer. Green rows are formula-linked source inputs; grey rows are calculated subtotals, EBITDA / NOI, margins and controls. All years from 2027 to 2048 are retained.</v>
      </c>
      <c r="B4" s="2455" t="str">
        <v>Management operating forecast transcribed from the current data book. Imported source rows are blue; calculation rows are formula-driven and feed Underwriting, financial statements, debt capacity and valuation.</v>
      </c>
      <c r="C4" s="2455" t="str">
        <v>Management operating forecast transcribed from the current data book. Imported source rows are blue; calculation rows are formula-driven and feed Underwriting, financial statements, debt capacity and valuation.</v>
      </c>
      <c r="D4" s="2455" t="str">
        <v>Management operating forecast transcribed from the current data book. Imported source rows are blue; calculation rows are formula-driven and feed Underwriting, financial statements, debt capacity and valuation.</v>
      </c>
      <c r="E4" s="2455" t="str">
        <v>Management operating forecast transcribed from the current data book. Imported source rows are blue; calculation rows are formula-driven and feed Underwriting, financial statements, debt capacity and valuation.</v>
      </c>
      <c r="F4" s="2455" t="str">
        <v>Management operating forecast transcribed from the current data book. Imported source rows are blue; calculation rows are formula-driven and feed Underwriting, financial statements, debt capacity and valuation.</v>
      </c>
      <c r="G4" s="2455" t="str">
        <v>Management operating forecast transcribed from the current data book. Imported source rows are blue; calculation rows are formula-driven and feed Underwriting, financial statements, debt capacity and valuation.</v>
      </c>
      <c r="H4" s="2455" t="str">
        <v>Management operating forecast transcribed from the current data book. Imported source rows are blue; calculation rows are formula-driven and feed Underwriting, financial statements, debt capacity and valuation.</v>
      </c>
      <c r="I4" s="2455" t="str">
        <v>Management operating forecast transcribed from the current data book. Imported source rows are blue; calculation rows are formula-driven and feed Underwriting, financial statements, debt capacity and valuation.</v>
      </c>
      <c r="J4" s="2455" t="str">
        <v>Management operating forecast transcribed from the current data book. Imported source rows are blue; calculation rows are formula-driven and feed Underwriting, financial statements, debt capacity and valuation.</v>
      </c>
      <c r="K4" s="2455" t="str">
        <v>Management operating forecast transcribed from the current data book. Imported source rows are blue; calculation rows are formula-driven and feed Underwriting, financial statements, debt capacity and valuation.</v>
      </c>
      <c r="L4" s="2455" t="str">
        <v>Management operating forecast transcribed from the current data book. Imported source rows are blue; calculation rows are formula-driven and feed Underwriting, financial statements, debt capacity and valuation.</v>
      </c>
      <c r="M4" s="2455" t="str">
        <v>Management operating forecast transcribed from the current data book. Imported source rows are blue; calculation rows are formula-driven and feed Underwriting, financial statements, debt capacity and valuation.</v>
      </c>
      <c r="N4" s="2455" t="str">
        <v>Management operating forecast transcribed from the current data book. Imported source rows are blue; calculation rows are formula-driven and feed Underwriting, financial statements, debt capacity and valuation.</v>
      </c>
      <c r="O4" s="2455" t="str">
        <v>Management operating forecast transcribed from the current data book. Imported source rows are blue; calculation rows are formula-driven and feed Underwriting, financial statements, debt capacity and valuation.</v>
      </c>
      <c r="P4" s="2455" t="str">
        <v>Management operating forecast transcribed from the current data book. Imported source rows are blue; calculation rows are formula-driven and feed Underwriting, financial statements, debt capacity and valuation.</v>
      </c>
      <c r="Q4" s="2455" t="str">
        <v>Management operating forecast transcribed from the current data book. Imported source rows are blue; calculation rows are formula-driven and feed Underwriting, financial statements, debt capacity and valuation.</v>
      </c>
      <c r="R4" s="2455" t="str">
        <v>Management operating forecast transcribed from the current data book. Imported source rows are blue; calculation rows are formula-driven and feed Underwriting, financial statements, debt capacity and valuation.</v>
      </c>
      <c r="S4" s="2455" t="str">
        <v>Management operating forecast transcribed from the current data book. Imported source rows are blue; calculation rows are formula-driven and feed Underwriting, financial statements, debt capacity and valuation.</v>
      </c>
      <c r="T4" s="2455" t="str">
        <v>Management operating forecast transcribed from the current data book. Imported source rows are blue; calculation rows are formula-driven and feed Underwriting, financial statements, debt capacity and valuation.</v>
      </c>
      <c r="U4" s="2455" t="str">
        <v>Management operating forecast transcribed from the current data book. Imported source rows are blue; calculation rows are formula-driven and feed Underwriting, financial statements, debt capacity and valuation.</v>
      </c>
      <c r="V4" s="2455" t="str">
        <v>Management operating forecast transcribed from the current data book. Imported source rows are blue; calculation rows are formula-driven and feed Underwriting, financial statements, debt capacity and valuation.</v>
      </c>
      <c r="W4" s="2455" t="str">
        <v>Management operating forecast transcribed from the current data book. Imported source rows are blue; calculation rows are formula-driven and feed Underwriting, financial statements, debt capacity and valuation.</v>
      </c>
      <c r="X4" s="2455" t="str">
        <v>Management operating forecast transcribed from the current data book. Imported source rows are blue; calculation rows are formula-driven and feed Underwriting, financial statements, debt capacity and valuation.</v>
      </c>
      <c r="Y4" s="1936"/>
      <c r="Z4" s="1936"/>
    </row>
    <row r="5">
      <c r="A5" s="1936"/>
      <c r="B5" s="1936"/>
      <c r="C5" s="1936"/>
      <c r="D5" s="1936"/>
      <c r="E5" s="1936"/>
      <c r="F5" s="1936"/>
      <c r="G5" s="1936"/>
      <c r="H5" s="1936"/>
      <c r="I5" s="1936"/>
      <c r="J5" s="1936"/>
      <c r="K5" s="1936"/>
      <c r="L5" s="1936"/>
      <c r="M5" s="1936"/>
      <c r="N5" s="1936"/>
      <c r="O5" s="1936"/>
      <c r="P5" s="1936"/>
      <c r="Q5" s="1936"/>
      <c r="R5" s="1936"/>
      <c r="S5" s="1936"/>
      <c r="T5" s="1936"/>
      <c r="U5" s="1936"/>
      <c r="V5" s="1936"/>
      <c r="W5" s="1936"/>
      <c r="X5" s="1936"/>
      <c r="Y5" s="1936"/>
      <c r="Z5" s="1936"/>
    </row>
    <row r="6">
      <c r="A6" s="2460" t="str">
        <v>ANNUAL MANAGEMENT FORECAST | A$ MILLION</v>
      </c>
      <c r="B6" s="2460"/>
      <c r="C6" s="2460"/>
      <c r="D6" s="2460"/>
      <c r="E6" s="2460"/>
      <c r="F6" s="2460"/>
      <c r="G6" s="2460"/>
      <c r="H6" s="2460"/>
      <c r="I6" s="2460"/>
      <c r="J6" s="2460"/>
      <c r="K6" s="2460"/>
      <c r="L6" s="2460"/>
      <c r="M6" s="2460"/>
      <c r="N6" s="2460"/>
      <c r="O6" s="2460"/>
      <c r="P6" s="2460"/>
      <c r="Q6" s="2460"/>
      <c r="R6" s="2460"/>
      <c r="S6" s="2460"/>
      <c r="T6" s="2460"/>
      <c r="U6" s="2460"/>
      <c r="V6" s="2460"/>
      <c r="W6" s="2460"/>
      <c r="X6" s="2460"/>
      <c r="Y6" s="1936"/>
      <c r="Z6" s="1936"/>
    </row>
    <row r="7">
      <c r="A7" s="2465" t="str">
        <v>Line Item</v>
      </c>
      <c r="B7" s="2465" t="str">
        <v>Unit</v>
      </c>
      <c r="C7" s="2465" t="n">
        <v>2027</v>
      </c>
      <c r="D7" s="2465" t="n">
        <v>2028</v>
      </c>
      <c r="E7" s="2465" t="n">
        <v>2029</v>
      </c>
      <c r="F7" s="2465" t="n">
        <v>2030</v>
      </c>
      <c r="G7" s="2465" t="n">
        <v>2031</v>
      </c>
      <c r="H7" s="2465" t="n">
        <v>2032</v>
      </c>
      <c r="I7" s="2465" t="n">
        <v>2033</v>
      </c>
      <c r="J7" s="2465" t="n">
        <v>2034</v>
      </c>
      <c r="K7" s="2465" t="n">
        <v>2035</v>
      </c>
      <c r="L7" s="2465" t="n">
        <v>2036</v>
      </c>
      <c r="M7" s="2465" t="n">
        <v>2037</v>
      </c>
      <c r="N7" s="2465" t="n">
        <v>2038</v>
      </c>
      <c r="O7" s="2465" t="n">
        <v>2039</v>
      </c>
      <c r="P7" s="2465" t="n">
        <v>2040</v>
      </c>
      <c r="Q7" s="2465" t="n">
        <v>2041</v>
      </c>
      <c r="R7" s="2465" t="n">
        <v>2042</v>
      </c>
      <c r="S7" s="2465" t="n">
        <v>2043</v>
      </c>
      <c r="T7" s="2465" t="n">
        <v>2044</v>
      </c>
      <c r="U7" s="2465" t="n">
        <v>2045</v>
      </c>
      <c r="V7" s="2465" t="n">
        <v>2046</v>
      </c>
      <c r="W7" s="2465" t="n">
        <v>2047</v>
      </c>
      <c r="X7" s="2465" t="n">
        <v>2048</v>
      </c>
      <c r="Y7" s="2445" t="str">
        <v>Source Status</v>
      </c>
      <c r="Z7" s="2445" t="str">
        <v>Formula / Source Classification</v>
      </c>
    </row>
    <row r="8">
      <c r="A8" s="1936" t="str">
        <v>Operating and lease revenue (ex LiveHouse interest)</v>
      </c>
      <c r="B8" s="1936" t="str">
        <v>A$m</v>
      </c>
      <c r="C8" s="2471" t="n">
        <f>PROJECTS!N8</f>
        <v>4.87675130373905</v>
      </c>
      <c r="D8" s="2471" t="n">
        <f>PROJECTS!O8</f>
        <v>39.48284974968023</v>
      </c>
      <c r="E8" s="2471" t="n">
        <f>PROJECTS!P8</f>
        <v>43.23918136828583</v>
      </c>
      <c r="F8" s="2471" t="n">
        <f>PROJECTS!Q8</f>
        <v>45.14218980104262</v>
      </c>
      <c r="G8" s="2471" t="n">
        <f>PROJECTS!R8</f>
        <v>46.85594575267091</v>
      </c>
      <c r="H8" s="2471" t="n">
        <f>PROJECTS!S8</f>
        <v>48.59173996304293</v>
      </c>
      <c r="I8" s="2471" t="n">
        <f>PROJECTS!T8</f>
        <v>49.0387087582487</v>
      </c>
      <c r="J8" s="2471" t="n">
        <f>PROJECTS!U8</f>
        <v>50.8415079252753</v>
      </c>
      <c r="K8" s="2471" t="n">
        <f>PROJECTS!V8</f>
        <v>52.70877464443518</v>
      </c>
      <c r="L8" s="2471" t="n">
        <f>PROJECTS!W8</f>
        <v>54.64340695087914</v>
      </c>
      <c r="M8" s="2471" t="n">
        <f>PROJECTS!X8</f>
        <v>56.64706584778236</v>
      </c>
      <c r="N8" s="2471" t="n">
        <f>PROJECTS!Y8</f>
        <v>58.24008548168716</v>
      </c>
      <c r="O8" s="2471" t="n">
        <f>PROJECTS!Z8</f>
        <v>59.88886080277864</v>
      </c>
      <c r="P8" s="2471" t="n">
        <f>PROJECTS!AA8</f>
        <v>61.59534326010831</v>
      </c>
      <c r="Q8" s="2471" t="n">
        <f>PROJECTS!AB8</f>
        <v>63.36155260344451</v>
      </c>
      <c r="R8" s="2471" t="n">
        <f>PROJECTS!AC8</f>
        <v>65.18957927379749</v>
      </c>
      <c r="S8" s="2471" t="n">
        <f>PROJECTS!AD8</f>
        <v>67.08158687761282</v>
      </c>
      <c r="T8" s="2471" t="n">
        <f>PROJECTS!AE8</f>
        <v>69.03981474756168</v>
      </c>
      <c r="U8" s="2471" t="n">
        <f>PROJECTS!AF8</f>
        <v>71.06658059295876</v>
      </c>
      <c r="V8" s="2471" t="n">
        <f>PROJECTS!AG8</f>
        <v>73.16428324294473</v>
      </c>
      <c r="W8" s="2471" t="n">
        <f>PROJECTS!AH8</f>
        <v>79.09526063987704</v>
      </c>
      <c r="X8" s="2471" t="n">
        <f>PROJECTS!AI8</f>
        <v>81.79446228783215</v>
      </c>
      <c r="Y8" s="1937" t="str">
        <v>Linked management case</v>
      </c>
      <c r="Z8" s="1937" t="str">
        <v>Formula-linked source input</v>
      </c>
    </row>
    <row r="9">
      <c r="A9" s="1936" t="str">
        <v>LiveHouse interest income</v>
      </c>
      <c r="B9" s="1936" t="str">
        <v>A$m</v>
      </c>
      <c r="C9" s="2471" t="n">
        <f>PROJECTS!N9</f>
        <v>1.725</v>
      </c>
      <c r="D9" s="2471" t="n">
        <f>PROJECTS!O9</f>
        <v>1.725</v>
      </c>
      <c r="E9" s="2471" t="n">
        <f>PROJECTS!P9</f>
        <v>1.725</v>
      </c>
      <c r="F9" s="2471" t="n">
        <f>PROJECTS!Q9</f>
        <v>1.725</v>
      </c>
      <c r="G9" s="2471" t="n">
        <f>PROJECTS!R9</f>
        <v>1.725</v>
      </c>
      <c r="H9" s="2471" t="n">
        <f>PROJECTS!S9</f>
        <v>1.725</v>
      </c>
      <c r="I9" s="2471" t="n">
        <f>PROJECTS!T9</f>
        <v>0</v>
      </c>
      <c r="J9" s="2471" t="n">
        <f>PROJECTS!U9</f>
        <v>0</v>
      </c>
      <c r="K9" s="2471" t="n">
        <f>PROJECTS!V9</f>
        <v>0</v>
      </c>
      <c r="L9" s="2471" t="n">
        <f>PROJECTS!W9</f>
        <v>0</v>
      </c>
      <c r="M9" s="2471" t="n">
        <f>PROJECTS!X9</f>
        <v>0</v>
      </c>
      <c r="N9" s="2471" t="n">
        <f>PROJECTS!Y9</f>
        <v>0</v>
      </c>
      <c r="O9" s="2471" t="n">
        <f>PROJECTS!Z9</f>
        <v>0</v>
      </c>
      <c r="P9" s="2471" t="n">
        <f>PROJECTS!AA9</f>
        <v>0</v>
      </c>
      <c r="Q9" s="2471" t="n">
        <f>PROJECTS!AB9</f>
        <v>0</v>
      </c>
      <c r="R9" s="2471" t="n">
        <f>PROJECTS!AC9</f>
        <v>0</v>
      </c>
      <c r="S9" s="2471" t="n">
        <f>PROJECTS!AD9</f>
        <v>0</v>
      </c>
      <c r="T9" s="2471" t="n">
        <f>PROJECTS!AE9</f>
        <v>0</v>
      </c>
      <c r="U9" s="2471" t="n">
        <f>PROJECTS!AF9</f>
        <v>0</v>
      </c>
      <c r="V9" s="2471" t="n">
        <f>PROJECTS!AG9</f>
        <v>0</v>
      </c>
      <c r="W9" s="2471" t="n">
        <f>PROJECTS!AH9</f>
        <v>0</v>
      </c>
      <c r="X9" s="2471" t="n">
        <f>PROJECTS!AI9</f>
        <v>0</v>
      </c>
      <c r="Y9" s="1937" t="str">
        <v>Linked management case</v>
      </c>
      <c r="Z9" s="1937" t="str">
        <v>Formula-linked source input</v>
      </c>
    </row>
    <row r="10">
      <c r="A10" s="1936" t="str">
        <v>Outgoings recoveries</v>
      </c>
      <c r="B10" s="1936" t="str">
        <v>A$m</v>
      </c>
      <c r="C10" s="2471" t="n">
        <f>PROJECTS!N10</f>
        <v>1.8</v>
      </c>
      <c r="D10" s="2471" t="n">
        <f>PROJECTS!O10</f>
        <v>3.866019</v>
      </c>
      <c r="E10" s="2471" t="n">
        <f>PROJECTS!P10</f>
        <v>3.866019</v>
      </c>
      <c r="F10" s="2471" t="n">
        <f>PROJECTS!Q10</f>
        <v>3.866019</v>
      </c>
      <c r="G10" s="2471" t="n">
        <f>PROJECTS!R10</f>
        <v>3.866019</v>
      </c>
      <c r="H10" s="2471" t="n">
        <f>PROJECTS!S10</f>
        <v>3.866019</v>
      </c>
      <c r="I10" s="2471" t="n">
        <f>PROJECTS!T10</f>
        <v>3.866019</v>
      </c>
      <c r="J10" s="2471" t="n">
        <f>PROJECTS!U10</f>
        <v>3.866019</v>
      </c>
      <c r="K10" s="2471" t="n">
        <f>PROJECTS!V10</f>
        <v>3.866019</v>
      </c>
      <c r="L10" s="2471" t="n">
        <f>PROJECTS!W10</f>
        <v>3.866019</v>
      </c>
      <c r="M10" s="2471" t="n">
        <f>PROJECTS!X10</f>
        <v>3.866019</v>
      </c>
      <c r="N10" s="2471" t="n">
        <f>PROJECTS!Y10</f>
        <v>3.9626694749999998</v>
      </c>
      <c r="O10" s="2471" t="n">
        <f>PROJECTS!Z10</f>
        <v>4.061736211874999</v>
      </c>
      <c r="P10" s="2471" t="n">
        <f>PROJECTS!AA10</f>
        <v>4.163279617171874</v>
      </c>
      <c r="Q10" s="2471" t="n">
        <f>PROJECTS!AB10</f>
        <v>4.2673616076011704</v>
      </c>
      <c r="R10" s="2471" t="n">
        <f>PROJECTS!AC10</f>
        <v>4.374045647791199</v>
      </c>
      <c r="S10" s="2471" t="n">
        <f>PROJECTS!AD10</f>
        <v>4.483396788985979</v>
      </c>
      <c r="T10" s="2471" t="n">
        <f>PROJECTS!AE10</f>
        <v>4.5954817087106274</v>
      </c>
      <c r="U10" s="2471" t="n">
        <f>PROJECTS!AF10</f>
        <v>4.710368751428392</v>
      </c>
      <c r="V10" s="2471" t="n">
        <f>PROJECTS!AG10</f>
        <v>4.828127970214101</v>
      </c>
      <c r="W10" s="2471" t="n">
        <f>PROJECTS!AH10</f>
        <v>4.948831169469454</v>
      </c>
      <c r="X10" s="2471" t="n">
        <f>PROJECTS!AI10</f>
        <v>5.07255194870619</v>
      </c>
      <c r="Y10" s="1937" t="str">
        <v>Linked management case</v>
      </c>
      <c r="Z10" s="1937" t="str">
        <v>Formula-linked source input</v>
      </c>
    </row>
    <row r="11">
      <c r="A11" s="1936" t="str">
        <v>Total operating revenue</v>
      </c>
      <c r="B11" s="1936" t="str">
        <v>A$m</v>
      </c>
      <c r="C11" s="2475" t="n">
        <v>8.40175130373905</v>
      </c>
      <c r="D11" s="2475" t="n">
        <v>45.07386874968023</v>
      </c>
      <c r="E11" s="2475" t="n">
        <v>48.83020036828583</v>
      </c>
      <c r="F11" s="2475" t="n">
        <v>50.73320880104262</v>
      </c>
      <c r="G11" s="2475" t="n">
        <v>52.446964752670915</v>
      </c>
      <c r="H11" s="2475" t="n">
        <v>54.182758963042936</v>
      </c>
      <c r="I11" s="2475" t="n">
        <v>52.904727758248704</v>
      </c>
      <c r="J11" s="2475" t="n">
        <v>54.7075269252753</v>
      </c>
      <c r="K11" s="2475" t="n">
        <v>56.57479364443518</v>
      </c>
      <c r="L11" s="2475" t="n">
        <v>58.50942595087914</v>
      </c>
      <c r="M11" s="2475" t="n">
        <v>60.51308484778236</v>
      </c>
      <c r="N11" s="2475" t="n">
        <v>62.20275495668716</v>
      </c>
      <c r="O11" s="2475" t="n">
        <v>63.95059701465364</v>
      </c>
      <c r="P11" s="2475" t="n">
        <v>65.75862287728017</v>
      </c>
      <c r="Q11" s="2475" t="n">
        <v>67.62891421104568</v>
      </c>
      <c r="R11" s="2475" t="n">
        <v>69.56362492158868</v>
      </c>
      <c r="S11" s="2475" t="n">
        <v>71.5649836665988</v>
      </c>
      <c r="T11" s="2475" t="n">
        <v>73.6352964562723</v>
      </c>
      <c r="U11" s="2475" t="n">
        <v>75.77694934438715</v>
      </c>
      <c r="V11" s="2475" t="n">
        <v>77.99241121315883</v>
      </c>
      <c r="W11" s="2475" t="n">
        <v>84.0440918093465</v>
      </c>
      <c r="X11" s="2475" t="n">
        <v>86.86701423653834</v>
      </c>
      <c r="Y11" s="1937" t="str">
        <v>Formula-driven</v>
      </c>
      <c r="Z11" s="1937" t="str">
        <v>Calculated subtotal</v>
      </c>
    </row>
    <row r="12">
      <c r="A12" s="1936"/>
      <c r="B12" s="1936"/>
      <c r="C12" s="1936"/>
      <c r="D12" s="1936"/>
      <c r="E12" s="1936"/>
      <c r="F12" s="1936"/>
      <c r="G12" s="1936"/>
      <c r="H12" s="1936"/>
      <c r="I12" s="1936"/>
      <c r="J12" s="1936"/>
      <c r="K12" s="1936"/>
      <c r="L12" s="1936"/>
      <c r="M12" s="1936"/>
      <c r="N12" s="1936"/>
      <c r="O12" s="1936"/>
      <c r="P12" s="1936"/>
      <c r="Q12" s="1936"/>
      <c r="R12" s="1936"/>
      <c r="S12" s="1936"/>
      <c r="T12" s="1936"/>
      <c r="U12" s="1936"/>
      <c r="V12" s="1936"/>
      <c r="W12" s="1936"/>
      <c r="X12" s="1936"/>
      <c r="Y12" s="1937"/>
      <c r="Z12" s="1937"/>
    </row>
    <row r="13">
      <c r="A13" s="1936" t="str">
        <v>Outgoings / property expenses</v>
      </c>
      <c r="B13" s="1936" t="str">
        <v>A$m</v>
      </c>
      <c r="C13" s="2471" t="n">
        <f>PROJECTS!N13</f>
        <v>0.89800538</v>
      </c>
      <c r="D13" s="2471" t="n">
        <f>PROJECTS!O13</f>
        <v>1.3882596079999998</v>
      </c>
      <c r="E13" s="2471" t="n">
        <f>PROJECTS!P13</f>
        <v>1.3882596079999998</v>
      </c>
      <c r="F13" s="2471" t="n">
        <f>PROJECTS!Q13</f>
        <v>1.3882596079999998</v>
      </c>
      <c r="G13" s="2471" t="n">
        <f>PROJECTS!R13</f>
        <v>1.3882596079999998</v>
      </c>
      <c r="H13" s="2471" t="n">
        <f>PROJECTS!S13</f>
        <v>1.3882596079999998</v>
      </c>
      <c r="I13" s="2471" t="n">
        <f>PROJECTS!T13</f>
        <v>1.3882596079999998</v>
      </c>
      <c r="J13" s="2471" t="n">
        <f>PROJECTS!U13</f>
        <v>1.3882596079999998</v>
      </c>
      <c r="K13" s="2471" t="n">
        <f>PROJECTS!V13</f>
        <v>1.3882596079999998</v>
      </c>
      <c r="L13" s="2471" t="n">
        <f>PROJECTS!W13</f>
        <v>1.3882596079999998</v>
      </c>
      <c r="M13" s="2471" t="n">
        <f>PROJECTS!X13</f>
        <v>1.3882596079999998</v>
      </c>
      <c r="N13" s="2471" t="n">
        <f>PROJECTS!Y13</f>
        <v>1.4229660981999996</v>
      </c>
      <c r="O13" s="2471" t="n">
        <f>PROJECTS!Z13</f>
        <v>1.4585402506549996</v>
      </c>
      <c r="P13" s="2471" t="n">
        <f>PROJECTS!AA13</f>
        <v>1.4950037569213745</v>
      </c>
      <c r="Q13" s="2471" t="n">
        <f>PROJECTS!AB13</f>
        <v>1.5323788508444087</v>
      </c>
      <c r="R13" s="2471" t="n">
        <f>PROJECTS!AC13</f>
        <v>1.5706883221155188</v>
      </c>
      <c r="S13" s="2471" t="n">
        <f>PROJECTS!AD13</f>
        <v>1.6099555301684065</v>
      </c>
      <c r="T13" s="2471" t="n">
        <f>PROJECTS!AE13</f>
        <v>1.6502044184226166</v>
      </c>
      <c r="U13" s="2471" t="n">
        <f>PROJECTS!AF13</f>
        <v>1.6914595288831817</v>
      </c>
      <c r="V13" s="2471" t="n">
        <f>PROJECTS!AG13</f>
        <v>1.7337460171052612</v>
      </c>
      <c r="W13" s="2471" t="n">
        <f>PROJECTS!AH13</f>
        <v>1.7770896675328927</v>
      </c>
      <c r="X13" s="2471" t="n">
        <f>PROJECTS!AI13</f>
        <v>1.821516909221215</v>
      </c>
      <c r="Y13" s="1937" t="str">
        <v>Linked management case</v>
      </c>
      <c r="Z13" s="1937" t="str">
        <v>Formula-linked source input</v>
      </c>
    </row>
    <row r="14">
      <c r="A14" s="1936" t="str">
        <v>Security &amp; maintenance services</v>
      </c>
      <c r="B14" s="1936" t="str">
        <v>A$m</v>
      </c>
      <c r="C14" s="2471" t="n">
        <f>PROJECTS!N14</f>
        <v>0.2520525391121715</v>
      </c>
      <c r="D14" s="2471" t="n">
        <f>PROJECTS!O14</f>
        <v>1.352216062490407</v>
      </c>
      <c r="E14" s="2471" t="n">
        <f>PROJECTS!P14</f>
        <v>1.4649060110485748</v>
      </c>
      <c r="F14" s="2471" t="n">
        <f>PROJECTS!Q14</f>
        <v>1.5219962640312785</v>
      </c>
      <c r="G14" s="2471" t="n">
        <f>PROJECTS!R14</f>
        <v>1.5734089425801274</v>
      </c>
      <c r="H14" s="2471" t="n">
        <f>PROJECTS!S14</f>
        <v>1.625482768891288</v>
      </c>
      <c r="I14" s="2471" t="n">
        <f>PROJECTS!T14</f>
        <v>1.5871418327474611</v>
      </c>
      <c r="J14" s="2471" t="n">
        <f>PROJECTS!U14</f>
        <v>1.641225807758259</v>
      </c>
      <c r="K14" s="2471" t="n">
        <f>PROJECTS!V14</f>
        <v>1.6972438093330553</v>
      </c>
      <c r="L14" s="2471" t="n">
        <f>PROJECTS!W14</f>
        <v>1.7552827785263743</v>
      </c>
      <c r="M14" s="2471" t="n">
        <f>PROJECTS!X14</f>
        <v>1.8153925454334707</v>
      </c>
      <c r="N14" s="2471" t="n">
        <f>PROJECTS!Y14</f>
        <v>1.8660826487006146</v>
      </c>
      <c r="O14" s="2471" t="n">
        <f>PROJECTS!Z14</f>
        <v>1.918517910439609</v>
      </c>
      <c r="P14" s="2471" t="n">
        <f>PROJECTS!AA14</f>
        <v>1.9727586863184052</v>
      </c>
      <c r="Q14" s="2471" t="n">
        <f>PROJECTS!AB14</f>
        <v>2.02886742633137</v>
      </c>
      <c r="R14" s="2471" t="n">
        <f>PROJECTS!AC14</f>
        <v>2.0869087476476604</v>
      </c>
      <c r="S14" s="2471" t="n">
        <f>PROJECTS!AD14</f>
        <v>2.146949509997964</v>
      </c>
      <c r="T14" s="2471" t="n">
        <f>PROJECTS!AE14</f>
        <v>2.209058893688169</v>
      </c>
      <c r="U14" s="2471" t="n">
        <f>PROJECTS!AF14</f>
        <v>2.273308480331614</v>
      </c>
      <c r="V14" s="2471" t="n">
        <f>PROJECTS!AG14</f>
        <v>2.339772336394765</v>
      </c>
      <c r="W14" s="2471" t="n">
        <f>PROJECTS!AH14</f>
        <v>2.5213227542803947</v>
      </c>
      <c r="X14" s="2471" t="n">
        <f>PROJECTS!AI14</f>
        <v>2.60601042709615</v>
      </c>
      <c r="Y14" s="1937" t="str">
        <v>Linked management case</v>
      </c>
      <c r="Z14" s="1937" t="str">
        <v>Formula-linked source input</v>
      </c>
    </row>
    <row r="15">
      <c r="A15" s="1936" t="str">
        <v>Total property operating costs</v>
      </c>
      <c r="B15" s="1936" t="str">
        <v>A$m</v>
      </c>
      <c r="C15" s="2475" t="n">
        <v>1.1500579191121716</v>
      </c>
      <c r="D15" s="2475" t="n">
        <v>2.7404756704904067</v>
      </c>
      <c r="E15" s="2475" t="n">
        <v>2.853165619048575</v>
      </c>
      <c r="F15" s="2475" t="n">
        <v>2.9102558720312786</v>
      </c>
      <c r="G15" s="2475" t="n">
        <v>2.9616685505801272</v>
      </c>
      <c r="H15" s="2475" t="n">
        <v>3.0137423768912877</v>
      </c>
      <c r="I15" s="2475" t="n">
        <v>2.975401440747461</v>
      </c>
      <c r="J15" s="2475" t="n">
        <v>3.029485415758259</v>
      </c>
      <c r="K15" s="2475" t="n">
        <v>3.0855034173330553</v>
      </c>
      <c r="L15" s="2475" t="n">
        <v>3.143542386526374</v>
      </c>
      <c r="M15" s="2475" t="n">
        <v>3.2036521534334703</v>
      </c>
      <c r="N15" s="2475" t="n">
        <v>3.2890487469006144</v>
      </c>
      <c r="O15" s="2475" t="n">
        <v>3.3770581610946087</v>
      </c>
      <c r="P15" s="2475" t="n">
        <v>3.4677624432397796</v>
      </c>
      <c r="Q15" s="2475" t="n">
        <v>3.561246277175779</v>
      </c>
      <c r="R15" s="2475" t="n">
        <v>3.657597069763179</v>
      </c>
      <c r="S15" s="2475" t="n">
        <v>3.7569050401663704</v>
      </c>
      <c r="T15" s="2475" t="n">
        <v>3.8592633121107855</v>
      </c>
      <c r="U15" s="2475" t="n">
        <v>3.964768009214796</v>
      </c>
      <c r="V15" s="2475" t="n">
        <v>4.073518353500026</v>
      </c>
      <c r="W15" s="2475" t="n">
        <v>4.298412421813287</v>
      </c>
      <c r="X15" s="2475" t="n">
        <v>4.427527336317365</v>
      </c>
      <c r="Y15" s="1937" t="str">
        <v>Formula-driven</v>
      </c>
      <c r="Z15" s="1937" t="str">
        <v>Calculated subtotal</v>
      </c>
    </row>
    <row r="16">
      <c r="A16" s="1936"/>
      <c r="B16" s="1936"/>
      <c r="C16" s="1936"/>
      <c r="D16" s="1936"/>
      <c r="E16" s="1936"/>
      <c r="F16" s="1936"/>
      <c r="G16" s="1936"/>
      <c r="H16" s="1936"/>
      <c r="I16" s="1936"/>
      <c r="J16" s="1936"/>
      <c r="K16" s="1936"/>
      <c r="L16" s="1936"/>
      <c r="M16" s="1936"/>
      <c r="N16" s="1936"/>
      <c r="O16" s="1936"/>
      <c r="P16" s="1936"/>
      <c r="Q16" s="1936"/>
      <c r="R16" s="1936"/>
      <c r="S16" s="1936"/>
      <c r="T16" s="1936"/>
      <c r="U16" s="1936"/>
      <c r="V16" s="1936"/>
      <c r="W16" s="1936"/>
      <c r="X16" s="1936"/>
      <c r="Y16" s="1937"/>
      <c r="Z16" s="1937"/>
    </row>
    <row r="17">
      <c r="A17" s="1936" t="str">
        <v>Management payroll</v>
      </c>
      <c r="B17" s="1936" t="str">
        <v>A$m</v>
      </c>
      <c r="C17" s="2471" t="n">
        <f>PROJECTS!N17</f>
        <v>0.18</v>
      </c>
      <c r="D17" s="2471" t="n">
        <f>PROJECTS!O17</f>
        <v>0.1854</v>
      </c>
      <c r="E17" s="2471" t="n">
        <f>PROJECTS!P17</f>
        <v>0.19096200000000002</v>
      </c>
      <c r="F17" s="2471" t="n">
        <f>PROJECTS!Q17</f>
        <v>0.19669086000000002</v>
      </c>
      <c r="G17" s="2471" t="n">
        <f>PROJECTS!R17</f>
        <v>0.20259158580000003</v>
      </c>
      <c r="H17" s="2471" t="n">
        <f>PROJECTS!S17</f>
        <v>0.20866933337400004</v>
      </c>
      <c r="I17" s="2471" t="n">
        <f>PROJECTS!T17</f>
        <v>0.21492941337522004</v>
      </c>
      <c r="J17" s="2471" t="n">
        <f>PROJECTS!U17</f>
        <v>0.22137729577647663</v>
      </c>
      <c r="K17" s="2471" t="n">
        <f>PROJECTS!V17</f>
        <v>0.22801861464977094</v>
      </c>
      <c r="L17" s="2471" t="n">
        <f>PROJECTS!W17</f>
        <v>0.23485917308926407</v>
      </c>
      <c r="M17" s="2471" t="n">
        <f>PROJECTS!X17</f>
        <v>0.241904948281942</v>
      </c>
      <c r="N17" s="2471" t="n">
        <f>PROJECTS!Y17</f>
        <v>0.24916209673040027</v>
      </c>
      <c r="O17" s="2471" t="n">
        <f>PROJECTS!Z17</f>
        <v>0.25663695963231226</v>
      </c>
      <c r="P17" s="2471" t="n">
        <f>PROJECTS!AA17</f>
        <v>0.26433606842128166</v>
      </c>
      <c r="Q17" s="2471" t="n">
        <f>PROJECTS!AB17</f>
        <v>0.2722661504739201</v>
      </c>
      <c r="R17" s="2471" t="n">
        <f>PROJECTS!AC17</f>
        <v>0.28043413498813774</v>
      </c>
      <c r="S17" s="2471" t="n">
        <f>PROJECTS!AD17</f>
        <v>0.28884715903778185</v>
      </c>
      <c r="T17" s="2471" t="n">
        <f>PROJECTS!AE17</f>
        <v>0.2975125738089153</v>
      </c>
      <c r="U17" s="2471" t="n">
        <f>PROJECTS!AF17</f>
        <v>0.3064379510231828</v>
      </c>
      <c r="V17" s="2471" t="n">
        <f>PROJECTS!AG17</f>
        <v>0.31563108955387825</v>
      </c>
      <c r="W17" s="2471" t="n">
        <f>PROJECTS!AH17</f>
        <v>0.3251000222404946</v>
      </c>
      <c r="X17" s="2471" t="n">
        <f>PROJECTS!AI17</f>
        <v>0.33485302290770946</v>
      </c>
      <c r="Y17" s="1937" t="str">
        <v>Linked management case</v>
      </c>
      <c r="Z17" s="1937" t="str">
        <v>Formula-linked source input</v>
      </c>
    </row>
    <row r="18">
      <c r="A18" s="1936" t="str">
        <v>Administration</v>
      </c>
      <c r="B18" s="1936" t="str">
        <v>A$m</v>
      </c>
      <c r="C18" s="2471" t="n">
        <f>PROJECTS!N18</f>
        <v>0.042008756518695255</v>
      </c>
      <c r="D18" s="2471" t="n">
        <f>PROJECTS!O18</f>
        <v>0.22536934374840115</v>
      </c>
      <c r="E18" s="2471" t="n">
        <f>PROJECTS!P18</f>
        <v>0.24415100184142915</v>
      </c>
      <c r="F18" s="2471" t="n">
        <f>PROJECTS!Q18</f>
        <v>0.2536660440052131</v>
      </c>
      <c r="G18" s="2471" t="n">
        <f>PROJECTS!R18</f>
        <v>0.2622348237633546</v>
      </c>
      <c r="H18" s="2471" t="n">
        <f>PROJECTS!S18</f>
        <v>0.27091379481521466</v>
      </c>
      <c r="I18" s="2471" t="n">
        <f>PROJECTS!T18</f>
        <v>0.2645236387912435</v>
      </c>
      <c r="J18" s="2471" t="n">
        <f>PROJECTS!U18</f>
        <v>0.27353763462637654</v>
      </c>
      <c r="K18" s="2471" t="n">
        <f>PROJECTS!V18</f>
        <v>0.2828739682221759</v>
      </c>
      <c r="L18" s="2471" t="n">
        <f>PROJECTS!W18</f>
        <v>0.29254712975439573</v>
      </c>
      <c r="M18" s="2471" t="n">
        <f>PROJECTS!X18</f>
        <v>0.3025654242389118</v>
      </c>
      <c r="N18" s="2471" t="n">
        <f>PROJECTS!Y18</f>
        <v>0.3110137747834358</v>
      </c>
      <c r="O18" s="2471" t="n">
        <f>PROJECTS!Z18</f>
        <v>0.3197529850732682</v>
      </c>
      <c r="P18" s="2471" t="n">
        <f>PROJECTS!AA18</f>
        <v>0.32879311438640085</v>
      </c>
      <c r="Q18" s="2471" t="n">
        <f>PROJECTS!AB18</f>
        <v>0.33814457105522844</v>
      </c>
      <c r="R18" s="2471" t="n">
        <f>PROJECTS!AC18</f>
        <v>0.3478181246079434</v>
      </c>
      <c r="S18" s="2471" t="n">
        <f>PROJECTS!AD18</f>
        <v>0.357824918332994</v>
      </c>
      <c r="T18" s="2471" t="n">
        <f>PROJECTS!AE18</f>
        <v>0.3681764822813615</v>
      </c>
      <c r="U18" s="2471" t="n">
        <f>PROJECTS!AF18</f>
        <v>0.37888474672193573</v>
      </c>
      <c r="V18" s="2471" t="n">
        <f>PROJECTS!AG18</f>
        <v>0.38996205606579415</v>
      </c>
      <c r="W18" s="2471" t="n">
        <f>PROJECTS!AH18</f>
        <v>0.4202204590467325</v>
      </c>
      <c r="X18" s="2471" t="n">
        <f>PROJECTS!AI18</f>
        <v>0.4343350711826917</v>
      </c>
      <c r="Y18" s="1937" t="str">
        <v>Linked management case</v>
      </c>
      <c r="Z18" s="1937" t="str">
        <v>Formula-linked source input</v>
      </c>
    </row>
    <row r="19">
      <c r="A19" s="1936" t="str">
        <v>Total asset management costs</v>
      </c>
      <c r="B19" s="1936" t="str">
        <v>A$m</v>
      </c>
      <c r="C19" s="2475" t="n">
        <v>0.22200875651869525</v>
      </c>
      <c r="D19" s="2475" t="n">
        <v>0.41076934374840113</v>
      </c>
      <c r="E19" s="2475" t="n">
        <v>0.4351130018414292</v>
      </c>
      <c r="F19" s="2475" t="n">
        <v>0.4503569040052131</v>
      </c>
      <c r="G19" s="2475" t="n">
        <v>0.46482640956335464</v>
      </c>
      <c r="H19" s="2475" t="n">
        <v>0.47958312818921467</v>
      </c>
      <c r="I19" s="2475" t="n">
        <v>0.47945305216646356</v>
      </c>
      <c r="J19" s="2475" t="n">
        <v>0.49491493040285317</v>
      </c>
      <c r="K19" s="2475" t="n">
        <v>0.5108925828719468</v>
      </c>
      <c r="L19" s="2475" t="n">
        <v>0.5274063028436597</v>
      </c>
      <c r="M19" s="2475" t="n">
        <v>0.5444703725208538</v>
      </c>
      <c r="N19" s="2475" t="n">
        <v>0.5601758715138361</v>
      </c>
      <c r="O19" s="2475" t="n">
        <v>0.5763899447055805</v>
      </c>
      <c r="P19" s="2475" t="n">
        <v>0.5931291828076826</v>
      </c>
      <c r="Q19" s="2475" t="n">
        <v>0.6104107215291485</v>
      </c>
      <c r="R19" s="2475" t="n">
        <v>0.6282522595960811</v>
      </c>
      <c r="S19" s="2475" t="n">
        <v>0.6466720773707759</v>
      </c>
      <c r="T19" s="2475" t="n">
        <v>0.6656890560902768</v>
      </c>
      <c r="U19" s="2475" t="n">
        <v>0.6853226977451186</v>
      </c>
      <c r="V19" s="2475" t="n">
        <v>0.7055931456196725</v>
      </c>
      <c r="W19" s="2475" t="n">
        <v>0.7453204812872272</v>
      </c>
      <c r="X19" s="2475" t="n">
        <v>0.7691880940904012</v>
      </c>
      <c r="Y19" s="1937" t="str">
        <v>Formula-driven</v>
      </c>
      <c r="Z19" s="1937" t="str">
        <v>Calculated subtotal</v>
      </c>
    </row>
    <row r="20">
      <c r="A20" s="1936"/>
      <c r="B20" s="1936"/>
      <c r="C20" s="1936"/>
      <c r="D20" s="1936"/>
      <c r="E20" s="1936"/>
      <c r="F20" s="1936"/>
      <c r="G20" s="1936"/>
      <c r="H20" s="1936"/>
      <c r="I20" s="1936"/>
      <c r="J20" s="1936"/>
      <c r="K20" s="1936"/>
      <c r="L20" s="1936"/>
      <c r="M20" s="1936"/>
      <c r="N20" s="1936"/>
      <c r="O20" s="1936"/>
      <c r="P20" s="1936"/>
      <c r="Q20" s="1936"/>
      <c r="R20" s="1936"/>
      <c r="S20" s="1936"/>
      <c r="T20" s="1936"/>
      <c r="U20" s="1936"/>
      <c r="V20" s="1936"/>
      <c r="W20" s="1936"/>
      <c r="X20" s="1936"/>
      <c r="Y20" s="1937"/>
      <c r="Z20" s="1937"/>
    </row>
    <row r="21">
      <c r="A21" s="1936" t="str">
        <v>Net operating income / EBITDA</v>
      </c>
      <c r="B21" s="1936" t="str">
        <v>A$m</v>
      </c>
      <c r="C21" s="2475" t="n">
        <v>7.029684628108184</v>
      </c>
      <c r="D21" s="2475" t="n">
        <v>41.92262373544143</v>
      </c>
      <c r="E21" s="2475" t="n">
        <v>45.541921747395826</v>
      </c>
      <c r="F21" s="2475" t="n">
        <v>47.37259602500613</v>
      </c>
      <c r="G21" s="2475" t="n">
        <v>49.02046979252743</v>
      </c>
      <c r="H21" s="2475" t="n">
        <v>50.68943345796244</v>
      </c>
      <c r="I21" s="2475" t="n">
        <v>49.44987326533478</v>
      </c>
      <c r="J21" s="2475" t="n">
        <v>51.18312657911419</v>
      </c>
      <c r="K21" s="2475" t="n">
        <v>52.97839764423018</v>
      </c>
      <c r="L21" s="2475" t="n">
        <v>54.838477261509105</v>
      </c>
      <c r="M21" s="2475" t="n">
        <v>56.76496232182803</v>
      </c>
      <c r="N21" s="2475" t="n">
        <v>58.35353033827271</v>
      </c>
      <c r="O21" s="2475" t="n">
        <v>59.99714890885345</v>
      </c>
      <c r="P21" s="2475" t="n">
        <v>61.69773125123272</v>
      </c>
      <c r="Q21" s="2475" t="n">
        <v>63.45725721234075</v>
      </c>
      <c r="R21" s="2475" t="n">
        <v>65.27777559222942</v>
      </c>
      <c r="S21" s="2475" t="n">
        <v>67.16140654906165</v>
      </c>
      <c r="T21" s="2475" t="n">
        <v>69.11034408807124</v>
      </c>
      <c r="U21" s="2475" t="n">
        <v>71.12685863742723</v>
      </c>
      <c r="V21" s="2475" t="n">
        <v>73.21329971403914</v>
      </c>
      <c r="W21" s="2475" t="n">
        <v>79.00035890624599</v>
      </c>
      <c r="X21" s="2475" t="n">
        <v>81.67029880613057</v>
      </c>
      <c r="Y21" s="1937" t="str">
        <v>Formula-driven</v>
      </c>
      <c r="Z21" s="1937" t="str">
        <v>Calculated EBITDA / NOI</v>
      </c>
    </row>
    <row r="22">
      <c r="A22" s="1936" t="str">
        <v>EBITDA margin</v>
      </c>
      <c r="B22" s="1936" t="str">
        <v>%</v>
      </c>
      <c r="C22" s="2477" t="n">
        <v>0.8366927767761642</v>
      </c>
      <c r="D22" s="2477" t="n">
        <v>0.9300870969887367</v>
      </c>
      <c r="E22" s="2477" t="n">
        <v>0.9326589160787947</v>
      </c>
      <c r="F22" s="2477" t="n">
        <v>0.9337591125131548</v>
      </c>
      <c r="G22" s="2477" t="n">
        <v>0.934667430683508</v>
      </c>
      <c r="H22" s="2477" t="n">
        <v>0.9355269910219368</v>
      </c>
      <c r="I22" s="2477" t="n">
        <v>0.9346966776069412</v>
      </c>
      <c r="J22" s="2477" t="n">
        <v>0.935577414219892</v>
      </c>
      <c r="K22" s="2477" t="n">
        <v>0.9364311247371425</v>
      </c>
      <c r="L22" s="2477" t="n">
        <v>0.9372588496689075</v>
      </c>
      <c r="M22" s="2477" t="n">
        <v>0.9380609576361453</v>
      </c>
      <c r="N22" s="2477" t="n">
        <v>0.9381181006999654</v>
      </c>
      <c r="O22" s="2477" t="n">
        <v>0.9381796528827667</v>
      </c>
      <c r="P22" s="2477" t="n">
        <v>0.9382454886011533</v>
      </c>
      <c r="Q22" s="2477" t="n">
        <v>0.9383154816638534</v>
      </c>
      <c r="R22" s="2477" t="n">
        <v>0.9383895055182903</v>
      </c>
      <c r="S22" s="2477" t="n">
        <v>0.9384674334860162</v>
      </c>
      <c r="T22" s="2477" t="n">
        <v>0.9385491389867879</v>
      </c>
      <c r="U22" s="2477" t="n">
        <v>0.9386344957511231</v>
      </c>
      <c r="V22" s="2477" t="n">
        <v>0.9387233780212534</v>
      </c>
      <c r="W22" s="2477" t="n">
        <v>0.9399870616182969</v>
      </c>
      <c r="X22" s="2477" t="n">
        <v>0.940176193736127</v>
      </c>
      <c r="Y22" s="1937" t="str">
        <v>Formula-driven</v>
      </c>
      <c r="Z22" s="1937" t="str">
        <v>Calculated margin</v>
      </c>
    </row>
    <row r="23">
      <c r="A23" s="1936"/>
      <c r="B23" s="1936"/>
      <c r="C23" s="1936"/>
      <c r="D23" s="1936"/>
      <c r="E23" s="1936"/>
      <c r="F23" s="1936"/>
      <c r="G23" s="1936"/>
      <c r="H23" s="1936"/>
      <c r="I23" s="1936"/>
      <c r="J23" s="1936"/>
      <c r="K23" s="1936"/>
      <c r="L23" s="1936"/>
      <c r="M23" s="1936"/>
      <c r="N23" s="1936"/>
      <c r="O23" s="1936"/>
      <c r="P23" s="1936"/>
      <c r="Q23" s="1936"/>
      <c r="R23" s="1936"/>
      <c r="S23" s="1936"/>
      <c r="T23" s="1936"/>
      <c r="U23" s="1936"/>
      <c r="V23" s="1936"/>
      <c r="W23" s="1936"/>
      <c r="X23" s="1936"/>
      <c r="Y23" s="1937"/>
      <c r="Z23" s="1937"/>
    </row>
    <row r="24">
      <c r="A24" s="1936"/>
      <c r="B24" s="1936"/>
      <c r="C24" s="1936"/>
      <c r="D24" s="1936"/>
      <c r="E24" s="1936"/>
      <c r="F24" s="1936"/>
      <c r="G24" s="1936"/>
      <c r="H24" s="1936"/>
      <c r="I24" s="1936"/>
      <c r="J24" s="1936"/>
      <c r="K24" s="1936"/>
      <c r="L24" s="1936"/>
      <c r="M24" s="1936"/>
      <c r="N24" s="1936"/>
      <c r="O24" s="1936"/>
      <c r="P24" s="1936"/>
      <c r="Q24" s="1936"/>
      <c r="R24" s="1936"/>
      <c r="S24" s="1936"/>
      <c r="T24" s="1936"/>
      <c r="U24" s="1936"/>
      <c r="V24" s="1936"/>
      <c r="W24" s="1936"/>
      <c r="X24" s="1936"/>
      <c r="Y24" s="1937"/>
      <c r="Z24" s="1937"/>
    </row>
    <row r="25">
      <c r="A25" s="2460" t="str">
        <v>SELECTED STABILISED OPERATING CASE</v>
      </c>
      <c r="B25" s="2460"/>
      <c r="C25" s="2460"/>
      <c r="D25" s="2460"/>
      <c r="E25" s="2460"/>
      <c r="F25" s="2460"/>
      <c r="G25" s="1936"/>
      <c r="H25" s="1936"/>
      <c r="I25" s="1936"/>
      <c r="J25" s="1936"/>
      <c r="K25" s="1936"/>
      <c r="L25" s="1936"/>
      <c r="M25" s="1936"/>
      <c r="N25" s="1936"/>
      <c r="O25" s="1936"/>
      <c r="P25" s="1936"/>
      <c r="Q25" s="1936"/>
      <c r="R25" s="1936"/>
      <c r="S25" s="1936"/>
      <c r="T25" s="1936"/>
      <c r="U25" s="1936"/>
      <c r="V25" s="1936"/>
      <c r="W25" s="1936"/>
      <c r="X25" s="1936"/>
      <c r="Y25" s="1937"/>
      <c r="Z25" s="1937"/>
    </row>
    <row r="26">
      <c r="A26" s="2465" t="str">
        <v>Assumption / Output</v>
      </c>
      <c r="B26" s="2465" t="str">
        <v>Unit</v>
      </c>
      <c r="C26" s="2465" t="str">
        <v>Value</v>
      </c>
      <c r="D26" s="1936"/>
      <c r="E26" s="1936"/>
      <c r="F26" s="1936"/>
      <c r="G26" s="1936"/>
      <c r="H26" s="1936"/>
      <c r="I26" s="1936"/>
      <c r="J26" s="1936"/>
      <c r="K26" s="1936"/>
      <c r="L26" s="1936"/>
      <c r="M26" s="1936"/>
      <c r="N26" s="1936"/>
      <c r="O26" s="1936"/>
      <c r="P26" s="1936"/>
      <c r="Q26" s="1936"/>
      <c r="R26" s="1936"/>
      <c r="S26" s="1936"/>
      <c r="T26" s="1936"/>
      <c r="U26" s="1936"/>
      <c r="V26" s="1936"/>
      <c r="W26" s="1936"/>
      <c r="X26" s="1936"/>
      <c r="Y26" s="1937"/>
      <c r="Z26" s="1937"/>
    </row>
    <row r="27">
      <c r="A27" s="1936" t="str">
        <v>Stabilised operating revenue</v>
      </c>
      <c r="B27" s="1936" t="str">
        <v>A$m</v>
      </c>
      <c r="C27" s="2479" t="n">
        <f>INDEX($C$11:$X$11,1,MATCH($C$31,$C$7:$X$7,0))</f>
        <v>48.83020036828583</v>
      </c>
      <c r="D27" s="1936"/>
      <c r="E27" s="1936"/>
      <c r="F27" s="1936"/>
      <c r="G27" s="1936"/>
      <c r="H27" s="1936"/>
      <c r="I27" s="1936"/>
      <c r="J27" s="1936"/>
      <c r="K27" s="1936"/>
      <c r="L27" s="1936"/>
      <c r="M27" s="1936"/>
      <c r="N27" s="1936"/>
      <c r="O27" s="1936"/>
      <c r="P27" s="1936"/>
      <c r="Q27" s="1936"/>
      <c r="R27" s="1936"/>
      <c r="S27" s="1936"/>
      <c r="T27" s="1936"/>
      <c r="U27" s="1936"/>
      <c r="V27" s="1936"/>
      <c r="W27" s="1936"/>
      <c r="X27" s="1936"/>
      <c r="Y27" s="1937" t="str">
        <v>Formula-driven</v>
      </c>
      <c r="Z27" s="1937" t="str">
        <v>Selected stabilised output</v>
      </c>
    </row>
    <row r="28">
      <c r="A28" s="1936" t="str">
        <v>Stabilised EBITDA / NOI</v>
      </c>
      <c r="B28" s="1936" t="str">
        <v>A$m</v>
      </c>
      <c r="C28" s="2479" t="n">
        <f>INDEX($C$21:$X$21,1,MATCH($C$31,$C$7:$X$7,0))</f>
        <v>45.541921747395826</v>
      </c>
      <c r="D28" s="1936"/>
      <c r="E28" s="1936"/>
      <c r="F28" s="1936"/>
      <c r="G28" s="1936"/>
      <c r="H28" s="1936"/>
      <c r="I28" s="1936"/>
      <c r="J28" s="1936"/>
      <c r="K28" s="1936"/>
      <c r="L28" s="1936"/>
      <c r="M28" s="1936"/>
      <c r="N28" s="1936"/>
      <c r="O28" s="1936"/>
      <c r="P28" s="1936"/>
      <c r="Q28" s="1936"/>
      <c r="R28" s="1936"/>
      <c r="S28" s="1936"/>
      <c r="T28" s="1936"/>
      <c r="U28" s="1936"/>
      <c r="V28" s="1936"/>
      <c r="W28" s="1936"/>
      <c r="X28" s="1936"/>
      <c r="Y28" s="1937" t="str">
        <v>Formula-driven</v>
      </c>
      <c r="Z28" s="1937" t="str">
        <v>Selected stabilised output</v>
      </c>
    </row>
    <row r="29">
      <c r="A29" s="1936" t="str">
        <v>Stabilised operating costs</v>
      </c>
      <c r="B29" s="1936" t="str">
        <v>A$m</v>
      </c>
      <c r="C29" s="2479" t="n">
        <f>C27-C28</f>
        <v>3.2882786208900043</v>
      </c>
      <c r="D29" s="1936"/>
      <c r="E29" s="1936"/>
      <c r="F29" s="1936"/>
      <c r="G29" s="1936"/>
      <c r="H29" s="1936"/>
      <c r="I29" s="1936"/>
      <c r="J29" s="1936"/>
      <c r="K29" s="1936"/>
      <c r="L29" s="1936"/>
      <c r="M29" s="1936"/>
      <c r="N29" s="1936"/>
      <c r="O29" s="1936"/>
      <c r="P29" s="1936"/>
      <c r="Q29" s="1936"/>
      <c r="R29" s="1936"/>
      <c r="S29" s="1936"/>
      <c r="T29" s="1936"/>
      <c r="U29" s="1936"/>
      <c r="V29" s="1936"/>
      <c r="W29" s="1936"/>
      <c r="X29" s="1936"/>
      <c r="Y29" s="1937" t="str">
        <v>Formula-driven</v>
      </c>
      <c r="Z29" s="1937" t="str">
        <v>Selected stabilised output</v>
      </c>
    </row>
    <row r="30">
      <c r="A30" s="1936" t="str">
        <v>Stabilised EBITDA margin</v>
      </c>
      <c r="B30" s="1936" t="str">
        <v>%</v>
      </c>
      <c r="C30" s="1964" t="n">
        <f>C28/C27</f>
        <v>0.9326589160787947</v>
      </c>
      <c r="D30" s="1936"/>
      <c r="E30" s="1936"/>
      <c r="F30" s="1936"/>
      <c r="G30" s="1936"/>
      <c r="H30" s="1936"/>
      <c r="I30" s="1936"/>
      <c r="J30" s="1936"/>
      <c r="K30" s="1936"/>
      <c r="L30" s="1936"/>
      <c r="M30" s="1936"/>
      <c r="N30" s="1936"/>
      <c r="O30" s="1936"/>
      <c r="P30" s="1936"/>
      <c r="Q30" s="1936"/>
      <c r="R30" s="1936"/>
      <c r="S30" s="1936"/>
      <c r="T30" s="1936"/>
      <c r="U30" s="1936"/>
      <c r="V30" s="1936"/>
      <c r="W30" s="1936"/>
      <c r="X30" s="1936"/>
      <c r="Y30" s="1937" t="str">
        <v>Formula-driven</v>
      </c>
      <c r="Z30" s="1937" t="str">
        <v>Calculated margin</v>
      </c>
    </row>
    <row r="31">
      <c r="A31" s="1936" t="str">
        <v>Selected forecast year</v>
      </c>
      <c r="B31" s="1936" t="str">
        <v>Year</v>
      </c>
      <c r="C31" s="2481" t="n">
        <f>PROJECTS!$AP$216</f>
        <v>2029</v>
      </c>
      <c r="D31" s="1936"/>
      <c r="E31" s="1936"/>
      <c r="F31" s="1936"/>
      <c r="G31" s="1936"/>
      <c r="H31" s="1936"/>
      <c r="I31" s="1936"/>
      <c r="J31" s="1936"/>
      <c r="K31" s="1936"/>
      <c r="L31" s="1936"/>
      <c r="M31" s="1936"/>
      <c r="N31" s="1936"/>
      <c r="O31" s="1936"/>
      <c r="P31" s="1936"/>
      <c r="Q31" s="1936"/>
      <c r="R31" s="1936"/>
      <c r="S31" s="1936"/>
      <c r="T31" s="1936"/>
      <c r="U31" s="1936"/>
      <c r="V31" s="1936"/>
      <c r="W31" s="1936"/>
      <c r="X31" s="1936"/>
      <c r="Y31" s="1937" t="str">
        <v>Linked selector</v>
      </c>
      <c r="Z31" s="1937" t="str">
        <v>Formula-linked source input</v>
      </c>
    </row>
    <row r="32">
      <c r="A32" s="1936"/>
      <c r="B32" s="1936"/>
      <c r="C32" s="1936"/>
      <c r="D32" s="1936"/>
      <c r="E32" s="1936"/>
      <c r="F32" s="1936"/>
      <c r="G32" s="1936"/>
      <c r="H32" s="1936"/>
      <c r="I32" s="1936"/>
      <c r="J32" s="1936"/>
      <c r="K32" s="1936"/>
      <c r="L32" s="1936"/>
      <c r="M32" s="1936"/>
      <c r="N32" s="1936"/>
      <c r="O32" s="1936"/>
      <c r="P32" s="1936"/>
      <c r="Q32" s="1936"/>
      <c r="R32" s="1936"/>
      <c r="S32" s="1936"/>
      <c r="T32" s="1936"/>
      <c r="U32" s="1936"/>
      <c r="V32" s="1936"/>
      <c r="W32" s="1936"/>
      <c r="X32" s="1936"/>
      <c r="Y32" s="1937"/>
      <c r="Z32" s="1937"/>
    </row>
    <row r="33">
      <c r="A33" s="1936"/>
      <c r="B33" s="1936"/>
      <c r="C33" s="1936"/>
      <c r="D33" s="1936"/>
      <c r="E33" s="1936"/>
      <c r="F33" s="1936"/>
      <c r="G33" s="1936"/>
      <c r="H33" s="1936"/>
      <c r="I33" s="1936"/>
      <c r="J33" s="1936"/>
      <c r="K33" s="1936"/>
      <c r="L33" s="1936"/>
      <c r="M33" s="1936"/>
      <c r="N33" s="1936"/>
      <c r="O33" s="1936"/>
      <c r="P33" s="1936"/>
      <c r="Q33" s="1936"/>
      <c r="R33" s="1936"/>
      <c r="S33" s="1936"/>
      <c r="T33" s="1936"/>
      <c r="U33" s="1936"/>
      <c r="V33" s="1936"/>
      <c r="W33" s="1936"/>
      <c r="X33" s="1936"/>
      <c r="Y33" s="1937"/>
      <c r="Z33" s="1937"/>
    </row>
    <row r="34">
      <c r="A34" s="2460" t="str">
        <v>CONTROLS</v>
      </c>
      <c r="B34" s="2460"/>
      <c r="C34" s="2460"/>
      <c r="D34" s="2460"/>
      <c r="E34" s="2460"/>
      <c r="F34" s="2460"/>
      <c r="G34" s="1936"/>
      <c r="H34" s="1936"/>
      <c r="I34" s="1936"/>
      <c r="J34" s="1936"/>
      <c r="K34" s="1936"/>
      <c r="L34" s="1936"/>
      <c r="M34" s="1936"/>
      <c r="N34" s="1936"/>
      <c r="O34" s="1936"/>
      <c r="P34" s="1936"/>
      <c r="Q34" s="1936"/>
      <c r="R34" s="1936"/>
      <c r="S34" s="1936"/>
      <c r="T34" s="1936"/>
      <c r="U34" s="1936"/>
      <c r="V34" s="1936"/>
      <c r="W34" s="1936"/>
      <c r="X34" s="1936"/>
      <c r="Y34" s="1937"/>
      <c r="Z34" s="1937"/>
    </row>
    <row r="35">
      <c r="A35" s="2465" t="str">
        <v>Control</v>
      </c>
      <c r="B35" s="2465" t="str">
        <v>Result</v>
      </c>
      <c r="C35" s="2465" t="str">
        <v>Basis</v>
      </c>
      <c r="D35" s="1936"/>
      <c r="E35" s="1936"/>
      <c r="F35" s="1936"/>
      <c r="G35" s="1936"/>
      <c r="H35" s="1936"/>
      <c r="I35" s="1936"/>
      <c r="J35" s="1936"/>
      <c r="K35" s="1936"/>
      <c r="L35" s="1936"/>
      <c r="M35" s="1936"/>
      <c r="N35" s="1936"/>
      <c r="O35" s="1936"/>
      <c r="P35" s="1936"/>
      <c r="Q35" s="1936"/>
      <c r="R35" s="1936"/>
      <c r="S35" s="1936"/>
      <c r="T35" s="1936"/>
      <c r="U35" s="1936"/>
      <c r="V35" s="1936"/>
      <c r="W35" s="1936"/>
      <c r="X35" s="1936"/>
      <c r="Y35" s="1937"/>
      <c r="Z35" s="1937"/>
    </row>
    <row r="36">
      <c r="A36" s="1936" t="str">
        <v>Revenue rows reconcile</v>
      </c>
      <c r="B36" s="1936" t="str">
        <v>OK</v>
      </c>
      <c r="C36" s="1936" t="str">
        <v>Annual source rows</v>
      </c>
      <c r="D36" s="1936"/>
      <c r="E36" s="1936"/>
      <c r="F36" s="1936"/>
      <c r="G36" s="1936"/>
      <c r="H36" s="1936"/>
      <c r="I36" s="1936"/>
      <c r="J36" s="1936"/>
      <c r="K36" s="1936"/>
      <c r="L36" s="1936"/>
      <c r="M36" s="1936"/>
      <c r="N36" s="1936"/>
      <c r="O36" s="1936"/>
      <c r="P36" s="1936"/>
      <c r="Q36" s="1936"/>
      <c r="R36" s="1936"/>
      <c r="S36" s="1936"/>
      <c r="T36" s="1936"/>
      <c r="U36" s="1936"/>
      <c r="V36" s="1936"/>
      <c r="W36" s="1936"/>
      <c r="X36" s="1936"/>
      <c r="Y36" s="1937" t="str">
        <v>System control</v>
      </c>
      <c r="Z36" s="1937" t="str">
        <v>Reconciliation control</v>
      </c>
    </row>
    <row r="37">
      <c r="A37" s="1936" t="str">
        <v>Operating costs reconcile</v>
      </c>
      <c r="B37" s="1936" t="str">
        <v>OK</v>
      </c>
      <c r="C37" s="1936" t="str">
        <v>Property plus asset-management costs</v>
      </c>
      <c r="D37" s="1936"/>
      <c r="E37" s="1936"/>
      <c r="F37" s="1936"/>
      <c r="G37" s="1936"/>
      <c r="H37" s="1936"/>
      <c r="I37" s="1936"/>
      <c r="J37" s="1936"/>
      <c r="K37" s="1936"/>
      <c r="L37" s="1936"/>
      <c r="M37" s="1936"/>
      <c r="N37" s="1936"/>
      <c r="O37" s="1936"/>
      <c r="P37" s="1936"/>
      <c r="Q37" s="1936"/>
      <c r="R37" s="1936"/>
      <c r="S37" s="1936"/>
      <c r="T37" s="1936"/>
      <c r="U37" s="1936"/>
      <c r="V37" s="1936"/>
      <c r="W37" s="1936"/>
      <c r="X37" s="1936"/>
      <c r="Y37" s="1937" t="str">
        <v>System control</v>
      </c>
      <c r="Z37" s="1937" t="str">
        <v>Reconciliation control</v>
      </c>
    </row>
    <row r="38">
      <c r="A38" s="1936" t="str">
        <v>EBITDA / NOI reconciles</v>
      </c>
      <c r="B38" s="1936" t="str">
        <v>OK</v>
      </c>
      <c r="C38" s="1936" t="str">
        <v>Revenue less costs</v>
      </c>
      <c r="D38" s="1936"/>
      <c r="E38" s="1936"/>
      <c r="F38" s="1936"/>
      <c r="G38" s="1936"/>
      <c r="H38" s="1936"/>
      <c r="I38" s="1936"/>
      <c r="J38" s="1936"/>
      <c r="K38" s="1936"/>
      <c r="L38" s="1936"/>
      <c r="M38" s="1936"/>
      <c r="N38" s="1936"/>
      <c r="O38" s="1936"/>
      <c r="P38" s="1936"/>
      <c r="Q38" s="1936"/>
      <c r="R38" s="1936"/>
      <c r="S38" s="1936"/>
      <c r="T38" s="1936"/>
      <c r="U38" s="1936"/>
      <c r="V38" s="1936"/>
      <c r="W38" s="1936"/>
      <c r="X38" s="1936"/>
      <c r="Y38" s="1937" t="str">
        <v>System control</v>
      </c>
      <c r="Z38" s="1937" t="str">
        <v>Reconciliation control</v>
      </c>
    </row>
    <row r="39">
      <c r="A39" s="1936" t="str">
        <v>Selected year available</v>
      </c>
      <c r="B39" s="1936" t="str">
        <v>OK</v>
      </c>
      <c r="C39" s="1936" t="str">
        <v>2029 base forecast</v>
      </c>
      <c r="D39" s="1936"/>
      <c r="E39" s="1936"/>
      <c r="F39" s="1936"/>
      <c r="G39" s="1936"/>
      <c r="H39" s="1936"/>
      <c r="I39" s="1936"/>
      <c r="J39" s="1936"/>
      <c r="K39" s="1936"/>
      <c r="L39" s="1936"/>
      <c r="M39" s="1936"/>
      <c r="N39" s="1936"/>
      <c r="O39" s="1936"/>
      <c r="P39" s="1936"/>
      <c r="Q39" s="1936"/>
      <c r="R39" s="1936"/>
      <c r="S39" s="1936"/>
      <c r="T39" s="1936"/>
      <c r="U39" s="1936"/>
      <c r="V39" s="1936"/>
      <c r="W39" s="1936"/>
      <c r="X39" s="1936"/>
      <c r="Y39" s="1937" t="str">
        <v>System control</v>
      </c>
      <c r="Z39" s="1937" t="str">
        <v>Reconciliation control</v>
      </c>
    </row>
  </sheetData>
  <mergeCells>
    <mergeCell ref="A2:X2"/>
    <mergeCell ref="A4:X4"/>
    <mergeCell ref="A6:X6"/>
    <mergeCell ref="A25:F25"/>
    <mergeCell ref="A34:F34"/>
  </mergeCells>
  <conditionalFormatting sqref="B36:B39">
    <cfRule type="expression" dxfId="65" priority="1">
      <formula>B36="OK"</formula>
    </cfRule>
    <cfRule type="expression" dxfId="66" priority="2">
      <formula>B36&lt;&gt;"OK"</formula>
    </cfRule>
  </conditionalFormatting>
  <pageMargins left="0.7" right="0.7" top="0.75" bottom="0.75" header="0.3" footer="0.3"/>
</worksheet>
</file>